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0" yWindow="0" windowWidth="51200" windowHeight="27520" tabRatio="500" activeTab="2"/>
  </bookViews>
  <sheets>
    <sheet name="Sheet1" sheetId="1" r:id="rId1"/>
    <sheet name="Sheet2" sheetId="2" r:id="rId2"/>
    <sheet name="Allocation(2)" sheetId="7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'Allocation(2)'!$E$6:$E$7</definedName>
    <definedName name="ah">Sheet2!$E$6:$E$7</definedName>
    <definedName name="ak" localSheetId="2">'Allocation(2)'!$B$12:$C$12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'Allocation(2)'!$B$25:$C$25</definedName>
    <definedName name="ddphif">Sheet2!$B$22:$C$22</definedName>
    <definedName name="ddphiq" localSheetId="3">Allocation!$B$25:$C$25</definedName>
    <definedName name="ddphiq" localSheetId="2">'Allocation(2)'!$B$28:$C$28</definedName>
    <definedName name="ddphiq">Sheet2!$B$25:$C$25</definedName>
    <definedName name="ddre" localSheetId="3">Allocation!$B$27:$C$27</definedName>
    <definedName name="ddre" localSheetId="2">'Allocation(2)'!$B$30:$C$30</definedName>
    <definedName name="ddre">Sheet2!$B$27:$C$27</definedName>
    <definedName name="delta" localSheetId="3">Allocation!$B$39:$C$39</definedName>
    <definedName name="delta" localSheetId="2">'Allocation(2)'!#REF!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'Allocation(2)'!$B$17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'Allocation(2)'!$B$24:$C$24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'Allocation(2)'!$B$27:$C$27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'Allocation(2)'!$B$29:$C$29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'Allocation(2)'!$B$41:$C$41</definedName>
    <definedName name="dta">Sheet2!$B$45:$C$45</definedName>
    <definedName name="dYe" localSheetId="2">'Allocation(2)'!$B$33:$C$33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'Allocation(2)'!$B$23:$C$23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'Allocation(2)'!$G$3:$Z$3</definedName>
    <definedName name="fa" localSheetId="6">FlakLake!$F$3:$L$3</definedName>
    <definedName name="fa" localSheetId="4">SingleFleet!$F$3:$L$3</definedName>
    <definedName name="fa">Sheet2!$G$3:$Z$3</definedName>
    <definedName name="favg">'Allocation(2)'!$D$23</definedName>
    <definedName name="fbar">'Allocation(2)'!$D$42</definedName>
    <definedName name="fe" localSheetId="3">Allocation!$B$6:$B$7</definedName>
    <definedName name="fe" localSheetId="2">'Allocation(2)'!$B$6:$B$7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'Allocation(2)'!#REF!</definedName>
    <definedName name="fiter">Sheet2!$B$38:$C$38</definedName>
    <definedName name="ft">Sheet5!$B$3</definedName>
    <definedName name="h" localSheetId="3">Allocation!$B$2</definedName>
    <definedName name="h" localSheetId="2">'Allocation(2)'!$B$2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 localSheetId="2">'Allocation(2)'!$B$14:$C$14</definedName>
    <definedName name="lambda">Allocation!$B$11:$C$11</definedName>
    <definedName name="lw">FlakLake!$F$10:$L$10</definedName>
    <definedName name="lx" localSheetId="3">Allocation!$G$4:$Z$4</definedName>
    <definedName name="lx" localSheetId="2">'Allocation(2)'!$G$4:$Z$4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'Allocation(2)'!$G$14:$Z$14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'Allocation(2)'!$B$3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'Allocation(2)'!$G$10:$Z$10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'Allocation(2)'!$B$21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'Allocation(2)'!$B$22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'Allocation(2)'!$B$26:$C$26</definedName>
    <definedName name="phiq" localSheetId="6">FlakLake!$B$13</definedName>
    <definedName name="phiq" localSheetId="4">SingleFleet!$B$13</definedName>
    <definedName name="phiq">Sheet2!$B$23:$C$23</definedName>
    <definedName name="pk" localSheetId="2">'Allocation(2)'!$B$13:$C$13</definedName>
    <definedName name="pk">Allocation!$B$10:$C$10</definedName>
    <definedName name="plambda">'Allocation(2)'!$B$15:$C$15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'Allocation(2)'!$B$20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'Allocation(2)'!$B$8</definedName>
    <definedName name="reck">Sheet2!$B$8</definedName>
    <definedName name="ro" localSheetId="3">Allocation!$B$1</definedName>
    <definedName name="ro" localSheetId="2">'Allocation(2)'!$B$1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'Allocation(2)'!$G$9:$Z$9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'Allocation(2)'!$G$6:$Z$7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'Allocation(2)'!$B$4</definedName>
    <definedName name="vbk">Sheet2!$B$4</definedName>
    <definedName name="wa" localSheetId="3">Allocation!$G$2:$Z$2</definedName>
    <definedName name="wa" localSheetId="2">'Allocation(2)'!$G$2:$Z$2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'Allocation(2)'!$B$32:$C$32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'Allocation(2)'!$G$8:$Z$8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7" l="1"/>
  <c r="B16" i="7"/>
  <c r="C6" i="2"/>
  <c r="G14" i="7"/>
  <c r="B3" i="7"/>
  <c r="B8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B3" i="2"/>
  <c r="I2" i="2"/>
  <c r="I6" i="2"/>
  <c r="B3" i="3"/>
  <c r="H2" i="3"/>
  <c r="H6" i="3"/>
  <c r="G14" i="3"/>
  <c r="B20" i="3"/>
  <c r="B8" i="3"/>
  <c r="G6" i="7"/>
  <c r="G18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G18" i="3"/>
  <c r="C20" i="3"/>
  <c r="D20" i="3"/>
  <c r="G15" i="7"/>
  <c r="G16" i="7"/>
  <c r="G27" i="7"/>
  <c r="G2" i="7"/>
  <c r="H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G17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B21" i="7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C7" i="7"/>
  <c r="D7" i="7"/>
  <c r="C23" i="7"/>
  <c r="B23" i="7"/>
  <c r="D23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B22" i="7"/>
  <c r="B20" i="7"/>
  <c r="C6" i="7"/>
  <c r="D6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B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D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B24" i="7"/>
  <c r="C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B25" i="7"/>
  <c r="C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G26" i="7"/>
  <c r="B27" i="7"/>
  <c r="C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B28" i="7"/>
  <c r="C28" i="7"/>
  <c r="B29" i="7"/>
  <c r="C29" i="7"/>
  <c r="B30" i="7"/>
  <c r="C30" i="7"/>
  <c r="Z30" i="7"/>
  <c r="C26" i="7"/>
  <c r="C37" i="7"/>
  <c r="B26" i="7"/>
  <c r="B37" i="7"/>
  <c r="B36" i="7"/>
  <c r="C36" i="7"/>
  <c r="B38" i="7" a="1"/>
  <c r="B38" i="7"/>
  <c r="C38" i="7"/>
  <c r="B39" i="7"/>
  <c r="C39" i="7"/>
  <c r="D36" i="7"/>
  <c r="C33" i="7"/>
  <c r="B32" i="7"/>
  <c r="C32" i="7"/>
  <c r="D32" i="7"/>
  <c r="B33" i="7"/>
  <c r="H29" i="7"/>
  <c r="G29" i="7"/>
  <c r="D33" i="7"/>
  <c r="D41" i="7"/>
  <c r="D42" i="7"/>
  <c r="C13" i="7"/>
  <c r="B13" i="7"/>
  <c r="C14" i="7"/>
  <c r="B14" i="7"/>
  <c r="C11" i="7"/>
  <c r="B11" i="7"/>
  <c r="C6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Z27" i="3"/>
  <c r="Y2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C13" i="3"/>
  <c r="B13" i="3"/>
  <c r="B41" i="7" a="1"/>
  <c r="B41" i="7"/>
  <c r="B42" i="7"/>
  <c r="C41" i="7"/>
  <c r="C42" i="7"/>
</calcChain>
</file>

<file path=xl/sharedStrings.xml><?xml version="1.0" encoding="utf-8"?>
<sst xmlns="http://schemas.openxmlformats.org/spreadsheetml/2006/main" count="302" uniqueCount="110">
  <si>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</si>
  <si>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</si>
  <si>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</si>
  <si>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</si>
  <si>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</si>
  <si>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</si>
  <si>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</si>
  <si>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</si>
  <si>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</si>
  <si>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</si>
  <si>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</si>
  <si>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</si>
  <si>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</si>
  <si>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</si>
  <si>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</si>
  <si>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</si>
  <si>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</si>
  <si>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</si>
  <si>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</si>
  <si>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</si>
  <si>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</si>
  <si>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</si>
  <si>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</si>
  <si>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</si>
  <si>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</si>
  <si>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</si>
  <si>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</si>
  <si>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</si>
  <si>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</si>
  <si>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</si>
  <si>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</si>
  <si>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</si>
  <si>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</si>
  <si>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</si>
  <si>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</si>
  <si>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</si>
  <si>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</si>
  <si>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</si>
  <si>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</si>
  <si>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</si>
  <si>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</si>
  <si>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</si>
  <si>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</si>
  <si>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</si>
  <si>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</si>
  <si>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</si>
  <si>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</si>
  <si>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</si>
  <si>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</si>
  <si>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</si>
  <si>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</si>
  <si>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</si>
  <si>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</si>
  <si>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</si>
  <si>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</si>
  <si>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</si>
  <si>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</si>
  <si>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</si>
  <si>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</si>
  <si>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</si>
  <si>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</si>
  <si>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</si>
  <si>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</si>
  <si>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</si>
  <si>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</si>
  <si>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</si>
  <si>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</si>
  <si>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</si>
  <si>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</si>
  <si>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</si>
  <si>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</si>
  <si>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</si>
  <si>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</si>
  <si>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</si>
  <si>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</si>
  <si>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</si>
  <si>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</si>
  <si>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</si>
  <si>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</si>
  <si>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</si>
  <si>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</si>
  <si>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</si>
  <si>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</si>
  <si>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</si>
  <si>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</si>
  <si>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</si>
  <si>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</si>
  <si>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</si>
  <si>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</si>
  <si>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</si>
  <si>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</si>
  <si>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</si>
  <si>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</si>
  <si>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</si>
  <si>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</si>
  <si>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</si>
  <si>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</si>
  <si>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</si>
  <si>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</si>
  <si>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</si>
  <si>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</si>
  <si>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</si>
  <si>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</si>
  <si>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</si>
  <si>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</si>
  <si>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</si>
  <si>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lfi</t>
  </si>
  <si>
    <t>plambda</t>
  </si>
  <si>
    <t xml:space="preserve"> 0.4378 3.90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</si>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</sst>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E+00;\驠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8" borderId="2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  <xf numFmtId="165" fontId="0" fillId="0" borderId="0" xfId="0" applyNumberFormat="1"/>
    <xf numFmtId="0" fontId="8" fillId="8" borderId="2" xfId="1413"/>
  </cellXfs>
  <cellStyles count="1582">
    <cellStyle name="20% - Accent1" xfId="52" builtinId="30"/>
    <cellStyle name="20% - Accent4" xfId="53" builtinId="42"/>
    <cellStyle name="20% - Accent6" xfId="54" builtinId="50"/>
    <cellStyle name="Check Cell" xfId="1413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669496"/>
        <c:axId val="-2109156488"/>
      </c:lineChart>
      <c:catAx>
        <c:axId val="-2108669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9156488"/>
        <c:crosses val="autoZero"/>
        <c:auto val="1"/>
        <c:lblAlgn val="ctr"/>
        <c:lblOffset val="100"/>
        <c:noMultiLvlLbl val="0"/>
      </c:catAx>
      <c:valAx>
        <c:axId val="-2109156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669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'Allocation(2)'!$G$6:$Z$6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'Allocation(2)'!$G$7:$Z$7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'Allocation(2)'!$F$3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'Allocation(2)'!$G$3:$Z$3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431384"/>
        <c:axId val="-2108205320"/>
      </c:lineChart>
      <c:catAx>
        <c:axId val="-210843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205320"/>
        <c:crosses val="autoZero"/>
        <c:auto val="1"/>
        <c:lblAlgn val="ctr"/>
        <c:lblOffset val="100"/>
        <c:noMultiLvlLbl val="0"/>
      </c:catAx>
      <c:valAx>
        <c:axId val="-210820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431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757464"/>
        <c:axId val="-2107754616"/>
      </c:lineChart>
      <c:catAx>
        <c:axId val="-210775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754616"/>
        <c:crosses val="autoZero"/>
        <c:auto val="1"/>
        <c:lblAlgn val="ctr"/>
        <c:lblOffset val="100"/>
        <c:noMultiLvlLbl val="0"/>
      </c:catAx>
      <c:valAx>
        <c:axId val="-210775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75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528392"/>
        <c:axId val="-210875364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825368"/>
        <c:axId val="-2109381176"/>
      </c:scatterChart>
      <c:valAx>
        <c:axId val="-2108528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8753640"/>
        <c:crosses val="autoZero"/>
        <c:crossBetween val="midCat"/>
      </c:valAx>
      <c:valAx>
        <c:axId val="-2108753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528392"/>
        <c:crosses val="autoZero"/>
        <c:crossBetween val="midCat"/>
      </c:valAx>
      <c:valAx>
        <c:axId val="-2109381176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08825368"/>
        <c:crosses val="max"/>
        <c:crossBetween val="midCat"/>
      </c:valAx>
      <c:valAx>
        <c:axId val="-2108825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9381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680072"/>
        <c:axId val="-2109375144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985368"/>
        <c:axId val="-2108335352"/>
      </c:scatterChart>
      <c:valAx>
        <c:axId val="-2109680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9375144"/>
        <c:crosses val="autoZero"/>
        <c:crossBetween val="midCat"/>
      </c:valAx>
      <c:valAx>
        <c:axId val="-2109375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680072"/>
        <c:crosses val="autoZero"/>
        <c:crossBetween val="midCat"/>
      </c:valAx>
      <c:valAx>
        <c:axId val="-2108335352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07985368"/>
        <c:crosses val="max"/>
        <c:crossBetween val="midCat"/>
      </c:valAx>
      <c:valAx>
        <c:axId val="-2107985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833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2" workbookViewId="0">
      <pane xSplit="6" topLeftCell="G1" activePane="topRight" state="frozen"/>
      <selection activeCell="A13" sqref="A13"/>
      <selection pane="topRight" activeCell="C10" sqref="C1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56"/>
  <sheetViews>
    <sheetView tabSelected="1" zoomScale="125" zoomScaleNormal="125" zoomScalePageLayoutView="125" workbookViewId="0">
      <pane xSplit="6" topLeftCell="G1" activePane="topRight" state="frozen"/>
      <selection activeCell="A13" sqref="A13"/>
      <selection pane="topRight" activeCell="C17" sqref="C17"/>
    </sheetView>
  </sheetViews>
  <sheetFormatPr baseColWidth="10" defaultRowHeight="15" x14ac:dyDescent="0"/>
  <cols>
    <col min="3" max="3" width="12.1640625" bestFit="1" customWidth="1"/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0.15065618515385529</v>
      </c>
      <c r="C6">
        <f>B6+dh</f>
        <v>0.15065718515385529</v>
      </c>
      <c r="D6">
        <f>B6-dh</f>
        <v>0.15065518515385529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0.33409487852969805</v>
      </c>
      <c r="C7">
        <f>B7</f>
        <v>0.33409487852969805</v>
      </c>
      <c r="D7">
        <f>C7</f>
        <v>0.33409487852969805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F8" t="s">
        <v>35</v>
      </c>
      <c r="G8">
        <f t="shared" ref="G8:Z8" si="6">m+SUMPRODUCT(fe,G6:G7)</f>
        <v>0.30014655907646859</v>
      </c>
      <c r="H8">
        <f t="shared" si="6"/>
        <v>0.30127220955391543</v>
      </c>
      <c r="I8">
        <f t="shared" si="6"/>
        <v>0.31252689484609542</v>
      </c>
      <c r="J8">
        <f t="shared" si="6"/>
        <v>0.37986407099405578</v>
      </c>
      <c r="K8">
        <f t="shared" si="6"/>
        <v>0.45737346519027611</v>
      </c>
      <c r="L8">
        <f t="shared" si="6"/>
        <v>0.51423554532709637</v>
      </c>
      <c r="M8">
        <f t="shared" si="6"/>
        <v>0.61762034489803086</v>
      </c>
      <c r="N8">
        <f t="shared" si="6"/>
        <v>0.72015654465254342</v>
      </c>
      <c r="O8">
        <f t="shared" si="6"/>
        <v>0.76660471819115961</v>
      </c>
      <c r="P8">
        <f t="shared" si="6"/>
        <v>0.78021503918036272</v>
      </c>
      <c r="Q8">
        <f t="shared" si="6"/>
        <v>0.78365266906919751</v>
      </c>
      <c r="R8">
        <f t="shared" si="6"/>
        <v>0.78448717320716865</v>
      </c>
      <c r="S8">
        <f t="shared" si="6"/>
        <v>0.7846877841022688</v>
      </c>
      <c r="T8">
        <f t="shared" si="6"/>
        <v>0.78473589648603137</v>
      </c>
      <c r="U8">
        <f t="shared" si="6"/>
        <v>0.78474742872380465</v>
      </c>
      <c r="V8">
        <f t="shared" si="6"/>
        <v>0.78475019255450273</v>
      </c>
      <c r="W8">
        <f t="shared" si="6"/>
        <v>0.78475085491616181</v>
      </c>
      <c r="X8">
        <f t="shared" si="6"/>
        <v>0.78475101365220801</v>
      </c>
      <c r="Y8">
        <f t="shared" si="6"/>
        <v>0.78475105169348836</v>
      </c>
      <c r="Z8">
        <f t="shared" si="6"/>
        <v>0.7847510608101218</v>
      </c>
    </row>
    <row r="9" spans="1:26">
      <c r="F9" s="7" t="s">
        <v>60</v>
      </c>
      <c r="G9" s="7">
        <f t="shared" ref="G9:Z9" si="7">EXP(-za)</f>
        <v>0.74070965500330077</v>
      </c>
      <c r="H9" s="7">
        <f t="shared" si="7"/>
        <v>0.73987634392299451</v>
      </c>
      <c r="I9" s="7">
        <f t="shared" si="7"/>
        <v>0.73159595252149867</v>
      </c>
      <c r="J9" s="7">
        <f t="shared" si="7"/>
        <v>0.68395437213194921</v>
      </c>
      <c r="K9" s="7">
        <f t="shared" si="7"/>
        <v>0.6329439133978918</v>
      </c>
      <c r="L9" s="7">
        <f t="shared" si="7"/>
        <v>0.59795753137132168</v>
      </c>
      <c r="M9" s="7">
        <f t="shared" si="7"/>
        <v>0.53922608415375473</v>
      </c>
      <c r="N9" s="7">
        <f t="shared" si="7"/>
        <v>0.48667606346110742</v>
      </c>
      <c r="O9" s="7">
        <f t="shared" si="7"/>
        <v>0.46458779997542332</v>
      </c>
      <c r="P9" s="7">
        <f t="shared" si="7"/>
        <v>0.45830744665029027</v>
      </c>
      <c r="Q9" s="7">
        <f t="shared" si="7"/>
        <v>0.45673466015118913</v>
      </c>
      <c r="R9" s="7">
        <f t="shared" si="7"/>
        <v>0.45635367217746831</v>
      </c>
      <c r="S9" s="7">
        <f t="shared" si="7"/>
        <v>0.45626213184111197</v>
      </c>
      <c r="T9" s="7">
        <f t="shared" si="7"/>
        <v>0.45624018051039816</v>
      </c>
      <c r="U9" s="7">
        <f t="shared" si="7"/>
        <v>0.45623491907049291</v>
      </c>
      <c r="V9" s="7">
        <f t="shared" si="7"/>
        <v>0.45623365811616057</v>
      </c>
      <c r="W9" s="7">
        <f t="shared" si="7"/>
        <v>0.45623335592457798</v>
      </c>
      <c r="X9" s="7">
        <f t="shared" si="7"/>
        <v>0.45623328350390463</v>
      </c>
      <c r="Y9" s="7">
        <f t="shared" si="7"/>
        <v>0.4562332661482067</v>
      </c>
      <c r="Z9" s="7">
        <f t="shared" si="7"/>
        <v>0.4562332619888953</v>
      </c>
    </row>
    <row r="10" spans="1:26" ht="16" thickBot="1">
      <c r="F10" t="s">
        <v>61</v>
      </c>
      <c r="G10">
        <f t="shared" ref="G10:Z10" si="8">1-sa</f>
        <v>0.25929034499669923</v>
      </c>
      <c r="H10">
        <f t="shared" si="8"/>
        <v>0.26012365607700549</v>
      </c>
      <c r="I10">
        <f t="shared" si="8"/>
        <v>0.26840404747850133</v>
      </c>
      <c r="J10">
        <f t="shared" si="8"/>
        <v>0.31604562786805079</v>
      </c>
      <c r="K10">
        <f t="shared" si="8"/>
        <v>0.3670560866021082</v>
      </c>
      <c r="L10">
        <f t="shared" si="8"/>
        <v>0.40204246862867832</v>
      </c>
      <c r="M10">
        <f t="shared" si="8"/>
        <v>0.46077391584624527</v>
      </c>
      <c r="N10">
        <f t="shared" si="8"/>
        <v>0.51332393653889263</v>
      </c>
      <c r="O10">
        <f t="shared" si="8"/>
        <v>0.53541220002457668</v>
      </c>
      <c r="P10">
        <f t="shared" si="8"/>
        <v>0.54169255334970967</v>
      </c>
      <c r="Q10">
        <f t="shared" si="8"/>
        <v>0.54326533984881087</v>
      </c>
      <c r="R10">
        <f t="shared" si="8"/>
        <v>0.54364632782253164</v>
      </c>
      <c r="S10">
        <f t="shared" si="8"/>
        <v>0.54373786815888803</v>
      </c>
      <c r="T10">
        <f t="shared" si="8"/>
        <v>0.54375981948960184</v>
      </c>
      <c r="U10">
        <f t="shared" si="8"/>
        <v>0.54376508092950715</v>
      </c>
      <c r="V10">
        <f t="shared" si="8"/>
        <v>0.54376634188383943</v>
      </c>
      <c r="W10">
        <f t="shared" si="8"/>
        <v>0.54376664407542208</v>
      </c>
      <c r="X10">
        <f t="shared" si="8"/>
        <v>0.54376671649609531</v>
      </c>
      <c r="Y10">
        <f t="shared" si="8"/>
        <v>0.5437667338517933</v>
      </c>
      <c r="Z10">
        <f t="shared" si="8"/>
        <v>0.54376673801110464</v>
      </c>
    </row>
    <row r="11" spans="1:26" ht="17" thickTop="1" thickBot="1">
      <c r="A11" t="s">
        <v>109</v>
      </c>
      <c r="B11" s="14">
        <f>Ye/SUM(Ye)</f>
        <v>0.57769310894707426</v>
      </c>
      <c r="C11" s="14">
        <f>Ye/SUM(Ye)</f>
        <v>0.42230689105292574</v>
      </c>
      <c r="F11" t="s">
        <v>40</v>
      </c>
      <c r="G11">
        <f t="shared" ref="G11:Z11" si="9">wa*G6/za*(1-EXP(-za))</f>
        <v>2.8443079735055936E-6</v>
      </c>
      <c r="H11">
        <f t="shared" si="9"/>
        <v>2.070663609545027E-4</v>
      </c>
      <c r="I11">
        <f t="shared" si="9"/>
        <v>5.9838094425888107E-3</v>
      </c>
      <c r="J11">
        <f t="shared" si="9"/>
        <v>6.9465357508656705E-2</v>
      </c>
      <c r="K11">
        <f t="shared" si="9"/>
        <v>0.18732676564824452</v>
      </c>
      <c r="L11">
        <f t="shared" si="9"/>
        <v>0.26501037692527857</v>
      </c>
      <c r="M11">
        <f t="shared" si="9"/>
        <v>0.31886603042192135</v>
      </c>
      <c r="N11">
        <f t="shared" si="9"/>
        <v>0.36234519325139303</v>
      </c>
      <c r="O11">
        <f t="shared" si="9"/>
        <v>0.40617027074483258</v>
      </c>
      <c r="P11">
        <f t="shared" si="9"/>
        <v>0.44882974209680065</v>
      </c>
      <c r="Q11">
        <f t="shared" si="9"/>
        <v>0.48739616131217095</v>
      </c>
      <c r="R11">
        <f t="shared" si="9"/>
        <v>0.52098648782532964</v>
      </c>
      <c r="S11">
        <f t="shared" si="9"/>
        <v>0.54971889724543088</v>
      </c>
      <c r="T11">
        <f t="shared" si="9"/>
        <v>0.57404228706384364</v>
      </c>
      <c r="U11">
        <f t="shared" si="9"/>
        <v>0.59448954754591254</v>
      </c>
      <c r="V11">
        <f t="shared" si="9"/>
        <v>0.61158910307709791</v>
      </c>
      <c r="W11">
        <f t="shared" si="9"/>
        <v>0.6258311377656065</v>
      </c>
      <c r="X11">
        <f t="shared" si="9"/>
        <v>0.6376549099621095</v>
      </c>
      <c r="Y11">
        <f t="shared" si="9"/>
        <v>0.64744556494630134</v>
      </c>
      <c r="Z11">
        <f t="shared" si="9"/>
        <v>0.65553569443930459</v>
      </c>
    </row>
    <row r="12" spans="1:26" ht="16" thickTop="1">
      <c r="A12" t="s">
        <v>68</v>
      </c>
      <c r="B12">
        <v>0.5</v>
      </c>
      <c r="C12">
        <v>0.5</v>
      </c>
      <c r="D12" t="s">
        <v>108</v>
      </c>
      <c r="G12">
        <f t="shared" ref="G12:Z12" si="10">wa*G7/za*(1-EXP(-za))</f>
        <v>9.745833146692098E-7</v>
      </c>
      <c r="H12">
        <f t="shared" si="10"/>
        <v>2.4437219362501579E-5</v>
      </c>
      <c r="I12">
        <f t="shared" si="10"/>
        <v>2.5933576629016606E-4</v>
      </c>
      <c r="J12">
        <f t="shared" si="10"/>
        <v>1.8862507787250824E-3</v>
      </c>
      <c r="K12">
        <f t="shared" si="10"/>
        <v>1.1009488215405931E-2</v>
      </c>
      <c r="L12">
        <f t="shared" si="10"/>
        <v>5.1577368718923627E-2</v>
      </c>
      <c r="M12">
        <f t="shared" si="10"/>
        <v>0.1595211951197594</v>
      </c>
      <c r="N12">
        <f t="shared" si="10"/>
        <v>0.29230939437425774</v>
      </c>
      <c r="O12">
        <f t="shared" si="10"/>
        <v>0.38411126817884328</v>
      </c>
      <c r="P12">
        <f t="shared" si="10"/>
        <v>0.44273615340044548</v>
      </c>
      <c r="Q12">
        <f t="shared" si="10"/>
        <v>0.48579377997124989</v>
      </c>
      <c r="R12">
        <f t="shared" si="10"/>
        <v>0.52057497941547659</v>
      </c>
      <c r="S12">
        <f t="shared" si="10"/>
        <v>0.54961477731184893</v>
      </c>
      <c r="T12">
        <f t="shared" si="10"/>
        <v>0.57401622677543784</v>
      </c>
      <c r="U12">
        <f t="shared" si="10"/>
        <v>0.59448307948732582</v>
      </c>
      <c r="V12">
        <f t="shared" si="10"/>
        <v>0.6115875084013298</v>
      </c>
      <c r="W12">
        <f t="shared" si="10"/>
        <v>0.62583074669965411</v>
      </c>
      <c r="X12">
        <f t="shared" si="10"/>
        <v>0.63765481447207106</v>
      </c>
      <c r="Y12">
        <f t="shared" si="10"/>
        <v>0.64744554171064295</v>
      </c>
      <c r="Z12">
        <f t="shared" si="10"/>
        <v>0.65553568880127455</v>
      </c>
    </row>
    <row r="13" spans="1:26">
      <c r="A13" t="s">
        <v>69</v>
      </c>
      <c r="B13">
        <f>(Ye/SUM(Ye))</f>
        <v>0.57769310894707426</v>
      </c>
      <c r="C13">
        <f>(Ye/SUM(Ye))</f>
        <v>0.42230689105292574</v>
      </c>
    </row>
    <row r="14" spans="1:26">
      <c r="A14" t="s">
        <v>70</v>
      </c>
      <c r="B14" s="1">
        <f>pk/AVERAGE(pk)</f>
        <v>1.1553862178941485</v>
      </c>
      <c r="C14" s="1">
        <f>pk/AVERAGE(pk)</f>
        <v>0.84461378210585147</v>
      </c>
      <c r="F14" t="s">
        <v>25</v>
      </c>
      <c r="G14">
        <f>1</f>
        <v>1</v>
      </c>
      <c r="H14">
        <f>G14*EXP(-m-SUMPRODUCT(G$6:G$7,$B$6:$B$7))</f>
        <v>0.74070965500330077</v>
      </c>
      <c r="I14">
        <f t="shared" ref="I14:Y14" si="11">H14*EXP(-m-SUMPRODUCT(H$6:H$7,$B$6:$B$7))</f>
        <v>0.54803355145230481</v>
      </c>
      <c r="J14">
        <f t="shared" si="11"/>
        <v>0.40093912808848869</v>
      </c>
      <c r="K14">
        <f t="shared" si="11"/>
        <v>0.27422406961489343</v>
      </c>
      <c r="L14">
        <f t="shared" si="11"/>
        <v>0.17356845576994656</v>
      </c>
      <c r="M14">
        <f>L14*EXP(-m-SUMPRODUCT(L$6:L$7,$B$6:$B$7))</f>
        <v>0.10378656533612968</v>
      </c>
      <c r="N14">
        <f t="shared" si="11"/>
        <v>5.5964423213969022E-2</v>
      </c>
      <c r="O14">
        <f t="shared" si="11"/>
        <v>2.723654518364586E-2</v>
      </c>
      <c r="P14">
        <f t="shared" si="11"/>
        <v>1.2653766605801243E-2</v>
      </c>
      <c r="Q14">
        <f t="shared" si="11"/>
        <v>5.7993154636134777E-3</v>
      </c>
      <c r="R14">
        <f t="shared" si="11"/>
        <v>2.6487483773830374E-3</v>
      </c>
      <c r="S14">
        <f t="shared" si="11"/>
        <v>1.2087660486928596E-3</v>
      </c>
      <c r="T14">
        <f t="shared" si="11"/>
        <v>5.5151417427376146E-4</v>
      </c>
      <c r="U14">
        <f t="shared" si="11"/>
        <v>2.5162292642470411E-4</v>
      </c>
      <c r="V14">
        <f t="shared" si="11"/>
        <v>1.1479916547365547E-4</v>
      </c>
      <c r="W14">
        <f t="shared" si="11"/>
        <v>5.2375243212728276E-5</v>
      </c>
      <c r="X14">
        <f t="shared" si="11"/>
        <v>2.3895332978308996E-5</v>
      </c>
      <c r="Y14">
        <f t="shared" si="11"/>
        <v>1.090184622511305E-5</v>
      </c>
      <c r="Z14">
        <f>Y14*EXP(-m-SUMPRODUCT(Y$6:Y$7,$B$6:$B$7))/(1-EXP(-m-SUMPRODUCT(B$6:B$7,Z6:Z7)))</f>
        <v>9.1469090745069646E-6</v>
      </c>
    </row>
    <row r="15" spans="1:26">
      <c r="A15" t="s">
        <v>107</v>
      </c>
      <c r="B15">
        <v>1.1553862178941485</v>
      </c>
      <c r="C15">
        <v>0.84461378210585147</v>
      </c>
      <c r="F15" t="s">
        <v>26</v>
      </c>
      <c r="G15">
        <f>1</f>
        <v>1</v>
      </c>
      <c r="H15">
        <f>G15*EXP(-m-SUMPRODUCT(G$6:G$7,$C$6:$C$7))</f>
        <v>0.7407096545938523</v>
      </c>
      <c r="I15">
        <f t="shared" ref="I15:Y15" si="12">H15*EXP(-m-SUMPRODUCT(H$6:H$7,$C$6:$C$7))</f>
        <v>0.54803354748145661</v>
      </c>
      <c r="J15">
        <f t="shared" si="12"/>
        <v>0.40093909476892103</v>
      </c>
      <c r="K15">
        <f t="shared" si="12"/>
        <v>0.27422390971384031</v>
      </c>
      <c r="L15">
        <f t="shared" si="12"/>
        <v>0.17356819415984731</v>
      </c>
      <c r="M15">
        <f t="shared" si="12"/>
        <v>0.10378630581266983</v>
      </c>
      <c r="N15">
        <f t="shared" si="12"/>
        <v>5.5964227338830559E-2</v>
      </c>
      <c r="O15">
        <f t="shared" si="12"/>
        <v>2.7236422620704782E-2</v>
      </c>
      <c r="P15">
        <f t="shared" si="12"/>
        <v>1.2653697010897908E-2</v>
      </c>
      <c r="Q15">
        <f t="shared" si="12"/>
        <v>5.799277768472136E-3</v>
      </c>
      <c r="R15">
        <f t="shared" si="12"/>
        <v>2.6487285119756974E-3</v>
      </c>
      <c r="S15">
        <f t="shared" si="12"/>
        <v>1.2087557742848948E-3</v>
      </c>
      <c r="T15">
        <f t="shared" si="12"/>
        <v>5.515089349412694E-4</v>
      </c>
      <c r="U15">
        <f t="shared" si="12"/>
        <v>2.5162028441029195E-4</v>
      </c>
      <c r="V15">
        <f t="shared" si="12"/>
        <v>1.1479784529652126E-4</v>
      </c>
      <c r="W15">
        <f t="shared" si="12"/>
        <v>5.2374588528870261E-5</v>
      </c>
      <c r="X15">
        <f t="shared" si="12"/>
        <v>2.3895010394673042E-5</v>
      </c>
      <c r="Y15">
        <f t="shared" si="12"/>
        <v>1.0901688150028014E-5</v>
      </c>
      <c r="Z15">
        <f>Y15*EXP(-m-SUMPRODUCT(Y$6:Y$7,$C$6:$C$7))/(1-EXP(-m-SUMPRODUCT(C$6:C$7,Z6:Z7)))</f>
        <v>9.1467596246218225E-6</v>
      </c>
    </row>
    <row r="16" spans="1:26">
      <c r="A16" t="s">
        <v>106</v>
      </c>
      <c r="B16">
        <f>fbar*plambda</f>
        <v>0.29928723788468808</v>
      </c>
      <c r="C16">
        <f>fbar*plambda</f>
        <v>0.21878582417793641</v>
      </c>
      <c r="F16" t="s">
        <v>66</v>
      </c>
      <c r="G16">
        <f>1</f>
        <v>1</v>
      </c>
      <c r="H16">
        <f>G16*EXP(-m-SUMPRODUCT(G$6:G$7,$D$6:$D$7))</f>
        <v>0.74070965541274925</v>
      </c>
      <c r="I16">
        <f t="shared" ref="I16:Y16" si="13">H16*EXP(-m-SUMPRODUCT(H$6:H$7,$D$6:$D$7))</f>
        <v>0.5480335554231528</v>
      </c>
      <c r="J16">
        <f t="shared" si="13"/>
        <v>0.40093916140805891</v>
      </c>
      <c r="K16">
        <f t="shared" si="13"/>
        <v>0.2742242295160397</v>
      </c>
      <c r="L16">
        <f t="shared" si="13"/>
        <v>0.17356871738044011</v>
      </c>
      <c r="M16">
        <f t="shared" si="13"/>
        <v>0.10378682486023851</v>
      </c>
      <c r="N16">
        <f t="shared" si="13"/>
        <v>5.5964619089793062E-2</v>
      </c>
      <c r="O16">
        <f t="shared" si="13"/>
        <v>2.7236667747138475E-2</v>
      </c>
      <c r="P16">
        <f t="shared" si="13"/>
        <v>1.2653836201087352E-2</v>
      </c>
      <c r="Q16">
        <f t="shared" si="13"/>
        <v>5.7993531589998377E-3</v>
      </c>
      <c r="R16">
        <f t="shared" si="13"/>
        <v>2.648768242939368E-3</v>
      </c>
      <c r="S16">
        <f t="shared" si="13"/>
        <v>1.2087763231881574E-3</v>
      </c>
      <c r="T16">
        <f t="shared" si="13"/>
        <v>5.5151941365602739E-4</v>
      </c>
      <c r="U16">
        <f t="shared" si="13"/>
        <v>2.5162556846685752E-4</v>
      </c>
      <c r="V16">
        <f t="shared" si="13"/>
        <v>1.1480048566597178E-4</v>
      </c>
      <c r="W16">
        <f t="shared" si="13"/>
        <v>5.2375897904769884E-5</v>
      </c>
      <c r="X16">
        <f t="shared" si="13"/>
        <v>2.3895655566299854E-5</v>
      </c>
      <c r="Y16">
        <f t="shared" si="13"/>
        <v>1.090200430249019E-5</v>
      </c>
      <c r="Z16" s="13">
        <f>Y16*EXP(-m-SUMPRODUCT(Y$6:Y$7,$D$6:$D$7))/(1-EXP(-m-SUMPRODUCT(D$6:D$7,Z6:Z7)))</f>
        <v>9.1470585268481059E-6</v>
      </c>
    </row>
    <row r="17" spans="1:26">
      <c r="A17" t="s">
        <v>29</v>
      </c>
      <c r="B17" s="2">
        <v>9.9999999999999995E-7</v>
      </c>
      <c r="F17" s="3" t="s">
        <v>31</v>
      </c>
      <c r="G17" s="3">
        <f>(G14-G15)/dh</f>
        <v>0</v>
      </c>
      <c r="H17" s="3">
        <f t="shared" ref="H17:X17" si="14">(H15-H14)/dh</f>
        <v>-4.0944847512491833E-4</v>
      </c>
      <c r="I17" s="3">
        <f t="shared" si="14"/>
        <v>-3.9708482058031791E-3</v>
      </c>
      <c r="J17" s="3">
        <f t="shared" si="14"/>
        <v>-3.3319567660505811E-2</v>
      </c>
      <c r="K17" s="3">
        <f t="shared" si="14"/>
        <v>-0.15990105312058134</v>
      </c>
      <c r="L17" s="3">
        <f t="shared" si="14"/>
        <v>-0.26161009925029788</v>
      </c>
      <c r="M17" s="3">
        <f t="shared" si="14"/>
        <v>-0.25952345984736613</v>
      </c>
      <c r="N17" s="3">
        <f t="shared" si="14"/>
        <v>-0.19587513846314186</v>
      </c>
      <c r="O17" s="3">
        <f t="shared" si="14"/>
        <v>-0.12256294107740318</v>
      </c>
      <c r="P17" s="3">
        <f t="shared" si="14"/>
        <v>-6.9594903335037928E-2</v>
      </c>
      <c r="Q17" s="3">
        <f t="shared" si="14"/>
        <v>-3.7695141341664851E-2</v>
      </c>
      <c r="R17" s="3">
        <f t="shared" si="14"/>
        <v>-1.986540733994735E-2</v>
      </c>
      <c r="S17" s="3">
        <f t="shared" si="14"/>
        <v>-1.027440796482447E-2</v>
      </c>
      <c r="T17" s="3">
        <f t="shared" si="14"/>
        <v>-5.2393324920544868E-3</v>
      </c>
      <c r="U17" s="3">
        <f t="shared" si="14"/>
        <v>-2.6420144121509087E-3</v>
      </c>
      <c r="V17" s="3">
        <f t="shared" si="14"/>
        <v>-1.3201771342108036E-3</v>
      </c>
      <c r="W17" s="3">
        <f t="shared" si="14"/>
        <v>-6.5468385801546042E-4</v>
      </c>
      <c r="X17" s="3">
        <f t="shared" si="14"/>
        <v>-3.2258363595412854E-4</v>
      </c>
      <c r="Y17" s="3">
        <f>(Y15-Y14)/dh</f>
        <v>-1.5807508503625932E-4</v>
      </c>
      <c r="Z17" s="3">
        <f>(Z15-Z14)/dh</f>
        <v>-1.4944988514214845E-4</v>
      </c>
    </row>
    <row r="18" spans="1:26">
      <c r="A18" t="s">
        <v>105</v>
      </c>
      <c r="B18">
        <f>phif/phie</f>
        <v>0.43621104764924229</v>
      </c>
      <c r="F18" t="s">
        <v>33</v>
      </c>
      <c r="G18">
        <f>0</f>
        <v>0</v>
      </c>
      <c r="H18">
        <f t="shared" ref="H18:Y18" si="15">G18*EXP(-G8) - G14*G6*EXP(-G8)</f>
        <v>-4.0944847344887426E-4</v>
      </c>
      <c r="I18">
        <f t="shared" si="15"/>
        <v>-3.9708481009368742E-3</v>
      </c>
      <c r="J18">
        <f t="shared" si="15"/>
        <v>-3.3319568954820099E-2</v>
      </c>
      <c r="K18">
        <f t="shared" si="15"/>
        <v>-0.15990109967164789</v>
      </c>
      <c r="L18">
        <f t="shared" si="15"/>
        <v>-0.2616102963889399</v>
      </c>
      <c r="M18">
        <f t="shared" si="15"/>
        <v>-0.25952378433644174</v>
      </c>
      <c r="N18">
        <f t="shared" si="15"/>
        <v>-0.19587548124889165</v>
      </c>
      <c r="O18">
        <f t="shared" si="15"/>
        <v>-0.12256321684530425</v>
      </c>
      <c r="P18">
        <f t="shared" si="15"/>
        <v>-6.9595094721848161E-2</v>
      </c>
      <c r="Q18">
        <f t="shared" si="15"/>
        <v>-3.7695263850945286E-2</v>
      </c>
      <c r="R18">
        <f t="shared" si="15"/>
        <v>-1.9865481835143889E-2</v>
      </c>
      <c r="S18">
        <f t="shared" si="15"/>
        <v>-1.0274451631244113E-2</v>
      </c>
      <c r="T18">
        <f t="shared" si="15"/>
        <v>-5.2393573789502801E-3</v>
      </c>
      <c r="U18">
        <f t="shared" si="15"/>
        <v>-2.6420282827519718E-3</v>
      </c>
      <c r="V18">
        <f t="shared" si="15"/>
        <v>-1.320184725236824E-3</v>
      </c>
      <c r="W18">
        <f t="shared" si="15"/>
        <v>-6.5468794979659797E-4</v>
      </c>
      <c r="X18">
        <f t="shared" si="15"/>
        <v>-3.2258581339739232E-4</v>
      </c>
      <c r="Y18">
        <f t="shared" si="15"/>
        <v>-1.5807623108318321E-4</v>
      </c>
      <c r="Z18">
        <f>(Y18-Y14*Y6)*Y$9/oa-Y14*Y$9*Z6*sa/oa^2</f>
        <v>-1.49451113135807E-4</v>
      </c>
    </row>
    <row r="19" spans="1:26">
      <c r="D19">
        <f>B15/SUM(plambda)*favg</f>
        <v>0.14001867452237657</v>
      </c>
      <c r="F19" t="s">
        <v>34</v>
      </c>
      <c r="G19">
        <v>0</v>
      </c>
      <c r="H19">
        <f t="shared" ref="H19:Y19" si="16">G19*EXP(-G8) - G14*G7*EXP(-G8)</f>
        <v>-1.4029481130632812E-4</v>
      </c>
      <c r="I19">
        <f t="shared" si="16"/>
        <v>-5.3667384928174507E-4</v>
      </c>
      <c r="J19">
        <f t="shared" si="16"/>
        <v>-1.710780505485233E-3</v>
      </c>
      <c r="K19">
        <f t="shared" si="16"/>
        <v>-4.8932132236217127E-3</v>
      </c>
      <c r="L19">
        <f t="shared" si="16"/>
        <v>-1.2524199257314014E-2</v>
      </c>
      <c r="M19">
        <f t="shared" si="16"/>
        <v>-2.7553100248163431E-2</v>
      </c>
      <c r="N19">
        <f t="shared" si="16"/>
        <v>-4.2839561960097527E-2</v>
      </c>
      <c r="O19">
        <f t="shared" si="16"/>
        <v>-4.2820128335199437E-2</v>
      </c>
      <c r="P19">
        <f t="shared" si="16"/>
        <v>-3.1860208430475628E-2</v>
      </c>
      <c r="Q19">
        <f t="shared" si="16"/>
        <v>-2.0322349414750765E-2</v>
      </c>
      <c r="R19">
        <f t="shared" si="16"/>
        <v>-1.1921961543041568E-2</v>
      </c>
      <c r="S19">
        <f t="shared" si="16"/>
        <v>-6.6484422152850459E-3</v>
      </c>
      <c r="T19">
        <f t="shared" si="16"/>
        <v>-3.5848421327794506E-3</v>
      </c>
      <c r="U19">
        <f t="shared" si="16"/>
        <v>-1.8871605250407051E-3</v>
      </c>
      <c r="V19">
        <f t="shared" si="16"/>
        <v>-9.7578644587120224E-4</v>
      </c>
      <c r="W19">
        <f t="shared" si="16"/>
        <v>-4.9756172638792907E-4</v>
      </c>
      <c r="X19">
        <f t="shared" si="16"/>
        <v>-2.5089957425631482E-4</v>
      </c>
      <c r="Y19">
        <f t="shared" si="16"/>
        <v>-1.2537058118523105E-4</v>
      </c>
      <c r="Z19">
        <f>Y19*EXP(-Y8)/(1-EXP(-za))-Y14*Y7*EXP(-Y8)/(1-EXP(-za))-Y14*EXP(-Y8)*Z7*EXP(-za)/(1-EXP(-za))^2</f>
        <v>-1.2201029219958868E-4</v>
      </c>
    </row>
    <row r="20" spans="1:26">
      <c r="A20" t="s">
        <v>51</v>
      </c>
      <c r="B20">
        <f>ro*(reck-phie/phif)/(reck-1)</f>
        <v>0.8825028815776137</v>
      </c>
      <c r="F20" s="4" t="s">
        <v>58</v>
      </c>
      <c r="G20" s="4">
        <v>0</v>
      </c>
      <c r="H20" s="4">
        <f t="shared" ref="H20:Y21" si="17">G20*EXP(-G$8)+G$14*G6^2*EXP(-G$8)</f>
        <v>2.2633436904351736E-7</v>
      </c>
      <c r="I20" s="4">
        <f t="shared" si="17"/>
        <v>2.4716213272827643E-5</v>
      </c>
      <c r="J20" s="4">
        <f t="shared" si="17"/>
        <v>2.3252718503308373E-3</v>
      </c>
      <c r="K20" s="4">
        <f t="shared" si="17"/>
        <v>7.0146397252152479E-2</v>
      </c>
      <c r="L20" s="4">
        <f t="shared" si="17"/>
        <v>0.19263280996921275</v>
      </c>
      <c r="M20" s="4">
        <f t="shared" si="17"/>
        <v>0.21758819786868155</v>
      </c>
      <c r="N20" s="4">
        <f t="shared" si="17"/>
        <v>0.17323180033433508</v>
      </c>
      <c r="O20" s="4">
        <f t="shared" si="17"/>
        <v>0.1115418429305699</v>
      </c>
      <c r="P20" s="4">
        <f t="shared" si="17"/>
        <v>6.4474651706247221E-2</v>
      </c>
      <c r="Q20" s="4">
        <f t="shared" si="17"/>
        <v>3.5348524912723937E-2</v>
      </c>
      <c r="R20" s="4">
        <f t="shared" si="17"/>
        <v>1.8793644757221752E-2</v>
      </c>
      <c r="S20" s="4">
        <f t="shared" si="17"/>
        <v>9.7853148422669262E-3</v>
      </c>
      <c r="T20" s="4">
        <f t="shared" si="17"/>
        <v>5.0161827847563217E-3</v>
      </c>
      <c r="U20" s="4">
        <f t="shared" si="17"/>
        <v>2.5402070656080911E-3</v>
      </c>
      <c r="V20" s="4">
        <f t="shared" si="17"/>
        <v>1.2737303304733954E-3</v>
      </c>
      <c r="W20" s="4">
        <f t="shared" si="17"/>
        <v>6.334938913381018E-4</v>
      </c>
      <c r="X20" s="4">
        <f t="shared" si="17"/>
        <v>3.1291637698121073E-4</v>
      </c>
      <c r="Y20" s="4">
        <f t="shared" si="17"/>
        <v>1.5366471235739646E-4</v>
      </c>
      <c r="Z20" s="4">
        <f>Y20*Y9/oa+2*Y$14*(Y6)*Y$9*sa/oa^2 + 2*Y$14*Y$9*Z6^2*sa^2/oa^3 +Y$14*Y$9*Z6^2*sa/oa^2</f>
        <v>1.6482991923304579E-4</v>
      </c>
    </row>
    <row r="21" spans="1:26">
      <c r="A21" t="s">
        <v>37</v>
      </c>
      <c r="B21">
        <f>SUMPRODUCT(lx,fa)</f>
        <v>0.53468880128210072</v>
      </c>
      <c r="F21" s="4" t="s">
        <v>59</v>
      </c>
      <c r="G21" s="4">
        <v>0</v>
      </c>
      <c r="H21" s="4">
        <f t="shared" si="17"/>
        <v>2.6572671149251464E-8</v>
      </c>
      <c r="I21" s="4">
        <f t="shared" si="17"/>
        <v>3.6157215997510557E-7</v>
      </c>
      <c r="J21" s="4">
        <f t="shared" si="17"/>
        <v>4.5981624543069976E-6</v>
      </c>
      <c r="K21" s="4">
        <f t="shared" si="17"/>
        <v>5.3693389258673101E-5</v>
      </c>
      <c r="L21" s="4">
        <f t="shared" si="17"/>
        <v>5.459998510426641E-4</v>
      </c>
      <c r="M21" s="4">
        <f t="shared" si="17"/>
        <v>4.2053158072320037E-3</v>
      </c>
      <c r="N21" s="4">
        <f t="shared" si="17"/>
        <v>1.6258721778855855E-2</v>
      </c>
      <c r="O21" s="4">
        <f t="shared" si="17"/>
        <v>2.5636378992428051E-2</v>
      </c>
      <c r="P21" s="4">
        <f t="shared" si="17"/>
        <v>2.3226908471580536E-2</v>
      </c>
      <c r="Q21" s="4">
        <f t="shared" si="17"/>
        <v>1.6287975933368466E-2</v>
      </c>
      <c r="R21" s="4">
        <f t="shared" si="17"/>
        <v>1.0070643783910722E-2</v>
      </c>
      <c r="S21" s="4">
        <f t="shared" si="17"/>
        <v>5.8026325485398137E-3</v>
      </c>
      <c r="T21" s="4">
        <f t="shared" si="17"/>
        <v>3.1988267708210959E-3</v>
      </c>
      <c r="U21" s="4">
        <f t="shared" si="17"/>
        <v>1.7110333839950487E-3</v>
      </c>
      <c r="V21" s="4">
        <f t="shared" si="17"/>
        <v>8.9542984492628106E-4</v>
      </c>
      <c r="W21" s="4">
        <f t="shared" si="17"/>
        <v>4.6090020382061851E-4</v>
      </c>
      <c r="X21" s="4">
        <f t="shared" si="17"/>
        <v>2.3417334985054974E-4</v>
      </c>
      <c r="Y21" s="4">
        <f t="shared" si="17"/>
        <v>1.1773951927139367E-4</v>
      </c>
      <c r="Z21" s="4">
        <f>Y21*EXP(-Y$8)/oa+2*Y$14*(Y7)*Y$9*sa/oa^2 + 2*Y$14*Y$9*Z7^2*sa^2/oa^3 +Y$14*Y$9*Z7^2*sa/oa^2</f>
        <v>1.3468782424144705E-4</v>
      </c>
    </row>
    <row r="22" spans="1:26">
      <c r="A22" t="s">
        <v>38</v>
      </c>
      <c r="B22">
        <f>SUMPRODUCT(lz,fa)</f>
        <v>0.23323716217358267</v>
      </c>
      <c r="F22" t="s">
        <v>44</v>
      </c>
      <c r="G22">
        <f>G11*G18+lz*wa*G6/za*(EXP(-za)-(1-EXP(-za))/za)</f>
        <v>-1.3511181384957917E-6</v>
      </c>
      <c r="H22">
        <f>H11*H18+lz*wa*H6/za*(EXP(-za)-(1-EXP(-za))/za)</f>
        <v>-7.2927960063717248E-5</v>
      </c>
      <c r="I22">
        <f t="shared" ref="I22:Z22" si="18">I11*I18+lz*wa*I6/za*(EXP(-za)-(1-EXP(-za))/za)</f>
        <v>-1.578157152511432E-3</v>
      </c>
      <c r="J22">
        <f t="shared" si="18"/>
        <v>-1.5360713876210614E-2</v>
      </c>
      <c r="K22">
        <f t="shared" si="18"/>
        <v>-5.3687381496598435E-2</v>
      </c>
      <c r="L22">
        <f t="shared" si="18"/>
        <v>-9.0365670577412543E-2</v>
      </c>
      <c r="M22">
        <f t="shared" si="18"/>
        <v>-9.7607760879297484E-2</v>
      </c>
      <c r="N22">
        <f t="shared" si="18"/>
        <v>-7.9907179024332378E-2</v>
      </c>
      <c r="O22">
        <f t="shared" si="18"/>
        <v>-5.4612974247156977E-2</v>
      </c>
      <c r="P22">
        <f t="shared" si="18"/>
        <v>-3.3710472795530168E-2</v>
      </c>
      <c r="Q22">
        <f t="shared" si="18"/>
        <v>-1.9603083983601798E-2</v>
      </c>
      <c r="R22">
        <f t="shared" si="18"/>
        <v>-1.0950327086575441E-2</v>
      </c>
      <c r="S22">
        <f t="shared" si="18"/>
        <v>-5.937289577001491E-3</v>
      </c>
      <c r="T22">
        <f t="shared" si="18"/>
        <v>-3.1454148877376634E-3</v>
      </c>
      <c r="U22">
        <f t="shared" si="18"/>
        <v>-1.6357684050097054E-3</v>
      </c>
      <c r="V22">
        <f t="shared" si="18"/>
        <v>-8.3797055951023464E-4</v>
      </c>
      <c r="W22">
        <f t="shared" si="18"/>
        <v>-4.2399126625217111E-4</v>
      </c>
      <c r="X22">
        <f t="shared" si="18"/>
        <v>-2.1233055957585722E-4</v>
      </c>
      <c r="Y22">
        <f t="shared" si="18"/>
        <v>-1.0541801257807438E-4</v>
      </c>
      <c r="Z22">
        <f t="shared" si="18"/>
        <v>-1.0058044636894916E-4</v>
      </c>
    </row>
    <row r="23" spans="1:26">
      <c r="A23" t="s">
        <v>49</v>
      </c>
      <c r="B23" s="12">
        <f>B6</f>
        <v>0.15065618515385529</v>
      </c>
      <c r="C23" s="12">
        <f>B7</f>
        <v>0.33409487852969805</v>
      </c>
      <c r="D23" s="12">
        <f>AVERAGE(f)</f>
        <v>0.24237553184177668</v>
      </c>
      <c r="F23" t="s">
        <v>45</v>
      </c>
      <c r="G23">
        <f t="shared" ref="G23:Z23" si="19">G12*G19+lz*wa*G7/za*(EXP(-za)-(1-EXP(-za))/za)</f>
        <v>-4.6295169376542603E-7</v>
      </c>
      <c r="H23">
        <f t="shared" si="19"/>
        <v>-8.6001154318897317E-6</v>
      </c>
      <c r="I23">
        <f t="shared" si="19"/>
        <v>-6.7506058215976135E-5</v>
      </c>
      <c r="J23">
        <f t="shared" si="19"/>
        <v>-3.5748017116075183E-4</v>
      </c>
      <c r="K23">
        <f t="shared" si="19"/>
        <v>-1.4487342278940664E-3</v>
      </c>
      <c r="L23">
        <f t="shared" si="19"/>
        <v>-4.7401190860549948E-3</v>
      </c>
      <c r="M23">
        <f t="shared" si="19"/>
        <v>-1.182663234461216E-2</v>
      </c>
      <c r="N23">
        <f t="shared" si="19"/>
        <v>-1.9728503286350271E-2</v>
      </c>
      <c r="O23">
        <f t="shared" si="19"/>
        <v>-2.101673885604351E-2</v>
      </c>
      <c r="P23">
        <f t="shared" si="19"/>
        <v>-1.6546200272710591E-2</v>
      </c>
      <c r="Q23">
        <f t="shared" si="19"/>
        <v>-1.1098982398882634E-2</v>
      </c>
      <c r="R23">
        <f t="shared" si="19"/>
        <v>-6.8064799061637741E-3</v>
      </c>
      <c r="S23">
        <f t="shared" si="19"/>
        <v>-3.9432566623867253E-3</v>
      </c>
      <c r="T23">
        <f t="shared" si="19"/>
        <v>-2.1955534938998427E-3</v>
      </c>
      <c r="U23">
        <f t="shared" si="19"/>
        <v>-1.1869944986057025E-3</v>
      </c>
      <c r="V23">
        <f t="shared" si="19"/>
        <v>-6.2733868898574244E-4</v>
      </c>
      <c r="W23">
        <f t="shared" si="19"/>
        <v>-3.256565795888743E-4</v>
      </c>
      <c r="X23">
        <f t="shared" si="19"/>
        <v>-1.6661945225924683E-4</v>
      </c>
      <c r="Y23">
        <f t="shared" si="19"/>
        <v>-8.4242881579632981E-5</v>
      </c>
      <c r="Z23">
        <f t="shared" si="19"/>
        <v>-8.2592008050196101E-5</v>
      </c>
    </row>
    <row r="24" spans="1:26">
      <c r="A24" t="s">
        <v>48</v>
      </c>
      <c r="B24">
        <f>SUMPRODUCT(fa,G18:Z18)</f>
        <v>-0.51502776536788508</v>
      </c>
      <c r="C24">
        <f>SUMPRODUCT(fa,G19:Z19)</f>
        <v>-0.11945776732550731</v>
      </c>
      <c r="F24" s="4" t="s">
        <v>62</v>
      </c>
      <c r="G24" s="4">
        <f t="shared" ref="G24:Z24" si="20">G20*G11+2*G18*wa*G6^2*sa/za - 2*G18*wa*G6^2*oa/za^2-lz*wa*G6^3*sa/za -2*lz*wa*G6^3*sa/za^2+2*lz*wa*G6^3*oa/za^3</f>
        <v>2.6821726339242194E-13</v>
      </c>
      <c r="H24" s="4">
        <f t="shared" si="20"/>
        <v>2.7054801698344644E-9</v>
      </c>
      <c r="I24" s="4">
        <f t="shared" si="20"/>
        <v>7.6613106621488446E-6</v>
      </c>
      <c r="J24" s="4">
        <f t="shared" si="20"/>
        <v>3.3495579676260656E-3</v>
      </c>
      <c r="K24" s="4">
        <f t="shared" si="20"/>
        <v>5.1701872556753237E-2</v>
      </c>
      <c r="L24" s="4">
        <f t="shared" si="20"/>
        <v>0.12726354713685267</v>
      </c>
      <c r="M24" s="4">
        <f t="shared" si="20"/>
        <v>0.152992216379739</v>
      </c>
      <c r="N24" s="4">
        <f t="shared" si="20"/>
        <v>0.13087660164045284</v>
      </c>
      <c r="O24" s="4">
        <f t="shared" si="20"/>
        <v>9.1792781299123008E-2</v>
      </c>
      <c r="P24" s="4">
        <f t="shared" si="20"/>
        <v>5.7690283401306497E-2</v>
      </c>
      <c r="Q24" s="4">
        <f t="shared" si="20"/>
        <v>3.399007070416693E-2</v>
      </c>
      <c r="R24" s="4">
        <f t="shared" si="20"/>
        <v>1.9174378479700237E-2</v>
      </c>
      <c r="S24" s="4">
        <f t="shared" si="20"/>
        <v>1.0475645470852521E-2</v>
      </c>
      <c r="T24" s="4">
        <f t="shared" si="20"/>
        <v>5.5832996393482166E-3</v>
      </c>
      <c r="U24" s="4">
        <f t="shared" si="20"/>
        <v>2.9178656477467416E-3</v>
      </c>
      <c r="V24" s="4">
        <f t="shared" si="20"/>
        <v>1.5008525045913182E-3</v>
      </c>
      <c r="W24" s="4">
        <f t="shared" si="20"/>
        <v>7.6199724942865778E-4</v>
      </c>
      <c r="X24" s="4">
        <f t="shared" si="20"/>
        <v>3.8271789065956268E-4</v>
      </c>
      <c r="Y24" s="4">
        <f t="shared" si="20"/>
        <v>1.9049247582256413E-4</v>
      </c>
      <c r="Z24" s="4">
        <f t="shared" si="20"/>
        <v>1.9495896930863806E-4</v>
      </c>
    </row>
    <row r="25" spans="1:26">
      <c r="A25" t="s">
        <v>64</v>
      </c>
      <c r="B25">
        <f>SUMPRODUCT(fa,G20:Z20)</f>
        <v>0.4264799489722903</v>
      </c>
      <c r="C25">
        <f>SUMPRODUCT(fa,G21:Z21)</f>
        <v>6.9591379091908587E-2</v>
      </c>
      <c r="F25" s="4" t="s">
        <v>63</v>
      </c>
      <c r="G25" s="4">
        <f t="shared" ref="G25:Z25" si="21">G21*G12+2*G19*wa*G7^2*sa/za - 2*G19*wa*G7^2*oa/za^2-lz*wa*G7^3*sa/za -2*lz*wa*G7^3*sa/za^2+2*lz*wa*G7^3*oa/za^3</f>
        <v>1.0789809726545387E-14</v>
      </c>
      <c r="H25" s="4">
        <f t="shared" si="21"/>
        <v>6.7056401670117841E-12</v>
      </c>
      <c r="I25" s="4">
        <f t="shared" si="21"/>
        <v>1.0000802947233353E-9</v>
      </c>
      <c r="J25" s="4">
        <f t="shared" si="21"/>
        <v>9.1840200617820159E-8</v>
      </c>
      <c r="K25" s="4">
        <f t="shared" si="21"/>
        <v>5.9303780353021376E-6</v>
      </c>
      <c r="L25" s="4">
        <f t="shared" si="21"/>
        <v>2.3987777856202637E-4</v>
      </c>
      <c r="M25" s="4">
        <f t="shared" si="21"/>
        <v>3.8160335409770582E-3</v>
      </c>
      <c r="N25" s="4">
        <f t="shared" si="21"/>
        <v>1.6582203422608747E-2</v>
      </c>
      <c r="O25" s="4">
        <f t="shared" si="21"/>
        <v>2.5975328547785163E-2</v>
      </c>
      <c r="P25" s="4">
        <f t="shared" si="21"/>
        <v>2.3881571345212453E-2</v>
      </c>
      <c r="Q25" s="4">
        <f t="shared" si="21"/>
        <v>1.7237086298223833E-2</v>
      </c>
      <c r="R25" s="4">
        <f t="shared" si="21"/>
        <v>1.1013405844412155E-2</v>
      </c>
      <c r="S25" s="4">
        <f t="shared" si="21"/>
        <v>6.549140457761022E-3</v>
      </c>
      <c r="T25" s="4">
        <f t="shared" si="21"/>
        <v>3.7130032300959712E-3</v>
      </c>
      <c r="U25" s="4">
        <f t="shared" si="21"/>
        <v>2.0342362115571429E-3</v>
      </c>
      <c r="V25" s="4">
        <f t="shared" si="21"/>
        <v>1.086123542496265E-3</v>
      </c>
      <c r="W25" s="4">
        <f t="shared" si="21"/>
        <v>5.6837897046701526E-4</v>
      </c>
      <c r="X25" s="4">
        <f t="shared" si="21"/>
        <v>2.9271402284852051E-4</v>
      </c>
      <c r="Y25" s="4">
        <f t="shared" si="21"/>
        <v>1.4879925114969671E-4</v>
      </c>
      <c r="Z25" s="4">
        <f t="shared" si="21"/>
        <v>1.5954025185066796E-4</v>
      </c>
    </row>
    <row r="26" spans="1:26">
      <c r="A26" t="s">
        <v>41</v>
      </c>
      <c r="B26">
        <f>SUMPRODUCT(lz*G11:Z11)</f>
        <v>0.20423685689750617</v>
      </c>
      <c r="C26">
        <f>SUMPRODUCT(lz*G12:Z12)</f>
        <v>6.7325912352477438E-2</v>
      </c>
      <c r="G26">
        <f>G20*G11+2*G18*wa*G6^2*sa/za-2*G18*wa*G6^2*oa/za^2-lz*wa*G6^3*sa/za-2*lz*wa*G6^3*sa/za^2+2*lz*wa*G6^3*oa/za^3</f>
        <v>2.6821726339242194E-13</v>
      </c>
    </row>
    <row r="27" spans="1:26">
      <c r="A27" t="s">
        <v>43</v>
      </c>
      <c r="B27">
        <f>SUM(G22:Z22)</f>
        <v>-0.46985676391146369</v>
      </c>
      <c r="C27">
        <f>SUM(G23:Z23)</f>
        <v>-0.10225869394057033</v>
      </c>
      <c r="G27">
        <f t="shared" ref="G27:Z27" si="22">(G15-2*G14+G16)/dh^2</f>
        <v>0</v>
      </c>
      <c r="H27">
        <f t="shared" si="22"/>
        <v>0</v>
      </c>
      <c r="I27">
        <f t="shared" si="22"/>
        <v>-2.2204460492503131E-4</v>
      </c>
      <c r="J27">
        <f t="shared" si="22"/>
        <v>2.55351295663786E-3</v>
      </c>
      <c r="K27">
        <f t="shared" si="22"/>
        <v>9.3147711766050634E-2</v>
      </c>
      <c r="L27">
        <f t="shared" si="22"/>
        <v>0.39429570719562435</v>
      </c>
      <c r="M27">
        <f t="shared" si="22"/>
        <v>0.64898086904463526</v>
      </c>
      <c r="N27">
        <f t="shared" si="22"/>
        <v>0.68557659549384198</v>
      </c>
      <c r="O27">
        <f t="shared" si="22"/>
        <v>0.55153798195206605</v>
      </c>
      <c r="P27">
        <f t="shared" si="22"/>
        <v>0.38277367386818639</v>
      </c>
      <c r="Q27">
        <f t="shared" si="22"/>
        <v>0.24501841527913015</v>
      </c>
      <c r="R27">
        <f t="shared" si="22"/>
        <v>0.14899062886208903</v>
      </c>
      <c r="S27">
        <f t="shared" si="22"/>
        <v>8.7332918674576376E-2</v>
      </c>
      <c r="T27">
        <f t="shared" si="22"/>
        <v>4.9773878595116283E-2</v>
      </c>
      <c r="U27">
        <f t="shared" si="22"/>
        <v>2.7741264146952105E-2</v>
      </c>
      <c r="V27">
        <f t="shared" si="22"/>
        <v>1.5182096573841675E-2</v>
      </c>
      <c r="W27">
        <f t="shared" si="22"/>
        <v>8.1835918792384776E-3</v>
      </c>
      <c r="X27">
        <f t="shared" si="22"/>
        <v>4.3549047018271586E-3</v>
      </c>
      <c r="Y27">
        <f t="shared" si="22"/>
        <v>2.2921033425221324E-3</v>
      </c>
      <c r="Z27">
        <f t="shared" si="22"/>
        <v>2.455999135618156E-3</v>
      </c>
    </row>
    <row r="28" spans="1:26">
      <c r="A28" t="s">
        <v>56</v>
      </c>
      <c r="B28">
        <f>SUM(G24:Z24)</f>
        <v>0.69084680342988924</v>
      </c>
      <c r="C28">
        <f>SUM(G25:Z25)</f>
        <v>0.11330346594104038</v>
      </c>
      <c r="F28" t="s">
        <v>30</v>
      </c>
      <c r="G28" t="s">
        <v>50</v>
      </c>
      <c r="H28" t="s">
        <v>55</v>
      </c>
    </row>
    <row r="29" spans="1:26">
      <c r="A29" t="s">
        <v>46</v>
      </c>
      <c r="B29">
        <f>ro/(reck-1)*phie/phif^2*dphif</f>
        <v>-0.46019675115451858</v>
      </c>
      <c r="C29">
        <f>ro/(reck-1)*phie/phif^2*dphif</f>
        <v>-0.10674002475206905</v>
      </c>
      <c r="F29">
        <v>0</v>
      </c>
      <c r="G29">
        <f>B32</f>
        <v>2.715421276978721E-2</v>
      </c>
      <c r="H29">
        <f>B33</f>
        <v>0.10360999040581431</v>
      </c>
    </row>
    <row r="30" spans="1:26">
      <c r="A30" t="s">
        <v>57</v>
      </c>
      <c r="B30">
        <f>-2*ro*phie*dphif^2/(phif^3*(reck-1)) + ro*phie*ddphif/(phif^2*(reck-1))</f>
        <v>-1.6513112046248832</v>
      </c>
      <c r="C30">
        <f>-2*ro*phie*dphif^2/(phif^3*(reck-1)) + ro*phie*ddphif/(phif^2*(reck-1))</f>
        <v>-4.715618412225038E-2</v>
      </c>
      <c r="F30">
        <v>0.2</v>
      </c>
      <c r="G30">
        <f t="dataTable" ref="G30:H56" dt2D="0" dtr="0" r1="B6"/>
        <v>3.152248770411277E-2</v>
      </c>
      <c r="H30">
        <v>7.1866219987264196E-2</v>
      </c>
      <c r="Z30" s="4">
        <f>Y30*EXP(-Y$8)/oa+Y$14*(Y16)^2*Y$9/oa + 2*Y$14*Y16*Y$9*Z16*sa/oa^2 + 2*Y$14*Y$9*Z16^2*sa/oa^3 + Y$14*Y$9*Z16^2*sa/oa^2</f>
        <v>5.6215968314282171E-15</v>
      </c>
    </row>
    <row r="31" spans="1:26">
      <c r="F31">
        <v>0.20499999999999999</v>
      </c>
      <c r="G31">
        <v>3.1883315259484069E-2</v>
      </c>
      <c r="H31">
        <v>6.9098924879337276E-2</v>
      </c>
    </row>
    <row r="32" spans="1:26">
      <c r="A32" t="s">
        <v>50</v>
      </c>
      <c r="B32">
        <f>f*re*phiq</f>
        <v>2.715421276978721E-2</v>
      </c>
      <c r="C32">
        <f>f*re*phiq</f>
        <v>1.9850351330483129E-2</v>
      </c>
      <c r="D32">
        <f>SUM(Ye)</f>
        <v>4.7004564100270339E-2</v>
      </c>
      <c r="F32">
        <v>0.21</v>
      </c>
      <c r="G32">
        <v>3.223065137985761E-2</v>
      </c>
      <c r="H32">
        <v>6.6404356994351682E-2</v>
      </c>
    </row>
    <row r="33" spans="1:8">
      <c r="A33" t="s">
        <v>53</v>
      </c>
      <c r="B33">
        <f>re*phiq+f*phiq*dre+f*re*dphiq</f>
        <v>0.10360999040581431</v>
      </c>
      <c r="C33">
        <f>re*phiq+f*phiq*dre+f*re*dphiq</f>
        <v>2.6864460463357703E-2</v>
      </c>
      <c r="D33">
        <f>SUM(dYe)</f>
        <v>0.130474450869172</v>
      </c>
      <c r="F33">
        <v>0.215</v>
      </c>
      <c r="G33">
        <v>3.2564851972937667E-2</v>
      </c>
      <c r="H33">
        <v>6.3780283433307772E-2</v>
      </c>
    </row>
    <row r="34" spans="1:8">
      <c r="F34">
        <v>0.22</v>
      </c>
      <c r="G34">
        <v>3.2886261986217899E-2</v>
      </c>
      <c r="H34">
        <v>6.1224549318421251E-2</v>
      </c>
    </row>
    <row r="35" spans="1:8">
      <c r="F35">
        <v>0.22500000000000001</v>
      </c>
      <c r="G35">
        <v>3.3195215789292812E-2</v>
      </c>
      <c r="H35">
        <v>5.8735074710341187E-2</v>
      </c>
    </row>
    <row r="36" spans="1:8">
      <c r="A36" t="s">
        <v>9</v>
      </c>
      <c r="B36">
        <f>2*dre*phiq+2*re*dphiq+f*ddre*phiq+2*f*dre*dphiq+f*re*ddphiq</f>
        <v>-0.91108532817911136</v>
      </c>
      <c r="C36">
        <f>f*B30*phiq+2*f*B29*B27+f*re*B28</f>
        <v>0.31102608616226324</v>
      </c>
      <c r="D36">
        <f>B38+C39</f>
        <v>7.8311300171673093</v>
      </c>
      <c r="F36">
        <v>0.23</v>
      </c>
      <c r="G36">
        <v>3.349203754109923E-2</v>
      </c>
      <c r="H36">
        <v>5.6309851661869581E-2</v>
      </c>
    </row>
    <row r="37" spans="1:8">
      <c r="B37">
        <f>f*C30*phiq+2*f*C29*C27+f*re*C28</f>
        <v>1.6902086588449636E-2</v>
      </c>
      <c r="C37">
        <f>2*dre*phiq+2*re*dphiq+f*ddre*phiq+2*f*dre*dphiq+f*re*ddphiq</f>
        <v>-0.15522090458320659</v>
      </c>
      <c r="F37">
        <v>0.23499999999999999</v>
      </c>
      <c r="G37">
        <v>3.377704154275344E-2</v>
      </c>
      <c r="H37">
        <v>5.3946941401469842E-2</v>
      </c>
    </row>
    <row r="38" spans="1:8">
      <c r="A38" t="s">
        <v>10</v>
      </c>
      <c r="B38">
        <f t="array" ref="B38:C39">-MINVERSE(B36:C37)</f>
        <v>1.1399680953045332</v>
      </c>
      <c r="C38">
        <v>2.2842272178768042</v>
      </c>
      <c r="F38">
        <v>0.24</v>
      </c>
      <c r="G38">
        <v>3.4050532576616485E-2</v>
      </c>
      <c r="H38">
        <v>5.1644471640215406E-2</v>
      </c>
    </row>
    <row r="39" spans="1:8">
      <c r="B39">
        <v>0.12413173023726744</v>
      </c>
      <c r="C39">
        <v>6.6911619218627756</v>
      </c>
      <c r="F39">
        <v>0.245</v>
      </c>
      <c r="G39">
        <v>3.4312806232190192E-2</v>
      </c>
      <c r="H39">
        <v>4.9400633996171783E-2</v>
      </c>
    </row>
    <row r="40" spans="1:8">
      <c r="F40">
        <v>0.25</v>
      </c>
      <c r="G40">
        <v>3.4564149219416543E-2</v>
      </c>
      <c r="H40">
        <v>4.7213681530527685E-2</v>
      </c>
    </row>
    <row r="41" spans="1:8">
      <c r="A41" t="s">
        <v>65</v>
      </c>
      <c r="B41">
        <f t="array" ref="B41:C41">MMULT(B33:C33,B38:C39)</f>
        <v>0.12144681537664435</v>
      </c>
      <c r="C41">
        <v>0.41642321503272267</v>
      </c>
      <c r="D41">
        <f>D33/D36</f>
        <v>1.6660999189535543E-2</v>
      </c>
      <c r="F41">
        <v>0.255</v>
      </c>
      <c r="G41">
        <v>3.4804839669925348E-2</v>
      </c>
      <c r="H41">
        <v>4.5081926390090968E-2</v>
      </c>
    </row>
    <row r="42" spans="1:8">
      <c r="A42" s="5" t="s">
        <v>54</v>
      </c>
      <c r="B42" s="5">
        <f>(f+dta)/plambda</f>
        <v>0.23550826235961603</v>
      </c>
      <c r="C42" s="5">
        <f>(f+dta)/plambda</f>
        <v>0.88859323570493409</v>
      </c>
      <c r="D42" s="12">
        <f>D23+D41</f>
        <v>0.25903653103131224</v>
      </c>
      <c r="F42">
        <v>0.26</v>
      </c>
      <c r="G42">
        <v>3.5035147426749617E-2</v>
      </c>
      <c r="H42">
        <v>4.3003737551054869E-2</v>
      </c>
    </row>
    <row r="43" spans="1:8">
      <c r="F43">
        <v>0.26500000000000001</v>
      </c>
      <c r="G43">
        <v>3.5255334323002506E-2</v>
      </c>
      <c r="H43">
        <v>4.0977538659204629E-2</v>
      </c>
    </row>
    <row r="44" spans="1:8">
      <c r="F44">
        <v>0.27</v>
      </c>
      <c r="G44">
        <v>3.5465654449986436E-2</v>
      </c>
      <c r="H44">
        <v>3.900180596198996E-2</v>
      </c>
    </row>
    <row r="45" spans="1:8">
      <c r="F45">
        <v>0.27500000000000002</v>
      </c>
      <c r="G45">
        <v>3.5666354415183128E-2</v>
      </c>
      <c r="H45">
        <v>3.7075066328128459E-2</v>
      </c>
    </row>
    <row r="46" spans="1:8">
      <c r="F46">
        <v>0.28000000000000003</v>
      </c>
      <c r="G46">
        <v>3.5857673590551628E-2</v>
      </c>
      <c r="H46">
        <v>3.5195895350627476E-2</v>
      </c>
    </row>
    <row r="47" spans="1:8">
      <c r="F47">
        <v>0.28499999999999998</v>
      </c>
      <c r="G47">
        <v>3.6039844351541339E-2</v>
      </c>
      <c r="H47">
        <v>3.3362915529326742E-2</v>
      </c>
    </row>
    <row r="48" spans="1:8">
      <c r="F48">
        <v>0.28999999999999998</v>
      </c>
      <c r="G48">
        <v>3.6213092307209087E-2</v>
      </c>
      <c r="H48">
        <v>3.1574794529264247E-2</v>
      </c>
    </row>
    <row r="49" spans="6:8">
      <c r="F49">
        <v>0.29499999999999998</v>
      </c>
      <c r="G49">
        <v>3.6377636521809441E-2</v>
      </c>
      <c r="H49">
        <v>2.9830243511356186E-2</v>
      </c>
    </row>
    <row r="50" spans="6:8">
      <c r="F50">
        <v>0.29999999999999899</v>
      </c>
      <c r="G50">
        <v>3.6533689728212512E-2</v>
      </c>
      <c r="H50">
        <v>2.8128015532060152E-2</v>
      </c>
    </row>
    <row r="51" spans="6:8">
      <c r="F51">
        <v>0.30499999999999999</v>
      </c>
      <c r="G51">
        <v>3.6681458533485492E-2</v>
      </c>
      <c r="H51">
        <v>2.6466904008859593E-2</v>
      </c>
    </row>
    <row r="52" spans="6:8">
      <c r="F52">
        <v>0.309999999999999</v>
      </c>
      <c r="G52">
        <v>3.6821143616959554E-2</v>
      </c>
      <c r="H52">
        <v>2.4845741248573805E-2</v>
      </c>
    </row>
    <row r="53" spans="6:8">
      <c r="F53">
        <v>0.314999999999999</v>
      </c>
      <c r="G53">
        <v>3.6952939921089605E-2</v>
      </c>
      <c r="H53">
        <v>2.3263397035627686E-2</v>
      </c>
    </row>
    <row r="54" spans="6:8">
      <c r="F54">
        <v>0.31999999999999901</v>
      </c>
      <c r="G54">
        <v>3.7077036835398938E-2</v>
      </c>
      <c r="H54">
        <v>2.1718777277590154E-2</v>
      </c>
    </row>
    <row r="55" spans="6:8">
      <c r="F55">
        <v>0.32499999999999901</v>
      </c>
      <c r="G55">
        <v>3.7193618373789455E-2</v>
      </c>
      <c r="H55">
        <v>2.0210822705392026E-2</v>
      </c>
    </row>
    <row r="56" spans="6:8">
      <c r="F56">
        <v>0.32999999999999902</v>
      </c>
      <c r="G56">
        <v>3.7302863345484411E-2</v>
      </c>
      <c r="H56">
        <v>1.8738507625784023E-2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topLeftCell="A2" zoomScale="125" zoomScaleNormal="125" zoomScalePageLayoutView="125" workbookViewId="0">
      <selection activeCell="H11" sqref="H11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0.32764970705508473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0.20479165085124004</v>
      </c>
      <c r="C13">
        <f>fbar*C12</f>
        <v>0.31328141121138442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0.68726691756658831</v>
      </c>
      <c r="I15">
        <f t="shared" si="12"/>
        <v>0.45726908641813713</v>
      </c>
      <c r="J15">
        <f t="shared" si="12"/>
        <v>0.29218621493281349</v>
      </c>
      <c r="K15">
        <f t="shared" si="12"/>
        <v>0.17835443972856463</v>
      </c>
      <c r="L15">
        <f t="shared" si="12"/>
        <v>0.10393164899106624</v>
      </c>
      <c r="M15">
        <f t="shared" si="12"/>
        <v>5.8049552102631484E-2</v>
      </c>
      <c r="N15">
        <f t="shared" si="12"/>
        <v>3.1293767451919391E-2</v>
      </c>
      <c r="O15">
        <f t="shared" si="12"/>
        <v>1.6407382574372891E-2</v>
      </c>
      <c r="P15">
        <f t="shared" si="12"/>
        <v>8.4235160093828459E-3</v>
      </c>
      <c r="Q15">
        <f t="shared" si="12"/>
        <v>4.2576201281639744E-3</v>
      </c>
      <c r="R15">
        <f t="shared" si="12"/>
        <v>2.1272804987541938E-3</v>
      </c>
      <c r="S15">
        <f t="shared" si="12"/>
        <v>1.0538182629088368E-3</v>
      </c>
      <c r="T15">
        <f t="shared" si="12"/>
        <v>5.1873145220235404E-4</v>
      </c>
      <c r="U15">
        <f t="shared" si="12"/>
        <v>2.5413098216233018E-4</v>
      </c>
      <c r="V15">
        <f t="shared" si="12"/>
        <v>1.240599587639938E-4</v>
      </c>
      <c r="W15">
        <f t="shared" si="12"/>
        <v>6.0402194452163229E-5</v>
      </c>
      <c r="X15">
        <f t="shared" si="12"/>
        <v>2.9350187003562092E-5</v>
      </c>
      <c r="Y15">
        <f t="shared" si="12"/>
        <v>1.4240429705305945E-5</v>
      </c>
      <c r="Z15">
        <f>Y15*EXP(-m-SUMPRODUCT(Y$6:Y$7,$C$6:$C$7))/(1-EXP(-m-SUMPRODUCT(C$6:C$7,Z6:Z7)))</f>
        <v>1.3381657128290662E-5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-2914.2531762069821</v>
      </c>
      <c r="I17" s="3">
        <f t="shared" si="14"/>
        <v>-4948.4864051968607</v>
      </c>
      <c r="J17" s="3">
        <f t="shared" si="14"/>
        <v>-6068.1025539160373</v>
      </c>
      <c r="K17" s="3">
        <f t="shared" si="14"/>
        <v>-6300.7645393474031</v>
      </c>
      <c r="L17" s="3">
        <f t="shared" si="14"/>
        <v>-5812.7530700703919</v>
      </c>
      <c r="M17" s="3">
        <f t="shared" si="14"/>
        <v>-4885.6494231632269</v>
      </c>
      <c r="N17" s="3">
        <f t="shared" si="14"/>
        <v>-3812.7476498690053</v>
      </c>
      <c r="O17" s="3">
        <f t="shared" si="14"/>
        <v>-2807.167944309932</v>
      </c>
      <c r="P17" s="3">
        <f t="shared" si="14"/>
        <v>-1975.8811726530605</v>
      </c>
      <c r="Q17" s="3">
        <f t="shared" si="14"/>
        <v>-1343.648173184785</v>
      </c>
      <c r="R17" s="3">
        <f t="shared" si="14"/>
        <v>-889.96686154889744</v>
      </c>
      <c r="S17" s="3">
        <f t="shared" si="14"/>
        <v>-577.7194568054673</v>
      </c>
      <c r="T17" s="3">
        <f t="shared" si="14"/>
        <v>-369.28259764784252</v>
      </c>
      <c r="U17" s="3">
        <f t="shared" si="14"/>
        <v>-233.2670315229357</v>
      </c>
      <c r="V17" s="3">
        <f t="shared" si="14"/>
        <v>-146.01097210978742</v>
      </c>
      <c r="W17" s="3">
        <f t="shared" si="14"/>
        <v>-90.753088490662364</v>
      </c>
      <c r="X17" s="3">
        <f t="shared" si="14"/>
        <v>-56.101682445943837</v>
      </c>
      <c r="Y17" s="3">
        <f>(Y15-Y14)/dh</f>
        <v>-34.535258134238894</v>
      </c>
      <c r="Z17" s="3">
        <f t="shared" si="14"/>
        <v>-54.478216933976242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-3453015.7456351742</v>
      </c>
      <c r="Z27">
        <f>(Z15-2*Z14+Z16)/dh^2</f>
        <v>-5446887.6106770085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Allocation(2)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2014-03-11T20:02:04Z</dcterms:modified>
</cp:coreProperties>
</file>