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-20" yWindow="-20" windowWidth="51260" windowHeight="27580" tabRatio="500" activeTab="1"/>
  </bookViews>
  <sheets>
    <sheet name="Sheet1" sheetId="1" r:id="rId1"/>
    <sheet name="Sheet2" sheetId="2" r:id="rId2"/>
    <sheet name="Allocation" sheetId="3" r:id="rId3"/>
    <sheet name="SingleFleet" sheetId="4" r:id="rId4"/>
    <sheet name="Sheet5" sheetId="5" r:id="rId5"/>
    <sheet name="FlakLake" sheetId="6" r:id="rId6"/>
  </sheets>
  <definedNames>
    <definedName name="age" localSheetId="5">FlakLake!$F$1:$L$1</definedName>
    <definedName name="age" localSheetId="4">Sheet5!$G$1:$M$1</definedName>
    <definedName name="age">SingleFleet!$F$1:$L$1</definedName>
    <definedName name="ah" localSheetId="2">Allocation!$E$6:$E$7</definedName>
    <definedName name="ah">Sheet2!$E$6:$E$7</definedName>
    <definedName name="ak">Allocation!$B$9:$C$9</definedName>
    <definedName name="B">Sheet1!$B$1</definedName>
    <definedName name="beta">FlakLake!$B$15</definedName>
    <definedName name="ca">Sheet5!$G$6:$M$6</definedName>
    <definedName name="Ct">Sheet5!$B$2</definedName>
    <definedName name="ddphif" localSheetId="2">Allocation!$B$22:$C$22</definedName>
    <definedName name="ddphif">Sheet2!$B$22:$C$22</definedName>
    <definedName name="ddphiq" localSheetId="2">Allocation!$B$25:$C$25</definedName>
    <definedName name="ddphiq">Sheet2!$B$25:$C$25</definedName>
    <definedName name="ddre" localSheetId="2">Allocation!$B$27:$C$27</definedName>
    <definedName name="ddre">Sheet2!$B$27:$C$27</definedName>
    <definedName name="delta" localSheetId="2">Allocation!$B$39:$C$39</definedName>
    <definedName name="delta">Sheet2!$B$37:$C$37</definedName>
    <definedName name="dfe" localSheetId="5">FlakLake!$B$22</definedName>
    <definedName name="dfe">SingleFleet!$B$19</definedName>
    <definedName name="dh" localSheetId="2">Allocation!$B$13</definedName>
    <definedName name="dh" localSheetId="5">FlakLake!$B$6</definedName>
    <definedName name="dh" localSheetId="3">SingleFleet!$B$6</definedName>
    <definedName name="dh">Sheet2!$B$13</definedName>
    <definedName name="dlam">Allocation!$B$14:$C$14</definedName>
    <definedName name="dlw">FlakLake!$F$16:$L$16</definedName>
    <definedName name="dlz" localSheetId="5">FlakLake!$F$15:$L$15</definedName>
    <definedName name="dlz">SingleFleet!$F$13:$L$13</definedName>
    <definedName name="dphif" localSheetId="2">Allocation!$B$21:$C$21</definedName>
    <definedName name="dphif" localSheetId="5">FlakLake!$B$16</definedName>
    <definedName name="dphif" localSheetId="3">SingleFleet!$B$15</definedName>
    <definedName name="dphif">Sheet2!$B$21:$C$21</definedName>
    <definedName name="dphiq" localSheetId="2">Allocation!$B$24:$C$24</definedName>
    <definedName name="dphiq" localSheetId="5">FlakLake!$B$17</definedName>
    <definedName name="dphiq" localSheetId="3">SingleFleet!$B$16</definedName>
    <definedName name="dphiq">Sheet2!$B$24:$C$24</definedName>
    <definedName name="dqa" localSheetId="5">FlakLake!$F$20:$L$20</definedName>
    <definedName name="dqa">SingleFleet!$F$17:$L$17</definedName>
    <definedName name="dre" localSheetId="2">Allocation!$B$26:$C$26</definedName>
    <definedName name="dre" localSheetId="5">FlakLake!$B$18</definedName>
    <definedName name="dre" localSheetId="3">SingleFleet!$B$17</definedName>
    <definedName name="dre">Sheet2!$B$26:$C$26</definedName>
    <definedName name="dta" localSheetId="2">Allocation!$B$47:$C$47</definedName>
    <definedName name="dta">Sheet2!$B$45:$C$45</definedName>
    <definedName name="dye" localSheetId="5">FlakLake!$B$24</definedName>
    <definedName name="dye" localSheetId="3">SingleFleet!$B$21</definedName>
    <definedName name="dYe">Allocation!$B$30:$C$30</definedName>
    <definedName name="f" localSheetId="2">Allocation!$B$20:$C$20</definedName>
    <definedName name="f">Sheet2!$B$20:$C$20</definedName>
    <definedName name="f_1">Sheet1!$B$3</definedName>
    <definedName name="f_2">Sheet1!$B$4</definedName>
    <definedName name="fa" localSheetId="2">Allocation!$G$3:$Z$3</definedName>
    <definedName name="fa" localSheetId="5">FlakLake!$F$3:$L$3</definedName>
    <definedName name="fa" localSheetId="3">SingleFleet!$F$3:$L$3</definedName>
    <definedName name="fa">Sheet2!$G$3:$Z$3</definedName>
    <definedName name="fe" localSheetId="2">Allocation!$B$6:$B$7</definedName>
    <definedName name="fe" localSheetId="5">FlakLake!$B$4</definedName>
    <definedName name="fe" localSheetId="3">SingleFleet!$B$4</definedName>
    <definedName name="fe">Sheet2!$B$6:$B$7</definedName>
    <definedName name="feh" localSheetId="5">FlakLake!$B$7</definedName>
    <definedName name="feh">SingleFleet!$B$7</definedName>
    <definedName name="fem" localSheetId="5">FlakLake!$B$8</definedName>
    <definedName name="fem">SingleFleet!$B$8</definedName>
    <definedName name="fiter" localSheetId="2">Allocation!$B$40:$C$40</definedName>
    <definedName name="fiter">Sheet2!$B$38:$C$38</definedName>
    <definedName name="ft">Sheet5!$B$3</definedName>
    <definedName name="h" localSheetId="2">Allocation!$B$2</definedName>
    <definedName name="h" localSheetId="5">FlakLake!$B$2</definedName>
    <definedName name="h" localSheetId="3">SingleFleet!$B$2</definedName>
    <definedName name="h">Sheet2!$B$2</definedName>
    <definedName name="kappa" localSheetId="5">FlakLake!$B$5</definedName>
    <definedName name="kappa">SingleFleet!$B$5</definedName>
    <definedName name="lambda">Allocation!$B$11:$C$11</definedName>
    <definedName name="lw">FlakLake!$F$10:$L$10</definedName>
    <definedName name="lx" localSheetId="2">Allocation!$G$4:$Z$4</definedName>
    <definedName name="lx" localSheetId="5">FlakLake!$F$8:$L$8</definedName>
    <definedName name="lx" localSheetId="3">SingleFleet!$F$8:$L$8</definedName>
    <definedName name="lx">Sheet2!$G$4:$Z$4</definedName>
    <definedName name="lYe">Allocation!$B$31:$C$31</definedName>
    <definedName name="lz" localSheetId="2">Allocation!$G$14:$Z$14</definedName>
    <definedName name="lz" localSheetId="5">FlakLake!$F$9:$L$9</definedName>
    <definedName name="lz" localSheetId="3">SingleFleet!$F$9:$L$9</definedName>
    <definedName name="lz">Sheet2!$G$14:$Z$14</definedName>
    <definedName name="m" localSheetId="2">Allocation!$B$3</definedName>
    <definedName name="m" localSheetId="5">FlakLake!$B$3</definedName>
    <definedName name="m" localSheetId="1">Sheet2!$B$3</definedName>
    <definedName name="m" localSheetId="4">Sheet5!$B$1</definedName>
    <definedName name="m" localSheetId="3">SingleFleet!$B$3</definedName>
    <definedName name="M">Sheet1!$B$2</definedName>
    <definedName name="na">Sheet5!$G$3:$M$3</definedName>
    <definedName name="oa" localSheetId="2">Allocation!$G$10:$Z$10</definedName>
    <definedName name="oa" localSheetId="5">FlakLake!$F$7:$L$7</definedName>
    <definedName name="oa" localSheetId="3">SingleFleet!$F$7:$L$7</definedName>
    <definedName name="oa">Sheet2!$G$10:$Z$10</definedName>
    <definedName name="p" localSheetId="5">FlakLake!$B$25</definedName>
    <definedName name="p">SingleFleet!$B$23</definedName>
    <definedName name="phef" localSheetId="5">FlakLake!$B$11</definedName>
    <definedName name="phef">SingleFleet!$B$11</definedName>
    <definedName name="phie" localSheetId="2">Allocation!$B$18</definedName>
    <definedName name="phie" localSheetId="5">FlakLake!$B$10</definedName>
    <definedName name="phie" localSheetId="3">SingleFleet!$B$10</definedName>
    <definedName name="phie">Sheet2!$B$18</definedName>
    <definedName name="phif" localSheetId="2">Allocation!$B$19</definedName>
    <definedName name="phif" localSheetId="5">FlakLake!$B$11</definedName>
    <definedName name="phif" localSheetId="3">SingleFleet!$B$11</definedName>
    <definedName name="phif">Sheet2!$B$19</definedName>
    <definedName name="phiq" localSheetId="2">Allocation!$B$23:$C$23</definedName>
    <definedName name="phiq" localSheetId="5">FlakLake!$B$13</definedName>
    <definedName name="phiq" localSheetId="3">SingleFleet!$B$13</definedName>
    <definedName name="phiq">Sheet2!$B$23:$C$23</definedName>
    <definedName name="pk">Allocation!$B$10:$C$10</definedName>
    <definedName name="qa" localSheetId="5">FlakLake!$F$19:$L$19</definedName>
    <definedName name="qa">SingleFleet!$F$16:$L$16</definedName>
    <definedName name="re" localSheetId="2">Allocation!$B$17</definedName>
    <definedName name="re" localSheetId="5">FlakLake!$B$12</definedName>
    <definedName name="re" localSheetId="3">SingleFleet!$B$12</definedName>
    <definedName name="re">Sheet2!$B$17</definedName>
    <definedName name="reck" localSheetId="2">Allocation!$B$8</definedName>
    <definedName name="reck">Sheet2!$B$8</definedName>
    <definedName name="ro" localSheetId="2">Allocation!$B$1</definedName>
    <definedName name="ro" localSheetId="5">FlakLake!$B$1</definedName>
    <definedName name="ro" localSheetId="3">SingleFleet!$B$1</definedName>
    <definedName name="ro">Sheet2!$B$1</definedName>
    <definedName name="sa" localSheetId="2">Allocation!$G$9:$Z$9</definedName>
    <definedName name="sa" localSheetId="5">FlakLake!$F$6:$L$6</definedName>
    <definedName name="sa" localSheetId="3">SingleFleet!$F$6:$L$6</definedName>
    <definedName name="sa">Sheet2!$G$9:$Z$9</definedName>
    <definedName name="so">FlakLake!$B$14</definedName>
    <definedName name="V" localSheetId="2">Allocation!$G$6:$Z$7</definedName>
    <definedName name="V">Sheet2!$G$6:$Z$7</definedName>
    <definedName name="va" localSheetId="5">FlakLake!$F$4:$L$4</definedName>
    <definedName name="va" localSheetId="4">Sheet5!$G$2:$M$2</definedName>
    <definedName name="va">SingleFleet!$F$4:$L$4</definedName>
    <definedName name="vbk" localSheetId="2">Allocation!$B$4</definedName>
    <definedName name="vbk">Sheet2!$B$4</definedName>
    <definedName name="wa" localSheetId="2">Allocation!$G$2:$Z$2</definedName>
    <definedName name="wa" localSheetId="5">FlakLake!$F$2:$L$2</definedName>
    <definedName name="wa" localSheetId="4">Sheet5!$G$4:$M$4</definedName>
    <definedName name="wa" localSheetId="3">SingleFleet!$F$2:$L$2</definedName>
    <definedName name="wa">Sheet2!$G$2:$Z$2</definedName>
    <definedName name="ye" localSheetId="5">FlakLake!$B$23</definedName>
    <definedName name="ye" localSheetId="3">SingleFleet!$B$20</definedName>
    <definedName name="Ye">Allocation!$B$29:$C$29</definedName>
    <definedName name="Z">Sheet1!$B$5</definedName>
    <definedName name="za" localSheetId="2">Allocation!$G$8:$Z$8</definedName>
    <definedName name="za" localSheetId="5">FlakLake!$F$5:$L$5</definedName>
    <definedName name="za" localSheetId="4">Sheet5!$G$5:$M$5</definedName>
    <definedName name="za" localSheetId="3">SingleFleet!$F$5:$L$5</definedName>
    <definedName name="za">Sheet2!$G$8:$Z$8</definedName>
    <definedName name="zf" localSheetId="5">FlakLake!$B$9</definedName>
    <definedName name="zf">SingleFleet!$B$9</definedName>
  </definedNames>
  <calcPr calcId="140001" iterateCount="25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2" l="1"/>
  <c r="G8" i="2"/>
  <c r="H18" i="2"/>
  <c r="H6" i="2"/>
  <c r="H8" i="2"/>
  <c r="H14" i="2"/>
  <c r="I18" i="2"/>
  <c r="I6" i="2"/>
  <c r="I8" i="2"/>
  <c r="I14" i="2"/>
  <c r="J18" i="2"/>
  <c r="J6" i="2"/>
  <c r="J8" i="2"/>
  <c r="J14" i="2"/>
  <c r="K18" i="2"/>
  <c r="K6" i="2"/>
  <c r="K8" i="2"/>
  <c r="K14" i="2"/>
  <c r="L18" i="2"/>
  <c r="L6" i="2"/>
  <c r="L8" i="2"/>
  <c r="L14" i="2"/>
  <c r="M18" i="2"/>
  <c r="M6" i="2"/>
  <c r="M8" i="2"/>
  <c r="M14" i="2"/>
  <c r="N18" i="2"/>
  <c r="N6" i="2"/>
  <c r="N8" i="2"/>
  <c r="N14" i="2"/>
  <c r="O18" i="2"/>
  <c r="O6" i="2"/>
  <c r="O8" i="2"/>
  <c r="O14" i="2"/>
  <c r="P18" i="2"/>
  <c r="P6" i="2"/>
  <c r="P8" i="2"/>
  <c r="P14" i="2"/>
  <c r="Q18" i="2"/>
  <c r="Q6" i="2"/>
  <c r="Q8" i="2"/>
  <c r="Q14" i="2"/>
  <c r="R18" i="2"/>
  <c r="R6" i="2"/>
  <c r="R8" i="2"/>
  <c r="R14" i="2"/>
  <c r="S18" i="2"/>
  <c r="S6" i="2"/>
  <c r="S8" i="2"/>
  <c r="S14" i="2"/>
  <c r="T18" i="2"/>
  <c r="T6" i="2"/>
  <c r="T8" i="2"/>
  <c r="T14" i="2"/>
  <c r="U18" i="2"/>
  <c r="U6" i="2"/>
  <c r="U8" i="2"/>
  <c r="U14" i="2"/>
  <c r="V18" i="2"/>
  <c r="V6" i="2"/>
  <c r="V8" i="2"/>
  <c r="V14" i="2"/>
  <c r="W18" i="2"/>
  <c r="W6" i="2"/>
  <c r="W8" i="2"/>
  <c r="W14" i="2"/>
  <c r="X18" i="2"/>
  <c r="X6" i="2"/>
  <c r="X8" i="2"/>
  <c r="X14" i="2"/>
  <c r="Y18" i="2"/>
  <c r="Y14" i="2"/>
  <c r="Y6" i="2"/>
  <c r="Y8" i="2"/>
  <c r="Y9" i="2"/>
  <c r="Z6" i="2"/>
  <c r="Z8" i="2"/>
  <c r="Z9" i="2"/>
  <c r="Z10" i="2"/>
  <c r="Z18" i="2"/>
  <c r="C6" i="2"/>
  <c r="C7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Z14" i="2"/>
  <c r="Z17" i="2"/>
  <c r="D6" i="2"/>
  <c r="D7" i="2"/>
  <c r="H16" i="2"/>
  <c r="Y19" i="3"/>
  <c r="Y17" i="3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G7" i="2"/>
  <c r="G14" i="2"/>
  <c r="B3" i="2"/>
  <c r="F5" i="6"/>
  <c r="F6" i="6"/>
  <c r="G16" i="6"/>
  <c r="G5" i="6"/>
  <c r="G6" i="6"/>
  <c r="G10" i="6"/>
  <c r="H16" i="6"/>
  <c r="H5" i="6"/>
  <c r="H6" i="6"/>
  <c r="H10" i="6"/>
  <c r="I16" i="6"/>
  <c r="I5" i="6"/>
  <c r="I6" i="6"/>
  <c r="I10" i="6"/>
  <c r="J16" i="6"/>
  <c r="J5" i="6"/>
  <c r="J6" i="6"/>
  <c r="J10" i="6"/>
  <c r="K16" i="6"/>
  <c r="K5" i="6"/>
  <c r="K6" i="6"/>
  <c r="K10" i="6"/>
  <c r="L5" i="6"/>
  <c r="L6" i="6"/>
  <c r="L7" i="6"/>
  <c r="L16" i="6"/>
  <c r="B16" i="6"/>
  <c r="F7" i="6"/>
  <c r="F20" i="6"/>
  <c r="F5" i="4"/>
  <c r="F6" i="4"/>
  <c r="F7" i="4"/>
  <c r="F9" i="4"/>
  <c r="F13" i="4"/>
  <c r="F17" i="4"/>
  <c r="F19" i="6"/>
  <c r="G7" i="6"/>
  <c r="G20" i="6"/>
  <c r="H7" i="6"/>
  <c r="H20" i="6"/>
  <c r="I7" i="6"/>
  <c r="I20" i="6"/>
  <c r="J7" i="6"/>
  <c r="J20" i="6"/>
  <c r="K7" i="6"/>
  <c r="K20" i="6"/>
  <c r="L10" i="6"/>
  <c r="L20" i="6"/>
  <c r="B17" i="6"/>
  <c r="K17" i="6"/>
  <c r="L17" i="6"/>
  <c r="L15" i="6"/>
  <c r="L9" i="6"/>
  <c r="G17" i="6"/>
  <c r="H17" i="6"/>
  <c r="I17" i="6"/>
  <c r="J17" i="6"/>
  <c r="F17" i="6"/>
  <c r="B7" i="6"/>
  <c r="G12" i="6"/>
  <c r="G9" i="6"/>
  <c r="G14" i="6"/>
  <c r="H12" i="6"/>
  <c r="H9" i="6"/>
  <c r="H14" i="6"/>
  <c r="I12" i="6"/>
  <c r="I9" i="6"/>
  <c r="I14" i="6"/>
  <c r="J12" i="6"/>
  <c r="J9" i="6"/>
  <c r="J14" i="6"/>
  <c r="K12" i="6"/>
  <c r="K9" i="6"/>
  <c r="K14" i="6"/>
  <c r="L12" i="6"/>
  <c r="L14" i="6"/>
  <c r="F12" i="6"/>
  <c r="F9" i="6"/>
  <c r="F14" i="6"/>
  <c r="B8" i="6"/>
  <c r="F13" i="6"/>
  <c r="G13" i="6"/>
  <c r="H13" i="6"/>
  <c r="I13" i="6"/>
  <c r="J13" i="6"/>
  <c r="K13" i="6"/>
  <c r="L13" i="6"/>
  <c r="F15" i="6"/>
  <c r="G15" i="6"/>
  <c r="H15" i="6"/>
  <c r="I15" i="6"/>
  <c r="J15" i="6"/>
  <c r="K15" i="6"/>
  <c r="H8" i="6"/>
  <c r="I8" i="6"/>
  <c r="J8" i="6"/>
  <c r="K8" i="6"/>
  <c r="G8" i="6"/>
  <c r="F8" i="6"/>
  <c r="L8" i="6"/>
  <c r="B5" i="6"/>
  <c r="G25" i="6"/>
  <c r="H25" i="6"/>
  <c r="I25" i="6"/>
  <c r="J25" i="6"/>
  <c r="K25" i="6"/>
  <c r="L25" i="6"/>
  <c r="F25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L19" i="6"/>
  <c r="K19" i="6"/>
  <c r="J19" i="6"/>
  <c r="I19" i="6"/>
  <c r="H19" i="6"/>
  <c r="G19" i="6"/>
  <c r="L18" i="6"/>
  <c r="K18" i="6"/>
  <c r="J18" i="6"/>
  <c r="I18" i="6"/>
  <c r="H18" i="6"/>
  <c r="G18" i="6"/>
  <c r="F18" i="6"/>
  <c r="F16" i="4"/>
  <c r="B7" i="4"/>
  <c r="F10" i="4"/>
  <c r="G10" i="4"/>
  <c r="B8" i="4"/>
  <c r="F11" i="4"/>
  <c r="G11" i="4"/>
  <c r="G5" i="4"/>
  <c r="G9" i="4"/>
  <c r="G15" i="4"/>
  <c r="F15" i="4"/>
  <c r="G14" i="4"/>
  <c r="G6" i="4"/>
  <c r="H14" i="4"/>
  <c r="H5" i="4"/>
  <c r="H9" i="4"/>
  <c r="H6" i="4"/>
  <c r="I14" i="4"/>
  <c r="I5" i="4"/>
  <c r="I9" i="4"/>
  <c r="I6" i="4"/>
  <c r="J14" i="4"/>
  <c r="J5" i="4"/>
  <c r="J9" i="4"/>
  <c r="J6" i="4"/>
  <c r="K14" i="4"/>
  <c r="K5" i="4"/>
  <c r="K9" i="4"/>
  <c r="K6" i="4"/>
  <c r="L14" i="4"/>
  <c r="H10" i="4"/>
  <c r="H11" i="4"/>
  <c r="H15" i="4"/>
  <c r="I10" i="4"/>
  <c r="I11" i="4"/>
  <c r="I15" i="4"/>
  <c r="J10" i="4"/>
  <c r="J11" i="4"/>
  <c r="J15" i="4"/>
  <c r="K10" i="4"/>
  <c r="K11" i="4"/>
  <c r="K15" i="4"/>
  <c r="L10" i="4"/>
  <c r="L5" i="4"/>
  <c r="L9" i="4"/>
  <c r="L11" i="4"/>
  <c r="L15" i="4"/>
  <c r="G15" i="2"/>
  <c r="G16" i="2"/>
  <c r="G27" i="2"/>
  <c r="G13" i="4"/>
  <c r="H13" i="4"/>
  <c r="I13" i="4"/>
  <c r="J13" i="4"/>
  <c r="K13" i="4"/>
  <c r="L13" i="4"/>
  <c r="B15" i="4"/>
  <c r="G2" i="2"/>
  <c r="G18" i="2"/>
  <c r="F8" i="4"/>
  <c r="G8" i="4"/>
  <c r="L6" i="4"/>
  <c r="L7" i="4"/>
  <c r="H8" i="4"/>
  <c r="I8" i="4"/>
  <c r="J8" i="4"/>
  <c r="K8" i="4"/>
  <c r="L8" i="4"/>
  <c r="G5" i="5"/>
  <c r="G6" i="5"/>
  <c r="H5" i="5"/>
  <c r="H6" i="5"/>
  <c r="I5" i="5"/>
  <c r="I6" i="5"/>
  <c r="J5" i="5"/>
  <c r="J6" i="5"/>
  <c r="K5" i="5"/>
  <c r="K6" i="5"/>
  <c r="L5" i="5"/>
  <c r="L6" i="5"/>
  <c r="M5" i="5"/>
  <c r="M6" i="5"/>
  <c r="B5" i="5"/>
  <c r="G7" i="4"/>
  <c r="G17" i="4"/>
  <c r="H7" i="4"/>
  <c r="H17" i="4"/>
  <c r="I7" i="4"/>
  <c r="I17" i="4"/>
  <c r="J7" i="4"/>
  <c r="J17" i="4"/>
  <c r="K7" i="4"/>
  <c r="K17" i="4"/>
  <c r="L17" i="4"/>
  <c r="B3" i="3"/>
  <c r="G2" i="3"/>
  <c r="G6" i="3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B11" i="4"/>
  <c r="B5" i="4"/>
  <c r="B16" i="4"/>
  <c r="G7" i="3"/>
  <c r="G14" i="3"/>
  <c r="H14" i="3"/>
  <c r="H2" i="3"/>
  <c r="H6" i="3"/>
  <c r="I2" i="3"/>
  <c r="I6" i="3"/>
  <c r="J2" i="3"/>
  <c r="J6" i="3"/>
  <c r="K2" i="3"/>
  <c r="K6" i="3"/>
  <c r="L2" i="3"/>
  <c r="L6" i="3"/>
  <c r="M2" i="3"/>
  <c r="M6" i="3"/>
  <c r="N2" i="3"/>
  <c r="N6" i="3"/>
  <c r="O2" i="3"/>
  <c r="O6" i="3"/>
  <c r="P2" i="3"/>
  <c r="P6" i="3"/>
  <c r="Q2" i="3"/>
  <c r="Q6" i="3"/>
  <c r="R2" i="3"/>
  <c r="R6" i="3"/>
  <c r="S2" i="3"/>
  <c r="S6" i="3"/>
  <c r="T2" i="3"/>
  <c r="T6" i="3"/>
  <c r="U2" i="3"/>
  <c r="U6" i="3"/>
  <c r="V2" i="3"/>
  <c r="V6" i="3"/>
  <c r="W2" i="3"/>
  <c r="W6" i="3"/>
  <c r="X2" i="3"/>
  <c r="X6" i="3"/>
  <c r="Y2" i="3"/>
  <c r="Y6" i="3"/>
  <c r="Z2" i="3"/>
  <c r="Z6" i="3"/>
  <c r="G16" i="4"/>
  <c r="H16" i="4"/>
  <c r="I16" i="4"/>
  <c r="J16" i="4"/>
  <c r="K16" i="4"/>
  <c r="L16" i="4"/>
  <c r="G12" i="4"/>
  <c r="H12" i="4"/>
  <c r="I12" i="4"/>
  <c r="J12" i="4"/>
  <c r="K12" i="4"/>
  <c r="L12" i="4"/>
  <c r="F12" i="4"/>
  <c r="C9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B8" i="3"/>
  <c r="G15" i="3"/>
  <c r="G18" i="3"/>
  <c r="G17" i="3"/>
  <c r="G16" i="3"/>
  <c r="C7" i="3"/>
  <c r="D7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G5" i="2"/>
  <c r="C20" i="2"/>
  <c r="B20" i="2"/>
  <c r="B8" i="2"/>
  <c r="I3" i="1"/>
  <c r="I2" i="1"/>
  <c r="H2" i="1"/>
  <c r="G17" i="2"/>
  <c r="Z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G4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G3" i="2"/>
  <c r="B5" i="1"/>
  <c r="B8" i="1"/>
  <c r="B7" i="1"/>
  <c r="J2" i="1"/>
  <c r="J3" i="1"/>
  <c r="K2" i="1" a="1"/>
  <c r="K2" i="1"/>
  <c r="L2" i="1"/>
  <c r="H3" i="1"/>
  <c r="K3" i="1"/>
  <c r="L3" i="1"/>
  <c r="K5" i="1"/>
  <c r="L5" i="1"/>
  <c r="K6" i="1" a="1"/>
  <c r="L6" i="1"/>
  <c r="M3" i="1"/>
  <c r="N3" i="1"/>
  <c r="K6" i="1"/>
  <c r="M2" i="1"/>
  <c r="N2" i="1"/>
  <c r="J11" i="2"/>
  <c r="J9" i="2"/>
  <c r="J10" i="2"/>
  <c r="K11" i="2"/>
  <c r="K9" i="2"/>
  <c r="K10" i="2"/>
  <c r="L11" i="2"/>
  <c r="L9" i="2"/>
  <c r="L10" i="2"/>
  <c r="M11" i="2"/>
  <c r="M9" i="2"/>
  <c r="M10" i="2"/>
  <c r="N11" i="2"/>
  <c r="N9" i="2"/>
  <c r="N10" i="2"/>
  <c r="O11" i="2"/>
  <c r="O9" i="2"/>
  <c r="O10" i="2"/>
  <c r="P11" i="2"/>
  <c r="P9" i="2"/>
  <c r="P10" i="2"/>
  <c r="Q11" i="2"/>
  <c r="Q9" i="2"/>
  <c r="Q10" i="2"/>
  <c r="R11" i="2"/>
  <c r="R9" i="2"/>
  <c r="R10" i="2"/>
  <c r="S11" i="2"/>
  <c r="S9" i="2"/>
  <c r="S10" i="2"/>
  <c r="T11" i="2"/>
  <c r="T9" i="2"/>
  <c r="T10" i="2"/>
  <c r="U11" i="2"/>
  <c r="U9" i="2"/>
  <c r="U10" i="2"/>
  <c r="V11" i="2"/>
  <c r="V9" i="2"/>
  <c r="V10" i="2"/>
  <c r="W11" i="2"/>
  <c r="W9" i="2"/>
  <c r="W10" i="2"/>
  <c r="X11" i="2"/>
  <c r="X9" i="2"/>
  <c r="X10" i="2"/>
  <c r="Y11" i="2"/>
  <c r="Y10" i="2"/>
  <c r="Z11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B18" i="3"/>
  <c r="C6" i="3"/>
  <c r="D6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H17" i="3"/>
  <c r="B20" i="3"/>
  <c r="B15" i="3"/>
  <c r="C20" i="3"/>
  <c r="D20" i="3"/>
  <c r="B13" i="4"/>
  <c r="B10" i="4"/>
  <c r="B12" i="4"/>
  <c r="B17" i="4"/>
  <c r="B21" i="4"/>
  <c r="F28" i="4"/>
  <c r="B20" i="4"/>
  <c r="E28" i="4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B19" i="3"/>
  <c r="B17" i="3"/>
  <c r="G8" i="3"/>
  <c r="H19" i="3"/>
  <c r="H8" i="3"/>
  <c r="I19" i="3"/>
  <c r="I8" i="3"/>
  <c r="J19" i="3"/>
  <c r="J8" i="3"/>
  <c r="K19" i="3"/>
  <c r="K8" i="3"/>
  <c r="L19" i="3"/>
  <c r="L8" i="3"/>
  <c r="M19" i="3"/>
  <c r="M8" i="3"/>
  <c r="N19" i="3"/>
  <c r="N8" i="3"/>
  <c r="O19" i="3"/>
  <c r="O8" i="3"/>
  <c r="P19" i="3"/>
  <c r="P8" i="3"/>
  <c r="Q19" i="3"/>
  <c r="Q8" i="3"/>
  <c r="R19" i="3"/>
  <c r="R8" i="3"/>
  <c r="S19" i="3"/>
  <c r="S8" i="3"/>
  <c r="T19" i="3"/>
  <c r="T8" i="3"/>
  <c r="U19" i="3"/>
  <c r="U8" i="3"/>
  <c r="V19" i="3"/>
  <c r="V8" i="3"/>
  <c r="W19" i="3"/>
  <c r="W8" i="3"/>
  <c r="X19" i="3"/>
  <c r="X8" i="3"/>
  <c r="Y8" i="3"/>
  <c r="Z8" i="3"/>
  <c r="Z19" i="3"/>
  <c r="C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9" i="3"/>
  <c r="Z10" i="3"/>
  <c r="Y9" i="3"/>
  <c r="Z21" i="3"/>
  <c r="C22" i="3"/>
  <c r="C27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B21" i="3"/>
  <c r="B26" i="3"/>
  <c r="C26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B22" i="3"/>
  <c r="B27" i="3"/>
  <c r="Z30" i="3"/>
  <c r="Z27" i="3"/>
  <c r="Y27" i="3"/>
  <c r="G11" i="3"/>
  <c r="G9" i="3"/>
  <c r="G10" i="3"/>
  <c r="G26" i="3"/>
  <c r="G12" i="3"/>
  <c r="G25" i="3"/>
  <c r="H12" i="3"/>
  <c r="H9" i="3"/>
  <c r="H10" i="3"/>
  <c r="H25" i="3"/>
  <c r="I12" i="3"/>
  <c r="I9" i="3"/>
  <c r="I10" i="3"/>
  <c r="I25" i="3"/>
  <c r="J12" i="3"/>
  <c r="J9" i="3"/>
  <c r="J10" i="3"/>
  <c r="J25" i="3"/>
  <c r="K12" i="3"/>
  <c r="K9" i="3"/>
  <c r="K10" i="3"/>
  <c r="K25" i="3"/>
  <c r="L12" i="3"/>
  <c r="L9" i="3"/>
  <c r="L10" i="3"/>
  <c r="L25" i="3"/>
  <c r="M12" i="3"/>
  <c r="M9" i="3"/>
  <c r="M10" i="3"/>
  <c r="M25" i="3"/>
  <c r="N12" i="3"/>
  <c r="N9" i="3"/>
  <c r="N10" i="3"/>
  <c r="N25" i="3"/>
  <c r="O12" i="3"/>
  <c r="O9" i="3"/>
  <c r="O10" i="3"/>
  <c r="O25" i="3"/>
  <c r="P12" i="3"/>
  <c r="P9" i="3"/>
  <c r="P10" i="3"/>
  <c r="P25" i="3"/>
  <c r="Q12" i="3"/>
  <c r="Q9" i="3"/>
  <c r="Q10" i="3"/>
  <c r="Q25" i="3"/>
  <c r="R12" i="3"/>
  <c r="R9" i="3"/>
  <c r="R10" i="3"/>
  <c r="R25" i="3"/>
  <c r="S12" i="3"/>
  <c r="S9" i="3"/>
  <c r="S10" i="3"/>
  <c r="S25" i="3"/>
  <c r="T12" i="3"/>
  <c r="T9" i="3"/>
  <c r="T10" i="3"/>
  <c r="T25" i="3"/>
  <c r="U12" i="3"/>
  <c r="U9" i="3"/>
  <c r="U10" i="3"/>
  <c r="U25" i="3"/>
  <c r="V12" i="3"/>
  <c r="V9" i="3"/>
  <c r="V10" i="3"/>
  <c r="V25" i="3"/>
  <c r="W12" i="3"/>
  <c r="W9" i="3"/>
  <c r="W10" i="3"/>
  <c r="W25" i="3"/>
  <c r="X12" i="3"/>
  <c r="X9" i="3"/>
  <c r="X10" i="3"/>
  <c r="X25" i="3"/>
  <c r="Y12" i="3"/>
  <c r="Y10" i="3"/>
  <c r="Y25" i="3"/>
  <c r="Z12" i="3"/>
  <c r="Z25" i="3"/>
  <c r="C25" i="3"/>
  <c r="G24" i="3"/>
  <c r="H11" i="3"/>
  <c r="H24" i="3"/>
  <c r="I11" i="3"/>
  <c r="I24" i="3"/>
  <c r="J11" i="3"/>
  <c r="J24" i="3"/>
  <c r="K11" i="3"/>
  <c r="K24" i="3"/>
  <c r="L11" i="3"/>
  <c r="L24" i="3"/>
  <c r="M11" i="3"/>
  <c r="M24" i="3"/>
  <c r="N11" i="3"/>
  <c r="N24" i="3"/>
  <c r="O11" i="3"/>
  <c r="O24" i="3"/>
  <c r="P11" i="3"/>
  <c r="P24" i="3"/>
  <c r="Q11" i="3"/>
  <c r="Q24" i="3"/>
  <c r="R11" i="3"/>
  <c r="R24" i="3"/>
  <c r="S11" i="3"/>
  <c r="S24" i="3"/>
  <c r="T11" i="3"/>
  <c r="T24" i="3"/>
  <c r="U11" i="3"/>
  <c r="U24" i="3"/>
  <c r="V11" i="3"/>
  <c r="V24" i="3"/>
  <c r="W11" i="3"/>
  <c r="W24" i="3"/>
  <c r="X11" i="3"/>
  <c r="X24" i="3"/>
  <c r="Y11" i="3"/>
  <c r="Y24" i="3"/>
  <c r="Z11" i="3"/>
  <c r="Z24" i="3"/>
  <c r="B25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C24" i="3"/>
  <c r="Z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G11" i="2"/>
  <c r="H11" i="2"/>
  <c r="I11" i="2"/>
  <c r="B23" i="2"/>
  <c r="B21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B24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2" i="2"/>
  <c r="G12" i="2"/>
  <c r="G23" i="2"/>
  <c r="H12" i="2"/>
  <c r="H23" i="2"/>
  <c r="I12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G9" i="2"/>
  <c r="G10" i="2"/>
  <c r="G25" i="2"/>
  <c r="H9" i="2"/>
  <c r="H10" i="2"/>
  <c r="H25" i="2"/>
  <c r="I9" i="2"/>
  <c r="I10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5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B22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5" i="2"/>
  <c r="C23" i="2"/>
  <c r="G26" i="2"/>
  <c r="H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Z27" i="2"/>
  <c r="Z30" i="2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B24" i="3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H27" i="2"/>
  <c r="I27" i="2"/>
  <c r="C23" i="3"/>
  <c r="C30" i="3"/>
  <c r="C32" i="3"/>
  <c r="C34" i="3"/>
  <c r="C35" i="3"/>
  <c r="C42" i="3"/>
  <c r="C43" i="3"/>
  <c r="B23" i="3"/>
  <c r="B42" i="3"/>
  <c r="D42" i="3"/>
  <c r="B30" i="3"/>
  <c r="D30" i="3"/>
  <c r="D47" i="3"/>
  <c r="D48" i="3"/>
  <c r="B43" i="3"/>
  <c r="B44" i="3" a="1"/>
  <c r="B44" i="3"/>
  <c r="C44" i="3"/>
  <c r="B45" i="3"/>
  <c r="C45" i="3"/>
  <c r="B34" i="3"/>
  <c r="B35" i="3"/>
  <c r="B36" i="3" a="1"/>
  <c r="B36" i="3"/>
  <c r="C36" i="3"/>
  <c r="B37" i="3"/>
  <c r="C37" i="3"/>
  <c r="B32" i="3"/>
  <c r="C31" i="3"/>
  <c r="B31" i="3"/>
  <c r="B29" i="3"/>
  <c r="C29" i="3"/>
  <c r="D29" i="3"/>
  <c r="C10" i="3"/>
  <c r="C11" i="3"/>
  <c r="C12" i="3"/>
  <c r="B10" i="3"/>
  <c r="B11" i="3"/>
  <c r="B12" i="3"/>
  <c r="H29" i="3"/>
  <c r="G29" i="3"/>
  <c r="B39" i="3" a="1"/>
  <c r="B39" i="3"/>
  <c r="B40" i="3"/>
  <c r="C39" i="3"/>
  <c r="C40" i="3"/>
  <c r="B47" i="3" a="1"/>
  <c r="B47" i="3"/>
  <c r="B48" i="3"/>
  <c r="C47" i="3"/>
  <c r="C48" i="3"/>
  <c r="M25" i="6"/>
  <c r="B13" i="6"/>
  <c r="B11" i="6"/>
  <c r="B10" i="6"/>
  <c r="B14" i="6"/>
  <c r="B12" i="6"/>
  <c r="B21" i="6"/>
  <c r="B18" i="6"/>
  <c r="B24" i="6"/>
  <c r="C27" i="6"/>
  <c r="B23" i="6"/>
  <c r="B27" i="6"/>
  <c r="L27" i="6"/>
  <c r="L24" i="6"/>
  <c r="K27" i="6"/>
  <c r="K24" i="6"/>
  <c r="G27" i="6"/>
  <c r="G24" i="6"/>
  <c r="H27" i="6"/>
  <c r="H24" i="6"/>
  <c r="I27" i="6"/>
  <c r="I24" i="6"/>
  <c r="J27" i="6"/>
  <c r="J24" i="6"/>
  <c r="F27" i="6"/>
  <c r="F24" i="6"/>
  <c r="G28" i="6"/>
  <c r="H29" i="6"/>
  <c r="I30" i="6"/>
  <c r="J31" i="6"/>
  <c r="K32" i="6"/>
  <c r="H28" i="6"/>
  <c r="I29" i="6"/>
  <c r="J30" i="6"/>
  <c r="K31" i="6"/>
  <c r="I28" i="6"/>
  <c r="J29" i="6"/>
  <c r="K30" i="6"/>
  <c r="J28" i="6"/>
  <c r="K29" i="6"/>
  <c r="K28" i="6"/>
  <c r="L28" i="6"/>
  <c r="L29" i="6"/>
  <c r="L30" i="6"/>
  <c r="L31" i="6"/>
  <c r="L32" i="6"/>
  <c r="L33" i="6"/>
  <c r="B20" i="6"/>
  <c r="B15" i="6"/>
  <c r="B19" i="6"/>
  <c r="M24" i="6"/>
  <c r="M27" i="6"/>
  <c r="F28" i="6"/>
  <c r="G29" i="6"/>
  <c r="H30" i="6"/>
  <c r="I31" i="6"/>
  <c r="J32" i="6"/>
  <c r="K33" i="6"/>
  <c r="L34" i="6"/>
  <c r="M28" i="6"/>
  <c r="F29" i="6"/>
  <c r="G30" i="6"/>
  <c r="H31" i="6"/>
  <c r="I32" i="6"/>
  <c r="J33" i="6"/>
  <c r="K34" i="6"/>
  <c r="L35" i="6"/>
  <c r="M29" i="6"/>
  <c r="F30" i="6"/>
  <c r="G31" i="6"/>
  <c r="H32" i="6"/>
  <c r="I33" i="6"/>
  <c r="J34" i="6"/>
  <c r="K35" i="6"/>
  <c r="L36" i="6"/>
  <c r="M30" i="6"/>
  <c r="F31" i="6"/>
  <c r="G32" i="6"/>
  <c r="H33" i="6"/>
  <c r="I34" i="6"/>
  <c r="J35" i="6"/>
  <c r="K36" i="6"/>
  <c r="L37" i="6"/>
  <c r="M31" i="6"/>
  <c r="F32" i="6"/>
  <c r="G33" i="6"/>
  <c r="H34" i="6"/>
  <c r="I35" i="6"/>
  <c r="J36" i="6"/>
  <c r="K37" i="6"/>
  <c r="L38" i="6"/>
  <c r="M32" i="6"/>
  <c r="F33" i="6"/>
  <c r="G34" i="6"/>
  <c r="H35" i="6"/>
  <c r="I36" i="6"/>
  <c r="J37" i="6"/>
  <c r="K38" i="6"/>
  <c r="L39" i="6"/>
  <c r="M33" i="6"/>
  <c r="F34" i="6"/>
  <c r="G35" i="6"/>
  <c r="H36" i="6"/>
  <c r="I37" i="6"/>
  <c r="J38" i="6"/>
  <c r="K39" i="6"/>
  <c r="L40" i="6"/>
  <c r="M34" i="6"/>
  <c r="F35" i="6"/>
  <c r="G36" i="6"/>
  <c r="H37" i="6"/>
  <c r="I38" i="6"/>
  <c r="J39" i="6"/>
  <c r="K40" i="6"/>
  <c r="L41" i="6"/>
  <c r="M35" i="6"/>
  <c r="F36" i="6"/>
  <c r="G37" i="6"/>
  <c r="H38" i="6"/>
  <c r="I39" i="6"/>
  <c r="J40" i="6"/>
  <c r="K41" i="6"/>
  <c r="L42" i="6"/>
  <c r="M36" i="6"/>
  <c r="F37" i="6"/>
  <c r="G38" i="6"/>
  <c r="H39" i="6"/>
  <c r="I40" i="6"/>
  <c r="J41" i="6"/>
  <c r="K42" i="6"/>
  <c r="L43" i="6"/>
  <c r="M37" i="6"/>
  <c r="F38" i="6"/>
  <c r="G39" i="6"/>
  <c r="H40" i="6"/>
  <c r="I41" i="6"/>
  <c r="J42" i="6"/>
  <c r="K43" i="6"/>
  <c r="L44" i="6"/>
  <c r="M38" i="6"/>
  <c r="F39" i="6"/>
  <c r="G40" i="6"/>
  <c r="H41" i="6"/>
  <c r="I42" i="6"/>
  <c r="J43" i="6"/>
  <c r="K44" i="6"/>
  <c r="L45" i="6"/>
  <c r="M39" i="6"/>
  <c r="F40" i="6"/>
  <c r="G41" i="6"/>
  <c r="H42" i="6"/>
  <c r="I43" i="6"/>
  <c r="J44" i="6"/>
  <c r="K45" i="6"/>
  <c r="L46" i="6"/>
  <c r="M40" i="6"/>
  <c r="F41" i="6"/>
  <c r="G42" i="6"/>
  <c r="H43" i="6"/>
  <c r="I44" i="6"/>
  <c r="J45" i="6"/>
  <c r="K46" i="6"/>
  <c r="L47" i="6"/>
  <c r="M41" i="6"/>
  <c r="F42" i="6"/>
  <c r="G43" i="6"/>
  <c r="H44" i="6"/>
  <c r="I45" i="6"/>
  <c r="J46" i="6"/>
  <c r="K47" i="6"/>
  <c r="L48" i="6"/>
  <c r="M42" i="6"/>
  <c r="F43" i="6"/>
  <c r="G44" i="6"/>
  <c r="H45" i="6"/>
  <c r="I46" i="6"/>
  <c r="J47" i="6"/>
  <c r="K48" i="6"/>
  <c r="L49" i="6"/>
  <c r="M43" i="6"/>
  <c r="F44" i="6"/>
  <c r="G45" i="6"/>
  <c r="H46" i="6"/>
  <c r="I47" i="6"/>
  <c r="J48" i="6"/>
  <c r="K49" i="6"/>
  <c r="L50" i="6"/>
  <c r="M44" i="6"/>
  <c r="F45" i="6"/>
  <c r="G46" i="6"/>
  <c r="H47" i="6"/>
  <c r="I48" i="6"/>
  <c r="J49" i="6"/>
  <c r="K50" i="6"/>
  <c r="L51" i="6"/>
  <c r="M45" i="6"/>
  <c r="F46" i="6"/>
  <c r="G47" i="6"/>
  <c r="H48" i="6"/>
  <c r="I49" i="6"/>
  <c r="J50" i="6"/>
  <c r="K51" i="6"/>
  <c r="L52" i="6"/>
  <c r="M46" i="6"/>
  <c r="F47" i="6"/>
  <c r="G48" i="6"/>
  <c r="H49" i="6"/>
  <c r="I50" i="6"/>
  <c r="J51" i="6"/>
  <c r="K52" i="6"/>
  <c r="L53" i="6"/>
  <c r="M47" i="6"/>
  <c r="F48" i="6"/>
  <c r="G49" i="6"/>
  <c r="H50" i="6"/>
  <c r="I51" i="6"/>
  <c r="J52" i="6"/>
  <c r="K53" i="6"/>
  <c r="L54" i="6"/>
  <c r="M48" i="6"/>
  <c r="F49" i="6"/>
  <c r="G50" i="6"/>
  <c r="H51" i="6"/>
  <c r="I52" i="6"/>
  <c r="J53" i="6"/>
  <c r="K54" i="6"/>
  <c r="L55" i="6"/>
  <c r="M49" i="6"/>
  <c r="F50" i="6"/>
  <c r="G51" i="6"/>
  <c r="H52" i="6"/>
  <c r="I53" i="6"/>
  <c r="J54" i="6"/>
  <c r="K55" i="6"/>
  <c r="L56" i="6"/>
  <c r="M50" i="6"/>
  <c r="F51" i="6"/>
  <c r="G52" i="6"/>
  <c r="H53" i="6"/>
  <c r="I54" i="6"/>
  <c r="J55" i="6"/>
  <c r="K56" i="6"/>
  <c r="L57" i="6"/>
  <c r="M51" i="6"/>
  <c r="F52" i="6"/>
  <c r="G53" i="6"/>
  <c r="H54" i="6"/>
  <c r="I55" i="6"/>
  <c r="J56" i="6"/>
  <c r="K57" i="6"/>
  <c r="L58" i="6"/>
  <c r="M52" i="6"/>
  <c r="F53" i="6"/>
  <c r="G54" i="6"/>
  <c r="H55" i="6"/>
  <c r="I56" i="6"/>
  <c r="J57" i="6"/>
  <c r="K58" i="6"/>
  <c r="L59" i="6"/>
  <c r="M53" i="6"/>
  <c r="F54" i="6"/>
  <c r="G55" i="6"/>
  <c r="H56" i="6"/>
  <c r="I57" i="6"/>
  <c r="J58" i="6"/>
  <c r="K59" i="6"/>
  <c r="L60" i="6"/>
  <c r="M54" i="6"/>
  <c r="F55" i="6"/>
  <c r="G56" i="6"/>
  <c r="H57" i="6"/>
  <c r="I58" i="6"/>
  <c r="J59" i="6"/>
  <c r="K60" i="6"/>
  <c r="L61" i="6"/>
  <c r="M55" i="6"/>
  <c r="F56" i="6"/>
  <c r="G57" i="6"/>
  <c r="H58" i="6"/>
  <c r="I59" i="6"/>
  <c r="J60" i="6"/>
  <c r="K61" i="6"/>
  <c r="L62" i="6"/>
  <c r="M56" i="6"/>
  <c r="F57" i="6"/>
  <c r="G58" i="6"/>
  <c r="H59" i="6"/>
  <c r="I60" i="6"/>
  <c r="J61" i="6"/>
  <c r="K62" i="6"/>
  <c r="L63" i="6"/>
  <c r="M57" i="6"/>
  <c r="F58" i="6"/>
  <c r="G59" i="6"/>
  <c r="H60" i="6"/>
  <c r="I61" i="6"/>
  <c r="J62" i="6"/>
  <c r="K63" i="6"/>
  <c r="L64" i="6"/>
  <c r="M58" i="6"/>
  <c r="F59" i="6"/>
  <c r="G60" i="6"/>
  <c r="H61" i="6"/>
  <c r="I62" i="6"/>
  <c r="J63" i="6"/>
  <c r="K64" i="6"/>
  <c r="L65" i="6"/>
  <c r="M59" i="6"/>
  <c r="F60" i="6"/>
  <c r="G61" i="6"/>
  <c r="H62" i="6"/>
  <c r="I63" i="6"/>
  <c r="J64" i="6"/>
  <c r="K65" i="6"/>
  <c r="L66" i="6"/>
  <c r="M60" i="6"/>
  <c r="F61" i="6"/>
  <c r="G62" i="6"/>
  <c r="H63" i="6"/>
  <c r="I64" i="6"/>
  <c r="J65" i="6"/>
  <c r="K66" i="6"/>
  <c r="L67" i="6"/>
  <c r="M61" i="6"/>
  <c r="F62" i="6"/>
  <c r="G63" i="6"/>
  <c r="H64" i="6"/>
  <c r="I65" i="6"/>
  <c r="J66" i="6"/>
  <c r="K67" i="6"/>
  <c r="L68" i="6"/>
  <c r="M62" i="6"/>
  <c r="F63" i="6"/>
  <c r="G64" i="6"/>
  <c r="H65" i="6"/>
  <c r="I66" i="6"/>
  <c r="J67" i="6"/>
  <c r="K68" i="6"/>
  <c r="L69" i="6"/>
  <c r="M63" i="6"/>
  <c r="F64" i="6"/>
  <c r="G65" i="6"/>
  <c r="H66" i="6"/>
  <c r="I67" i="6"/>
  <c r="J68" i="6"/>
  <c r="K69" i="6"/>
  <c r="L70" i="6"/>
  <c r="M64" i="6"/>
  <c r="F65" i="6"/>
  <c r="G66" i="6"/>
  <c r="H67" i="6"/>
  <c r="I68" i="6"/>
  <c r="J69" i="6"/>
  <c r="K70" i="6"/>
  <c r="L71" i="6"/>
  <c r="M65" i="6"/>
  <c r="F66" i="6"/>
  <c r="G67" i="6"/>
  <c r="H68" i="6"/>
  <c r="I69" i="6"/>
  <c r="J70" i="6"/>
  <c r="K71" i="6"/>
  <c r="L72" i="6"/>
  <c r="M66" i="6"/>
  <c r="F67" i="6"/>
  <c r="G68" i="6"/>
  <c r="H69" i="6"/>
  <c r="I70" i="6"/>
  <c r="J71" i="6"/>
  <c r="K72" i="6"/>
  <c r="L73" i="6"/>
  <c r="M67" i="6"/>
  <c r="F68" i="6"/>
  <c r="G69" i="6"/>
  <c r="H70" i="6"/>
  <c r="I71" i="6"/>
  <c r="J72" i="6"/>
  <c r="K73" i="6"/>
  <c r="L74" i="6"/>
  <c r="M68" i="6"/>
  <c r="F69" i="6"/>
  <c r="G70" i="6"/>
  <c r="H71" i="6"/>
  <c r="I72" i="6"/>
  <c r="J73" i="6"/>
  <c r="K74" i="6"/>
  <c r="L75" i="6"/>
  <c r="M69" i="6"/>
  <c r="F70" i="6"/>
  <c r="G71" i="6"/>
  <c r="H72" i="6"/>
  <c r="I73" i="6"/>
  <c r="J74" i="6"/>
  <c r="K75" i="6"/>
  <c r="L76" i="6"/>
  <c r="M70" i="6"/>
  <c r="F71" i="6"/>
  <c r="G72" i="6"/>
  <c r="H73" i="6"/>
  <c r="I74" i="6"/>
  <c r="J75" i="6"/>
  <c r="K76" i="6"/>
  <c r="L77" i="6"/>
  <c r="M71" i="6"/>
  <c r="F72" i="6"/>
  <c r="G73" i="6"/>
  <c r="H74" i="6"/>
  <c r="I75" i="6"/>
  <c r="J76" i="6"/>
  <c r="K77" i="6"/>
  <c r="L78" i="6"/>
  <c r="M72" i="6"/>
  <c r="F73" i="6"/>
  <c r="G74" i="6"/>
  <c r="H75" i="6"/>
  <c r="I76" i="6"/>
  <c r="J77" i="6"/>
  <c r="K78" i="6"/>
  <c r="L79" i="6"/>
  <c r="M73" i="6"/>
  <c r="F74" i="6"/>
  <c r="G75" i="6"/>
  <c r="H76" i="6"/>
  <c r="I77" i="6"/>
  <c r="J78" i="6"/>
  <c r="K79" i="6"/>
  <c r="L80" i="6"/>
  <c r="M74" i="6"/>
  <c r="F75" i="6"/>
  <c r="G76" i="6"/>
  <c r="H77" i="6"/>
  <c r="I78" i="6"/>
  <c r="J79" i="6"/>
  <c r="K80" i="6"/>
  <c r="L81" i="6"/>
  <c r="M75" i="6"/>
  <c r="F76" i="6"/>
  <c r="G77" i="6"/>
  <c r="H78" i="6"/>
  <c r="I79" i="6"/>
  <c r="J80" i="6"/>
  <c r="K81" i="6"/>
  <c r="L82" i="6"/>
  <c r="M76" i="6"/>
  <c r="F77" i="6"/>
  <c r="G78" i="6"/>
  <c r="H79" i="6"/>
  <c r="I80" i="6"/>
  <c r="J81" i="6"/>
  <c r="K82" i="6"/>
  <c r="L83" i="6"/>
  <c r="M77" i="6"/>
  <c r="F78" i="6"/>
  <c r="G79" i="6"/>
  <c r="H80" i="6"/>
  <c r="I81" i="6"/>
  <c r="J82" i="6"/>
  <c r="K83" i="6"/>
  <c r="L84" i="6"/>
  <c r="M78" i="6"/>
  <c r="F79" i="6"/>
  <c r="G80" i="6"/>
  <c r="H81" i="6"/>
  <c r="I82" i="6"/>
  <c r="J83" i="6"/>
  <c r="K84" i="6"/>
  <c r="L85" i="6"/>
  <c r="M79" i="6"/>
  <c r="F80" i="6"/>
  <c r="G81" i="6"/>
  <c r="H82" i="6"/>
  <c r="I83" i="6"/>
  <c r="J84" i="6"/>
  <c r="K85" i="6"/>
  <c r="L86" i="6"/>
  <c r="M80" i="6"/>
  <c r="F81" i="6"/>
  <c r="G82" i="6"/>
  <c r="H83" i="6"/>
  <c r="I84" i="6"/>
  <c r="J85" i="6"/>
  <c r="K86" i="6"/>
  <c r="L87" i="6"/>
  <c r="M81" i="6"/>
  <c r="F82" i="6"/>
  <c r="G83" i="6"/>
  <c r="H84" i="6"/>
  <c r="I85" i="6"/>
  <c r="J86" i="6"/>
  <c r="K87" i="6"/>
  <c r="L88" i="6"/>
  <c r="M82" i="6"/>
  <c r="F83" i="6"/>
  <c r="G84" i="6"/>
  <c r="H85" i="6"/>
  <c r="I86" i="6"/>
  <c r="J87" i="6"/>
  <c r="K88" i="6"/>
  <c r="L89" i="6"/>
  <c r="M83" i="6"/>
  <c r="F84" i="6"/>
  <c r="G85" i="6"/>
  <c r="H86" i="6"/>
  <c r="I87" i="6"/>
  <c r="J88" i="6"/>
  <c r="K89" i="6"/>
  <c r="L90" i="6"/>
  <c r="M84" i="6"/>
  <c r="F85" i="6"/>
  <c r="G86" i="6"/>
  <c r="H87" i="6"/>
  <c r="I88" i="6"/>
  <c r="J89" i="6"/>
  <c r="K90" i="6"/>
  <c r="L91" i="6"/>
  <c r="M85" i="6"/>
  <c r="F86" i="6"/>
  <c r="G87" i="6"/>
  <c r="H88" i="6"/>
  <c r="I89" i="6"/>
  <c r="J90" i="6"/>
  <c r="K91" i="6"/>
  <c r="L92" i="6"/>
  <c r="M86" i="6"/>
  <c r="F87" i="6"/>
  <c r="G88" i="6"/>
  <c r="H89" i="6"/>
  <c r="I90" i="6"/>
  <c r="J91" i="6"/>
  <c r="K92" i="6"/>
  <c r="L93" i="6"/>
  <c r="M87" i="6"/>
  <c r="F88" i="6"/>
  <c r="G89" i="6"/>
  <c r="H90" i="6"/>
  <c r="I91" i="6"/>
  <c r="J92" i="6"/>
  <c r="K93" i="6"/>
  <c r="L94" i="6"/>
  <c r="M88" i="6"/>
  <c r="F89" i="6"/>
  <c r="G90" i="6"/>
  <c r="H91" i="6"/>
  <c r="I92" i="6"/>
  <c r="J93" i="6"/>
  <c r="K94" i="6"/>
  <c r="L95" i="6"/>
  <c r="M89" i="6"/>
  <c r="F90" i="6"/>
  <c r="G91" i="6"/>
  <c r="H92" i="6"/>
  <c r="I93" i="6"/>
  <c r="J94" i="6"/>
  <c r="K95" i="6"/>
  <c r="L96" i="6"/>
  <c r="M90" i="6"/>
  <c r="F91" i="6"/>
  <c r="G92" i="6"/>
  <c r="H93" i="6"/>
  <c r="I94" i="6"/>
  <c r="J95" i="6"/>
  <c r="K96" i="6"/>
  <c r="L97" i="6"/>
  <c r="M91" i="6"/>
  <c r="F92" i="6"/>
  <c r="G93" i="6"/>
  <c r="H94" i="6"/>
  <c r="I95" i="6"/>
  <c r="J96" i="6"/>
  <c r="K97" i="6"/>
  <c r="L98" i="6"/>
  <c r="M92" i="6"/>
  <c r="F93" i="6"/>
  <c r="G94" i="6"/>
  <c r="H95" i="6"/>
  <c r="I96" i="6"/>
  <c r="J97" i="6"/>
  <c r="K98" i="6"/>
  <c r="L99" i="6"/>
  <c r="M93" i="6"/>
  <c r="F94" i="6"/>
  <c r="G95" i="6"/>
  <c r="H96" i="6"/>
  <c r="I97" i="6"/>
  <c r="J98" i="6"/>
  <c r="K99" i="6"/>
  <c r="L100" i="6"/>
  <c r="M94" i="6"/>
  <c r="F95" i="6"/>
  <c r="G96" i="6"/>
  <c r="H97" i="6"/>
  <c r="I98" i="6"/>
  <c r="J99" i="6"/>
  <c r="K100" i="6"/>
  <c r="L101" i="6"/>
  <c r="M95" i="6"/>
  <c r="F96" i="6"/>
  <c r="G97" i="6"/>
  <c r="H98" i="6"/>
  <c r="I99" i="6"/>
  <c r="J100" i="6"/>
  <c r="K101" i="6"/>
  <c r="L102" i="6"/>
  <c r="M96" i="6"/>
  <c r="F97" i="6"/>
  <c r="G98" i="6"/>
  <c r="H99" i="6"/>
  <c r="I100" i="6"/>
  <c r="J101" i="6"/>
  <c r="K102" i="6"/>
  <c r="L103" i="6"/>
  <c r="M97" i="6"/>
  <c r="F98" i="6"/>
  <c r="G99" i="6"/>
  <c r="H100" i="6"/>
  <c r="I101" i="6"/>
  <c r="J102" i="6"/>
  <c r="K103" i="6"/>
  <c r="L104" i="6"/>
  <c r="M98" i="6"/>
  <c r="F99" i="6"/>
  <c r="G100" i="6"/>
  <c r="H101" i="6"/>
  <c r="I102" i="6"/>
  <c r="J103" i="6"/>
  <c r="K104" i="6"/>
  <c r="L105" i="6"/>
  <c r="M99" i="6"/>
  <c r="F100" i="6"/>
  <c r="G101" i="6"/>
  <c r="H102" i="6"/>
  <c r="I103" i="6"/>
  <c r="J104" i="6"/>
  <c r="K105" i="6"/>
  <c r="L106" i="6"/>
  <c r="M100" i="6"/>
  <c r="F101" i="6"/>
  <c r="G102" i="6"/>
  <c r="H103" i="6"/>
  <c r="I104" i="6"/>
  <c r="J105" i="6"/>
  <c r="K106" i="6"/>
  <c r="L107" i="6"/>
  <c r="M101" i="6"/>
  <c r="F102" i="6"/>
  <c r="G103" i="6"/>
  <c r="H104" i="6"/>
  <c r="I105" i="6"/>
  <c r="J106" i="6"/>
  <c r="K107" i="6"/>
  <c r="L108" i="6"/>
  <c r="M102" i="6"/>
  <c r="F103" i="6"/>
  <c r="G104" i="6"/>
  <c r="H105" i="6"/>
  <c r="I106" i="6"/>
  <c r="J107" i="6"/>
  <c r="K108" i="6"/>
  <c r="L109" i="6"/>
  <c r="M103" i="6"/>
  <c r="F104" i="6"/>
  <c r="G105" i="6"/>
  <c r="H106" i="6"/>
  <c r="I107" i="6"/>
  <c r="J108" i="6"/>
  <c r="K109" i="6"/>
  <c r="L110" i="6"/>
  <c r="M104" i="6"/>
  <c r="F105" i="6"/>
  <c r="G106" i="6"/>
  <c r="H107" i="6"/>
  <c r="I108" i="6"/>
  <c r="J109" i="6"/>
  <c r="K110" i="6"/>
  <c r="L111" i="6"/>
  <c r="M105" i="6"/>
  <c r="F106" i="6"/>
  <c r="G107" i="6"/>
  <c r="H108" i="6"/>
  <c r="I109" i="6"/>
  <c r="J110" i="6"/>
  <c r="K111" i="6"/>
  <c r="L112" i="6"/>
  <c r="M106" i="6"/>
  <c r="F107" i="6"/>
  <c r="G108" i="6"/>
  <c r="H109" i="6"/>
  <c r="I110" i="6"/>
  <c r="J111" i="6"/>
  <c r="K112" i="6"/>
  <c r="L113" i="6"/>
  <c r="M107" i="6"/>
  <c r="F108" i="6"/>
  <c r="G109" i="6"/>
  <c r="H110" i="6"/>
  <c r="I111" i="6"/>
  <c r="J112" i="6"/>
  <c r="K113" i="6"/>
  <c r="L114" i="6"/>
  <c r="M108" i="6"/>
  <c r="F109" i="6"/>
  <c r="G110" i="6"/>
  <c r="H111" i="6"/>
  <c r="I112" i="6"/>
  <c r="J113" i="6"/>
  <c r="K114" i="6"/>
  <c r="L115" i="6"/>
  <c r="M109" i="6"/>
  <c r="F110" i="6"/>
  <c r="G111" i="6"/>
  <c r="H112" i="6"/>
  <c r="I113" i="6"/>
  <c r="J114" i="6"/>
  <c r="K115" i="6"/>
  <c r="L116" i="6"/>
  <c r="M110" i="6"/>
  <c r="F111" i="6"/>
  <c r="G112" i="6"/>
  <c r="H113" i="6"/>
  <c r="I114" i="6"/>
  <c r="J115" i="6"/>
  <c r="K116" i="6"/>
  <c r="L117" i="6"/>
  <c r="M111" i="6"/>
  <c r="F112" i="6"/>
  <c r="G113" i="6"/>
  <c r="H114" i="6"/>
  <c r="I115" i="6"/>
  <c r="J116" i="6"/>
  <c r="K117" i="6"/>
  <c r="L118" i="6"/>
  <c r="M112" i="6"/>
  <c r="F113" i="6"/>
  <c r="G114" i="6"/>
  <c r="H115" i="6"/>
  <c r="I116" i="6"/>
  <c r="J117" i="6"/>
  <c r="K118" i="6"/>
  <c r="L119" i="6"/>
  <c r="M113" i="6"/>
  <c r="F114" i="6"/>
  <c r="G115" i="6"/>
  <c r="H116" i="6"/>
  <c r="I117" i="6"/>
  <c r="J118" i="6"/>
  <c r="K119" i="6"/>
  <c r="L120" i="6"/>
  <c r="M114" i="6"/>
  <c r="F115" i="6"/>
  <c r="G116" i="6"/>
  <c r="H117" i="6"/>
  <c r="I118" i="6"/>
  <c r="J119" i="6"/>
  <c r="K120" i="6"/>
  <c r="L121" i="6"/>
  <c r="M115" i="6"/>
  <c r="F116" i="6"/>
  <c r="G117" i="6"/>
  <c r="H118" i="6"/>
  <c r="I119" i="6"/>
  <c r="J120" i="6"/>
  <c r="K121" i="6"/>
  <c r="L122" i="6"/>
  <c r="M116" i="6"/>
  <c r="F117" i="6"/>
  <c r="G118" i="6"/>
  <c r="H119" i="6"/>
  <c r="I120" i="6"/>
  <c r="J121" i="6"/>
  <c r="K122" i="6"/>
  <c r="L123" i="6"/>
  <c r="M117" i="6"/>
  <c r="F118" i="6"/>
  <c r="G119" i="6"/>
  <c r="H120" i="6"/>
  <c r="I121" i="6"/>
  <c r="J122" i="6"/>
  <c r="K123" i="6"/>
  <c r="L124" i="6"/>
  <c r="M118" i="6"/>
  <c r="F119" i="6"/>
  <c r="G120" i="6"/>
  <c r="H121" i="6"/>
  <c r="I122" i="6"/>
  <c r="J123" i="6"/>
  <c r="K124" i="6"/>
  <c r="L125" i="6"/>
  <c r="M119" i="6"/>
  <c r="F120" i="6"/>
  <c r="G121" i="6"/>
  <c r="H122" i="6"/>
  <c r="I123" i="6"/>
  <c r="J124" i="6"/>
  <c r="K125" i="6"/>
  <c r="L126" i="6"/>
  <c r="M120" i="6"/>
  <c r="F121" i="6"/>
  <c r="M121" i="6"/>
  <c r="F122" i="6"/>
  <c r="G122" i="6"/>
  <c r="M122" i="6"/>
  <c r="F123" i="6"/>
  <c r="G123" i="6"/>
  <c r="H123" i="6"/>
  <c r="M123" i="6"/>
  <c r="F124" i="6"/>
  <c r="G124" i="6"/>
  <c r="H124" i="6"/>
  <c r="I124" i="6"/>
  <c r="M124" i="6"/>
  <c r="F125" i="6"/>
  <c r="G125" i="6"/>
  <c r="H125" i="6"/>
  <c r="I125" i="6"/>
  <c r="J125" i="6"/>
  <c r="M125" i="6"/>
  <c r="F126" i="6"/>
  <c r="G127" i="6"/>
  <c r="G126" i="6"/>
  <c r="H127" i="6"/>
  <c r="H126" i="6"/>
  <c r="I127" i="6"/>
  <c r="I126" i="6"/>
  <c r="J127" i="6"/>
  <c r="J126" i="6"/>
  <c r="K127" i="6"/>
  <c r="K126" i="6"/>
  <c r="L127" i="6"/>
  <c r="M126" i="6"/>
  <c r="F127" i="6"/>
  <c r="M127" i="6"/>
  <c r="N27" i="6"/>
  <c r="C9" i="6"/>
  <c r="B18" i="2"/>
  <c r="B19" i="2"/>
  <c r="C26" i="2"/>
  <c r="B17" i="2"/>
  <c r="C27" i="2"/>
  <c r="C41" i="2"/>
  <c r="C30" i="2"/>
  <c r="C33" i="2"/>
  <c r="C29" i="2"/>
  <c r="B26" i="2"/>
  <c r="C32" i="2"/>
  <c r="B27" i="2"/>
  <c r="C40" i="2"/>
  <c r="B32" i="2"/>
  <c r="B33" i="2"/>
  <c r="B40" i="2"/>
  <c r="B41" i="2"/>
  <c r="B30" i="2"/>
  <c r="H29" i="2"/>
  <c r="B29" i="2"/>
  <c r="G29" i="2"/>
  <c r="B15" i="2"/>
  <c r="B34" i="2" a="1"/>
  <c r="B34" i="2"/>
  <c r="C34" i="2"/>
  <c r="B35" i="2"/>
  <c r="C35" i="2"/>
  <c r="B42" i="2" a="1"/>
  <c r="B42" i="2"/>
  <c r="C42" i="2"/>
  <c r="B43" i="2"/>
  <c r="C43" i="2"/>
  <c r="B45" i="2" a="1"/>
  <c r="B45" i="2"/>
  <c r="B46" i="2"/>
  <c r="C45" i="2"/>
  <c r="C46" i="2"/>
  <c r="B37" i="2" a="1"/>
  <c r="B37" i="2"/>
  <c r="B38" i="2"/>
  <c r="C37" i="2"/>
  <c r="C38" i="2"/>
</calcChain>
</file>

<file path=xl/sharedStrings.xml><?xml version="1.0" encoding="utf-8"?>
<sst xmlns="http://schemas.openxmlformats.org/spreadsheetml/2006/main" count="243" uniqueCount="106">
  <si>
    <t>B</t>
  </si>
  <si>
    <t>M</t>
  </si>
  <si>
    <t>f_1</t>
  </si>
  <si>
    <t>f_2</t>
  </si>
  <si>
    <t>Z</t>
  </si>
  <si>
    <t>C_1</t>
  </si>
  <si>
    <t>C_2</t>
  </si>
  <si>
    <t>Catch</t>
  </si>
  <si>
    <t>F</t>
  </si>
  <si>
    <t>J</t>
  </si>
  <si>
    <t>invJ</t>
  </si>
  <si>
    <t>delta</t>
  </si>
  <si>
    <t>fx</t>
  </si>
  <si>
    <t>Fiter</t>
  </si>
  <si>
    <t>B*F1*EXP(-M-F1-F2-F3)/(M+F1+F2+F3)+B*F1*(1-EXP(-M-F1-F2-F3))/(M+F1+F2+F3)^2</t>
  </si>
  <si>
    <t>ro</t>
  </si>
  <si>
    <t>h</t>
  </si>
  <si>
    <t>m</t>
  </si>
  <si>
    <t>vbk</t>
  </si>
  <si>
    <t>Age</t>
  </si>
  <si>
    <t>wa</t>
  </si>
  <si>
    <t>fa</t>
  </si>
  <si>
    <t>lx</t>
  </si>
  <si>
    <t>va</t>
  </si>
  <si>
    <t>V</t>
  </si>
  <si>
    <t>lz</t>
  </si>
  <si>
    <t>lz'</t>
  </si>
  <si>
    <t>fe1</t>
  </si>
  <si>
    <t>fe2</t>
  </si>
  <si>
    <t>dh</t>
  </si>
  <si>
    <t>fe</t>
  </si>
  <si>
    <t>dlz/df</t>
  </si>
  <si>
    <t>fe+dh</t>
  </si>
  <si>
    <t>dlz/df1</t>
  </si>
  <si>
    <t>dlz/df2</t>
  </si>
  <si>
    <t>za</t>
  </si>
  <si>
    <t xml:space="preserve"> </t>
  </si>
  <si>
    <t>phie</t>
  </si>
  <si>
    <t>phif</t>
  </si>
  <si>
    <t>qa</t>
  </si>
  <si>
    <t>Q</t>
  </si>
  <si>
    <t>phiq</t>
  </si>
  <si>
    <t>ah</t>
  </si>
  <si>
    <t>dphiq</t>
  </si>
  <si>
    <t>dq/df1</t>
  </si>
  <si>
    <t>dq/df2</t>
  </si>
  <si>
    <t>dre</t>
  </si>
  <si>
    <t>reck</t>
  </si>
  <si>
    <t>dphif</t>
  </si>
  <si>
    <t>f</t>
  </si>
  <si>
    <t>Ye</t>
  </si>
  <si>
    <t>re</t>
  </si>
  <si>
    <t>Jacobian</t>
  </si>
  <si>
    <t>dYe</t>
  </si>
  <si>
    <t>fiter</t>
  </si>
  <si>
    <t>Dye</t>
  </si>
  <si>
    <t>ddphiq</t>
  </si>
  <si>
    <t>ddre</t>
  </si>
  <si>
    <t>ddlz/df1</t>
  </si>
  <si>
    <t>ddlz/df2</t>
  </si>
  <si>
    <t>sa</t>
  </si>
  <si>
    <t>oa</t>
  </si>
  <si>
    <t>ddq/df1</t>
  </si>
  <si>
    <t>ddq/df2</t>
  </si>
  <si>
    <t>ddphif</t>
  </si>
  <si>
    <t>dta</t>
  </si>
  <si>
    <t>lz''</t>
  </si>
  <si>
    <t>fe-dh</t>
  </si>
  <si>
    <t>ak</t>
  </si>
  <si>
    <t>pk</t>
  </si>
  <si>
    <t>lambda</t>
  </si>
  <si>
    <t>fi</t>
  </si>
  <si>
    <t>lYe</t>
  </si>
  <si>
    <t>dlYe_df</t>
  </si>
  <si>
    <t>Sum</t>
  </si>
  <si>
    <t>dlam</t>
  </si>
  <si>
    <t>age</t>
  </si>
  <si>
    <t>kappa</t>
  </si>
  <si>
    <t>dlz</t>
  </si>
  <si>
    <t>dlz'</t>
  </si>
  <si>
    <t>dqa</t>
  </si>
  <si>
    <t>ye</t>
  </si>
  <si>
    <t>dye</t>
  </si>
  <si>
    <t>dfe</t>
  </si>
  <si>
    <t>p</t>
  </si>
  <si>
    <t>na</t>
  </si>
  <si>
    <t>Ct</t>
  </si>
  <si>
    <t>ft</t>
  </si>
  <si>
    <t>ca</t>
  </si>
  <si>
    <t>Chat</t>
  </si>
  <si>
    <t>zf</t>
  </si>
  <si>
    <t>feh</t>
  </si>
  <si>
    <t>fem</t>
  </si>
  <si>
    <t>d2lz</t>
  </si>
  <si>
    <t>d2lz'</t>
  </si>
  <si>
    <t>lw</t>
  </si>
  <si>
    <t>dlw</t>
  </si>
  <si>
    <t>Year</t>
  </si>
  <si>
    <t>Sb</t>
  </si>
  <si>
    <t>so</t>
  </si>
  <si>
    <t>beta</t>
  </si>
  <si>
    <t>Sbe</t>
  </si>
  <si>
    <t>SB</t>
  </si>
  <si>
    <t>Sbo</t>
  </si>
  <si>
    <t>Sbi</t>
  </si>
  <si>
    <t>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</si>
</sst>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11" fontId="0" fillId="0" borderId="0" xfId="0" applyNumberFormat="1"/>
    <xf numFmtId="0" fontId="1" fillId="6" borderId="0" xfId="53"/>
    <xf numFmtId="0" fontId="1" fillId="7" borderId="0" xfId="54"/>
    <xf numFmtId="0" fontId="5" fillId="2" borderId="0" xfId="49"/>
    <xf numFmtId="0" fontId="7" fillId="4" borderId="1" xfId="51"/>
    <xf numFmtId="0" fontId="6" fillId="3" borderId="0" xfId="50"/>
    <xf numFmtId="2" fontId="0" fillId="0" borderId="0" xfId="0" applyNumberFormat="1"/>
    <xf numFmtId="0" fontId="1" fillId="5" borderId="0" xfId="52"/>
    <xf numFmtId="2" fontId="7" fillId="4" borderId="1" xfId="51" applyNumberFormat="1"/>
  </cellXfs>
  <cellStyles count="335">
    <cellStyle name="20% - Accent1" xfId="52" builtinId="30"/>
    <cellStyle name="20% - Accent4" xfId="53" builtinId="42"/>
    <cellStyle name="20% - Accent6" xfId="54" builtinId="50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Good" xfId="4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Input" xfId="51" builtinId="20"/>
    <cellStyle name="Neutral" xfId="50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Sheet2!$G$6:$Z$6</c:f>
              <c:numCache>
                <c:formatCode>General</c:formatCode>
                <c:ptCount val="20"/>
                <c:pt idx="0">
                  <c:v>0.0003493161923391</c:v>
                </c:pt>
                <c:pt idx="1">
                  <c:v>0.0026823732796317</c:v>
                </c:pt>
                <c:pt idx="2">
                  <c:v>0.0202816018270946</c:v>
                </c:pt>
                <c:pt idx="3">
                  <c:v>0.137437932448154</c:v>
                </c:pt>
                <c:pt idx="4">
                  <c:v>0.550844062184243</c:v>
                </c:pt>
                <c:pt idx="5">
                  <c:v>0.904209534038349</c:v>
                </c:pt>
                <c:pt idx="6">
                  <c:v>0.986423083056256</c:v>
                </c:pt>
                <c:pt idx="7">
                  <c:v>0.998214964975444</c:v>
                </c:pt>
                <c:pt idx="8">
                  <c:v>0.999767722839711</c:v>
                </c:pt>
                <c:pt idx="9">
                  <c:v>0.999969815845295</c:v>
                </c:pt>
                <c:pt idx="10">
                  <c:v>0.999996078292897</c:v>
                </c:pt>
                <c:pt idx="11">
                  <c:v>0.999999490479845</c:v>
                </c:pt>
                <c:pt idx="12">
                  <c:v>0.999999933801783</c:v>
                </c:pt>
                <c:pt idx="13">
                  <c:v>0.999999991399355</c:v>
                </c:pt>
                <c:pt idx="14">
                  <c:v>0.999999998882582</c:v>
                </c:pt>
                <c:pt idx="15">
                  <c:v>0.999999999854822</c:v>
                </c:pt>
                <c:pt idx="16">
                  <c:v>0.999999999981138</c:v>
                </c:pt>
                <c:pt idx="17">
                  <c:v>0.999999999997549</c:v>
                </c:pt>
                <c:pt idx="18">
                  <c:v>0.999999999999682</c:v>
                </c:pt>
                <c:pt idx="19">
                  <c:v>0.999999999999959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Sheet2!$G$7:$Z$7</c:f>
              <c:numCache>
                <c:formatCode>General</c:formatCode>
                <c:ptCount val="20"/>
                <c:pt idx="0">
                  <c:v>0.000335350130466478</c:v>
                </c:pt>
                <c:pt idx="1">
                  <c:v>0.00247262315663477</c:v>
                </c:pt>
                <c:pt idx="2">
                  <c:v>0.0179862099620916</c:v>
                </c:pt>
                <c:pt idx="3">
                  <c:v>0.119202922022118</c:v>
                </c:pt>
                <c:pt idx="4">
                  <c:v>0.5</c:v>
                </c:pt>
                <c:pt idx="5">
                  <c:v>0.880797077977882</c:v>
                </c:pt>
                <c:pt idx="6">
                  <c:v>0.982013790037908</c:v>
                </c:pt>
                <c:pt idx="7">
                  <c:v>0.997527376843365</c:v>
                </c:pt>
                <c:pt idx="8">
                  <c:v>0.999664649869534</c:v>
                </c:pt>
                <c:pt idx="9">
                  <c:v>0.999954602131298</c:v>
                </c:pt>
                <c:pt idx="10">
                  <c:v>0.999993855825398</c:v>
                </c:pt>
                <c:pt idx="11">
                  <c:v>0.999999168471972</c:v>
                </c:pt>
                <c:pt idx="12">
                  <c:v>0.999999887464838</c:v>
                </c:pt>
                <c:pt idx="13">
                  <c:v>0.99999998477002</c:v>
                </c:pt>
                <c:pt idx="14">
                  <c:v>0.999999997938846</c:v>
                </c:pt>
                <c:pt idx="15">
                  <c:v>0.999999999721053</c:v>
                </c:pt>
                <c:pt idx="16">
                  <c:v>0.999999999962249</c:v>
                </c:pt>
                <c:pt idx="17">
                  <c:v>0.999999999994891</c:v>
                </c:pt>
                <c:pt idx="18">
                  <c:v>0.999999999999309</c:v>
                </c:pt>
                <c:pt idx="19">
                  <c:v>0.999999999999906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701512"/>
        <c:axId val="2088703304"/>
      </c:lineChart>
      <c:catAx>
        <c:axId val="20887015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8703304"/>
        <c:crosses val="autoZero"/>
        <c:auto val="1"/>
        <c:lblAlgn val="ctr"/>
        <c:lblOffset val="100"/>
        <c:noMultiLvlLbl val="0"/>
      </c:catAx>
      <c:valAx>
        <c:axId val="2088703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8701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Allocation!$G$6:$Z$6</c:f>
              <c:numCache>
                <c:formatCode>General</c:formatCode>
                <c:ptCount val="20"/>
                <c:pt idx="0">
                  <c:v>0.208608527326045</c:v>
                </c:pt>
                <c:pt idx="1">
                  <c:v>0.339243631234183</c:v>
                </c:pt>
                <c:pt idx="2">
                  <c:v>0.5</c:v>
                </c:pt>
                <c:pt idx="3">
                  <c:v>0.660756368765817</c:v>
                </c:pt>
                <c:pt idx="4">
                  <c:v>0.791391472673955</c:v>
                </c:pt>
                <c:pt idx="5">
                  <c:v>0.880797077977882</c:v>
                </c:pt>
                <c:pt idx="6">
                  <c:v>0.935030830871336</c:v>
                </c:pt>
                <c:pt idx="7">
                  <c:v>0.965554804333789</c:v>
                </c:pt>
                <c:pt idx="8">
                  <c:v>0.982013790037908</c:v>
                </c:pt>
                <c:pt idx="9">
                  <c:v>0.990684040654933</c:v>
                </c:pt>
                <c:pt idx="10">
                  <c:v>0.99519524711284</c:v>
                </c:pt>
                <c:pt idx="11">
                  <c:v>0.997527376843365</c:v>
                </c:pt>
                <c:pt idx="12">
                  <c:v>0.998728983736919</c:v>
                </c:pt>
                <c:pt idx="13">
                  <c:v>0.999347034662447</c:v>
                </c:pt>
                <c:pt idx="14">
                  <c:v>0.999664649869534</c:v>
                </c:pt>
                <c:pt idx="15">
                  <c:v>0.999827797402881</c:v>
                </c:pt>
                <c:pt idx="16">
                  <c:v>0.999911580829981</c:v>
                </c:pt>
                <c:pt idx="17">
                  <c:v>0.999954602131298</c:v>
                </c:pt>
                <c:pt idx="18">
                  <c:v>0.999976691442158</c:v>
                </c:pt>
                <c:pt idx="19">
                  <c:v>0.999988032851658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Allocation!$G$7:$Z$7</c:f>
              <c:numCache>
                <c:formatCode>General</c:formatCode>
                <c:ptCount val="20"/>
                <c:pt idx="0">
                  <c:v>0.182425523806356</c:v>
                </c:pt>
                <c:pt idx="1">
                  <c:v>0.268941421369995</c:v>
                </c:pt>
                <c:pt idx="2">
                  <c:v>0.377540668798145</c:v>
                </c:pt>
                <c:pt idx="3">
                  <c:v>0.5</c:v>
                </c:pt>
                <c:pt idx="4">
                  <c:v>0.622459331201854</c:v>
                </c:pt>
                <c:pt idx="5">
                  <c:v>0.731058578630005</c:v>
                </c:pt>
                <c:pt idx="6">
                  <c:v>0.817574476193644</c:v>
                </c:pt>
                <c:pt idx="7">
                  <c:v>0.880797077977882</c:v>
                </c:pt>
                <c:pt idx="8">
                  <c:v>0.924141819978757</c:v>
                </c:pt>
                <c:pt idx="9">
                  <c:v>0.952574126822433</c:v>
                </c:pt>
                <c:pt idx="10">
                  <c:v>0.970687769248644</c:v>
                </c:pt>
                <c:pt idx="11">
                  <c:v>0.982013790037908</c:v>
                </c:pt>
                <c:pt idx="12">
                  <c:v>0.989013057369407</c:v>
                </c:pt>
                <c:pt idx="13">
                  <c:v>0.993307149075715</c:v>
                </c:pt>
                <c:pt idx="14">
                  <c:v>0.995929862284104</c:v>
                </c:pt>
                <c:pt idx="15">
                  <c:v>0.997527376843365</c:v>
                </c:pt>
                <c:pt idx="16">
                  <c:v>0.998498817743263</c:v>
                </c:pt>
                <c:pt idx="17">
                  <c:v>0.999088948805599</c:v>
                </c:pt>
                <c:pt idx="18">
                  <c:v>0.999447221363076</c:v>
                </c:pt>
                <c:pt idx="19">
                  <c:v>0.999664649869534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880184"/>
        <c:axId val="2087877192"/>
      </c:lineChart>
      <c:catAx>
        <c:axId val="20878801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877192"/>
        <c:crosses val="autoZero"/>
        <c:auto val="1"/>
        <c:lblAlgn val="ctr"/>
        <c:lblOffset val="100"/>
        <c:noMultiLvlLbl val="0"/>
      </c:catAx>
      <c:valAx>
        <c:axId val="2087877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7880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SingleFleet!$E$27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SingleFleet!$E$28:$E$63</c:f>
              <c:numCache>
                <c:formatCode>General</c:formatCode>
                <c:ptCount val="36"/>
                <c:pt idx="0">
                  <c:v>0.0</c:v>
                </c:pt>
                <c:pt idx="1">
                  <c:v>84.6733186391163</c:v>
                </c:pt>
                <c:pt idx="2">
                  <c:v>145.486691835346</c:v>
                </c:pt>
                <c:pt idx="3">
                  <c:v>189.8141998668783</c:v>
                </c:pt>
                <c:pt idx="4">
                  <c:v>222.4964479982027</c:v>
                </c:pt>
                <c:pt idx="5">
                  <c:v>246.7998562069268</c:v>
                </c:pt>
                <c:pt idx="6">
                  <c:v>264.9800794387135</c:v>
                </c:pt>
                <c:pt idx="7">
                  <c:v>278.6257329618472</c:v>
                </c:pt>
                <c:pt idx="8">
                  <c:v>288.8748251909676</c:v>
                </c:pt>
                <c:pt idx="9">
                  <c:v>296.554741949003</c:v>
                </c:pt>
                <c:pt idx="10">
                  <c:v>302.2749033095533</c:v>
                </c:pt>
                <c:pt idx="11">
                  <c:v>306.4893481407571</c:v>
                </c:pt>
                <c:pt idx="12">
                  <c:v>309.5397722585543</c:v>
                </c:pt>
                <c:pt idx="13">
                  <c:v>311.6856052438602</c:v>
                </c:pt>
                <c:pt idx="14">
                  <c:v>313.1253378321206</c:v>
                </c:pt>
                <c:pt idx="15">
                  <c:v>314.011847372863</c:v>
                </c:pt>
                <c:pt idx="16">
                  <c:v>314.4635454718704</c:v>
                </c:pt>
                <c:pt idx="17">
                  <c:v>314.5725783444104</c:v>
                </c:pt>
                <c:pt idx="18">
                  <c:v>314.4109221386668</c:v>
                </c:pt>
                <c:pt idx="19">
                  <c:v>314.0349574752166</c:v>
                </c:pt>
                <c:pt idx="20">
                  <c:v>313.4889334988941</c:v>
                </c:pt>
                <c:pt idx="21">
                  <c:v>312.807612896142</c:v>
                </c:pt>
                <c:pt idx="22">
                  <c:v>312.0183071329442</c:v>
                </c:pt>
                <c:pt idx="23">
                  <c:v>311.142453663556</c:v>
                </c:pt>
                <c:pt idx="24">
                  <c:v>310.1968461999238</c:v>
                </c:pt>
                <c:pt idx="25">
                  <c:v>309.1946000938198</c:v>
                </c:pt>
                <c:pt idx="26">
                  <c:v>308.1459139509634</c:v>
                </c:pt>
                <c:pt idx="27">
                  <c:v>307.0586733725718</c:v>
                </c:pt>
                <c:pt idx="28">
                  <c:v>305.9389315549321</c:v>
                </c:pt>
                <c:pt idx="29">
                  <c:v>304.7912932241134</c:v>
                </c:pt>
                <c:pt idx="30">
                  <c:v>303.6192222352232</c:v>
                </c:pt>
                <c:pt idx="31">
                  <c:v>302.4252885529195</c:v>
                </c:pt>
                <c:pt idx="32">
                  <c:v>301.2113668446319</c:v>
                </c:pt>
                <c:pt idx="33">
                  <c:v>299.9787962666496</c:v>
                </c:pt>
                <c:pt idx="34">
                  <c:v>298.7285089930171</c:v>
                </c:pt>
                <c:pt idx="35">
                  <c:v>297.4611334725772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829352"/>
        <c:axId val="2087826360"/>
      </c:scatterChart>
      <c:scatterChart>
        <c:scatterStyle val="smoothMarker"/>
        <c:varyColors val="0"/>
        <c:ser>
          <c:idx val="1"/>
          <c:order val="1"/>
          <c:tx>
            <c:strRef>
              <c:f>SingleFleet!$F$27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SingleFleet!$F$28:$F$63</c:f>
              <c:numCache>
                <c:formatCode>General</c:formatCode>
                <c:ptCount val="36"/>
                <c:pt idx="0">
                  <c:v>3999.904904533837</c:v>
                </c:pt>
                <c:pt idx="1">
                  <c:v>2849.832914761706</c:v>
                </c:pt>
                <c:pt idx="2">
                  <c:v>2064.477939139211</c:v>
                </c:pt>
                <c:pt idx="3">
                  <c:v>1515.092612013886</c:v>
                </c:pt>
                <c:pt idx="4">
                  <c:v>1123.033114601484</c:v>
                </c:pt>
                <c:pt idx="5">
                  <c:v>838.513406116324</c:v>
                </c:pt>
                <c:pt idx="6">
                  <c:v>629.0696712154138</c:v>
                </c:pt>
                <c:pt idx="7">
                  <c:v>472.9971546996811</c:v>
                </c:pt>
                <c:pt idx="8">
                  <c:v>355.4686025649578</c:v>
                </c:pt>
                <c:pt idx="9">
                  <c:v>266.1626795278916</c:v>
                </c:pt>
                <c:pt idx="10">
                  <c:v>197.7741408259002</c:v>
                </c:pt>
                <c:pt idx="11">
                  <c:v>145.055138977368</c:v>
                </c:pt>
                <c:pt idx="12">
                  <c:v>104.1851556287181</c:v>
                </c:pt>
                <c:pt idx="13">
                  <c:v>72.34907829274405</c:v>
                </c:pt>
                <c:pt idx="14">
                  <c:v>47.44986858925816</c:v>
                </c:pt>
                <c:pt idx="15">
                  <c:v>27.90988376186176</c:v>
                </c:pt>
                <c:pt idx="16">
                  <c:v>12.53157348863516</c:v>
                </c:pt>
                <c:pt idx="17">
                  <c:v>0.398549692445243</c:v>
                </c:pt>
                <c:pt idx="18">
                  <c:v>-9.195508461303163</c:v>
                </c:pt>
                <c:pt idx="19">
                  <c:v>-16.79851205402676</c:v>
                </c:pt>
                <c:pt idx="20">
                  <c:v>-22.83788510500034</c:v>
                </c:pt>
                <c:pt idx="21">
                  <c:v>-27.64867464334061</c:v>
                </c:pt>
                <c:pt idx="22">
                  <c:v>-31.49457773124887</c:v>
                </c:pt>
                <c:pt idx="23">
                  <c:v>-34.58380600527994</c:v>
                </c:pt>
                <c:pt idx="24">
                  <c:v>-37.08115301516085</c:v>
                </c:pt>
                <c:pt idx="25">
                  <c:v>-39.11724429078185</c:v>
                </c:pt>
                <c:pt idx="26">
                  <c:v>-40.7956798893991</c:v>
                </c:pt>
                <c:pt idx="27">
                  <c:v>-42.198587912196</c:v>
                </c:pt>
                <c:pt idx="28">
                  <c:v>-43.39097085017242</c:v>
                </c:pt>
                <c:pt idx="29">
                  <c:v>-44.42412818114092</c:v>
                </c:pt>
                <c:pt idx="30">
                  <c:v>-45.33836714253585</c:v>
                </c:pt>
                <c:pt idx="31">
                  <c:v>-46.16516127665454</c:v>
                </c:pt>
                <c:pt idx="32">
                  <c:v>-46.92887776675444</c:v>
                </c:pt>
                <c:pt idx="33">
                  <c:v>-47.6481659429586</c:v>
                </c:pt>
                <c:pt idx="34">
                  <c:v>-48.33707793362102</c:v>
                </c:pt>
                <c:pt idx="35">
                  <c:v>-49.00597633950062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820024"/>
        <c:axId val="2087823320"/>
      </c:scatterChart>
      <c:valAx>
        <c:axId val="2087829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826360"/>
        <c:crosses val="autoZero"/>
        <c:crossBetween val="midCat"/>
      </c:valAx>
      <c:valAx>
        <c:axId val="2087826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7829352"/>
        <c:crosses val="autoZero"/>
        <c:crossBetween val="midCat"/>
      </c:valAx>
      <c:valAx>
        <c:axId val="2087823320"/>
        <c:scaling>
          <c:orientation val="minMax"/>
          <c:max val="50.0"/>
          <c:min val="-50.0"/>
        </c:scaling>
        <c:delete val="0"/>
        <c:axPos val="r"/>
        <c:numFmt formatCode="General" sourceLinked="1"/>
        <c:majorTickMark val="out"/>
        <c:minorTickMark val="none"/>
        <c:tickLblPos val="nextTo"/>
        <c:crossAx val="2087820024"/>
        <c:crosses val="max"/>
        <c:crossBetween val="midCat"/>
      </c:valAx>
      <c:valAx>
        <c:axId val="2087820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7823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FlakLake!$B$26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FlakLake!$B$27:$B$62</c:f>
              <c:numCache>
                <c:formatCode>General</c:formatCode>
                <c:ptCount val="36"/>
                <c:pt idx="0">
                  <c:v>1647.712086001402</c:v>
                </c:pt>
                <c:pt idx="1">
                  <c:v>430.1527454919306</c:v>
                </c:pt>
                <c:pt idx="2">
                  <c:v>755.6449057978981</c:v>
                </c:pt>
                <c:pt idx="3">
                  <c:v>1005.719414712784</c:v>
                </c:pt>
                <c:pt idx="4">
                  <c:v>1200.217201000512</c:v>
                </c:pt>
                <c:pt idx="5">
                  <c:v>1353.000668268764</c:v>
                </c:pt>
                <c:pt idx="6">
                  <c:v>1473.991432747179</c:v>
                </c:pt>
                <c:pt idx="7">
                  <c:v>1570.434758494697</c:v>
                </c:pt>
                <c:pt idx="8">
                  <c:v>1647.712086001402</c:v>
                </c:pt>
                <c:pt idx="9">
                  <c:v>1709.87892271332</c:v>
                </c:pt>
                <c:pt idx="10">
                  <c:v>1760.030117717636</c:v>
                </c:pt>
                <c:pt idx="11">
                  <c:v>1800.553436739018</c:v>
                </c:pt>
                <c:pt idx="12">
                  <c:v>1833.308996525573</c:v>
                </c:pt>
                <c:pt idx="13">
                  <c:v>1859.75837969633</c:v>
                </c:pt>
                <c:pt idx="14">
                  <c:v>1881.058920240429</c:v>
                </c:pt>
                <c:pt idx="15">
                  <c:v>1898.133458663831</c:v>
                </c:pt>
                <c:pt idx="16">
                  <c:v>1911.7225513061</c:v>
                </c:pt>
                <c:pt idx="17">
                  <c:v>1922.423955312903</c:v>
                </c:pt>
                <c:pt idx="18">
                  <c:v>1930.722771013725</c:v>
                </c:pt>
                <c:pt idx="19">
                  <c:v>1937.014647899953</c:v>
                </c:pt>
                <c:pt idx="20">
                  <c:v>1941.623788591856</c:v>
                </c:pt>
                <c:pt idx="21">
                  <c:v>1944.817015702902</c:v>
                </c:pt>
                <c:pt idx="22">
                  <c:v>1946.814834005367</c:v>
                </c:pt>
                <c:pt idx="23">
                  <c:v>1947.800181918568</c:v>
                </c:pt>
                <c:pt idx="24">
                  <c:v>1947.925393521175</c:v>
                </c:pt>
                <c:pt idx="25">
                  <c:v>1947.317765713498</c:v>
                </c:pt>
                <c:pt idx="26">
                  <c:v>1946.084031576177</c:v>
                </c:pt>
                <c:pt idx="27">
                  <c:v>1944.313971185888</c:v>
                </c:pt>
                <c:pt idx="28">
                  <c:v>1942.083338690089</c:v>
                </c:pt>
                <c:pt idx="29">
                  <c:v>1939.456244716237</c:v>
                </c:pt>
                <c:pt idx="30">
                  <c:v>1936.48710289924</c:v>
                </c:pt>
                <c:pt idx="31">
                  <c:v>1933.222226064908</c:v>
                </c:pt>
                <c:pt idx="32">
                  <c:v>1929.701139661455</c:v>
                </c:pt>
                <c:pt idx="33">
                  <c:v>1925.957666099144</c:v>
                </c:pt>
                <c:pt idx="34">
                  <c:v>1922.020822785441</c:v>
                </c:pt>
                <c:pt idx="35">
                  <c:v>1917.915568115562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768984"/>
        <c:axId val="2087765992"/>
      </c:scatterChart>
      <c:scatterChart>
        <c:scatterStyle val="smoothMarker"/>
        <c:varyColors val="0"/>
        <c:ser>
          <c:idx val="1"/>
          <c:order val="1"/>
          <c:tx>
            <c:strRef>
              <c:f>FlakLake!$C$26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FlakLake!$C$27:$C$62</c:f>
              <c:numCache>
                <c:formatCode>General</c:formatCode>
                <c:ptCount val="36"/>
                <c:pt idx="0">
                  <c:v>2765.44805328791</c:v>
                </c:pt>
                <c:pt idx="1">
                  <c:v>14876.97136310717</c:v>
                </c:pt>
                <c:pt idx="2">
                  <c:v>11353.54998045857</c:v>
                </c:pt>
                <c:pt idx="3">
                  <c:v>8782.508138959247</c:v>
                </c:pt>
                <c:pt idx="4">
                  <c:v>6868.426012660488</c:v>
                </c:pt>
                <c:pt idx="5">
                  <c:v>5419.581060289971</c:v>
                </c:pt>
                <c:pt idx="6">
                  <c:v>4307.456068673073</c:v>
                </c:pt>
                <c:pt idx="7">
                  <c:v>3443.536888062385</c:v>
                </c:pt>
                <c:pt idx="8">
                  <c:v>2765.44805328791</c:v>
                </c:pt>
                <c:pt idx="9">
                  <c:v>2228.365595463754</c:v>
                </c:pt>
                <c:pt idx="10">
                  <c:v>1799.531008078165</c:v>
                </c:pt>
                <c:pt idx="11">
                  <c:v>1454.650643473861</c:v>
                </c:pt>
                <c:pt idx="12">
                  <c:v>1175.476119084357</c:v>
                </c:pt>
                <c:pt idx="13">
                  <c:v>948.1442387894994</c:v>
                </c:pt>
                <c:pt idx="14">
                  <c:v>762.0169167334993</c:v>
                </c:pt>
                <c:pt idx="15">
                  <c:v>608.8571910599461</c:v>
                </c:pt>
                <c:pt idx="16">
                  <c:v>482.2353975426558</c:v>
                </c:pt>
                <c:pt idx="17">
                  <c:v>377.0956166136249</c:v>
                </c:pt>
                <c:pt idx="18">
                  <c:v>289.4354184388023</c:v>
                </c:pt>
                <c:pt idx="19">
                  <c:v>216.066792697684</c:v>
                </c:pt>
                <c:pt idx="20">
                  <c:v>154.4359703828309</c:v>
                </c:pt>
                <c:pt idx="21">
                  <c:v>102.4864449116176</c:v>
                </c:pt>
                <c:pt idx="22">
                  <c:v>58.55400447716795</c:v>
                </c:pt>
                <c:pt idx="23">
                  <c:v>21.28570596301654</c:v>
                </c:pt>
                <c:pt idx="24">
                  <c:v>-10.42309223658572</c:v>
                </c:pt>
                <c:pt idx="25">
                  <c:v>-37.47796888678693</c:v>
                </c:pt>
                <c:pt idx="26">
                  <c:v>-60.624166539449</c:v>
                </c:pt>
                <c:pt idx="27">
                  <c:v>-80.47721505641015</c:v>
                </c:pt>
                <c:pt idx="28">
                  <c:v>-97.54727004588403</c:v>
                </c:pt>
                <c:pt idx="29">
                  <c:v>-112.2585480439328</c:v>
                </c:pt>
                <c:pt idx="30">
                  <c:v>-124.9649157021548</c:v>
                </c:pt>
                <c:pt idx="31">
                  <c:v>-135.962446911159</c:v>
                </c:pt>
                <c:pt idx="32">
                  <c:v>-145.4995780855839</c:v>
                </c:pt>
                <c:pt idx="33">
                  <c:v>-153.7853522422499</c:v>
                </c:pt>
                <c:pt idx="34">
                  <c:v>-160.9961357775752</c:v>
                </c:pt>
                <c:pt idx="35">
                  <c:v>-167.2811097858927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759656"/>
        <c:axId val="2087762952"/>
      </c:scatterChart>
      <c:valAx>
        <c:axId val="2087768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765992"/>
        <c:crosses val="autoZero"/>
        <c:crossBetween val="midCat"/>
      </c:valAx>
      <c:valAx>
        <c:axId val="2087765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7768984"/>
        <c:crosses val="autoZero"/>
        <c:crossBetween val="midCat"/>
      </c:valAx>
      <c:valAx>
        <c:axId val="2087762952"/>
        <c:scaling>
          <c:orientation val="minMax"/>
          <c:max val="100.0"/>
          <c:min val="-100.0"/>
        </c:scaling>
        <c:delete val="0"/>
        <c:axPos val="r"/>
        <c:numFmt formatCode="General" sourceLinked="1"/>
        <c:majorTickMark val="out"/>
        <c:minorTickMark val="none"/>
        <c:tickLblPos val="nextTo"/>
        <c:crossAx val="2087759656"/>
        <c:crosses val="max"/>
        <c:crossBetween val="midCat"/>
      </c:valAx>
      <c:valAx>
        <c:axId val="2087759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77629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25</xdr:row>
      <xdr:rowOff>0</xdr:rowOff>
    </xdr:from>
    <xdr:to>
      <xdr:col>17</xdr:col>
      <xdr:colOff>38100</xdr:colOff>
      <xdr:row>61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721360</xdr:colOff>
      <xdr:row>3</xdr:row>
      <xdr:rowOff>0</xdr:rowOff>
    </xdr:from>
    <xdr:to>
      <xdr:col>20</xdr:col>
      <xdr:colOff>101600</xdr:colOff>
      <xdr:row>23</xdr:row>
      <xdr:rowOff>147320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I3" sqref="I3"/>
    </sheetView>
  </sheetViews>
  <sheetFormatPr baseColWidth="10" defaultRowHeight="15" x14ac:dyDescent="0"/>
  <cols>
    <col min="8" max="8" width="12.83203125" bestFit="1" customWidth="1"/>
    <col min="13" max="13" width="12.1640625" bestFit="1" customWidth="1"/>
  </cols>
  <sheetData>
    <row r="1" spans="1:14">
      <c r="A1" t="s">
        <v>0</v>
      </c>
      <c r="B1">
        <v>100</v>
      </c>
      <c r="F1" t="s">
        <v>8</v>
      </c>
      <c r="G1" t="s">
        <v>7</v>
      </c>
      <c r="H1" t="s">
        <v>12</v>
      </c>
      <c r="I1" t="s">
        <v>9</v>
      </c>
      <c r="K1" t="s">
        <v>10</v>
      </c>
      <c r="M1" t="s">
        <v>11</v>
      </c>
      <c r="N1" t="s">
        <v>13</v>
      </c>
    </row>
    <row r="2" spans="1:14">
      <c r="A2" t="s">
        <v>1</v>
      </c>
      <c r="B2">
        <v>0.2</v>
      </c>
      <c r="F2">
        <v>0.30000000007260225</v>
      </c>
      <c r="G2" s="1">
        <v>22.5594182</v>
      </c>
      <c r="H2">
        <f>G2-B*F2*(1-EXP(-M-F2-F3))/(M+F2+F3)</f>
        <v>0</v>
      </c>
      <c r="I2">
        <f>-B*(1-EXP(-M-F2-F3))/(M+F2+F3)-B*F2*EXP(-M-F2-F3)/(M+F2+F3)+B*F2*(1-EXP(-M-F2-F3))/(M+F2+F3)^2</f>
        <v>-65.039612125692543</v>
      </c>
      <c r="J2">
        <f>-B*F2*EXP(-M-F2-F3)/(M+F2+F3)+B*F2*(1-EXP(-M-F2-F3))/(M+F2+F3)^2</f>
        <v>10.15844852277565</v>
      </c>
      <c r="K2">
        <f t="array" ref="K2:L3">-MINVERSE(I2:J3)</f>
        <v>1.5489320701301899E-2</v>
      </c>
      <c r="L2">
        <v>2.1911054098897233E-3</v>
      </c>
      <c r="M2">
        <f>K6</f>
        <v>0</v>
      </c>
      <c r="N2">
        <f>F2+M2</f>
        <v>0.30000000007260225</v>
      </c>
    </row>
    <row r="3" spans="1:14">
      <c r="A3" t="s">
        <v>2</v>
      </c>
      <c r="B3">
        <v>0.3</v>
      </c>
      <c r="F3">
        <v>0.10000000000203703</v>
      </c>
      <c r="G3" s="1">
        <v>7.519806065</v>
      </c>
      <c r="H3">
        <f>G3-B*F3*(1-EXP(-M-F2-F3))/(M+F2+F3)</f>
        <v>0</v>
      </c>
      <c r="I3">
        <f>-B*F3*EXP(-M-F2-F3)/(M+F2+F3)+B*F3*(1-EXP(-M-F2-F3))/(M+F2+F3)^2</f>
        <v>3.386149506841388</v>
      </c>
      <c r="J3">
        <f>-B*(1-EXP(-M-F2-F3))/(M+F2+F3)-B*F3*EXP(-M-F2-F3)/(M+F2+F3)+B*F3*(1-EXP(-M-F2-F3))/(M+F2+F3)^2</f>
        <v>-71.811911141626808</v>
      </c>
      <c r="K3">
        <v>7.3036846980136449E-4</v>
      </c>
      <c r="L3">
        <v>1.4028583761213541E-2</v>
      </c>
      <c r="M3">
        <f>L6</f>
        <v>0</v>
      </c>
      <c r="N3">
        <f>F3+M3</f>
        <v>0.10000000000203703</v>
      </c>
    </row>
    <row r="4" spans="1:14">
      <c r="A4" t="s">
        <v>3</v>
      </c>
      <c r="B4">
        <v>0.1</v>
      </c>
    </row>
    <row r="5" spans="1:14">
      <c r="A5" t="s">
        <v>4</v>
      </c>
      <c r="B5">
        <f>M+f_1+f_2</f>
        <v>0.6</v>
      </c>
      <c r="J5" t="s">
        <v>12</v>
      </c>
      <c r="K5">
        <f>H2</f>
        <v>0</v>
      </c>
      <c r="L5">
        <f>H3</f>
        <v>0</v>
      </c>
    </row>
    <row r="6" spans="1:14">
      <c r="J6" t="s">
        <v>11</v>
      </c>
      <c r="K6">
        <f t="array" ref="K6:L6">MMULT(K5:L5,K2:L3)</f>
        <v>0</v>
      </c>
      <c r="L6">
        <v>0</v>
      </c>
    </row>
    <row r="7" spans="1:14">
      <c r="A7" t="s">
        <v>5</v>
      </c>
      <c r="B7">
        <f>B*f_1*(1-EXP(-Z))/Z</f>
        <v>22.559418195298679</v>
      </c>
    </row>
    <row r="8" spans="1:14">
      <c r="A8" t="s">
        <v>6</v>
      </c>
      <c r="B8">
        <f>B*f_2*(1-EXP(-Z))/Z</f>
        <v>7.5198060650995604</v>
      </c>
    </row>
    <row r="11" spans="1:14">
      <c r="I11" t="s">
        <v>14</v>
      </c>
    </row>
    <row r="12" spans="1:14">
      <c r="I1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workbookViewId="0">
      <selection activeCell="B6" sqref="B6:B7"/>
    </sheetView>
  </sheetViews>
  <sheetFormatPr baseColWidth="10" defaultRowHeight="15" x14ac:dyDescent="0"/>
  <cols>
    <col min="7" max="7" width="12.1640625" customWidth="1"/>
    <col min="8" max="8" width="7.1640625" customWidth="1"/>
    <col min="9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6">
        <v>0.83668503118770632</v>
      </c>
      <c r="C6">
        <f>B6+dh</f>
        <v>0.83678503118770631</v>
      </c>
      <c r="D6">
        <f>B6-dh</f>
        <v>0.83658503118770633</v>
      </c>
      <c r="E6">
        <v>4.9000000000000004</v>
      </c>
      <c r="F6" t="s">
        <v>24</v>
      </c>
      <c r="G6">
        <f t="shared" ref="G6:Z6" si="4">1/(1+EXP(-(G1-ah)/(0.1*ah)))</f>
        <v>3.4931619233910023E-4</v>
      </c>
      <c r="H6">
        <f t="shared" si="4"/>
        <v>2.6823732796317037E-3</v>
      </c>
      <c r="I6">
        <f t="shared" si="4"/>
        <v>2.0281601827094563E-2</v>
      </c>
      <c r="J6">
        <f t="shared" si="4"/>
        <v>0.13743793244815439</v>
      </c>
      <c r="K6">
        <f t="shared" si="4"/>
        <v>0.55084406218424253</v>
      </c>
      <c r="L6">
        <f t="shared" si="4"/>
        <v>0.90420953403834892</v>
      </c>
      <c r="M6">
        <f t="shared" si="4"/>
        <v>0.98642308305625559</v>
      </c>
      <c r="N6">
        <f t="shared" si="4"/>
        <v>0.99821496497544382</v>
      </c>
      <c r="O6">
        <f t="shared" si="4"/>
        <v>0.99976772283971149</v>
      </c>
      <c r="P6">
        <f t="shared" si="4"/>
        <v>0.99996981584529498</v>
      </c>
      <c r="Q6">
        <f t="shared" si="4"/>
        <v>0.99999607829289727</v>
      </c>
      <c r="R6">
        <f t="shared" si="4"/>
        <v>0.99999949047984549</v>
      </c>
      <c r="S6">
        <f t="shared" si="4"/>
        <v>0.9999999338017832</v>
      </c>
      <c r="T6">
        <f t="shared" si="4"/>
        <v>0.99999999139935458</v>
      </c>
      <c r="U6">
        <f t="shared" si="4"/>
        <v>0.99999999888258162</v>
      </c>
      <c r="V6">
        <f t="shared" si="4"/>
        <v>0.99999999985482213</v>
      </c>
      <c r="W6">
        <f t="shared" si="4"/>
        <v>0.9999999999811382</v>
      </c>
      <c r="X6">
        <f t="shared" si="4"/>
        <v>0.99999999999754952</v>
      </c>
      <c r="Y6">
        <f t="shared" si="4"/>
        <v>0.99999999999968159</v>
      </c>
      <c r="Z6">
        <f t="shared" si="4"/>
        <v>0.9999999999999587</v>
      </c>
    </row>
    <row r="7" spans="1:26">
      <c r="A7" t="s">
        <v>28</v>
      </c>
      <c r="B7" s="6">
        <v>0.8807381382082371</v>
      </c>
      <c r="C7">
        <f>B7</f>
        <v>0.8807381382082371</v>
      </c>
      <c r="D7">
        <f>C7</f>
        <v>0.8807381382082371</v>
      </c>
      <c r="E7">
        <v>5</v>
      </c>
      <c r="G7">
        <f t="shared" ref="G7:Z7" si="5">1/(1+EXP(-(G1-ah)/(0.1*ah)))</f>
        <v>3.3535013046647811E-4</v>
      </c>
      <c r="H7">
        <f t="shared" si="5"/>
        <v>2.4726231566347743E-3</v>
      </c>
      <c r="I7">
        <f t="shared" si="5"/>
        <v>1.7986209962091559E-2</v>
      </c>
      <c r="J7">
        <f t="shared" si="5"/>
        <v>0.11920292202211755</v>
      </c>
      <c r="K7">
        <f t="shared" si="5"/>
        <v>0.5</v>
      </c>
      <c r="L7">
        <f t="shared" si="5"/>
        <v>0.88079707797788231</v>
      </c>
      <c r="M7">
        <f t="shared" si="5"/>
        <v>0.98201379003790845</v>
      </c>
      <c r="N7">
        <f t="shared" si="5"/>
        <v>0.99752737684336534</v>
      </c>
      <c r="O7">
        <f t="shared" si="5"/>
        <v>0.99966464986953363</v>
      </c>
      <c r="P7">
        <f t="shared" si="5"/>
        <v>0.99995460213129761</v>
      </c>
      <c r="Q7">
        <f t="shared" si="5"/>
        <v>0.99999385582539779</v>
      </c>
      <c r="R7">
        <f t="shared" si="5"/>
        <v>0.99999916847197223</v>
      </c>
      <c r="S7">
        <f t="shared" si="5"/>
        <v>0.99999988746483792</v>
      </c>
      <c r="T7">
        <f t="shared" si="5"/>
        <v>0.9999999847700205</v>
      </c>
      <c r="U7">
        <f t="shared" si="5"/>
        <v>0.99999999793884631</v>
      </c>
      <c r="V7">
        <f t="shared" si="5"/>
        <v>0.99999999972105313</v>
      </c>
      <c r="W7">
        <f t="shared" si="5"/>
        <v>0.99999999996224864</v>
      </c>
      <c r="X7">
        <f t="shared" si="5"/>
        <v>0.99999999999489098</v>
      </c>
      <c r="Y7">
        <f t="shared" si="5"/>
        <v>0.99999999999930855</v>
      </c>
      <c r="Z7">
        <f t="shared" si="5"/>
        <v>0.99999999999990652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0.30058762327883659</v>
      </c>
      <c r="H8">
        <f t="shared" si="6"/>
        <v>0.30442203508659083</v>
      </c>
      <c r="I8">
        <f t="shared" si="6"/>
        <v>0.33281045373267426</v>
      </c>
      <c r="J8">
        <f t="shared" si="6"/>
        <v>0.51997882040749943</v>
      </c>
      <c r="K8">
        <f t="shared" si="6"/>
        <v>1.2012520504523043</v>
      </c>
      <c r="L8">
        <f t="shared" si="6"/>
        <v>1.8322901607845929</v>
      </c>
      <c r="M8">
        <f t="shared" si="6"/>
        <v>1.9902224251439988</v>
      </c>
      <c r="N8">
        <f t="shared" si="6"/>
        <v>2.0137519237952866</v>
      </c>
      <c r="O8">
        <f t="shared" si="6"/>
        <v>2.0169334709232887</v>
      </c>
      <c r="P8">
        <f t="shared" si="6"/>
        <v>2.0173579311311629</v>
      </c>
      <c r="Q8">
        <f t="shared" si="6"/>
        <v>2.0174144767534141</v>
      </c>
      <c r="R8">
        <f t="shared" si="6"/>
        <v>2.0174220107296099</v>
      </c>
      <c r="S8">
        <f t="shared" si="6"/>
        <v>2.0174230148948773</v>
      </c>
      <c r="T8">
        <f t="shared" si="6"/>
        <v>2.0174231487862881</v>
      </c>
      <c r="U8">
        <f t="shared" si="6"/>
        <v>2.0174231666456794</v>
      </c>
      <c r="V8">
        <f t="shared" si="6"/>
        <v>2.0174231690287963</v>
      </c>
      <c r="W8">
        <f t="shared" si="6"/>
        <v>2.0174231693469133</v>
      </c>
      <c r="X8">
        <f t="shared" si="6"/>
        <v>2.0174231693893931</v>
      </c>
      <c r="Y8">
        <f t="shared" si="6"/>
        <v>2.0174231693950677</v>
      </c>
      <c r="Z8">
        <f t="shared" si="6"/>
        <v>2.0174231693958262</v>
      </c>
    </row>
    <row r="9" spans="1:26">
      <c r="F9" s="7" t="s">
        <v>60</v>
      </c>
      <c r="G9" s="7">
        <f t="shared" ref="G9:Z9" si="7">EXP(-za)</f>
        <v>0.74038302652748966</v>
      </c>
      <c r="H9" s="7">
        <f t="shared" si="7"/>
        <v>0.73754952897821635</v>
      </c>
      <c r="I9" s="7">
        <f t="shared" si="7"/>
        <v>0.71690606814732871</v>
      </c>
      <c r="J9" s="7">
        <f t="shared" si="7"/>
        <v>0.59453313980647804</v>
      </c>
      <c r="K9" s="7">
        <f t="shared" si="7"/>
        <v>0.3008173375450402</v>
      </c>
      <c r="L9" s="7">
        <f t="shared" si="7"/>
        <v>0.16004661526344732</v>
      </c>
      <c r="M9" s="7">
        <f t="shared" si="7"/>
        <v>0.13666502432694708</v>
      </c>
      <c r="N9" s="7">
        <f t="shared" si="7"/>
        <v>0.13348690126841559</v>
      </c>
      <c r="O9" s="7">
        <f t="shared" si="7"/>
        <v>0.13306288127851906</v>
      </c>
      <c r="P9" s="7">
        <f t="shared" si="7"/>
        <v>0.13300641336531011</v>
      </c>
      <c r="Q9" s="7">
        <f t="shared" si="7"/>
        <v>0.13299889264753681</v>
      </c>
      <c r="R9" s="7">
        <f t="shared" si="7"/>
        <v>0.1329978906408201</v>
      </c>
      <c r="S9" s="7">
        <f t="shared" si="7"/>
        <v>0.13299775708902473</v>
      </c>
      <c r="T9" s="7">
        <f t="shared" si="7"/>
        <v>0.13299773928176858</v>
      </c>
      <c r="U9" s="7">
        <f t="shared" si="7"/>
        <v>0.13299773690650993</v>
      </c>
      <c r="V9" s="7">
        <f t="shared" si="7"/>
        <v>0.13299773658956079</v>
      </c>
      <c r="W9" s="7">
        <f t="shared" si="7"/>
        <v>0.13299773654725194</v>
      </c>
      <c r="X9" s="7">
        <f t="shared" si="7"/>
        <v>0.13299773654160221</v>
      </c>
      <c r="Y9" s="7">
        <f t="shared" si="7"/>
        <v>0.13299773654084751</v>
      </c>
      <c r="Z9" s="7">
        <f t="shared" si="7"/>
        <v>0.13299773654074665</v>
      </c>
    </row>
    <row r="10" spans="1:26">
      <c r="F10" t="s">
        <v>61</v>
      </c>
      <c r="G10">
        <f t="shared" ref="G10:Z10" si="8">1-sa</f>
        <v>0.25961697347251034</v>
      </c>
      <c r="H10">
        <f t="shared" si="8"/>
        <v>0.26245047102178365</v>
      </c>
      <c r="I10">
        <f t="shared" si="8"/>
        <v>0.28309393185267129</v>
      </c>
      <c r="J10">
        <f t="shared" si="8"/>
        <v>0.40546686019352196</v>
      </c>
      <c r="K10">
        <f t="shared" si="8"/>
        <v>0.69918266245495975</v>
      </c>
      <c r="L10">
        <f t="shared" si="8"/>
        <v>0.83995338473655268</v>
      </c>
      <c r="M10">
        <f t="shared" si="8"/>
        <v>0.86333497567305295</v>
      </c>
      <c r="N10">
        <f t="shared" si="8"/>
        <v>0.86651309873158444</v>
      </c>
      <c r="O10">
        <f t="shared" si="8"/>
        <v>0.86693711872148094</v>
      </c>
      <c r="P10">
        <f t="shared" si="8"/>
        <v>0.86699358663468984</v>
      </c>
      <c r="Q10">
        <f t="shared" si="8"/>
        <v>0.86700110735246316</v>
      </c>
      <c r="R10">
        <f t="shared" si="8"/>
        <v>0.86700210935917987</v>
      </c>
      <c r="S10">
        <f t="shared" si="8"/>
        <v>0.86700224291097527</v>
      </c>
      <c r="T10">
        <f t="shared" si="8"/>
        <v>0.86700226071823139</v>
      </c>
      <c r="U10">
        <f t="shared" si="8"/>
        <v>0.86700226309349004</v>
      </c>
      <c r="V10">
        <f t="shared" si="8"/>
        <v>0.86700226341043918</v>
      </c>
      <c r="W10">
        <f t="shared" si="8"/>
        <v>0.86700226345274811</v>
      </c>
      <c r="X10">
        <f t="shared" si="8"/>
        <v>0.86700226345839781</v>
      </c>
      <c r="Y10">
        <f t="shared" si="8"/>
        <v>0.86700226345915254</v>
      </c>
      <c r="Z10">
        <f t="shared" si="8"/>
        <v>0.86700226345925335</v>
      </c>
    </row>
    <row r="11" spans="1:26">
      <c r="F11" t="s">
        <v>40</v>
      </c>
      <c r="G11">
        <f t="shared" ref="G11:Z11" si="9">wa*G6/za*(1-EXP(-za))</f>
        <v>1.7970207722761125E-6</v>
      </c>
      <c r="H11">
        <f t="shared" si="9"/>
        <v>8.2864422585796242E-5</v>
      </c>
      <c r="I11">
        <f t="shared" si="9"/>
        <v>1.5845630537516199E-3</v>
      </c>
      <c r="J11">
        <f t="shared" si="9"/>
        <v>1.7895878607042046E-2</v>
      </c>
      <c r="K11">
        <f t="shared" si="9"/>
        <v>8.0981334087791249E-2</v>
      </c>
      <c r="L11">
        <f t="shared" si="9"/>
        <v>0.14144887493689123</v>
      </c>
      <c r="M11">
        <f t="shared" si="9"/>
        <v>0.18298818292344909</v>
      </c>
      <c r="N11">
        <f t="shared" si="9"/>
        <v>0.21835887944399396</v>
      </c>
      <c r="O11">
        <f t="shared" si="9"/>
        <v>0.24991257677319109</v>
      </c>
      <c r="P11">
        <f t="shared" si="9"/>
        <v>0.27781969411126828</v>
      </c>
      <c r="Q11">
        <f t="shared" si="9"/>
        <v>0.30214579213221959</v>
      </c>
      <c r="R11">
        <f t="shared" si="9"/>
        <v>0.32308666005049214</v>
      </c>
      <c r="S11">
        <f t="shared" si="9"/>
        <v>0.34093469521790348</v>
      </c>
      <c r="T11">
        <f t="shared" si="9"/>
        <v>0.3560274788108041</v>
      </c>
      <c r="U11">
        <f t="shared" si="9"/>
        <v>0.36871095086952649</v>
      </c>
      <c r="V11">
        <f t="shared" si="9"/>
        <v>0.37931679703929472</v>
      </c>
      <c r="W11">
        <f t="shared" si="9"/>
        <v>0.38815003392681913</v>
      </c>
      <c r="X11">
        <f t="shared" si="9"/>
        <v>0.39548334542809238</v>
      </c>
      <c r="Y11">
        <f t="shared" si="9"/>
        <v>0.40155566631262152</v>
      </c>
      <c r="Z11">
        <f t="shared" si="9"/>
        <v>0.40657329027911904</v>
      </c>
    </row>
    <row r="12" spans="1:26">
      <c r="G12">
        <f t="shared" ref="G12:Z12" si="10">wa*G7/za*(1-EXP(-za))</f>
        <v>1.7251738214550291E-6</v>
      </c>
      <c r="H12">
        <f t="shared" si="10"/>
        <v>7.6384778995018047E-5</v>
      </c>
      <c r="I12">
        <f t="shared" si="10"/>
        <v>1.4052284442777866E-3</v>
      </c>
      <c r="J12">
        <f t="shared" si="10"/>
        <v>1.5521486565706564E-2</v>
      </c>
      <c r="K12">
        <f t="shared" si="10"/>
        <v>7.3506587115307026E-2</v>
      </c>
      <c r="L12">
        <f t="shared" si="10"/>
        <v>0.13778637698194049</v>
      </c>
      <c r="M12">
        <f t="shared" si="10"/>
        <v>0.18217022911512532</v>
      </c>
      <c r="N12">
        <f t="shared" si="10"/>
        <v>0.21820846998379981</v>
      </c>
      <c r="O12">
        <f t="shared" si="10"/>
        <v>0.249886811556947</v>
      </c>
      <c r="P12">
        <f t="shared" si="10"/>
        <v>0.27781546731431694</v>
      </c>
      <c r="Q12">
        <f t="shared" si="10"/>
        <v>0.30214512062038301</v>
      </c>
      <c r="R12">
        <f t="shared" si="10"/>
        <v>0.32308655601399078</v>
      </c>
      <c r="S12">
        <f t="shared" si="10"/>
        <v>0.34093467942003008</v>
      </c>
      <c r="T12">
        <f t="shared" si="10"/>
        <v>0.35602747645057903</v>
      </c>
      <c r="U12">
        <f t="shared" si="10"/>
        <v>0.36871095052156089</v>
      </c>
      <c r="V12">
        <f t="shared" si="10"/>
        <v>0.37931679698855386</v>
      </c>
      <c r="W12">
        <f t="shared" si="10"/>
        <v>0.38815003391948716</v>
      </c>
      <c r="X12">
        <f t="shared" si="10"/>
        <v>0.395483345427041</v>
      </c>
      <c r="Y12">
        <f t="shared" si="10"/>
        <v>0.40155566631247175</v>
      </c>
      <c r="Z12">
        <f t="shared" si="10"/>
        <v>0.40657329027909783</v>
      </c>
    </row>
    <row r="13" spans="1:26">
      <c r="A13" t="s">
        <v>29</v>
      </c>
      <c r="B13" s="2">
        <v>1E-4</v>
      </c>
    </row>
    <row r="14" spans="1:26">
      <c r="F14" t="s">
        <v>25</v>
      </c>
      <c r="G14">
        <f>1</f>
        <v>1</v>
      </c>
      <c r="H14">
        <f>G14*EXP(-m-SUMPRODUCT(G$6:G$7,$B$6:$B$7))</f>
        <v>0.74038302652748966</v>
      </c>
      <c r="I14">
        <f t="shared" ref="H14:Y14" si="11">H14*EXP(-m-SUMPRODUCT(H$6:H$7,$B$6:$B$7))</f>
        <v>0.54606915247881627</v>
      </c>
      <c r="J14">
        <f t="shared" si="11"/>
        <v>0.39148028904013227</v>
      </c>
      <c r="K14">
        <f t="shared" si="11"/>
        <v>0.23274800541537738</v>
      </c>
      <c r="L14">
        <f t="shared" si="11"/>
        <v>7.0014635307972417E-2</v>
      </c>
      <c r="M14">
        <f t="shared" si="11"/>
        <v>1.1205605399945636E-2</v>
      </c>
      <c r="N14">
        <f t="shared" si="11"/>
        <v>1.53141433458174E-3</v>
      </c>
      <c r="O14">
        <f t="shared" si="11"/>
        <v>2.0442375408134909E-4</v>
      </c>
      <c r="P14">
        <f t="shared" si="11"/>
        <v>2.7201213719835729E-5</v>
      </c>
      <c r="Q14">
        <f t="shared" si="11"/>
        <v>3.6179358760586158E-6</v>
      </c>
      <c r="R14">
        <f t="shared" si="11"/>
        <v>4.8118146518559185E-7</v>
      </c>
      <c r="S14">
        <f t="shared" si="11"/>
        <v>6.3996119885142926E-8</v>
      </c>
      <c r="T14">
        <f t="shared" si="11"/>
        <v>8.5113404071243431E-9</v>
      </c>
      <c r="U14">
        <f t="shared" si="11"/>
        <v>1.1319890324051055E-9</v>
      </c>
      <c r="V14">
        <f t="shared" si="11"/>
        <v>1.5055197951286896E-10</v>
      </c>
      <c r="W14">
        <f t="shared" si="11"/>
        <v>2.0023072514289499E-11</v>
      </c>
      <c r="X14">
        <f t="shared" si="11"/>
        <v>2.6630233231219963E-12</v>
      </c>
      <c r="Y14">
        <f t="shared" si="11"/>
        <v>3.5417607433272128E-13</v>
      </c>
      <c r="Z14">
        <f>Y14*EXP(-m-SUMPRODUCT(Y$6:Y$7,$B$6:$B$7))/(1-EXP(-m-SUMPRODUCT(B$6:B$7,Z6:Z7)))</f>
        <v>5.4330442039715243E-14</v>
      </c>
    </row>
    <row r="15" spans="1:26">
      <c r="A15" t="s">
        <v>105</v>
      </c>
      <c r="B15">
        <f>phif/phie</f>
        <v>0.16531088332217048</v>
      </c>
      <c r="F15" t="s">
        <v>26</v>
      </c>
      <c r="G15">
        <f>1</f>
        <v>1</v>
      </c>
      <c r="H15">
        <f>G15*EXP(-m-SUMPRODUCT(G$6:G$7,$C$6:$C$7))</f>
        <v>0.74038300066471219</v>
      </c>
      <c r="I15">
        <f t="shared" ref="H15:Y15" si="12">H15*EXP(-m-SUMPRODUCT(H$6:H$7,$C$6:$C$7))</f>
        <v>0.54606898692763139</v>
      </c>
      <c r="J15">
        <f t="shared" si="12"/>
        <v>0.39147937637179459</v>
      </c>
      <c r="K15">
        <f t="shared" si="12"/>
        <v>0.23274426399277992</v>
      </c>
      <c r="L15">
        <f t="shared" si="12"/>
        <v>7.0009653276790901E-2</v>
      </c>
      <c r="M15">
        <f t="shared" si="12"/>
        <v>1.1203794939095554E-2</v>
      </c>
      <c r="N15">
        <f t="shared" si="12"/>
        <v>1.5310158775165392E-3</v>
      </c>
      <c r="O15">
        <f t="shared" si="12"/>
        <v>2.0435016572493457E-4</v>
      </c>
      <c r="P15">
        <f t="shared" si="12"/>
        <v>2.7188703466402603E-5</v>
      </c>
      <c r="Q15">
        <f t="shared" si="12"/>
        <v>3.615910333921048E-6</v>
      </c>
      <c r="R15">
        <f t="shared" si="12"/>
        <v>4.8086398171031317E-7</v>
      </c>
      <c r="S15">
        <f t="shared" si="12"/>
        <v>6.3947500186109322E-8</v>
      </c>
      <c r="T15">
        <f t="shared" si="12"/>
        <v>8.50402365137216E-9</v>
      </c>
      <c r="U15">
        <f t="shared" si="12"/>
        <v>1.1309028244950087E-9</v>
      </c>
      <c r="V15">
        <f t="shared" si="12"/>
        <v>1.5039247631941348E-10</v>
      </c>
      <c r="W15">
        <f t="shared" si="12"/>
        <v>1.9999858864692304E-11</v>
      </c>
      <c r="X15">
        <f t="shared" si="12"/>
        <v>2.6596699799717833E-12</v>
      </c>
      <c r="Y15">
        <f t="shared" si="12"/>
        <v>3.5369471604375885E-13</v>
      </c>
      <c r="Z15">
        <f>Y15*EXP(-m-SUMPRODUCT(Y$6:Y$7,$C$6:$C$7))/(1-EXP(-m-SUMPRODUCT(C$6:C$7,Z6:Z7)))</f>
        <v>5.425034436117285E-14</v>
      </c>
    </row>
    <row r="16" spans="1:26">
      <c r="F16" t="s">
        <v>66</v>
      </c>
      <c r="G16">
        <f>1</f>
        <v>1</v>
      </c>
      <c r="H16">
        <f>G16*EXP(-m-SUMPRODUCT(G$6:G$7,$D$6:$D$7))</f>
        <v>0.74038305239026803</v>
      </c>
      <c r="I16">
        <f t="shared" ref="H16:Y16" si="13">H16*EXP(-m-SUMPRODUCT(H$6:H$7,$D$6:$D$7))</f>
        <v>0.54606931803005143</v>
      </c>
      <c r="J16">
        <f t="shared" si="13"/>
        <v>0.3914812017105978</v>
      </c>
      <c r="K16">
        <f t="shared" si="13"/>
        <v>0.23275174689811928</v>
      </c>
      <c r="L16">
        <f t="shared" si="13"/>
        <v>7.0019617693685587E-2</v>
      </c>
      <c r="M16">
        <f t="shared" si="13"/>
        <v>1.1207416153354495E-2</v>
      </c>
      <c r="N16">
        <f t="shared" si="13"/>
        <v>1.5318128953480431E-3</v>
      </c>
      <c r="O16">
        <f t="shared" si="13"/>
        <v>2.0449736893760138E-4</v>
      </c>
      <c r="P16">
        <f t="shared" si="13"/>
        <v>2.7213729729572821E-5</v>
      </c>
      <c r="Q16">
        <f t="shared" si="13"/>
        <v>3.6199625528540072E-6</v>
      </c>
      <c r="R16">
        <f t="shared" si="13"/>
        <v>4.8149915827473448E-7</v>
      </c>
      <c r="S16">
        <f t="shared" si="13"/>
        <v>6.4044776550048952E-8</v>
      </c>
      <c r="T16">
        <f t="shared" si="13"/>
        <v>8.5186634581218063E-9</v>
      </c>
      <c r="U16">
        <f t="shared" si="13"/>
        <v>1.1330762835946055E-9</v>
      </c>
      <c r="V16">
        <f t="shared" si="13"/>
        <v>1.5071165187215855E-10</v>
      </c>
      <c r="W16">
        <f t="shared" si="13"/>
        <v>2.0046313107753189E-11</v>
      </c>
      <c r="X16">
        <f t="shared" si="13"/>
        <v>2.6663808942066385E-12</v>
      </c>
      <c r="Y16">
        <f t="shared" si="13"/>
        <v>3.5465808772279712E-13</v>
      </c>
      <c r="Z16">
        <f>Y16*EXP(-m-SUMPRODUCT(Y$6:Y$7,$D$6:$D$7))/(1-EXP(-m-SUMPRODUCT(D$6:D$7,Z6:Z7)))</f>
        <v>5.441065807438646E-14</v>
      </c>
    </row>
    <row r="17" spans="1:26">
      <c r="A17" t="s">
        <v>51</v>
      </c>
      <c r="B17">
        <f>ro*(reck-phie/phif)/(reck-1)</f>
        <v>0.54098104574874695</v>
      </c>
      <c r="F17" s="3" t="s">
        <v>31</v>
      </c>
      <c r="G17" s="3">
        <f>(G14-G15)/dh</f>
        <v>0</v>
      </c>
      <c r="H17" s="3">
        <f t="shared" ref="H17:Z17" si="14">(H15-H14)/dh</f>
        <v>-2.5862777475182952E-4</v>
      </c>
      <c r="I17" s="3">
        <f t="shared" si="14"/>
        <v>-1.655511848719371E-3</v>
      </c>
      <c r="J17" s="3">
        <f t="shared" si="14"/>
        <v>-9.1266833768255395E-3</v>
      </c>
      <c r="K17" s="3">
        <f t="shared" si="14"/>
        <v>-3.7414225974585769E-2</v>
      </c>
      <c r="L17" s="3">
        <f t="shared" si="14"/>
        <v>-4.9820311815162999E-2</v>
      </c>
      <c r="M17" s="3">
        <f t="shared" si="14"/>
        <v>-1.8104608500817132E-2</v>
      </c>
      <c r="N17" s="3">
        <f t="shared" si="14"/>
        <v>-3.9845706520076976E-3</v>
      </c>
      <c r="O17" s="3">
        <f t="shared" si="14"/>
        <v>-7.3588356414516038E-4</v>
      </c>
      <c r="P17" s="3">
        <f t="shared" si="14"/>
        <v>-1.2510253433126184E-4</v>
      </c>
      <c r="Q17" s="3">
        <f t="shared" si="14"/>
        <v>-2.0255421375677333E-5</v>
      </c>
      <c r="R17" s="3">
        <f t="shared" si="14"/>
        <v>-3.1748347527867745E-6</v>
      </c>
      <c r="S17" s="3">
        <f t="shared" si="14"/>
        <v>-4.8619699033603744E-7</v>
      </c>
      <c r="T17" s="3">
        <f t="shared" si="14"/>
        <v>-7.3167557521830944E-8</v>
      </c>
      <c r="U17" s="3">
        <f t="shared" si="14"/>
        <v>-1.0862079100968683E-8</v>
      </c>
      <c r="V17" s="3">
        <f t="shared" si="14"/>
        <v>-1.5950319345547635E-9</v>
      </c>
      <c r="W17" s="3">
        <f t="shared" si="14"/>
        <v>-2.3213649597194491E-10</v>
      </c>
      <c r="X17" s="3">
        <f t="shared" si="14"/>
        <v>-3.353343150212966E-11</v>
      </c>
      <c r="Y17" s="3">
        <f t="shared" si="14"/>
        <v>-4.8135828896243483E-12</v>
      </c>
      <c r="Z17" s="3">
        <f>(Z15-Z14)/dh</f>
        <v>-8.0097678542392797E-13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-2.5862777969908171E-4</v>
      </c>
      <c r="I18">
        <f t="shared" si="15"/>
        <v>-1.6555121005380469E-3</v>
      </c>
      <c r="J18">
        <f t="shared" si="15"/>
        <v>-9.1266940162349122E-3</v>
      </c>
      <c r="K18">
        <f t="shared" si="15"/>
        <v>-3.7414526695246447E-2</v>
      </c>
      <c r="L18">
        <f t="shared" si="15"/>
        <v>-4.9822084431363697E-2</v>
      </c>
      <c r="M18">
        <f t="shared" si="15"/>
        <v>-1.8106071215911901E-2</v>
      </c>
      <c r="N18">
        <f t="shared" si="15"/>
        <v>-3.9850891125426998E-3</v>
      </c>
      <c r="O18">
        <f t="shared" si="15"/>
        <v>-7.3601604743228784E-4</v>
      </c>
      <c r="P18">
        <f t="shared" si="15"/>
        <v>-1.2513131143772387E-4</v>
      </c>
      <c r="Q18">
        <f t="shared" si="15"/>
        <v>-2.0261093605751674E-5</v>
      </c>
      <c r="R18">
        <f t="shared" si="15"/>
        <v>-3.1758825915258834E-6</v>
      </c>
      <c r="S18">
        <f t="shared" si="15"/>
        <v>-4.8638177287367379E-7</v>
      </c>
      <c r="T18">
        <f t="shared" si="15"/>
        <v>-7.3199024724870852E-8</v>
      </c>
      <c r="U18">
        <f t="shared" si="15"/>
        <v>-1.0867293828707376E-8</v>
      </c>
      <c r="V18">
        <f t="shared" si="15"/>
        <v>-1.5958774648608021E-9</v>
      </c>
      <c r="W18">
        <f t="shared" si="15"/>
        <v>-2.3227116321215562E-10</v>
      </c>
      <c r="X18">
        <f t="shared" si="15"/>
        <v>-3.3554562295485794E-11</v>
      </c>
      <c r="Y18">
        <f t="shared" si="15"/>
        <v>-4.8168569102756519E-12</v>
      </c>
      <c r="Z18">
        <f>(Y18-Y14*Y6)*Y$9/oa-Y14*Y$9*Z6*sa/oa^2</f>
        <v>-8.015682745448369E-13</v>
      </c>
    </row>
    <row r="19" spans="1:26">
      <c r="A19" t="s">
        <v>38</v>
      </c>
      <c r="B19">
        <f>SUMPRODUCT(lz,fa)</f>
        <v>8.8389878042416548E-2</v>
      </c>
      <c r="F19" t="s">
        <v>34</v>
      </c>
      <c r="G19">
        <v>0</v>
      </c>
      <c r="H19">
        <f t="shared" ref="H19:Y19" si="16">G19*EXP(-G8) - G14*G7*EXP(-G8)</f>
        <v>-2.4828754454115959E-4</v>
      </c>
      <c r="I19">
        <f t="shared" si="16"/>
        <v>-1.5333475930705369E-3</v>
      </c>
      <c r="J19">
        <f t="shared" si="16"/>
        <v>-8.1405128687474793E-3</v>
      </c>
      <c r="K19">
        <f t="shared" si="16"/>
        <v>-3.2584047015824097E-2</v>
      </c>
      <c r="L19">
        <f t="shared" si="16"/>
        <v>-4.4809163923728829E-2</v>
      </c>
      <c r="M19">
        <f t="shared" si="16"/>
        <v>-1.7041419512023068E-2</v>
      </c>
      <c r="N19">
        <f t="shared" si="16"/>
        <v>-3.8328360069973394E-3</v>
      </c>
      <c r="O19">
        <f t="shared" si="16"/>
        <v>-7.155516928173234E-4</v>
      </c>
      <c r="P19">
        <f t="shared" si="16"/>
        <v>-1.2240546173926078E-4</v>
      </c>
      <c r="Q19">
        <f t="shared" si="16"/>
        <v>-1.989848307174451E-5</v>
      </c>
      <c r="R19">
        <f t="shared" si="16"/>
        <v>-3.127654722630431E-6</v>
      </c>
      <c r="S19">
        <f t="shared" si="16"/>
        <v>-4.7996754743322217E-7</v>
      </c>
      <c r="T19">
        <f t="shared" si="16"/>
        <v>-7.2345946733437909E-8</v>
      </c>
      <c r="U19">
        <f t="shared" si="16"/>
        <v>-1.0753836376911428E-8</v>
      </c>
      <c r="V19">
        <f t="shared" si="16"/>
        <v>-1.5807878803946801E-9</v>
      </c>
      <c r="W19">
        <f t="shared" si="16"/>
        <v>-2.3026428262940591E-10</v>
      </c>
      <c r="X19">
        <f t="shared" si="16"/>
        <v>-3.328765172040915E-11</v>
      </c>
      <c r="Y19">
        <f t="shared" si="16"/>
        <v>-4.7813584079304996E-12</v>
      </c>
      <c r="Z19">
        <f>Y19*EXP(-Y8)/(1-EXP(-za))-Y14*Y7*EXP(-Y8)/(1-EXP(-za))-Y14*EXP(-Y8)*Z7*EXP(-za)/(1-EXP(-za))^2</f>
        <v>-7.9612282109967989E-13</v>
      </c>
    </row>
    <row r="20" spans="1:26">
      <c r="A20" t="s">
        <v>49</v>
      </c>
      <c r="B20">
        <f>B6</f>
        <v>0.83668503118770632</v>
      </c>
      <c r="C20">
        <f>B7</f>
        <v>0.8807381382082371</v>
      </c>
      <c r="F20" s="4" t="s">
        <v>58</v>
      </c>
      <c r="G20" s="4">
        <v>0</v>
      </c>
      <c r="H20" s="4">
        <f t="shared" ref="H20:Y20" si="17">G20*EXP(-G$8)+G$14*G6^2*EXP(-G$8)</f>
        <v>9.0342871237598882E-8</v>
      </c>
      <c r="I20" s="4">
        <f t="shared" si="17"/>
        <v>3.9956689235146171E-6</v>
      </c>
      <c r="J20" s="4">
        <f t="shared" si="17"/>
        <v>1.6389734172626811E-4</v>
      </c>
      <c r="K20" s="4">
        <f t="shared" si="17"/>
        <v>4.4938625980053262E-3</v>
      </c>
      <c r="L20" s="4">
        <f t="shared" si="17"/>
        <v>2.2596315220589306E-2</v>
      </c>
      <c r="M20" s="4">
        <f t="shared" si="17"/>
        <v>1.2778109386978742E-2</v>
      </c>
      <c r="N20" s="4">
        <f t="shared" si="17"/>
        <v>3.2364334840502603E-3</v>
      </c>
      <c r="O20" s="4">
        <f t="shared" si="17"/>
        <v>6.3571607527242429E-4</v>
      </c>
      <c r="P20" s="4">
        <f t="shared" si="17"/>
        <v>1.1177879139687629E-4</v>
      </c>
      <c r="Q20" s="4">
        <f t="shared" si="17"/>
        <v>1.8485013604690162E-5</v>
      </c>
      <c r="R20" s="4">
        <f t="shared" si="17"/>
        <v>2.9396640310858973E-6</v>
      </c>
      <c r="S20" s="4">
        <f t="shared" si="17"/>
        <v>4.5496516999764827E-7</v>
      </c>
      <c r="T20" s="4">
        <f t="shared" si="17"/>
        <v>6.9020686443567337E-8</v>
      </c>
      <c r="U20" s="4">
        <f t="shared" si="17"/>
        <v>1.0311584273603702E-8</v>
      </c>
      <c r="V20" s="4">
        <f t="shared" si="17"/>
        <v>1.5219693514864602E-9</v>
      </c>
      <c r="W20" s="4">
        <f t="shared" si="17"/>
        <v>2.224415514148566E-10</v>
      </c>
      <c r="X20" s="4">
        <f t="shared" si="17"/>
        <v>3.2247246175256635E-11</v>
      </c>
      <c r="Y20" s="4">
        <f t="shared" si="17"/>
        <v>4.6429868253399575E-12</v>
      </c>
      <c r="Z20" s="4">
        <f>Y20*EXP(-Y$8)/oa+2*Y$14*(Y6)*Y$9*sa/oa^2 + 2*Y$14*Y$9*Z6^2*sa^2/oa^3 +Y$14*Y$9*Z6^2*sa/oa^2</f>
        <v>7.3979171630401916E-13</v>
      </c>
    </row>
    <row r="21" spans="1:26">
      <c r="A21" t="s">
        <v>48</v>
      </c>
      <c r="B21">
        <f>SUMPRODUCT(fa,G18:Z18)</f>
        <v>-3.6746695310946972E-2</v>
      </c>
      <c r="C21">
        <f>SUMPRODUCT(fa,G19:Z19)</f>
        <v>-3.326931135686502E-2</v>
      </c>
      <c r="F21" s="4" t="s">
        <v>59</v>
      </c>
      <c r="G21" s="4">
        <v>0</v>
      </c>
      <c r="H21" s="4">
        <f t="shared" ref="H21:Y21" si="18">G21*EXP(-G$8)+G$14*G7^2*EXP(-G$8)</f>
        <v>8.3263260455079369E-8</v>
      </c>
      <c r="I21" s="4">
        <f t="shared" si="18"/>
        <v>3.4000040074694073E-6</v>
      </c>
      <c r="J21" s="4">
        <f t="shared" si="18"/>
        <v>1.2908282459064328E-4</v>
      </c>
      <c r="K21" s="4">
        <f t="shared" si="18"/>
        <v>3.383938773256366E-3</v>
      </c>
      <c r="L21" s="4">
        <f t="shared" si="18"/>
        <v>1.8521606279179512E-2</v>
      </c>
      <c r="M21" s="4">
        <f t="shared" si="18"/>
        <v>1.1657668199913002E-2</v>
      </c>
      <c r="N21" s="4">
        <f t="shared" si="18"/>
        <v>3.070016581475044E-3</v>
      </c>
      <c r="O21" s="4">
        <f t="shared" si="18"/>
        <v>6.1322107838818294E-4</v>
      </c>
      <c r="P21" s="4">
        <f t="shared" si="18"/>
        <v>1.0877993646878897E-4</v>
      </c>
      <c r="Q21" s="4">
        <f t="shared" si="18"/>
        <v>1.8086036586179228E-5</v>
      </c>
      <c r="R21" s="4">
        <f t="shared" si="18"/>
        <v>2.8865983906225564E-6</v>
      </c>
      <c r="S21" s="4">
        <f t="shared" si="18"/>
        <v>4.4790751053603851E-7</v>
      </c>
      <c r="T21" s="4">
        <f t="shared" si="18"/>
        <v>6.8082032776096132E-8</v>
      </c>
      <c r="U21" s="4">
        <f t="shared" si="18"/>
        <v>1.0186745442852822E-8</v>
      </c>
      <c r="V21" s="4">
        <f t="shared" si="18"/>
        <v>1.5053660692343759E-9</v>
      </c>
      <c r="W21" s="4">
        <f t="shared" si="18"/>
        <v>2.2023335245001484E-10</v>
      </c>
      <c r="X21" s="4">
        <f t="shared" si="18"/>
        <v>3.195356071098609E-11</v>
      </c>
      <c r="Y21" s="4">
        <f t="shared" si="18"/>
        <v>4.603927323334922E-12</v>
      </c>
      <c r="Z21" s="4">
        <f>Y21*EXP(-Y$8)/oa+2*Y$14*(Y7)*Y$9*sa/oa^2 + 2*Y$14*Y$9*Z7^2*sa^2/oa^3 +Y$14*Y$9*Z7^2*sa/oa^2</f>
        <v>7.3380000719779153E-13</v>
      </c>
    </row>
    <row r="22" spans="1:26">
      <c r="A22" t="s">
        <v>64</v>
      </c>
      <c r="B22">
        <f>SUMPRODUCT(fa,G20:Z20)</f>
        <v>1.6413374352863434E-2</v>
      </c>
      <c r="C22">
        <f>SUMPRODUCT(fa,G21:Z21)</f>
        <v>1.4163446798239344E-2</v>
      </c>
      <c r="F22" t="s">
        <v>44</v>
      </c>
      <c r="G22">
        <f t="shared" ref="G22:Z22" si="19">G11*G18+lz*wa*G6/za*(EXP(-za)-(1-EXP(-za))/za)</f>
        <v>-8.5356450877766674E-7</v>
      </c>
      <c r="H22">
        <f t="shared" si="19"/>
        <v>-2.9143142189788449E-5</v>
      </c>
      <c r="I22">
        <f t="shared" si="19"/>
        <v>-4.1131006962206697E-4</v>
      </c>
      <c r="J22">
        <f t="shared" si="19"/>
        <v>-3.3640553998272316E-3</v>
      </c>
      <c r="K22">
        <f t="shared" si="19"/>
        <v>-1.0611082044176096E-2</v>
      </c>
      <c r="L22">
        <f t="shared" si="19"/>
        <v>-1.0565224016429122E-2</v>
      </c>
      <c r="M22">
        <f t="shared" si="19"/>
        <v>-4.0188896366712057E-3</v>
      </c>
      <c r="N22">
        <f t="shared" si="19"/>
        <v>-9.8472253467679063E-4</v>
      </c>
      <c r="O22">
        <f t="shared" si="19"/>
        <v>-2.014279285892466E-4</v>
      </c>
      <c r="P22">
        <f t="shared" si="19"/>
        <v>-3.7350615161081227E-5</v>
      </c>
      <c r="Q22">
        <f t="shared" si="19"/>
        <v>-6.4959687070321502E-6</v>
      </c>
      <c r="R22">
        <f t="shared" si="19"/>
        <v>-1.0792976516686426E-6</v>
      </c>
      <c r="S22">
        <f t="shared" si="19"/>
        <v>-1.7329250726503685E-7</v>
      </c>
      <c r="T22">
        <f t="shared" si="19"/>
        <v>-2.7098072377119118E-8</v>
      </c>
      <c r="U22">
        <f t="shared" si="19"/>
        <v>-4.1497509156321501E-9</v>
      </c>
      <c r="V22">
        <f t="shared" si="19"/>
        <v>-6.2488980765790384E-10</v>
      </c>
      <c r="W22">
        <f t="shared" si="19"/>
        <v>-9.2816262946428491E-11</v>
      </c>
      <c r="X22">
        <f t="shared" si="19"/>
        <v>-1.3630755893021168E-11</v>
      </c>
      <c r="Y22">
        <f t="shared" si="19"/>
        <v>-1.9829160572218311E-12</v>
      </c>
      <c r="Z22">
        <f t="shared" si="19"/>
        <v>-3.3345702941560832E-13</v>
      </c>
    </row>
    <row r="23" spans="1:26">
      <c r="A23" t="s">
        <v>41</v>
      </c>
      <c r="B23">
        <f>SUMPRODUCT(lz*G11:Z11)</f>
        <v>3.9130858872943895E-2</v>
      </c>
      <c r="C23">
        <f>SUMPRODUCT(lz*G12:Z12)</f>
        <v>3.6092970528264344E-2</v>
      </c>
      <c r="F23" t="s">
        <v>45</v>
      </c>
      <c r="G23">
        <f t="shared" ref="G23:Z23" si="20">G12*G19+lz*wa*G7/za*(EXP(-za)-(1-EXP(-za))/za)</f>
        <v>-8.1943802107597177E-7</v>
      </c>
      <c r="H23">
        <f t="shared" si="20"/>
        <v>-2.686348322442814E-5</v>
      </c>
      <c r="I23">
        <f t="shared" si="20"/>
        <v>-3.6458794584634893E-4</v>
      </c>
      <c r="J23">
        <f t="shared" si="20"/>
        <v>-2.9024117601238802E-3</v>
      </c>
      <c r="K23">
        <f t="shared" si="20"/>
        <v>-9.2765848422944643E-3</v>
      </c>
      <c r="L23">
        <f t="shared" si="20"/>
        <v>-9.6009493368125389E-3</v>
      </c>
      <c r="M23">
        <f t="shared" si="20"/>
        <v>-3.8069774291694808E-3</v>
      </c>
      <c r="N23">
        <f t="shared" si="20"/>
        <v>-9.5082132315812593E-4</v>
      </c>
      <c r="O23">
        <f t="shared" si="20"/>
        <v>-1.9629338966545946E-4</v>
      </c>
      <c r="P23">
        <f t="shared" si="20"/>
        <v>-3.6592763694545026E-5</v>
      </c>
      <c r="Q23">
        <f t="shared" si="20"/>
        <v>-6.3863932663603874E-6</v>
      </c>
      <c r="R23">
        <f t="shared" si="20"/>
        <v>-1.0637155280607978E-6</v>
      </c>
      <c r="S23">
        <f t="shared" si="20"/>
        <v>-1.7110566734092272E-7</v>
      </c>
      <c r="T23">
        <f t="shared" si="20"/>
        <v>-2.6794352992971547E-8</v>
      </c>
      <c r="U23">
        <f t="shared" si="20"/>
        <v>-4.1079179068204447E-9</v>
      </c>
      <c r="V23">
        <f t="shared" si="20"/>
        <v>-6.1916607472673523E-10</v>
      </c>
      <c r="W23">
        <f t="shared" si="20"/>
        <v>-9.203729217840859E-11</v>
      </c>
      <c r="X23">
        <f t="shared" si="20"/>
        <v>-1.3525197205823766E-11</v>
      </c>
      <c r="Y23">
        <f t="shared" si="20"/>
        <v>-1.9686614324587892E-12</v>
      </c>
      <c r="Z23">
        <f t="shared" si="20"/>
        <v>-3.3124305349133181E-13</v>
      </c>
    </row>
    <row r="24" spans="1:26">
      <c r="A24" t="s">
        <v>43</v>
      </c>
      <c r="B24">
        <f>SUM(G22:Z22)</f>
        <v>-3.0231839492193859E-2</v>
      </c>
      <c r="C24">
        <f>SUM(G23:Z23)</f>
        <v>-2.7170554555771474E-2</v>
      </c>
      <c r="F24" s="4" t="s">
        <v>62</v>
      </c>
      <c r="G24" s="4">
        <f t="shared" ref="G24:Z24" si="21">G20*G11+2*G18*wa*G6^2*sa/za - 2*G18*wa*G6^2*oa/za^2-lz*wa*G6^3*sa/za -2*lz*wa*G6^3*sa/za^2+2*lz*wa*G6^3*oa/za^3</f>
        <v>6.766244323356963E-14</v>
      </c>
      <c r="H24" s="4">
        <f t="shared" si="21"/>
        <v>1.9813600528682218E-10</v>
      </c>
      <c r="I24" s="4">
        <f t="shared" si="21"/>
        <v>1.6548822803315331E-7</v>
      </c>
      <c r="J24" s="4">
        <f t="shared" si="21"/>
        <v>6.194610987647251E-5</v>
      </c>
      <c r="K24" s="4">
        <f t="shared" si="21"/>
        <v>3.0758707444317537E-3</v>
      </c>
      <c r="L24" s="4">
        <f t="shared" si="21"/>
        <v>9.3200262914944453E-3</v>
      </c>
      <c r="M24" s="4">
        <f t="shared" si="21"/>
        <v>4.962000359710346E-3</v>
      </c>
      <c r="N24" s="4">
        <f t="shared" si="21"/>
        <v>1.3637980331215988E-3</v>
      </c>
      <c r="O24" s="4">
        <f t="shared" si="21"/>
        <v>2.942708756251006E-4</v>
      </c>
      <c r="P24" s="4">
        <f t="shared" si="21"/>
        <v>5.6257106396979328E-5</v>
      </c>
      <c r="Q24" s="4">
        <f t="shared" si="21"/>
        <v>9.9791740337345133E-6</v>
      </c>
      <c r="R24" s="4">
        <f t="shared" si="21"/>
        <v>1.6810924729326668E-6</v>
      </c>
      <c r="S24" s="4">
        <f t="shared" si="21"/>
        <v>2.726875771813571E-7</v>
      </c>
      <c r="T24" s="4">
        <f t="shared" si="21"/>
        <v>4.2977014271455491E-8</v>
      </c>
      <c r="U24" s="4">
        <f t="shared" si="21"/>
        <v>6.6225707354721173E-9</v>
      </c>
      <c r="V24" s="4">
        <f t="shared" si="21"/>
        <v>1.0023227121933395E-9</v>
      </c>
      <c r="W24" s="4">
        <f t="shared" si="21"/>
        <v>1.4950335691442935E-10</v>
      </c>
      <c r="X24" s="4">
        <f t="shared" si="21"/>
        <v>2.2033420776880338E-11</v>
      </c>
      <c r="Y24" s="4">
        <f t="shared" si="21"/>
        <v>3.21497004522146E-12</v>
      </c>
      <c r="Z24" s="4">
        <f t="shared" si="21"/>
        <v>5.279835803802328E-13</v>
      </c>
    </row>
    <row r="25" spans="1:26">
      <c r="A25" t="s">
        <v>56</v>
      </c>
      <c r="B25">
        <f>SUM(G24:Z24)</f>
        <v>1.9146318938359691E-2</v>
      </c>
      <c r="C25">
        <f>SUM(G25:Z25)</f>
        <v>1.6414960953027753E-2</v>
      </c>
      <c r="F25" s="4" t="s">
        <v>63</v>
      </c>
      <c r="G25" s="4">
        <f t="shared" ref="G25:Z25" si="22">G21*G12+2*G19*wa*G7^2*sa/za - 2*G19*wa*G7^2*oa/za^2-lz*wa*G7^3*sa/za -2*lz*wa*G7^3*sa/za^2+2*lz*wa*G7^3*oa/za^3</f>
        <v>5.9866926422720834E-14</v>
      </c>
      <c r="H25" s="4">
        <f t="shared" si="22"/>
        <v>1.5746402629849699E-10</v>
      </c>
      <c r="I25" s="4">
        <f t="shared" si="22"/>
        <v>1.1733816986536485E-7</v>
      </c>
      <c r="J25" s="4">
        <f t="shared" si="22"/>
        <v>4.088596622934149E-5</v>
      </c>
      <c r="K25" s="4">
        <f t="shared" si="22"/>
        <v>2.2362056003787608E-3</v>
      </c>
      <c r="L25" s="4">
        <f t="shared" si="22"/>
        <v>7.8913611583684706E-3</v>
      </c>
      <c r="M25" s="4">
        <f t="shared" si="22"/>
        <v>4.5912797439913635E-3</v>
      </c>
      <c r="N25" s="4">
        <f t="shared" si="22"/>
        <v>1.303346339089185E-3</v>
      </c>
      <c r="O25" s="4">
        <f t="shared" si="22"/>
        <v>2.8510451989814867E-4</v>
      </c>
      <c r="P25" s="4">
        <f t="shared" si="22"/>
        <v>5.4904324864408088E-5</v>
      </c>
      <c r="Q25" s="4">
        <f t="shared" si="22"/>
        <v>9.783591424014364E-6</v>
      </c>
      <c r="R25" s="4">
        <f t="shared" si="22"/>
        <v>1.653280165890839E-6</v>
      </c>
      <c r="S25" s="4">
        <f t="shared" si="22"/>
        <v>2.6878433046722945E-7</v>
      </c>
      <c r="T25" s="4">
        <f t="shared" si="22"/>
        <v>4.2434911951203564E-8</v>
      </c>
      <c r="U25" s="4">
        <f t="shared" si="22"/>
        <v>6.5479038883640231E-9</v>
      </c>
      <c r="V25" s="4">
        <f t="shared" si="22"/>
        <v>9.9210654327727645E-10</v>
      </c>
      <c r="W25" s="4">
        <f t="shared" si="22"/>
        <v>1.4811298859711184E-10</v>
      </c>
      <c r="X25" s="4">
        <f t="shared" si="22"/>
        <v>2.1845011326544307E-11</v>
      </c>
      <c r="Y25" s="4">
        <f t="shared" si="22"/>
        <v>3.1895272693830548E-12</v>
      </c>
      <c r="Z25" s="4">
        <f t="shared" si="22"/>
        <v>5.240319019538591E-13</v>
      </c>
    </row>
    <row r="26" spans="1:26">
      <c r="A26" t="s">
        <v>46</v>
      </c>
      <c r="B26">
        <f>ro/(reck-1)*phie/phif^2*dphif</f>
        <v>-0.22862389637820754</v>
      </c>
      <c r="C26">
        <f>ro/(reck-1)*phie/phif^2*dphif</f>
        <v>-0.20698894221272543</v>
      </c>
      <c r="G26">
        <f>G20*G11+2*G18*wa*G6^2*sa/za-2*G18*wa*G6^2*oa/za^2-lz*wa*G6^3*sa/za-2*lz*wa*G6^3*sa/za^2+2*lz*wa*G6^3*oa/za^3</f>
        <v>6.766244323356963E-14</v>
      </c>
    </row>
    <row r="27" spans="1:26">
      <c r="A27" t="s">
        <v>57</v>
      </c>
      <c r="B27">
        <f>-2*ro*phie*dphif^2/(phif^3*(reck-1)) + ro*phie*ddphif/(phif^2*(reck-1))</f>
        <v>-8.7975802454849747E-2</v>
      </c>
      <c r="C27">
        <f>-2*ro*phie*dphif^2/(phif^3*(reck-1)) + ro*phie*ddphif/(phif^2*(reck-1))</f>
        <v>-6.7698730373253427E-2</v>
      </c>
      <c r="G27">
        <f t="shared" ref="G27:Z27" si="23">(G15-2*G14+G16)/dh^2</f>
        <v>0</v>
      </c>
      <c r="H27">
        <f t="shared" si="23"/>
        <v>8.8817841970012523E-8</v>
      </c>
      <c r="I27">
        <f t="shared" si="23"/>
        <v>5.0293103015519591E-6</v>
      </c>
      <c r="J27">
        <f t="shared" si="23"/>
        <v>2.127853448996575E-4</v>
      </c>
      <c r="K27">
        <f t="shared" si="23"/>
        <v>6.0144444979925993E-3</v>
      </c>
      <c r="L27">
        <f t="shared" si="23"/>
        <v>3.5453165403431797E-2</v>
      </c>
      <c r="M27">
        <f t="shared" si="23"/>
        <v>2.9255877755096638E-2</v>
      </c>
      <c r="N27">
        <f t="shared" si="23"/>
        <v>1.0370110239271702E-2</v>
      </c>
      <c r="O27">
        <f t="shared" si="23"/>
        <v>2.6499837778781385E-3</v>
      </c>
      <c r="P27">
        <f t="shared" si="23"/>
        <v>5.7563039655239654E-4</v>
      </c>
      <c r="Q27">
        <f t="shared" si="23"/>
        <v>1.134657823664701E-4</v>
      </c>
      <c r="R27">
        <f t="shared" si="23"/>
        <v>2.0961386395798798E-5</v>
      </c>
      <c r="S27">
        <f t="shared" si="23"/>
        <v>3.6965872422383673E-6</v>
      </c>
      <c r="T27">
        <f t="shared" si="23"/>
        <v>6.2952452801661593E-7</v>
      </c>
      <c r="U27">
        <f t="shared" si="23"/>
        <v>1.0432794031167681E-7</v>
      </c>
      <c r="V27">
        <f t="shared" si="23"/>
        <v>1.6916583411333011E-8</v>
      </c>
      <c r="W27">
        <f t="shared" si="23"/>
        <v>2.6943866495549024E-9</v>
      </c>
      <c r="X27">
        <f t="shared" si="23"/>
        <v>4.2279344292970485E-10</v>
      </c>
      <c r="Y27">
        <f t="shared" si="23"/>
        <v>6.5510111340339891E-11</v>
      </c>
      <c r="Z27">
        <f t="shared" si="23"/>
        <v>1.1835612882365823E-11</v>
      </c>
    </row>
    <row r="28" spans="1:26"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1.7711829731141989E-2</v>
      </c>
      <c r="C29">
        <f>f*re*phiq</f>
        <v>1.7196951988642725E-2</v>
      </c>
      <c r="F29">
        <v>0</v>
      </c>
      <c r="G29">
        <f>B29</f>
        <v>1.7711829731141989E-2</v>
      </c>
      <c r="H29">
        <f>B30</f>
        <v>0</v>
      </c>
    </row>
    <row r="30" spans="1:26">
      <c r="A30" t="s">
        <v>53</v>
      </c>
      <c r="B30">
        <f>re*phiq+f*phiq*dre+f*re*dphiq</f>
        <v>0</v>
      </c>
      <c r="C30">
        <f>re*phiq+f*phiq*dre+f*re*dphiq</f>
        <v>0</v>
      </c>
      <c r="F30">
        <v>0.2</v>
      </c>
      <c r="G30">
        <f t="dataTable" ref="G30:H56" dt2D="0" dtr="0" r1="B6"/>
        <v>8.6019778280879821E-3</v>
      </c>
      <c r="H30">
        <v>3.0956414063514761E-2</v>
      </c>
      <c r="Z30" s="4">
        <f>Y30*EXP(-Y$8)/oa+Y$14*(Y16)^2*Y$9/oa + 2*Y$14*Y16*Y$9*Z16*sa/oa^2 + 2*Y$14*Y$9*Z16^2*sa/oa^3 + Y$14*Y$9*Z16^2*sa/oa^2</f>
        <v>7.2370579058249841E-39</v>
      </c>
    </row>
    <row r="31" spans="1:26">
      <c r="A31" t="s">
        <v>52</v>
      </c>
      <c r="F31">
        <v>0.20499999999999999</v>
      </c>
      <c r="G31">
        <v>8.7617691891247462E-3</v>
      </c>
      <c r="H31">
        <v>3.0488580079952032E-2</v>
      </c>
    </row>
    <row r="32" spans="1:26">
      <c r="B32">
        <f>re*phiq+f*phiq*dre+f*re*dphiq</f>
        <v>0</v>
      </c>
      <c r="C32">
        <f>f*phiq*B26+f*re*B24</f>
        <v>-2.1671942621530244E-2</v>
      </c>
      <c r="F32">
        <v>0.21</v>
      </c>
      <c r="G32">
        <v>8.9193648362413704E-3</v>
      </c>
      <c r="H32">
        <v>3.0026867119453082E-2</v>
      </c>
    </row>
    <row r="33" spans="1:8">
      <c r="B33">
        <f>f*phiq*C26+f*re*C24</f>
        <v>-1.9075088468176422E-2</v>
      </c>
      <c r="C33">
        <f>re*phiq+f*phiq*dre+f*re*dphiq</f>
        <v>0</v>
      </c>
      <c r="F33">
        <v>0.215</v>
      </c>
      <c r="G33">
        <v>9.0747940489639325E-3</v>
      </c>
      <c r="H33">
        <v>2.957117446688972E-2</v>
      </c>
    </row>
    <row r="34" spans="1:8">
      <c r="A34" t="s">
        <v>10</v>
      </c>
      <c r="B34">
        <f t="array" ref="B34:C35">-MINVERSE(B32:C33)</f>
        <v>0</v>
      </c>
      <c r="C34">
        <v>52.424396440851737</v>
      </c>
      <c r="F34">
        <v>0.22</v>
      </c>
      <c r="G34">
        <v>9.2280856152883398E-3</v>
      </c>
      <c r="H34">
        <v>2.9121403422145677E-2</v>
      </c>
    </row>
    <row r="35" spans="1:8">
      <c r="B35">
        <v>46.14261016945192</v>
      </c>
      <c r="C35">
        <v>0</v>
      </c>
      <c r="F35">
        <v>0.22500000000000001</v>
      </c>
      <c r="G35">
        <v>9.3792678415793203E-3</v>
      </c>
      <c r="H35">
        <v>2.8677457252874319E-2</v>
      </c>
    </row>
    <row r="36" spans="1:8">
      <c r="F36">
        <v>0.23</v>
      </c>
      <c r="G36">
        <v>9.528368562236952E-3</v>
      </c>
      <c r="H36">
        <v>2.823924114852322E-2</v>
      </c>
    </row>
    <row r="37" spans="1:8">
      <c r="A37" t="s">
        <v>11</v>
      </c>
      <c r="B37">
        <f t="array" ref="B37:C37">MMULT(B30:C30,B34:C35)</f>
        <v>0</v>
      </c>
      <c r="C37">
        <v>0</v>
      </c>
      <c r="F37">
        <v>0.23499999999999999</v>
      </c>
      <c r="G37">
        <v>9.6754151491369664E-3</v>
      </c>
      <c r="H37">
        <v>2.780666217558718E-2</v>
      </c>
    </row>
    <row r="38" spans="1:8">
      <c r="A38" t="s">
        <v>54</v>
      </c>
      <c r="B38">
        <f>f+delta</f>
        <v>0.83668503118770632</v>
      </c>
      <c r="C38">
        <f>f+delta</f>
        <v>0.8807381382082371</v>
      </c>
      <c r="F38">
        <v>0.24</v>
      </c>
      <c r="G38">
        <v>9.8204345208507873E-3</v>
      </c>
      <c r="H38">
        <v>2.737962923405303E-2</v>
      </c>
    </row>
    <row r="39" spans="1:8">
      <c r="F39">
        <v>0.245</v>
      </c>
      <c r="G39">
        <v>9.9634531516513431E-3</v>
      </c>
      <c r="H39">
        <v>2.6958053015000642E-2</v>
      </c>
    </row>
    <row r="40" spans="1:8">
      <c r="A40" t="s">
        <v>9</v>
      </c>
      <c r="B40">
        <f>2*dre*phiq+2*re*dphiq+f*ddre*phiq+2*f*dre*dphiq+f*re*ddphiq</f>
        <v>-3.3250469374861646E-2</v>
      </c>
      <c r="C40">
        <f>f*B27*phiq+2*f*B26*B24+f*re*B25</f>
        <v>1.8500723217216748E-2</v>
      </c>
      <c r="F40">
        <v>0.25</v>
      </c>
      <c r="G40">
        <v>1.0104497080310157E-2</v>
      </c>
      <c r="H40">
        <v>2.6541845959325322E-2</v>
      </c>
    </row>
    <row r="41" spans="1:8">
      <c r="B41">
        <f>f*C27*phiq+2*f*C26*C24+f*re*C25</f>
        <v>1.4624486244745702E-2</v>
      </c>
      <c r="C41">
        <f>2*dre*phiq+2*re*dphiq+f*ddre*phiq+2*f*dre*dphiq+f*re*ddphiq</f>
        <v>-2.8763573854503982E-2</v>
      </c>
      <c r="F41">
        <v>0.255</v>
      </c>
      <c r="G41">
        <v>1.0243591918691314E-2</v>
      </c>
      <c r="H41">
        <v>2.6130922217548428E-2</v>
      </c>
    </row>
    <row r="42" spans="1:8">
      <c r="A42" t="s">
        <v>10</v>
      </c>
      <c r="B42">
        <f t="array" ref="B42:C43">-MINVERSE(B40:C41)</f>
        <v>41.93926555222739</v>
      </c>
      <c r="C42">
        <v>26.975324688090367</v>
      </c>
      <c r="F42">
        <v>0.26</v>
      </c>
      <c r="G42">
        <v>1.038076286014772E-2</v>
      </c>
      <c r="H42">
        <v>2.5725197610684029E-2</v>
      </c>
    </row>
    <row r="43" spans="1:8">
      <c r="B43">
        <v>21.323505044462546</v>
      </c>
      <c r="C43">
        <v>48.481467285754796</v>
      </c>
      <c r="F43">
        <v>0.26500000000000001</v>
      </c>
      <c r="G43">
        <v>1.0516034687724721E-2</v>
      </c>
      <c r="H43">
        <v>2.5324589592130332E-2</v>
      </c>
    </row>
    <row r="44" spans="1:8">
      <c r="F44">
        <v>0.27</v>
      </c>
      <c r="G44">
        <v>1.0649431782176177E-2</v>
      </c>
      <c r="H44">
        <v>2.4929017210555415E-2</v>
      </c>
    </row>
    <row r="45" spans="1:8">
      <c r="A45" t="s">
        <v>65</v>
      </c>
      <c r="B45">
        <f t="array" ref="B45:C45">MMULT(B30:C30,B42:C43)</f>
        <v>0</v>
      </c>
      <c r="C45">
        <v>0</v>
      </c>
      <c r="F45">
        <v>0.27500000000000002</v>
      </c>
      <c r="G45">
        <v>1.0780978129798001E-2</v>
      </c>
      <c r="H45">
        <v>2.4538401073748925E-2</v>
      </c>
    </row>
    <row r="46" spans="1:8">
      <c r="A46" s="5" t="s">
        <v>54</v>
      </c>
      <c r="B46" s="5">
        <f>f+dta</f>
        <v>0.83668503118770632</v>
      </c>
      <c r="C46" s="5">
        <f>f+dta</f>
        <v>0.8807381382082371</v>
      </c>
      <c r="F46">
        <v>0.28000000000000003</v>
      </c>
      <c r="G46">
        <v>1.0910697330083647E-2</v>
      </c>
      <c r="H46">
        <v>2.4152663313410299E-2</v>
      </c>
    </row>
    <row r="47" spans="1:8">
      <c r="F47">
        <v>0.28499999999999998</v>
      </c>
      <c r="G47">
        <v>1.1038612603206476E-2</v>
      </c>
      <c r="H47">
        <v>2.377172755084743E-2</v>
      </c>
    </row>
    <row r="48" spans="1:8">
      <c r="F48">
        <v>0.28999999999999998</v>
      </c>
      <c r="G48">
        <v>1.1164746797333239E-2</v>
      </c>
      <c r="H48">
        <v>2.3395518863558347E-2</v>
      </c>
    </row>
    <row r="49" spans="6:8">
      <c r="F49">
        <v>0.29499999999999998</v>
      </c>
      <c r="G49">
        <v>1.1289122395773087E-2</v>
      </c>
      <c r="H49">
        <v>2.3023963752670906E-2</v>
      </c>
    </row>
    <row r="50" spans="6:8">
      <c r="F50">
        <v>0.29999999999999899</v>
      </c>
      <c r="G50">
        <v>1.1411761523966425E-2</v>
      </c>
      <c r="H50">
        <v>2.2656990111215754E-2</v>
      </c>
    </row>
    <row r="51" spans="6:8">
      <c r="F51">
        <v>0.30499999999999999</v>
      </c>
      <c r="G51">
        <v>1.1532685956317679E-2</v>
      </c>
      <c r="H51">
        <v>2.229452719320767E-2</v>
      </c>
    </row>
    <row r="52" spans="6:8">
      <c r="F52">
        <v>0.309999999999999</v>
      </c>
      <c r="G52">
        <v>1.1651917122875555E-2</v>
      </c>
      <c r="H52">
        <v>2.1936505583514256E-2</v>
      </c>
    </row>
    <row r="53" spans="6:8">
      <c r="F53">
        <v>0.314999999999999</v>
      </c>
      <c r="G53">
        <v>1.1769476115865676E-2</v>
      </c>
      <c r="H53">
        <v>2.1582857168486146E-2</v>
      </c>
    </row>
    <row r="54" spans="6:8">
      <c r="F54">
        <v>0.31999999999999901</v>
      </c>
      <c r="G54">
        <v>1.1885383696078014E-2</v>
      </c>
      <c r="H54">
        <v>2.1233515107330739E-2</v>
      </c>
    </row>
    <row r="55" spans="6:8">
      <c r="F55">
        <v>0.32499999999999901</v>
      </c>
      <c r="G55">
        <v>1.1999660299113906E-2</v>
      </c>
      <c r="H55">
        <v>2.0888413804205488E-2</v>
      </c>
    </row>
    <row r="56" spans="6:8">
      <c r="F56">
        <v>0.32999999999999902</v>
      </c>
      <c r="G56">
        <v>1.2112326041495529E-2</v>
      </c>
      <c r="H56">
        <v>2.054748888101169E-2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workbookViewId="0">
      <selection activeCell="Y20" sqref="Y20"/>
    </sheetView>
  </sheetViews>
  <sheetFormatPr baseColWidth="10" defaultRowHeight="15" x14ac:dyDescent="0"/>
  <cols>
    <col min="2" max="3" width="12.83203125" bestFit="1" customWidth="1"/>
    <col min="7" max="7" width="12.1640625" customWidth="1"/>
    <col min="8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6">
        <v>0.17583914369018092</v>
      </c>
      <c r="C6">
        <f>B6+dh</f>
        <v>0.17584914369018093</v>
      </c>
      <c r="D6">
        <f>B6-dh</f>
        <v>0.17582914369018091</v>
      </c>
      <c r="E6">
        <v>3</v>
      </c>
      <c r="F6" t="s">
        <v>24</v>
      </c>
      <c r="G6">
        <f t="shared" ref="G6:Z6" si="4">1/(1+EXP(-(G1-ah)/(0.5*ah)))</f>
        <v>0.20860852732604496</v>
      </c>
      <c r="H6">
        <f t="shared" si="4"/>
        <v>0.33924363123418283</v>
      </c>
      <c r="I6">
        <f t="shared" si="4"/>
        <v>0.5</v>
      </c>
      <c r="J6">
        <f t="shared" si="4"/>
        <v>0.66075636876581723</v>
      </c>
      <c r="K6">
        <f t="shared" si="4"/>
        <v>0.79139147267395504</v>
      </c>
      <c r="L6">
        <f t="shared" si="4"/>
        <v>0.88079707797788231</v>
      </c>
      <c r="M6">
        <f t="shared" si="4"/>
        <v>0.93503083087133598</v>
      </c>
      <c r="N6">
        <f t="shared" si="4"/>
        <v>0.96555480433378893</v>
      </c>
      <c r="O6">
        <f t="shared" si="4"/>
        <v>0.98201379003790845</v>
      </c>
      <c r="P6">
        <f t="shared" si="4"/>
        <v>0.99068404065493332</v>
      </c>
      <c r="Q6">
        <f t="shared" si="4"/>
        <v>0.99519524711284046</v>
      </c>
      <c r="R6">
        <f t="shared" si="4"/>
        <v>0.99752737684336534</v>
      </c>
      <c r="S6">
        <f t="shared" si="4"/>
        <v>0.99872898373691865</v>
      </c>
      <c r="T6">
        <f t="shared" si="4"/>
        <v>0.99934703466244723</v>
      </c>
      <c r="U6">
        <f t="shared" si="4"/>
        <v>0.99966464986953363</v>
      </c>
      <c r="V6">
        <f t="shared" si="4"/>
        <v>0.99982779740288108</v>
      </c>
      <c r="W6">
        <f t="shared" si="4"/>
        <v>0.99991158082998111</v>
      </c>
      <c r="X6">
        <f t="shared" si="4"/>
        <v>0.99995460213129761</v>
      </c>
      <c r="Y6">
        <f t="shared" si="4"/>
        <v>0.99997669144215851</v>
      </c>
      <c r="Z6">
        <f t="shared" si="4"/>
        <v>0.99998803285165838</v>
      </c>
    </row>
    <row r="7" spans="1:26">
      <c r="A7" t="s">
        <v>28</v>
      </c>
      <c r="B7">
        <v>0.25730116157848687</v>
      </c>
      <c r="C7">
        <f>B7</f>
        <v>0.25730116157848687</v>
      </c>
      <c r="D7">
        <f>C7</f>
        <v>0.25730116157848687</v>
      </c>
      <c r="E7">
        <v>4</v>
      </c>
      <c r="G7">
        <f t="shared" ref="G7:Z7" si="5">1/(1+EXP(-(G1-ah)/(0.5*ah)))</f>
        <v>0.18242552380635635</v>
      </c>
      <c r="H7">
        <f t="shared" si="5"/>
        <v>0.2689414213699951</v>
      </c>
      <c r="I7">
        <f t="shared" si="5"/>
        <v>0.37754066879814541</v>
      </c>
      <c r="J7">
        <f t="shared" si="5"/>
        <v>0.5</v>
      </c>
      <c r="K7">
        <f t="shared" si="5"/>
        <v>0.62245933120185459</v>
      </c>
      <c r="L7">
        <f t="shared" si="5"/>
        <v>0.7310585786300049</v>
      </c>
      <c r="M7">
        <f t="shared" si="5"/>
        <v>0.81757447619364365</v>
      </c>
      <c r="N7">
        <f t="shared" si="5"/>
        <v>0.88079707797788231</v>
      </c>
      <c r="O7">
        <f t="shared" si="5"/>
        <v>0.92414181997875655</v>
      </c>
      <c r="P7">
        <f t="shared" si="5"/>
        <v>0.95257412682243336</v>
      </c>
      <c r="Q7">
        <f t="shared" si="5"/>
        <v>0.97068776924864364</v>
      </c>
      <c r="R7">
        <f t="shared" si="5"/>
        <v>0.98201379003790845</v>
      </c>
      <c r="S7">
        <f t="shared" si="5"/>
        <v>0.98901305736940681</v>
      </c>
      <c r="T7">
        <f t="shared" si="5"/>
        <v>0.99330714907571527</v>
      </c>
      <c r="U7">
        <f t="shared" si="5"/>
        <v>0.99592986228410396</v>
      </c>
      <c r="V7">
        <f t="shared" si="5"/>
        <v>0.99752737684336534</v>
      </c>
      <c r="W7">
        <f t="shared" si="5"/>
        <v>0.99849881774326299</v>
      </c>
      <c r="X7">
        <f t="shared" si="5"/>
        <v>0.9990889488055994</v>
      </c>
      <c r="Y7">
        <f t="shared" si="5"/>
        <v>0.9994472213630764</v>
      </c>
      <c r="Z7">
        <f t="shared" si="5"/>
        <v>0.99966464986953363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0.38361984398842086</v>
      </c>
      <c r="H8">
        <f t="shared" si="6"/>
        <v>0.42885124973363531</v>
      </c>
      <c r="I8">
        <f t="shared" si="6"/>
        <v>0.48506122446997213</v>
      </c>
      <c r="J8">
        <f t="shared" si="6"/>
        <v>0.54483741486085813</v>
      </c>
      <c r="K8">
        <f t="shared" si="6"/>
        <v>0.59931710783230474</v>
      </c>
      <c r="L8">
        <f t="shared" si="6"/>
        <v>0.64298082541986223</v>
      </c>
      <c r="M8">
        <f t="shared" si="6"/>
        <v>0.6747778830258816</v>
      </c>
      <c r="N8">
        <f t="shared" si="6"/>
        <v>0.69641244125863988</v>
      </c>
      <c r="O8">
        <f t="shared" si="6"/>
        <v>0.710459227676006</v>
      </c>
      <c r="P8">
        <f t="shared" si="6"/>
        <v>0.71929946269731682</v>
      </c>
      <c r="Q8">
        <f t="shared" si="6"/>
        <v>0.72475337061456613</v>
      </c>
      <c r="R8">
        <f t="shared" si="6"/>
        <v>0.72807764861449598</v>
      </c>
      <c r="S8">
        <f t="shared" si="6"/>
        <v>0.73008985775630353</v>
      </c>
      <c r="T8">
        <f t="shared" si="6"/>
        <v>0.73130341008576305</v>
      </c>
      <c r="U8">
        <f t="shared" si="6"/>
        <v>0.73203408642680579</v>
      </c>
      <c r="V8">
        <f t="shared" si="6"/>
        <v>0.73247381650110122</v>
      </c>
      <c r="W8">
        <f t="shared" si="6"/>
        <v>0.73273850177912647</v>
      </c>
      <c r="X8">
        <f t="shared" si="6"/>
        <v>0.73289790801573307</v>
      </c>
      <c r="Y8">
        <f t="shared" si="6"/>
        <v>0.73299397612644013</v>
      </c>
      <c r="Z8">
        <f t="shared" si="6"/>
        <v>0.73305191499744649</v>
      </c>
    </row>
    <row r="9" spans="1:26">
      <c r="A9" t="s">
        <v>68</v>
      </c>
      <c r="B9">
        <v>0.4</v>
      </c>
      <c r="C9">
        <f>1-B9</f>
        <v>0.6</v>
      </c>
      <c r="F9" s="7" t="s">
        <v>60</v>
      </c>
      <c r="G9" s="7">
        <f t="shared" ref="G9:Z9" si="7">EXP(-za)</f>
        <v>0.6813904126105802</v>
      </c>
      <c r="H9" s="7">
        <f t="shared" si="7"/>
        <v>0.65125679659829261</v>
      </c>
      <c r="I9" s="7">
        <f t="shared" si="7"/>
        <v>0.61565950218367704</v>
      </c>
      <c r="J9" s="7">
        <f t="shared" si="7"/>
        <v>0.57993606466103409</v>
      </c>
      <c r="K9" s="7">
        <f t="shared" si="7"/>
        <v>0.54918654325786842</v>
      </c>
      <c r="L9" s="7">
        <f t="shared" si="7"/>
        <v>0.52572299763689445</v>
      </c>
      <c r="M9" s="7">
        <f t="shared" si="7"/>
        <v>0.50926952545183535</v>
      </c>
      <c r="N9" s="7">
        <f t="shared" si="7"/>
        <v>0.49837003223371268</v>
      </c>
      <c r="O9" s="7">
        <f t="shared" si="7"/>
        <v>0.49141847267224525</v>
      </c>
      <c r="P9" s="7">
        <f t="shared" si="7"/>
        <v>0.4870933635377781</v>
      </c>
      <c r="Q9" s="7">
        <f t="shared" si="7"/>
        <v>0.48444403235714162</v>
      </c>
      <c r="R9" s="7">
        <f t="shared" si="7"/>
        <v>0.48283627950747576</v>
      </c>
      <c r="S9" s="7">
        <f t="shared" si="7"/>
        <v>0.48186568877511909</v>
      </c>
      <c r="T9" s="7">
        <f t="shared" si="7"/>
        <v>0.48128127422656053</v>
      </c>
      <c r="U9" s="7">
        <f t="shared" si="7"/>
        <v>0.48092974182993886</v>
      </c>
      <c r="V9" s="7">
        <f t="shared" si="7"/>
        <v>0.48071830904891627</v>
      </c>
      <c r="W9" s="7">
        <f t="shared" si="7"/>
        <v>0.48059108682730112</v>
      </c>
      <c r="X9" s="7">
        <f t="shared" si="7"/>
        <v>0.48051448371647232</v>
      </c>
      <c r="Y9" s="7">
        <f t="shared" si="7"/>
        <v>0.48046832381513704</v>
      </c>
      <c r="Z9" s="7">
        <f t="shared" si="7"/>
        <v>0.48044048682933044</v>
      </c>
    </row>
    <row r="10" spans="1:26">
      <c r="A10" t="s">
        <v>69</v>
      </c>
      <c r="B10">
        <f>Ye/SUM(Ye)</f>
        <v>0.39986476469361926</v>
      </c>
      <c r="C10">
        <f>Ye/SUM(Ye)</f>
        <v>0.60013523530638069</v>
      </c>
      <c r="F10" t="s">
        <v>61</v>
      </c>
      <c r="G10">
        <f t="shared" ref="G10:Z10" si="8">1-sa</f>
        <v>0.3186095873894198</v>
      </c>
      <c r="H10">
        <f t="shared" si="8"/>
        <v>0.34874320340170739</v>
      </c>
      <c r="I10">
        <f t="shared" si="8"/>
        <v>0.38434049781632296</v>
      </c>
      <c r="J10">
        <f t="shared" si="8"/>
        <v>0.42006393533896591</v>
      </c>
      <c r="K10">
        <f t="shared" si="8"/>
        <v>0.45081345674213158</v>
      </c>
      <c r="L10">
        <f t="shared" si="8"/>
        <v>0.47427700236310555</v>
      </c>
      <c r="M10">
        <f t="shared" si="8"/>
        <v>0.49073047454816465</v>
      </c>
      <c r="N10">
        <f t="shared" si="8"/>
        <v>0.50162996776628732</v>
      </c>
      <c r="O10">
        <f t="shared" si="8"/>
        <v>0.50858152732775475</v>
      </c>
      <c r="P10">
        <f t="shared" si="8"/>
        <v>0.5129066364622219</v>
      </c>
      <c r="Q10">
        <f t="shared" si="8"/>
        <v>0.51555596764285838</v>
      </c>
      <c r="R10">
        <f t="shared" si="8"/>
        <v>0.51716372049252424</v>
      </c>
      <c r="S10">
        <f t="shared" si="8"/>
        <v>0.51813431122488085</v>
      </c>
      <c r="T10">
        <f t="shared" si="8"/>
        <v>0.51871872577343947</v>
      </c>
      <c r="U10">
        <f t="shared" si="8"/>
        <v>0.51907025817006114</v>
      </c>
      <c r="V10">
        <f t="shared" si="8"/>
        <v>0.51928169095108379</v>
      </c>
      <c r="W10">
        <f t="shared" si="8"/>
        <v>0.51940891317269888</v>
      </c>
      <c r="X10">
        <f t="shared" si="8"/>
        <v>0.51948551628352768</v>
      </c>
      <c r="Y10">
        <f t="shared" si="8"/>
        <v>0.51953167618486296</v>
      </c>
      <c r="Z10">
        <f t="shared" si="8"/>
        <v>0.51955951317066962</v>
      </c>
    </row>
    <row r="11" spans="1:26">
      <c r="A11" t="s">
        <v>70</v>
      </c>
      <c r="B11">
        <f>ak/pk</f>
        <v>1.0003382026082852</v>
      </c>
      <c r="C11">
        <f>ak/pk</f>
        <v>0.99977465861288473</v>
      </c>
      <c r="F11" t="s">
        <v>40</v>
      </c>
      <c r="G11">
        <f t="shared" ref="G11:Z11" si="9">wa*G6/za*(1-EXP(-za))</f>
        <v>1.0319584806456486E-3</v>
      </c>
      <c r="H11">
        <f t="shared" si="9"/>
        <v>9.8852668687761588E-3</v>
      </c>
      <c r="I11">
        <f t="shared" si="9"/>
        <v>3.6388425639684474E-2</v>
      </c>
      <c r="J11">
        <f t="shared" si="9"/>
        <v>8.5068060890973393E-2</v>
      </c>
      <c r="K11">
        <f t="shared" si="9"/>
        <v>0.15035965088796308</v>
      </c>
      <c r="L11">
        <f t="shared" si="9"/>
        <v>0.2217069922213166</v>
      </c>
      <c r="M11">
        <f t="shared" si="9"/>
        <v>0.29079719855610248</v>
      </c>
      <c r="N11">
        <f t="shared" si="9"/>
        <v>0.3535668167139373</v>
      </c>
      <c r="O11">
        <f t="shared" si="9"/>
        <v>0.40881985951597388</v>
      </c>
      <c r="P11">
        <f t="shared" si="9"/>
        <v>0.45667471066627502</v>
      </c>
      <c r="Q11">
        <f t="shared" si="9"/>
        <v>0.49772287607800003</v>
      </c>
      <c r="R11">
        <f t="shared" si="9"/>
        <v>0.53268568340320688</v>
      </c>
      <c r="S11">
        <f t="shared" si="9"/>
        <v>0.5622916948169373</v>
      </c>
      <c r="T11">
        <f t="shared" si="9"/>
        <v>0.58723366972475666</v>
      </c>
      <c r="U11">
        <f t="shared" si="9"/>
        <v>0.60815178485187382</v>
      </c>
      <c r="V11">
        <f t="shared" si="9"/>
        <v>0.62562624663708766</v>
      </c>
      <c r="W11">
        <f t="shared" si="9"/>
        <v>0.64017452152570209</v>
      </c>
      <c r="X11">
        <f t="shared" si="9"/>
        <v>0.65225169625731516</v>
      </c>
      <c r="Y11">
        <f t="shared" si="9"/>
        <v>0.66225315353476844</v>
      </c>
      <c r="Z11">
        <f t="shared" si="9"/>
        <v>0.67051884557117292</v>
      </c>
    </row>
    <row r="12" spans="1:26">
      <c r="A12" t="s">
        <v>71</v>
      </c>
      <c r="B12">
        <f>B20*lambda</f>
        <v>0.12781117031898032</v>
      </c>
      <c r="C12">
        <f>C20*lambda</f>
        <v>0.23465762588556585</v>
      </c>
      <c r="G12">
        <f t="shared" ref="G12:Z12" si="10">wa*G7/za*(1-EXP(-za))</f>
        <v>9.0243466454254689E-4</v>
      </c>
      <c r="H12">
        <f t="shared" si="10"/>
        <v>7.8367210981630936E-3</v>
      </c>
      <c r="I12">
        <f t="shared" si="10"/>
        <v>2.7476221105036114E-2</v>
      </c>
      <c r="J12">
        <f t="shared" si="10"/>
        <v>6.4371729817653031E-2</v>
      </c>
      <c r="K12">
        <f t="shared" si="10"/>
        <v>0.11826355345381019</v>
      </c>
      <c r="L12">
        <f t="shared" si="10"/>
        <v>0.18401604939216121</v>
      </c>
      <c r="M12">
        <f t="shared" si="10"/>
        <v>0.25426794436984679</v>
      </c>
      <c r="N12">
        <f t="shared" si="10"/>
        <v>0.32253023612310716</v>
      </c>
      <c r="O12">
        <f t="shared" si="10"/>
        <v>0.38472731528746384</v>
      </c>
      <c r="P12">
        <f t="shared" si="10"/>
        <v>0.43910721875284109</v>
      </c>
      <c r="Q12">
        <f t="shared" si="10"/>
        <v>0.48546605270251325</v>
      </c>
      <c r="R12">
        <f t="shared" si="10"/>
        <v>0.52440133373888942</v>
      </c>
      <c r="S12">
        <f t="shared" si="10"/>
        <v>0.55682155747951534</v>
      </c>
      <c r="T12">
        <f t="shared" si="10"/>
        <v>0.58368452808047055</v>
      </c>
      <c r="U12">
        <f t="shared" si="10"/>
        <v>0.60587970517353562</v>
      </c>
      <c r="V12">
        <f t="shared" si="10"/>
        <v>0.62418679527948884</v>
      </c>
      <c r="W12">
        <f t="shared" si="10"/>
        <v>0.63927002661794408</v>
      </c>
      <c r="X12">
        <f t="shared" si="10"/>
        <v>0.65168704677337452</v>
      </c>
      <c r="Y12">
        <f t="shared" si="10"/>
        <v>0.6619025021320154</v>
      </c>
      <c r="Z12">
        <f t="shared" si="10"/>
        <v>0.67030200859240086</v>
      </c>
    </row>
    <row r="13" spans="1:26">
      <c r="A13" t="s">
        <v>29</v>
      </c>
      <c r="B13" s="2">
        <v>1.0000000000000001E-5</v>
      </c>
    </row>
    <row r="14" spans="1:26">
      <c r="A14" t="s">
        <v>75</v>
      </c>
      <c r="B14">
        <v>0.72661840919310983</v>
      </c>
      <c r="C14">
        <v>1.334802427679765</v>
      </c>
      <c r="F14" t="s">
        <v>25</v>
      </c>
      <c r="G14">
        <f>1</f>
        <v>1</v>
      </c>
      <c r="H14">
        <f t="shared" ref="H14:Y14" si="11">G14*EXP(-m-SUMPRODUCT(G$6:G$7,$B$6:$B$7))</f>
        <v>0.6813904126105802</v>
      </c>
      <c r="I14">
        <f t="shared" si="11"/>
        <v>0.44376013734955533</v>
      </c>
      <c r="J14">
        <f t="shared" si="11"/>
        <v>0.27320514524958739</v>
      </c>
      <c r="K14">
        <f t="shared" si="11"/>
        <v>0.15844151678119192</v>
      </c>
      <c r="L14">
        <f t="shared" si="11"/>
        <v>8.7013948909596336E-2</v>
      </c>
      <c r="M14">
        <f t="shared" si="11"/>
        <v>4.5745234056976572E-2</v>
      </c>
      <c r="N14">
        <f t="shared" si="11"/>
        <v>2.3296653639879594E-2</v>
      </c>
      <c r="O14">
        <f t="shared" si="11"/>
        <v>1.1610354025444433E-2</v>
      </c>
      <c r="P14">
        <f t="shared" si="11"/>
        <v>5.7055424423679574E-3</v>
      </c>
      <c r="Q14">
        <f t="shared" si="11"/>
        <v>2.7791318590605577E-3</v>
      </c>
      <c r="R14">
        <f t="shared" si="11"/>
        <v>1.3463338442554959E-3</v>
      </c>
      <c r="S14">
        <f t="shared" si="11"/>
        <v>6.5005882433532094E-4</v>
      </c>
      <c r="T14">
        <f t="shared" si="11"/>
        <v>3.1324104313268359E-4</v>
      </c>
      <c r="U14">
        <f t="shared" si="11"/>
        <v>1.5075704837895496E-4</v>
      </c>
      <c r="V14">
        <f t="shared" si="11"/>
        <v>7.2503548355934411E-5</v>
      </c>
      <c r="W14">
        <f t="shared" si="11"/>
        <v>3.4853783165711122E-5</v>
      </c>
      <c r="X14">
        <f t="shared" si="11"/>
        <v>1.6750417531652201E-5</v>
      </c>
      <c r="Y14">
        <f t="shared" si="11"/>
        <v>8.0488182322572041E-6</v>
      </c>
      <c r="Z14">
        <f>Y14*EXP(-m-SUMPRODUCT(Y$6:Y$7,$B$6:$B$7))/(1-EXP(-m-SUMPRODUCT(B$6:B$7,Z6:Z7)))</f>
        <v>7.4432324049757112E-6</v>
      </c>
    </row>
    <row r="15" spans="1:26">
      <c r="B15">
        <f>EXP(B14)</f>
        <v>2.0680753852410292</v>
      </c>
      <c r="F15" t="s">
        <v>26</v>
      </c>
      <c r="G15">
        <f>1</f>
        <v>1</v>
      </c>
      <c r="H15">
        <f t="shared" ref="H15:Y15" si="12">G15*EXP(-m-SUMPRODUCT(G$6:G$7,$C$6:$C$7))</f>
        <v>0.68138899117355767</v>
      </c>
      <c r="I15">
        <f t="shared" si="12"/>
        <v>0.44375770620672356</v>
      </c>
      <c r="J15">
        <f t="shared" si="12"/>
        <v>0.27320228247857442</v>
      </c>
      <c r="K15">
        <f t="shared" si="12"/>
        <v>0.15843880965905249</v>
      </c>
      <c r="L15">
        <f t="shared" si="12"/>
        <v>8.7011773588065222E-2</v>
      </c>
      <c r="M15">
        <f t="shared" si="12"/>
        <v>4.5743687529582876E-2</v>
      </c>
      <c r="N15">
        <f t="shared" si="12"/>
        <v>2.3295648218096265E-2</v>
      </c>
      <c r="O15">
        <f t="shared" si="12"/>
        <v>1.160974085440609E-2</v>
      </c>
      <c r="P15">
        <f t="shared" si="12"/>
        <v>5.7051850928133592E-3</v>
      </c>
      <c r="Q15">
        <f t="shared" si="12"/>
        <v>2.7789302659090346E-3</v>
      </c>
      <c r="R15">
        <f t="shared" si="12"/>
        <v>1.3462227860444281E-3</v>
      </c>
      <c r="S15">
        <f t="shared" si="12"/>
        <v>6.499987174543849E-4</v>
      </c>
      <c r="T15">
        <f t="shared" si="12"/>
        <v>3.1320895156490151E-4</v>
      </c>
      <c r="U15">
        <f t="shared" si="12"/>
        <v>1.5074009688410543E-4</v>
      </c>
      <c r="V15">
        <f t="shared" si="12"/>
        <v>7.2494671170669742E-5</v>
      </c>
      <c r="W15">
        <f t="shared" si="12"/>
        <v>3.4849167306817812E-5</v>
      </c>
      <c r="X15">
        <f t="shared" si="12"/>
        <v>1.6748031724663989E-5</v>
      </c>
      <c r="Y15">
        <f t="shared" si="12"/>
        <v>8.0475913447816587E-6</v>
      </c>
      <c r="Z15">
        <f>Y15*EXP(-m-SUMPRODUCT(Y$6:Y$7,$C$6:$C$7))/(1-EXP(-m-SUMPRODUCT(C$6:C$7,Z6:Z7)))</f>
        <v>7.4419545934046395E-6</v>
      </c>
    </row>
    <row r="16" spans="1:26">
      <c r="F16" t="s">
        <v>66</v>
      </c>
      <c r="G16">
        <f>1</f>
        <v>1</v>
      </c>
      <c r="H16">
        <f t="shared" ref="H16:Y16" si="13">G16*EXP(-m-SUMPRODUCT(G$6:G$7,$D$6:$D$7))</f>
        <v>0.6813918340505678</v>
      </c>
      <c r="I16">
        <f t="shared" si="13"/>
        <v>0.44376256850570617</v>
      </c>
      <c r="J16">
        <f t="shared" si="13"/>
        <v>0.27320800805059808</v>
      </c>
      <c r="K16">
        <f t="shared" si="13"/>
        <v>0.15844422394958582</v>
      </c>
      <c r="L16">
        <f t="shared" si="13"/>
        <v>8.7016124285511143E-2</v>
      </c>
      <c r="M16">
        <f t="shared" si="13"/>
        <v>4.5746780636656083E-2</v>
      </c>
      <c r="N16">
        <f t="shared" si="13"/>
        <v>2.3297659105056122E-2</v>
      </c>
      <c r="O16">
        <f t="shared" si="13"/>
        <v>1.1610967228867536E-2</v>
      </c>
      <c r="P16">
        <f t="shared" si="13"/>
        <v>5.705899814305475E-3</v>
      </c>
      <c r="Q16">
        <f t="shared" si="13"/>
        <v>2.7793334668363406E-3</v>
      </c>
      <c r="R16">
        <f t="shared" si="13"/>
        <v>1.3464449116284394E-3</v>
      </c>
      <c r="S16">
        <f t="shared" si="13"/>
        <v>6.5011893677447872E-4</v>
      </c>
      <c r="T16">
        <f t="shared" si="13"/>
        <v>3.1327313798858582E-4</v>
      </c>
      <c r="U16">
        <f t="shared" si="13"/>
        <v>1.5077400178008669E-4</v>
      </c>
      <c r="V16">
        <f t="shared" si="13"/>
        <v>7.2512426628236427E-5</v>
      </c>
      <c r="W16">
        <f t="shared" si="13"/>
        <v>3.4858399635986396E-5</v>
      </c>
      <c r="X16">
        <f t="shared" si="13"/>
        <v>1.6752803678505705E-5</v>
      </c>
      <c r="Y16">
        <f t="shared" si="13"/>
        <v>8.0500453067766418E-6</v>
      </c>
      <c r="Z16">
        <f>Y16*EXP(-m-SUMPRODUCT(Y$6:Y$7,$D$6:$D$7))/(1-EXP(-m-SUMPRODUCT(D$6:D$7,Z6:Z7)))</f>
        <v>7.4445104372767622E-6</v>
      </c>
    </row>
    <row r="17" spans="1:26">
      <c r="A17" t="s">
        <v>51</v>
      </c>
      <c r="B17">
        <f>ro*(reck-phie/phif)/(reck-1)</f>
        <v>0.67026033132424767</v>
      </c>
      <c r="F17" s="3" t="s">
        <v>31</v>
      </c>
      <c r="G17" s="3">
        <f>(G14-G15)/dh</f>
        <v>0</v>
      </c>
      <c r="H17" s="3">
        <f t="shared" ref="H17:Z17" si="14">(H15-H14)/dh</f>
        <v>-0.14214370225307249</v>
      </c>
      <c r="I17" s="3">
        <f t="shared" si="14"/>
        <v>-0.2431142831771371</v>
      </c>
      <c r="J17" s="3">
        <f t="shared" si="14"/>
        <v>-0.28627710129680572</v>
      </c>
      <c r="K17" s="3">
        <f t="shared" si="14"/>
        <v>-0.27071221394281419</v>
      </c>
      <c r="L17" s="3">
        <f t="shared" si="14"/>
        <v>-0.21753215311143267</v>
      </c>
      <c r="M17" s="3">
        <f t="shared" si="14"/>
        <v>-0.1546527393696262</v>
      </c>
      <c r="N17" s="3">
        <f t="shared" si="14"/>
        <v>-0.10054217833288524</v>
      </c>
      <c r="O17" s="3">
        <f t="shared" si="14"/>
        <v>-6.1317103834321311E-2</v>
      </c>
      <c r="P17" s="3">
        <f t="shared" si="14"/>
        <v>-3.5734955459824913E-2</v>
      </c>
      <c r="Q17" s="3">
        <f t="shared" si="14"/>
        <v>-2.0159315152314464E-2</v>
      </c>
      <c r="R17" s="3">
        <f t="shared" si="14"/>
        <v>-1.1105821106781493E-2</v>
      </c>
      <c r="S17" s="3">
        <f t="shared" si="14"/>
        <v>-6.0106880936036658E-3</v>
      </c>
      <c r="T17" s="3">
        <f t="shared" si="14"/>
        <v>-3.2091567782072806E-3</v>
      </c>
      <c r="U17" s="3">
        <f t="shared" si="14"/>
        <v>-1.6951494849525362E-3</v>
      </c>
      <c r="V17" s="3">
        <f t="shared" si="14"/>
        <v>-8.8771852646687477E-4</v>
      </c>
      <c r="W17" s="3">
        <f t="shared" si="14"/>
        <v>-4.6158588933102287E-4</v>
      </c>
      <c r="X17" s="3">
        <f t="shared" si="14"/>
        <v>-2.3858069882118889E-4</v>
      </c>
      <c r="Y17" s="3">
        <f>(Y15-Y14)/dh</f>
        <v>-1.2268874755453686E-4</v>
      </c>
      <c r="Z17" s="3">
        <f t="shared" si="14"/>
        <v>-1.2778115710717001E-4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-0.14214385050877926</v>
      </c>
      <c r="I18">
        <f t="shared" si="15"/>
        <v>-0.24311494912993703</v>
      </c>
      <c r="J18">
        <f t="shared" si="15"/>
        <v>-0.28627860117954068</v>
      </c>
      <c r="K18">
        <f t="shared" si="15"/>
        <v>-0.27071452665481716</v>
      </c>
      <c r="L18">
        <f t="shared" si="15"/>
        <v>-0.21753487227399085</v>
      </c>
      <c r="M18">
        <f t="shared" si="15"/>
        <v>-0.15465535363124069</v>
      </c>
      <c r="N18">
        <f t="shared" si="15"/>
        <v>-0.10054434796178609</v>
      </c>
      <c r="O18">
        <f t="shared" si="15"/>
        <v>-6.1318723043916973E-2</v>
      </c>
      <c r="P18">
        <f t="shared" si="15"/>
        <v>-3.5736074582505988E-2</v>
      </c>
      <c r="Q18">
        <f t="shared" si="15"/>
        <v>-2.0160046347676711E-2</v>
      </c>
      <c r="R18">
        <f t="shared" si="15"/>
        <v>-1.1106279188005601E-2</v>
      </c>
      <c r="S18">
        <f t="shared" si="15"/>
        <v>-6.0109659961410282E-3</v>
      </c>
      <c r="T18">
        <f t="shared" si="15"/>
        <v>-3.2093211786069138E-3</v>
      </c>
      <c r="U18">
        <f t="shared" si="15"/>
        <v>-1.6952447954941942E-3</v>
      </c>
      <c r="V18">
        <f t="shared" si="15"/>
        <v>-8.8777287611710421E-4</v>
      </c>
      <c r="W18">
        <f t="shared" si="15"/>
        <v>-4.616164570802379E-4</v>
      </c>
      <c r="X18">
        <f t="shared" si="15"/>
        <v>-2.3859769127919633E-4</v>
      </c>
      <c r="Y18">
        <f t="shared" si="15"/>
        <v>-1.2269809927402915E-4</v>
      </c>
      <c r="Z18">
        <f>(Y18-Y14*Y6)*Y$9/oa-Y14*Y$9*Z6*sa/oa^2</f>
        <v>-1.2779219296648963E-4</v>
      </c>
    </row>
    <row r="19" spans="1:26">
      <c r="A19" t="s">
        <v>38</v>
      </c>
      <c r="B19">
        <f>SUMPRODUCT(lz,fa)</f>
        <v>0.11555501290863375</v>
      </c>
      <c r="F19" t="s">
        <v>34</v>
      </c>
      <c r="G19">
        <v>0</v>
      </c>
      <c r="H19">
        <f t="shared" ref="H19:Y19" si="16">G19*EXP(-G8) - G14*G7*EXP(-G8)</f>
        <v>-0.12430300293711437</v>
      </c>
      <c r="I19">
        <f t="shared" si="16"/>
        <v>-0.20029865758650692</v>
      </c>
      <c r="J19">
        <f t="shared" si="16"/>
        <v>-0.22646182507439133</v>
      </c>
      <c r="K19">
        <f t="shared" si="16"/>
        <v>-0.21055413802019396</v>
      </c>
      <c r="L19">
        <f t="shared" si="16"/>
        <v>-0.16979614367145013</v>
      </c>
      <c r="M19">
        <f t="shared" si="16"/>
        <v>-0.12270818342692974</v>
      </c>
      <c r="N19">
        <f t="shared" si="16"/>
        <v>-8.153828773957858E-2</v>
      </c>
      <c r="O19">
        <f t="shared" si="16"/>
        <v>-5.0862604988955715E-2</v>
      </c>
      <c r="P19">
        <f t="shared" si="16"/>
        <v>-3.0267554036460302E-2</v>
      </c>
      <c r="Q19">
        <f t="shared" si="16"/>
        <v>-1.7390453805649918E-2</v>
      </c>
      <c r="R19">
        <f t="shared" si="16"/>
        <v>-9.7315713620739642E-3</v>
      </c>
      <c r="S19">
        <f t="shared" si="16"/>
        <v>-5.3371224400584069E-3</v>
      </c>
      <c r="T19">
        <f t="shared" si="16"/>
        <v>-2.8815756624181264E-3</v>
      </c>
      <c r="U19">
        <f t="shared" si="16"/>
        <v>-1.5365964605172106E-3</v>
      </c>
      <c r="V19">
        <f t="shared" si="16"/>
        <v>-8.1120338798257459E-4</v>
      </c>
      <c r="W19">
        <f t="shared" si="16"/>
        <v>-4.2472792386009451E-4</v>
      </c>
      <c r="X19">
        <f t="shared" si="16"/>
        <v>-2.2084572663588677E-4</v>
      </c>
      <c r="Y19">
        <f>X19*EXP(-X8) - X14*X7*EXP(-X8)</f>
        <v>-1.141610556622255E-4</v>
      </c>
      <c r="Z19">
        <f>Y19*EXP(-Y8)/(1-EXP(-za))-Y14*Y7*EXP(-Y8)/(1-EXP(-za))-Y14*EXP(-Y8)*Z7*EXP(-za)/(1-EXP(-za))^2</f>
        <v>-1.1989130206639545E-4</v>
      </c>
    </row>
    <row r="20" spans="1:26">
      <c r="A20" t="s">
        <v>49</v>
      </c>
      <c r="B20">
        <f>B6*dlam</f>
        <v>0.1277679588620379</v>
      </c>
      <c r="C20">
        <f>B6*dlam</f>
        <v>0.23471051587878453</v>
      </c>
      <c r="D20">
        <f>AVERAGE(f)</f>
        <v>0.1812392373704112</v>
      </c>
      <c r="F20" s="4" t="s">
        <v>58</v>
      </c>
      <c r="G20" s="4">
        <v>0</v>
      </c>
      <c r="H20" s="4">
        <f t="shared" ref="H20:Y20" si="17">G20*EXP(-G$8)+G$14*G6^2*EXP(-G$8)</f>
        <v>2.9652419323089926E-2</v>
      </c>
      <c r="I20" s="4">
        <f t="shared" si="17"/>
        <v>7.0382025880700694E-2</v>
      </c>
      <c r="J20" s="4">
        <f t="shared" si="17"/>
        <v>0.11163264932878772</v>
      </c>
      <c r="K20" s="4">
        <f t="shared" si="17"/>
        <v>0.13391520377584737</v>
      </c>
      <c r="L20" s="4">
        <f t="shared" si="17"/>
        <v>0.12804130434270095</v>
      </c>
      <c r="M20" s="4">
        <f t="shared" si="17"/>
        <v>0.10280357069041736</v>
      </c>
      <c r="N20" s="4">
        <f t="shared" si="17"/>
        <v>7.2722585849696098E-2</v>
      </c>
      <c r="O20" s="4">
        <f t="shared" si="17"/>
        <v>4.7067045001363737E-2</v>
      </c>
      <c r="P20" s="4">
        <f t="shared" si="17"/>
        <v>2.8631761405870898E-2</v>
      </c>
      <c r="Q20" s="4">
        <f t="shared" si="17"/>
        <v>1.6673933460220631E-2</v>
      </c>
      <c r="R20" s="4">
        <f t="shared" si="17"/>
        <v>9.4110148831212347E-3</v>
      </c>
      <c r="S20" s="4">
        <f t="shared" si="17"/>
        <v>5.1908275102586802E-3</v>
      </c>
      <c r="T20" s="4">
        <f t="shared" si="17"/>
        <v>2.8137269537915205E-3</v>
      </c>
      <c r="U20" s="4">
        <f t="shared" si="17"/>
        <v>1.504754328048728E-3</v>
      </c>
      <c r="V20" s="4">
        <f t="shared" si="17"/>
        <v>7.9613603886681951E-4</v>
      </c>
      <c r="W20" s="4">
        <f t="shared" si="17"/>
        <v>4.175589507522546E-4</v>
      </c>
      <c r="X20" s="4">
        <f t="shared" si="17"/>
        <v>2.1742256550306844E-4</v>
      </c>
      <c r="Y20" s="4">
        <f t="shared" si="17"/>
        <v>1.1252277926147674E-4</v>
      </c>
      <c r="Z20" s="4">
        <f>Y20*EXP(-Y$8)/oa+2*Y$14*(Y6)*Y$9*sa/oa^2 + 2*Y$14*Y$9*Z6^2*sa^2/oa^3 +Y$14*Y$9*Z6^2*sa/oa^2</f>
        <v>1.3743348351901515E-4</v>
      </c>
    </row>
    <row r="21" spans="1:26">
      <c r="A21" t="s">
        <v>48</v>
      </c>
      <c r="B21">
        <f>SUMPRODUCT(fa,G18:Z18)</f>
        <v>-0.35168443015678486</v>
      </c>
      <c r="C21">
        <f>SUMPRODUCT(fa,G19:Z19)</f>
        <v>-0.28320269687254324</v>
      </c>
      <c r="F21" s="4" t="s">
        <v>59</v>
      </c>
      <c r="G21" s="4">
        <v>0</v>
      </c>
      <c r="H21" s="4">
        <f t="shared" ref="H21:Y21" si="18">G21*EXP(-G$8)+G$14*G7^2*EXP(-G$8)</f>
        <v>2.267604042150614E-2</v>
      </c>
      <c r="I21" s="4">
        <f t="shared" si="18"/>
        <v>4.6864869030775566E-2</v>
      </c>
      <c r="J21" s="4">
        <f t="shared" si="18"/>
        <v>6.7794631867785338E-2</v>
      </c>
      <c r="K21" s="4">
        <f t="shared" si="18"/>
        <v>7.892693120584493E-2</v>
      </c>
      <c r="L21" s="4">
        <f t="shared" si="18"/>
        <v>7.7059651955314223E-2</v>
      </c>
      <c r="M21" s="4">
        <f t="shared" si="18"/>
        <v>6.4960418107067514E-2</v>
      </c>
      <c r="N21" s="4">
        <f t="shared" si="18"/>
        <v>4.8654497463728935E-2</v>
      </c>
      <c r="O21" s="4">
        <f t="shared" si="18"/>
        <v>3.3255296672278438E-2</v>
      </c>
      <c r="P21" s="4">
        <f t="shared" si="18"/>
        <v>2.121501774549359E-2</v>
      </c>
      <c r="Q21" s="4">
        <f t="shared" si="18"/>
        <v>1.2855471560791025E-2</v>
      </c>
      <c r="R21" s="4">
        <f t="shared" si="18"/>
        <v>7.4963190076857813E-3</v>
      </c>
      <c r="S21" s="4">
        <f t="shared" si="18"/>
        <v>4.2463797114696989E-3</v>
      </c>
      <c r="T21" s="4">
        <f t="shared" si="18"/>
        <v>2.3525804170971662E-3</v>
      </c>
      <c r="U21" s="4">
        <f t="shared" si="18"/>
        <v>1.2809987133882025E-3</v>
      </c>
      <c r="V21" s="4">
        <f t="shared" si="18"/>
        <v>6.879849311121134E-4</v>
      </c>
      <c r="W21" s="4">
        <f t="shared" si="18"/>
        <v>3.654085884496923E-4</v>
      </c>
      <c r="X21" s="4">
        <f t="shared" si="18"/>
        <v>1.9231227507940965E-4</v>
      </c>
      <c r="Y21" s="4">
        <f t="shared" si="18"/>
        <v>1.0044299271408597E-4</v>
      </c>
      <c r="Z21" s="4">
        <f>Y21*EXP(-Y$8)/oa+2*Y$14*(Y7)*Y$9*sa/oa^2 + 2*Y$14*Y$9*Z7^2*sa^2/oa^3 +Y$14*Y$9*Z7^2*sa/oa^2</f>
        <v>1.2624259857429377E-4</v>
      </c>
    </row>
    <row r="22" spans="1:26">
      <c r="A22" t="s">
        <v>64</v>
      </c>
      <c r="B22">
        <f>SUMPRODUCT(fa,G20:Z20)</f>
        <v>0.23238575752776994</v>
      </c>
      <c r="C22">
        <f>SUMPRODUCT(fa,G21:Z21)</f>
        <v>0.1542187846495896</v>
      </c>
      <c r="F22" t="s">
        <v>44</v>
      </c>
      <c r="G22">
        <f t="shared" ref="G22:Z22" si="19">G11*G18+lz*wa*G6/za*(EXP(-za)-(1-EXP(-za))/za)</f>
        <v>-4.8306989428513637E-4</v>
      </c>
      <c r="H22">
        <f t="shared" si="19"/>
        <v>-4.5330088597267271E-3</v>
      </c>
      <c r="I22">
        <f t="shared" si="19"/>
        <v>-1.6270262034670913E-2</v>
      </c>
      <c r="J22">
        <f t="shared" si="19"/>
        <v>-3.4923650142352824E-2</v>
      </c>
      <c r="K22">
        <f t="shared" si="19"/>
        <v>-5.1433404677292793E-2</v>
      </c>
      <c r="L22">
        <f t="shared" si="19"/>
        <v>-5.6848178291305403E-2</v>
      </c>
      <c r="M22">
        <f t="shared" si="19"/>
        <v>-5.0882228026890679E-2</v>
      </c>
      <c r="N22">
        <f t="shared" si="19"/>
        <v>-3.9193402075830983E-2</v>
      </c>
      <c r="O22">
        <f t="shared" si="19"/>
        <v>-2.7162900624734018E-2</v>
      </c>
      <c r="P22">
        <f t="shared" si="19"/>
        <v>-1.7467697897522106E-2</v>
      </c>
      <c r="Q22">
        <f t="shared" si="19"/>
        <v>-1.064291516900101E-2</v>
      </c>
      <c r="R22">
        <f t="shared" si="19"/>
        <v>-6.2316088272977715E-3</v>
      </c>
      <c r="S22">
        <f t="shared" si="19"/>
        <v>-3.5406339874599659E-3</v>
      </c>
      <c r="T22">
        <f t="shared" si="19"/>
        <v>-1.9654829515286178E-3</v>
      </c>
      <c r="U22">
        <f t="shared" si="19"/>
        <v>-1.0712641213665676E-3</v>
      </c>
      <c r="V22">
        <f t="shared" si="19"/>
        <v>-5.7534976130112214E-4</v>
      </c>
      <c r="W22">
        <f t="shared" si="19"/>
        <v>-3.0532094849929667E-4</v>
      </c>
      <c r="X22">
        <f t="shared" si="19"/>
        <v>-1.604271189456696E-4</v>
      </c>
      <c r="Y22">
        <f t="shared" si="19"/>
        <v>-8.3599666390548995E-5</v>
      </c>
      <c r="Z22">
        <f t="shared" si="19"/>
        <v>-8.7880305564090339E-5</v>
      </c>
    </row>
    <row r="23" spans="1:26">
      <c r="A23" t="s">
        <v>41</v>
      </c>
      <c r="B23">
        <f>SUMPRODUCT(lz*G11:Z11)</f>
        <v>0.12199337220753161</v>
      </c>
      <c r="C23">
        <f>SUMPRODUCT(lz*G12:Z12)</f>
        <v>9.966935198138821E-2</v>
      </c>
      <c r="F23" t="s">
        <v>45</v>
      </c>
      <c r="G23">
        <f t="shared" ref="G23:Z23" si="20">G12*G19+lz*wa*G7/za*(EXP(-za)-(1-EXP(-za))/za)</f>
        <v>-4.2243852458779521E-4</v>
      </c>
      <c r="H23">
        <f t="shared" si="20"/>
        <v>-3.4538096366638986E-3</v>
      </c>
      <c r="I23">
        <f t="shared" si="20"/>
        <v>-1.1108941326836486E-2</v>
      </c>
      <c r="J23">
        <f t="shared" si="20"/>
        <v>-2.2576515642267168E-2</v>
      </c>
      <c r="K23">
        <f t="shared" si="20"/>
        <v>-3.3339537141585038E-2</v>
      </c>
      <c r="L23">
        <f t="shared" si="20"/>
        <v>-3.8399102368364094E-2</v>
      </c>
      <c r="M23">
        <f t="shared" si="20"/>
        <v>-3.6367381960456864E-2</v>
      </c>
      <c r="N23">
        <f t="shared" si="20"/>
        <v>-2.9622922340889819E-2</v>
      </c>
      <c r="O23">
        <f t="shared" si="20"/>
        <v>-2.1539384180111167E-2</v>
      </c>
      <c r="P23">
        <f t="shared" si="20"/>
        <v>-1.4394478707424605E-2</v>
      </c>
      <c r="Q23">
        <f t="shared" si="20"/>
        <v>-9.036281723051074E-3</v>
      </c>
      <c r="R23">
        <f t="shared" si="20"/>
        <v>-5.4137959730117136E-3</v>
      </c>
      <c r="S23">
        <f t="shared" si="20"/>
        <v>-3.1309790506591707E-3</v>
      </c>
      <c r="T23">
        <f t="shared" si="20"/>
        <v>-1.7623039158244887E-3</v>
      </c>
      <c r="U23">
        <f t="shared" si="20"/>
        <v>-9.71140028836076E-4</v>
      </c>
      <c r="V23">
        <f t="shared" si="20"/>
        <v>-5.2623232350904384E-4</v>
      </c>
      <c r="W23">
        <f t="shared" si="20"/>
        <v>-2.8130783057747464E-4</v>
      </c>
      <c r="X23">
        <f t="shared" si="20"/>
        <v>-1.4871951295891624E-4</v>
      </c>
      <c r="Y23">
        <f t="shared" si="20"/>
        <v>-7.7904711309368047E-5</v>
      </c>
      <c r="Z23">
        <f t="shared" si="20"/>
        <v>-8.255590318870602E-5</v>
      </c>
    </row>
    <row r="24" spans="1:26">
      <c r="A24" t="s">
        <v>43</v>
      </c>
      <c r="B24">
        <f>SUM(G22:Z22)</f>
        <v>-0.32386228538196621</v>
      </c>
      <c r="C24">
        <f>SUM(G23:Z23)</f>
        <v>-0.23265573280211299</v>
      </c>
      <c r="F24" s="4" t="s">
        <v>62</v>
      </c>
      <c r="G24" s="4">
        <f t="shared" ref="G24:Z24" si="21">G20*G11+2*G18*wa*G6^2*sa/za - 2*G18*wa*G6^2*oa/za^2-lz*wa*G6^3*sa/za -2*lz*wa*G6^3*sa/za^2+2*lz*wa*G6^3*oa/za^3</f>
        <v>1.3555584695019345E-5</v>
      </c>
      <c r="H24" s="4">
        <f t="shared" si="21"/>
        <v>9.6700842203279076E-4</v>
      </c>
      <c r="I24" s="4">
        <f t="shared" si="21"/>
        <v>7.8139011484298637E-3</v>
      </c>
      <c r="J24" s="4">
        <f t="shared" si="21"/>
        <v>2.7066054018725798E-2</v>
      </c>
      <c r="K24" s="4">
        <f t="shared" si="21"/>
        <v>5.3397617075402887E-2</v>
      </c>
      <c r="L24" s="4">
        <f t="shared" si="21"/>
        <v>7.0555769631654636E-2</v>
      </c>
      <c r="M24" s="4">
        <f t="shared" si="21"/>
        <v>7.0494941910423298E-2</v>
      </c>
      <c r="N24" s="4">
        <f t="shared" si="21"/>
        <v>5.8212637126350143E-2</v>
      </c>
      <c r="O24" s="4">
        <f t="shared" si="21"/>
        <v>4.2232026851453379E-2</v>
      </c>
      <c r="P24" s="4">
        <f t="shared" si="21"/>
        <v>2.8025468574697114E-2</v>
      </c>
      <c r="Q24" s="4">
        <f t="shared" si="21"/>
        <v>1.7465720078914677E-2</v>
      </c>
      <c r="R24" s="4">
        <f t="shared" si="21"/>
        <v>1.0400754306093517E-2</v>
      </c>
      <c r="S24" s="4">
        <f t="shared" si="21"/>
        <v>5.9873086787399082E-3</v>
      </c>
      <c r="T24" s="4">
        <f t="shared" si="21"/>
        <v>3.3585792672278336E-3</v>
      </c>
      <c r="U24" s="4">
        <f t="shared" si="21"/>
        <v>1.8462421202372539E-3</v>
      </c>
      <c r="V24" s="4">
        <f t="shared" si="21"/>
        <v>9.9864602781527911E-4</v>
      </c>
      <c r="W24" s="4">
        <f t="shared" si="21"/>
        <v>5.3315126145665379E-4</v>
      </c>
      <c r="X24" s="4">
        <f t="shared" si="21"/>
        <v>2.8158845708927684E-4</v>
      </c>
      <c r="Y24" s="4">
        <f t="shared" si="21"/>
        <v>1.4739689072999307E-4</v>
      </c>
      <c r="Z24" s="4">
        <f t="shared" si="21"/>
        <v>1.688303939140728E-4</v>
      </c>
    </row>
    <row r="25" spans="1:26">
      <c r="A25" t="s">
        <v>56</v>
      </c>
      <c r="B25">
        <f>SUM(G24:Z24)</f>
        <v>0.39996719782608342</v>
      </c>
      <c r="C25">
        <f>SUM(G25:Z25)</f>
        <v>0.24272782209783828</v>
      </c>
      <c r="F25" s="4" t="s">
        <v>63</v>
      </c>
      <c r="G25" s="4">
        <f t="shared" ref="G25:Z25" si="22">G21*G12+2*G19*wa*G7^2*sa/za - 2*G19*wa*G7^2*oa/za^2-lz*wa*G7^3*sa/za -2*lz*wa*G7^3*sa/za^2+2*lz*wa*G7^3*oa/za^3</f>
        <v>9.0652312883112525E-6</v>
      </c>
      <c r="H25" s="4">
        <f t="shared" si="22"/>
        <v>5.3619991874369333E-4</v>
      </c>
      <c r="I25" s="4">
        <f t="shared" si="22"/>
        <v>3.7085898668512175E-3</v>
      </c>
      <c r="J25" s="4">
        <f t="shared" si="22"/>
        <v>1.2264819599527351E-2</v>
      </c>
      <c r="K25" s="4">
        <f t="shared" si="22"/>
        <v>2.5361712407602495E-2</v>
      </c>
      <c r="L25" s="4">
        <f t="shared" si="22"/>
        <v>3.6998006859130572E-2</v>
      </c>
      <c r="M25" s="4">
        <f t="shared" si="22"/>
        <v>4.1346456660199482E-2</v>
      </c>
      <c r="N25" s="4">
        <f t="shared" si="22"/>
        <v>3.7804411883337045E-2</v>
      </c>
      <c r="O25" s="4">
        <f t="shared" si="22"/>
        <v>2.9807458044917173E-2</v>
      </c>
      <c r="P25" s="4">
        <f t="shared" si="22"/>
        <v>2.1097108977859262E-2</v>
      </c>
      <c r="Q25" s="4">
        <f t="shared" si="22"/>
        <v>1.3804032213409369E-2</v>
      </c>
      <c r="R25" s="4">
        <f t="shared" si="22"/>
        <v>8.5267155669446846E-3</v>
      </c>
      <c r="S25" s="4">
        <f t="shared" si="22"/>
        <v>5.0463277377826247E-3</v>
      </c>
      <c r="T25" s="4">
        <f t="shared" si="22"/>
        <v>2.8915022951217354E-3</v>
      </c>
      <c r="U25" s="4">
        <f t="shared" si="22"/>
        <v>1.6160626722623375E-3</v>
      </c>
      <c r="V25" s="4">
        <f t="shared" si="22"/>
        <v>8.8575759284004847E-4</v>
      </c>
      <c r="W25" s="4">
        <f t="shared" si="22"/>
        <v>4.7797993225847085E-4</v>
      </c>
      <c r="X25" s="4">
        <f t="shared" si="22"/>
        <v>2.5469831390074012E-4</v>
      </c>
      <c r="Y25" s="4">
        <f t="shared" si="22"/>
        <v>1.3432013678249484E-4</v>
      </c>
      <c r="Z25" s="4">
        <f t="shared" si="22"/>
        <v>1.5659618707920602E-4</v>
      </c>
    </row>
    <row r="26" spans="1:26">
      <c r="A26" t="s">
        <v>46</v>
      </c>
      <c r="B26">
        <f>ro/(reck-1)*phie/phif^2*dphif</f>
        <v>-1.2802181020716317</v>
      </c>
      <c r="C26">
        <f>ro/(reck-1)*phie/phif^2*dphif</f>
        <v>-1.0309276954060804</v>
      </c>
      <c r="G26">
        <f>G20*G11+2*G18*wa*G6^2*sa/za-2*G18*wa*G6^2*oa/za^2-lz*wa*G6^3*sa/za-2*lz*wa*G6^3*sa/za^2+2*lz*wa*G6^3*oa/za^3</f>
        <v>1.3555584695019345E-5</v>
      </c>
    </row>
    <row r="27" spans="1:26">
      <c r="A27" t="s">
        <v>57</v>
      </c>
      <c r="B27">
        <f>-2*ro*phie*dphif^2/(phif^3*(reck-1)) + ro*phie*ddphif/(phif^2*(reck-1))</f>
        <v>-6.9465854102960281</v>
      </c>
      <c r="C27">
        <f>-2*ro*phie*dphif^2/(phif^3*(reck-1)) + ro*phie*ddphif/(phif^2*(reck-1))</f>
        <v>-4.491809171291111</v>
      </c>
      <c r="Y27">
        <f>(Y15-2*Y14+Y16)/dh^2</f>
        <v>1.8704389233748125E-3</v>
      </c>
      <c r="Z27">
        <f>(Z15-2*Z14+Z16)/dh^2</f>
        <v>2.2072997929770649E-3</v>
      </c>
    </row>
    <row r="28" spans="1:26">
      <c r="D28" t="s">
        <v>74</v>
      </c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1.0447243332089073E-2</v>
      </c>
      <c r="C29">
        <f>f*re*phiq</f>
        <v>1.5679698210494367E-2</v>
      </c>
      <c r="D29">
        <f>SUM(Ye)</f>
        <v>2.6126941542583441E-2</v>
      </c>
      <c r="F29">
        <v>0</v>
      </c>
      <c r="G29">
        <f>B29</f>
        <v>1.0447243332089073E-2</v>
      </c>
      <c r="H29">
        <f>B30</f>
        <v>3.4077906203019454E-2</v>
      </c>
    </row>
    <row r="30" spans="1:26">
      <c r="A30" t="s">
        <v>53</v>
      </c>
      <c r="B30">
        <f>re*phiq+f*phiq*dre+f*re*dphiq</f>
        <v>3.4077906203019454E-2</v>
      </c>
      <c r="C30">
        <f>re*phiq+f*phiq*dre+f*re*dphiq</f>
        <v>6.0867261365273179E-3</v>
      </c>
      <c r="D30">
        <f>SUM(dYe)</f>
        <v>4.0164632339546771E-2</v>
      </c>
      <c r="F30">
        <v>0.2</v>
      </c>
      <c r="G30">
        <f t="dataTable" ref="G30:H56" dt2D="0" dtr="0" r1="B6"/>
        <v>1.0654832861572025E-2</v>
      </c>
      <c r="H30">
        <v>2.3291147298276374E-2</v>
      </c>
      <c r="Z30" s="4">
        <f>Y30*EXP(-Y$8)/oa+Y$14*(Y16)^2*Y$9/oa + 2*Y$14*Y16*Y$9*Z16*sa/oa^2 + 2*Y$14*Y$9*Z16^2*sa/oa^3 + Y$14*Y$9*Z16^2*sa/oa^2</f>
        <v>3.1571121840046557E-15</v>
      </c>
    </row>
    <row r="31" spans="1:26">
      <c r="A31" t="s">
        <v>72</v>
      </c>
      <c r="B31">
        <f>ak*SUMPRODUCT(f*re,phiq)</f>
        <v>1.0450776617033378E-2</v>
      </c>
      <c r="C31">
        <f>ak*SUMPRODUCT(f*re,phiq)</f>
        <v>1.5676164925550063E-2</v>
      </c>
      <c r="F31">
        <v>0.20499999999999999</v>
      </c>
      <c r="G31">
        <v>1.0673073452948602E-2</v>
      </c>
      <c r="H31">
        <v>2.1203566172382379E-2</v>
      </c>
    </row>
    <row r="32" spans="1:26">
      <c r="A32" t="s">
        <v>73</v>
      </c>
      <c r="B32">
        <f>ak*(B30+C20*dre*phiq+C20*re*dphiq)</f>
        <v>-2.1411133137077779E-2</v>
      </c>
      <c r="C32">
        <f>ak*(C30+B20*dre*phiq+B20*re*dphiq)</f>
        <v>-1.6179478572748787E-2</v>
      </c>
      <c r="F32">
        <v>0.21</v>
      </c>
      <c r="G32">
        <v>1.0683288950548809E-2</v>
      </c>
      <c r="H32">
        <v>1.9161792481360886E-2</v>
      </c>
    </row>
    <row r="33" spans="1:8">
      <c r="A33" t="s">
        <v>52</v>
      </c>
      <c r="F33">
        <v>0.215</v>
      </c>
      <c r="G33">
        <v>1.0685663749258114E-2</v>
      </c>
      <c r="H33">
        <v>1.7164273357284997E-2</v>
      </c>
    </row>
    <row r="34" spans="1:8">
      <c r="B34">
        <f>re*phiq+f*phiq*dre+f*re*dphiq</f>
        <v>3.4077906203019454E-2</v>
      </c>
      <c r="C34">
        <f>f*phiq*B26+f*re*B24</f>
        <v>-8.0897802911327588E-2</v>
      </c>
      <c r="F34">
        <v>0.22</v>
      </c>
      <c r="G34">
        <v>1.0680375582894997E-2</v>
      </c>
      <c r="H34">
        <v>1.5209513311906894E-2</v>
      </c>
    </row>
    <row r="35" spans="1:8">
      <c r="B35">
        <f>f*phiq*C26+f*re*C24</f>
        <v>-3.5993033151103644E-2</v>
      </c>
      <c r="C35">
        <f>re*phiq+f*phiq*dre+f*re*dphiq</f>
        <v>6.0867261365273179E-3</v>
      </c>
      <c r="F35">
        <v>0.22500000000000001</v>
      </c>
      <c r="G35">
        <v>1.0667595776282162E-2</v>
      </c>
      <c r="H35">
        <v>1.3296071769650034E-2</v>
      </c>
    </row>
    <row r="36" spans="1:8">
      <c r="A36" t="s">
        <v>10</v>
      </c>
      <c r="B36">
        <f t="array" ref="B36:C37">-MINVERSE(B34:C35)</f>
        <v>2.2507298255144108</v>
      </c>
      <c r="C36">
        <v>29.914126863442842</v>
      </c>
      <c r="F36">
        <v>0.23</v>
      </c>
      <c r="G36">
        <v>1.0647489486296539E-2</v>
      </c>
      <c r="H36">
        <v>1.1422560719810827E-2</v>
      </c>
    </row>
    <row r="37" spans="1:8">
      <c r="B37">
        <v>13.309386919474115</v>
      </c>
      <c r="C37">
        <v>12.601217495548182</v>
      </c>
      <c r="F37">
        <v>0.23499999999999999</v>
      </c>
      <c r="G37">
        <v>1.0620215932436054E-2</v>
      </c>
      <c r="H37">
        <v>9.5876424815584081E-3</v>
      </c>
    </row>
    <row r="38" spans="1:8">
      <c r="F38">
        <v>0.24</v>
      </c>
      <c r="G38">
        <v>1.0585928617412182E-2</v>
      </c>
      <c r="H38">
        <v>7.7900275757015712E-3</v>
      </c>
    </row>
    <row r="39" spans="1:8">
      <c r="A39" t="s">
        <v>11</v>
      </c>
      <c r="B39">
        <f t="array" ref="B39:C39">MMULT(B30:C30,B36:C37)</f>
        <v>0.15771075310613633</v>
      </c>
      <c r="C39">
        <v>1.0961109692798481</v>
      </c>
      <c r="F39">
        <v>0.245</v>
      </c>
      <c r="G39">
        <v>1.0544775538249637E-2</v>
      </c>
      <c r="H39">
        <v>6.0284726975448656E-3</v>
      </c>
    </row>
    <row r="40" spans="1:8">
      <c r="A40" t="s">
        <v>54</v>
      </c>
      <c r="B40">
        <f>f+delta</f>
        <v>0.2854787119681742</v>
      </c>
      <c r="C40">
        <f>f+delta</f>
        <v>1.3308214851586326</v>
      </c>
      <c r="F40">
        <v>0.25</v>
      </c>
      <c r="G40">
        <v>1.049689938834892E-2</v>
      </c>
      <c r="H40">
        <v>4.3017787854897106E-3</v>
      </c>
    </row>
    <row r="41" spans="1:8">
      <c r="F41">
        <v>0.255</v>
      </c>
      <c r="G41">
        <v>1.0442437750943228E-2</v>
      </c>
      <c r="H41">
        <v>2.6087891803467898E-3</v>
      </c>
    </row>
    <row r="42" spans="1:8">
      <c r="A42" t="s">
        <v>9</v>
      </c>
      <c r="B42">
        <f>2*dre*phiq+2*re*dphiq+f*ddre*phiq+2*f*dre*dphiq+f*re*ddphiq</f>
        <v>-0.71457450678165979</v>
      </c>
      <c r="C42">
        <f>f*B27*phiq+2*f*B26*B24+f*re*B25</f>
        <v>9.5045835837316281E-2</v>
      </c>
      <c r="D42">
        <f>B42+C43</f>
        <v>-1.186260540897484</v>
      </c>
      <c r="F42">
        <v>0.26</v>
      </c>
      <c r="G42">
        <v>1.0381523284358337E-2</v>
      </c>
      <c r="H42">
        <v>9.4838787061763546E-4</v>
      </c>
    </row>
    <row r="43" spans="1:8">
      <c r="B43">
        <f>f*C27*phiq+2*f*C26*C24+f*re*C25</f>
        <v>1.2064152108960474E-2</v>
      </c>
      <c r="C43">
        <f>2*dre*phiq+2*re*dphiq+f*ddre*phiq+2*f*dre*dphiq+f*re*ddphiq</f>
        <v>-0.47168603411582422</v>
      </c>
      <c r="F43">
        <v>0.26500000000000001</v>
      </c>
      <c r="G43">
        <v>1.0314283899462349E-2</v>
      </c>
      <c r="H43">
        <v>-6.8050218072527105E-4</v>
      </c>
    </row>
    <row r="44" spans="1:8">
      <c r="A44" t="s">
        <v>10</v>
      </c>
      <c r="B44">
        <f t="array" ref="B44:C45">-MINVERSE(B42:C43)</f>
        <v>1.4042112677899354</v>
      </c>
      <c r="C44">
        <v>0.28295184505399051</v>
      </c>
      <c r="F44">
        <v>0.27</v>
      </c>
      <c r="G44">
        <v>1.0240842929672348E-2</v>
      </c>
      <c r="H44">
        <v>-2.2789206321725854E-3</v>
      </c>
    </row>
    <row r="45" spans="1:8">
      <c r="B45">
        <v>3.591503055520652E-2</v>
      </c>
      <c r="C45">
        <v>2.127291252070123</v>
      </c>
      <c r="F45">
        <v>0.27500000000000002</v>
      </c>
      <c r="G45">
        <v>1.0161319293865474E-2</v>
      </c>
      <c r="H45">
        <v>-3.8478712863010585E-3</v>
      </c>
    </row>
    <row r="46" spans="1:8">
      <c r="F46">
        <v>0.28000000000000003</v>
      </c>
      <c r="G46">
        <v>1.0075827652524223E-2</v>
      </c>
      <c r="H46">
        <v>-5.3883235428345139E-3</v>
      </c>
    </row>
    <row r="47" spans="1:8">
      <c r="A47" t="s">
        <v>65</v>
      </c>
      <c r="B47">
        <f t="array" ref="B47:C47">MMULT(B30:C30,B44:C45)</f>
        <v>4.8071184828143008E-2</v>
      </c>
      <c r="C47">
        <v>2.2590645699702323E-2</v>
      </c>
      <c r="D47">
        <f>D30/D42</f>
        <v>-3.3858187940028407E-2</v>
      </c>
      <c r="F47">
        <v>0.28499999999999998</v>
      </c>
      <c r="G47">
        <v>9.9844785574285527E-3</v>
      </c>
      <c r="H47">
        <v>-6.9012137856811623E-3</v>
      </c>
    </row>
    <row r="48" spans="1:8">
      <c r="A48" s="5" t="s">
        <v>54</v>
      </c>
      <c r="B48" s="5">
        <f>(f+dta)</f>
        <v>0.17583914369018092</v>
      </c>
      <c r="C48" s="5">
        <f>(f+dta)</f>
        <v>0.25730116157848687</v>
      </c>
      <c r="D48" s="5">
        <f>B6-D47</f>
        <v>0.20969733163020932</v>
      </c>
      <c r="F48">
        <v>0.28999999999999998</v>
      </c>
      <c r="G48">
        <v>9.8873785951915094E-3</v>
      </c>
      <c r="H48">
        <v>-8.38744670728718E-3</v>
      </c>
    </row>
    <row r="49" spans="6:8">
      <c r="F49">
        <v>0.29499999999999998</v>
      </c>
      <c r="G49">
        <v>9.7846305249199277E-3</v>
      </c>
      <c r="H49">
        <v>-9.8478965734608917E-3</v>
      </c>
    </row>
    <row r="50" spans="6:8">
      <c r="F50">
        <v>0.29999999999999899</v>
      </c>
      <c r="G50">
        <v>9.6763334102674178E-3</v>
      </c>
      <c r="H50">
        <v>-1.1283408431647081E-2</v>
      </c>
    </row>
    <row r="51" spans="6:8">
      <c r="F51">
        <v>0.30499999999999999</v>
      </c>
      <c r="G51">
        <v>9.5625827461332941E-3</v>
      </c>
      <c r="H51">
        <v>-1.2694799265468383E-2</v>
      </c>
    </row>
    <row r="52" spans="6:8">
      <c r="F52">
        <v>0.309999999999999</v>
      </c>
      <c r="G52">
        <v>9.4434705802489208E-3</v>
      </c>
      <c r="H52">
        <v>-1.4082859098189369E-2</v>
      </c>
    </row>
    <row r="53" spans="6:8">
      <c r="F53">
        <v>0.314999999999999</v>
      </c>
      <c r="G53">
        <v>9.3190856298795838E-3</v>
      </c>
      <c r="H53">
        <v>-1.5448352047630624E-2</v>
      </c>
    </row>
    <row r="54" spans="6:8">
      <c r="F54">
        <v>0.31999999999999901</v>
      </c>
      <c r="G54">
        <v>9.1895133938606367E-3</v>
      </c>
      <c r="H54">
        <v>-1.6792017334898622E-2</v>
      </c>
    </row>
    <row r="55" spans="6:8">
      <c r="F55">
        <v>0.32499999999999901</v>
      </c>
      <c r="G55">
        <v>9.0548362601737386E-3</v>
      </c>
      <c r="H55">
        <v>-1.8114570249194779E-2</v>
      </c>
    </row>
    <row r="56" spans="6:8">
      <c r="F56">
        <v>0.32999999999999902</v>
      </c>
      <c r="G56">
        <v>8.9151336092605452E-3</v>
      </c>
      <c r="H56">
        <v>-1.9416703070827494E-2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zoomScale="125" zoomScaleNormal="125" zoomScalePageLayoutView="125" workbookViewId="0">
      <selection activeCell="K17" sqref="K17"/>
    </sheetView>
  </sheetViews>
  <sheetFormatPr baseColWidth="10" defaultRowHeight="15" x14ac:dyDescent="0"/>
  <cols>
    <col min="6" max="6" width="13.33203125" bestFit="1" customWidth="1"/>
    <col min="7" max="7" width="11.1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</v>
      </c>
      <c r="G5">
        <f t="shared" si="0"/>
        <v>0.3</v>
      </c>
      <c r="H5">
        <f t="shared" si="0"/>
        <v>0.3</v>
      </c>
      <c r="I5">
        <f t="shared" si="0"/>
        <v>0.3</v>
      </c>
      <c r="J5">
        <f t="shared" si="0"/>
        <v>0.3</v>
      </c>
      <c r="K5">
        <f t="shared" si="0"/>
        <v>0.3</v>
      </c>
      <c r="L5">
        <f t="shared" si="0"/>
        <v>0.3</v>
      </c>
    </row>
    <row r="6" spans="1:22">
      <c r="A6" t="s">
        <v>29</v>
      </c>
      <c r="B6" s="2">
        <v>1.0000000000000001E-5</v>
      </c>
      <c r="E6" t="s">
        <v>60</v>
      </c>
      <c r="F6">
        <f t="shared" ref="F6:L6" si="1">EXP(-za)</f>
        <v>0.74081822068171788</v>
      </c>
      <c r="G6">
        <f t="shared" si="1"/>
        <v>0.74081822068171788</v>
      </c>
      <c r="H6">
        <f t="shared" si="1"/>
        <v>0.74081822068171788</v>
      </c>
      <c r="I6">
        <f t="shared" si="1"/>
        <v>0.74081822068171788</v>
      </c>
      <c r="J6">
        <f t="shared" si="1"/>
        <v>0.74081822068171788</v>
      </c>
      <c r="K6">
        <f t="shared" si="1"/>
        <v>0.74081822068171788</v>
      </c>
      <c r="L6">
        <f t="shared" si="1"/>
        <v>0.74081822068171788</v>
      </c>
    </row>
    <row r="7" spans="1:22">
      <c r="A7" t="s">
        <v>91</v>
      </c>
      <c r="B7" s="2">
        <f>fe+dh</f>
        <v>1.0000000000000001E-5</v>
      </c>
      <c r="E7" t="s">
        <v>61</v>
      </c>
      <c r="F7">
        <f t="shared" ref="F7:L7" si="2">1-sa</f>
        <v>0.25918177931828212</v>
      </c>
      <c r="G7">
        <f t="shared" si="2"/>
        <v>0.25918177931828212</v>
      </c>
      <c r="H7">
        <f t="shared" si="2"/>
        <v>0.25918177931828212</v>
      </c>
      <c r="I7">
        <f t="shared" si="2"/>
        <v>0.25918177931828212</v>
      </c>
      <c r="J7">
        <f t="shared" si="2"/>
        <v>0.25918177931828212</v>
      </c>
      <c r="K7">
        <f t="shared" si="2"/>
        <v>0.25918177931828212</v>
      </c>
      <c r="L7">
        <f t="shared" si="2"/>
        <v>0.25918177931828212</v>
      </c>
    </row>
    <row r="8" spans="1:22">
      <c r="A8" t="s">
        <v>92</v>
      </c>
      <c r="B8">
        <f>fe-dh</f>
        <v>-1.0000000000000001E-5</v>
      </c>
      <c r="E8" t="s">
        <v>22</v>
      </c>
      <c r="F8">
        <f>1*EXP(-m*zf)</f>
        <v>0.74081822068171788</v>
      </c>
      <c r="G8">
        <f>F8*EXP(-m*(1+zf))</f>
        <v>0.40656965974059911</v>
      </c>
      <c r="H8">
        <f>G8*EXP(-m*(1+zf))</f>
        <v>0.22313016014842982</v>
      </c>
      <c r="I8">
        <f>H8*EXP(-m*(1+zf))</f>
        <v>0.12245642825298189</v>
      </c>
      <c r="J8">
        <f>I8*EXP(-m*(1+zf))</f>
        <v>6.7205512739749756E-2</v>
      </c>
      <c r="K8">
        <f>J8*EXP(-m*(1+zf))</f>
        <v>3.6883167401240001E-2</v>
      </c>
      <c r="L8">
        <f>K8*EXP(-m*(1+zf))/(1-EXP(-m*(1+zf)))</f>
        <v>4.4863549384493308E-2</v>
      </c>
    </row>
    <row r="9" spans="1:22">
      <c r="A9" t="s">
        <v>90</v>
      </c>
      <c r="B9" s="8">
        <v>1</v>
      </c>
      <c r="E9" t="s">
        <v>25</v>
      </c>
      <c r="F9">
        <f>1*EXP(-za*zf)</f>
        <v>0.74081822068171788</v>
      </c>
      <c r="G9">
        <f>F9*F6*EXP(-za*zf)</f>
        <v>0.40656965974059917</v>
      </c>
      <c r="H9">
        <f>G9*G6*EXP(-za*zf)</f>
        <v>0.22313016014842987</v>
      </c>
      <c r="I9">
        <f>H9*H6*EXP(-za*zf)</f>
        <v>0.12245642825298195</v>
      </c>
      <c r="J9">
        <f>I9*I6*EXP(-za*zf)</f>
        <v>6.7205512739749784E-2</v>
      </c>
      <c r="K9">
        <f>J9*J6*EXP(-za*zf)</f>
        <v>3.6883167401240015E-2</v>
      </c>
      <c r="L9">
        <f>K9*K6*EXP(-za*zf)/(1-EXP(-za*(1+zf)))</f>
        <v>4.4863549384493329E-2</v>
      </c>
    </row>
    <row r="10" spans="1:22">
      <c r="A10" t="s">
        <v>37</v>
      </c>
      <c r="B10">
        <f>SUMPRODUCT(lx,fa)</f>
        <v>1.2848041427187038</v>
      </c>
      <c r="E10" t="s">
        <v>26</v>
      </c>
      <c r="F10">
        <f>1*EXP(-za*zf)</f>
        <v>0.74081822068171788</v>
      </c>
      <c r="G10">
        <f>F10*EXP(-(m+feh*F4)-zf*(m+feh*va))</f>
        <v>0.40656929775065059</v>
      </c>
      <c r="H10">
        <f>G10*EXP(-(m+feh*G4)-zf*(m+feh*va))</f>
        <v>0.22312842775206371</v>
      </c>
      <c r="I10">
        <f>H10*EXP(-(m+feh*H4)-zf*(m+feh*va))</f>
        <v>0.12245247934273581</v>
      </c>
      <c r="J10">
        <f>I10*EXP(-(m+feh*I4)-zf*(m+feh*va))</f>
        <v>6.7200932840656008E-2</v>
      </c>
      <c r="K10">
        <f>J10*EXP(-(m+feh*J4)-zf*(m+feh*va))</f>
        <v>3.687950932599246E-2</v>
      </c>
      <c r="L10">
        <f>K10*EXP(-(m+feh*K4)-zf*(m+feh*va))/(1-EXP(-(m+feh*K4)-zf*(m+feh*va)))</f>
        <v>4.4856397189545878E-2</v>
      </c>
    </row>
    <row r="11" spans="1:22">
      <c r="A11" t="s">
        <v>38</v>
      </c>
      <c r="B11">
        <f>SUMPRODUCT(lz,fa)</f>
        <v>1.284804142718704</v>
      </c>
      <c r="E11" t="s">
        <v>26</v>
      </c>
      <c r="F11">
        <f>1*EXP(-za*zf)</f>
        <v>0.74081822068171788</v>
      </c>
      <c r="G11">
        <f>F11*EXP(-(m+fem*F4)-zf*(m+fem*va))</f>
        <v>0.40657002173086998</v>
      </c>
      <c r="H11">
        <f>G11*EXP(-(m+fem*G4)-zf*(m+fem*va))</f>
        <v>0.2231318925582465</v>
      </c>
      <c r="I11">
        <f>H11*EXP(-(m+fem*H4)-zf*(m+fem*va))</f>
        <v>0.1224603772905745</v>
      </c>
      <c r="J11">
        <f>I11*EXP(-(m+fem*I4)-zf*(m+fem*va))</f>
        <v>6.7210092950974257E-2</v>
      </c>
      <c r="K11">
        <f>J11*EXP(-(m+fem*J4)-zf*(m+fem*va))</f>
        <v>3.688682583933172E-2</v>
      </c>
      <c r="L11">
        <f>K11*EXP(-(m+fem*K4)-zf*(m+fem*va))/(1-EXP(-(m+fem*K4)-zf*(m+fem*va)))</f>
        <v>4.4870702809224818E-2</v>
      </c>
    </row>
    <row r="12" spans="1:22">
      <c r="A12" t="s">
        <v>51</v>
      </c>
      <c r="B12">
        <f>ro*(kappa-phie/phif)/(kappa-1)</f>
        <v>3598.1</v>
      </c>
      <c r="E12" t="s">
        <v>79</v>
      </c>
      <c r="F12">
        <f t="shared" ref="F12:L12" si="3">(F10-F9)/dh</f>
        <v>0</v>
      </c>
      <c r="G12">
        <f t="shared" si="3"/>
        <v>-3.6198994857183919E-2</v>
      </c>
      <c r="H12">
        <f t="shared" si="3"/>
        <v>-0.17323963661663996</v>
      </c>
      <c r="I12">
        <f t="shared" si="3"/>
        <v>-0.39489102461320863</v>
      </c>
      <c r="J12">
        <f t="shared" si="3"/>
        <v>-0.45798990937762069</v>
      </c>
      <c r="K12">
        <f t="shared" si="3"/>
        <v>-0.36580752475548478</v>
      </c>
      <c r="L12">
        <f t="shared" si="3"/>
        <v>-0.71521949474503954</v>
      </c>
    </row>
    <row r="13" spans="1:22">
      <c r="A13" t="s">
        <v>41</v>
      </c>
      <c r="B13">
        <f>SUMPRODUCT(lz,qa)</f>
        <v>1.1116714111708506</v>
      </c>
      <c r="E13" t="s">
        <v>78</v>
      </c>
      <c r="F13">
        <f>0</f>
        <v>0</v>
      </c>
      <c r="G13">
        <f>F13*F6*EXP(-zf*za)+F9*(-F4-zf*G4)*EXP(-F5-zf*G5)</f>
        <v>-3.6199010968936185E-2</v>
      </c>
      <c r="H13">
        <f>G13*G6*EXP(-zf*za)+G9*(-G4-zf*H4)*EXP(-G5-zf*H5)</f>
        <v>-0.17324030913671426</v>
      </c>
      <c r="I13">
        <f>H13*H6*EXP(-zf*za)+H9*(-H4-zf*I4)*EXP(-H5-zf*I5)</f>
        <v>-0.39489739186507344</v>
      </c>
      <c r="J13">
        <f>I13*I6*EXP(-zf*za)+I9*(-I4-zf*J4)*EXP(-I5-zf*J5)</f>
        <v>-0.45800551555698454</v>
      </c>
      <c r="K13">
        <f>J13*J6*EXP(-zf*za)+J9*(-J4-zf*K4)*EXP(-J5-zf*K5)</f>
        <v>-0.36582566636266511</v>
      </c>
      <c r="L13">
        <f>K13*K6*EXP(-zf*za)/(1-EXP(-za-zf*za))+K9*(-K4-zf*L4)*EXP(-K5-zf*za)/(1-EXP(-za-zf*za))  + K9*EXP(-K5-zf*za)*(-L4-zf*L4)*EXP(-za-zf*za)/(1-EXP(-za-zf*za))^2</f>
        <v>-0.71528098006477769</v>
      </c>
    </row>
    <row r="14" spans="1:22">
      <c r="E14" t="s">
        <v>93</v>
      </c>
      <c r="F14">
        <v>0</v>
      </c>
      <c r="G14">
        <f>F14*F6+F9*F4^2*F6</f>
        <v>9.457375356813622E-6</v>
      </c>
      <c r="H14">
        <f t="shared" ref="H14:L14" si="4">G14*G6+G9*G4^2*G6</f>
        <v>2.1771988800602213E-3</v>
      </c>
      <c r="I14">
        <f t="shared" si="4"/>
        <v>6.1615446307810566E-2</v>
      </c>
      <c r="J14">
        <f t="shared" si="4"/>
        <v>0.35475337405067098</v>
      </c>
      <c r="K14">
        <f t="shared" si="4"/>
        <v>0.41428902578954974</v>
      </c>
      <c r="L14">
        <f t="shared" si="4"/>
        <v>0.35739137703902596</v>
      </c>
    </row>
    <row r="15" spans="1:22">
      <c r="A15" t="s">
        <v>48</v>
      </c>
      <c r="B15">
        <f>SUMPRODUCT(dlz,fa)</f>
        <v>-4.8957987624255805</v>
      </c>
      <c r="E15" t="s">
        <v>94</v>
      </c>
      <c r="F15">
        <f t="shared" ref="F15:L15" si="5">(F10-2*F9+F11)/dh^2</f>
        <v>0</v>
      </c>
      <c r="G15">
        <f t="shared" si="5"/>
        <v>3.2224223289745164E-3</v>
      </c>
      <c r="H15">
        <f t="shared" si="5"/>
        <v>0.13450462965636231</v>
      </c>
      <c r="I15">
        <f t="shared" si="5"/>
        <v>1.273464250717282</v>
      </c>
      <c r="J15">
        <f t="shared" si="5"/>
        <v>3.1213069628943653</v>
      </c>
      <c r="K15">
        <f t="shared" si="5"/>
        <v>3.6284415055876091</v>
      </c>
      <c r="L15">
        <f t="shared" si="5"/>
        <v>12.297840384922763</v>
      </c>
    </row>
    <row r="16" spans="1:22">
      <c r="A16" t="s">
        <v>43</v>
      </c>
      <c r="B16">
        <f>SUM(dqa)</f>
        <v>-6.9966384244772097</v>
      </c>
      <c r="E16" t="s">
        <v>39</v>
      </c>
      <c r="F16">
        <f t="shared" ref="F16:L16" si="6">wa*va/za*oa</f>
        <v>3.6297799289131869E-3</v>
      </c>
      <c r="G16">
        <f t="shared" si="6"/>
        <v>0.10162711711501336</v>
      </c>
      <c r="H16">
        <f t="shared" si="6"/>
        <v>0.89788797377346286</v>
      </c>
      <c r="I16">
        <f t="shared" si="6"/>
        <v>3.2172395477845099</v>
      </c>
      <c r="J16">
        <f t="shared" si="6"/>
        <v>3.4071067974084204</v>
      </c>
      <c r="K16">
        <f t="shared" si="6"/>
        <v>2.8874032776121732</v>
      </c>
      <c r="L16">
        <f t="shared" si="6"/>
        <v>3.0731721980718283</v>
      </c>
    </row>
    <row r="17" spans="1:12">
      <c r="A17" t="s">
        <v>46</v>
      </c>
      <c r="B17">
        <f>ro*phie*dphif/(phif^2*(kappa-1))</f>
        <v>-2443.5738966452454</v>
      </c>
      <c r="E17" t="s">
        <v>80</v>
      </c>
      <c r="F17">
        <f t="shared" ref="F17:L17" si="7">wa*oa*va/za*dlz+lz*wa*va^p*sa/za - lz*wa*va^p*oa/za^2</f>
        <v>-5.3026556992476152E-6</v>
      </c>
      <c r="G17">
        <f t="shared" si="7"/>
        <v>-5.3448902549372342E-3</v>
      </c>
      <c r="H17">
        <f t="shared" si="7"/>
        <v>-0.21289044396114773</v>
      </c>
      <c r="I17">
        <f t="shared" si="7"/>
        <v>-1.6159420591272251</v>
      </c>
      <c r="J17">
        <f t="shared" si="7"/>
        <v>-1.7502052960696139</v>
      </c>
      <c r="K17">
        <f t="shared" si="7"/>
        <v>-1.1250479655896308</v>
      </c>
      <c r="L17">
        <f t="shared" si="7"/>
        <v>-2.2872024668189561</v>
      </c>
    </row>
    <row r="19" spans="1:12">
      <c r="A19" t="s">
        <v>83</v>
      </c>
      <c r="B19">
        <v>2.5000000000000001E-2</v>
      </c>
    </row>
    <row r="20" spans="1:12">
      <c r="A20" t="s">
        <v>81</v>
      </c>
      <c r="B20">
        <f>fe*re*phiq</f>
        <v>0</v>
      </c>
    </row>
    <row r="21" spans="1:12">
      <c r="A21" t="s">
        <v>82</v>
      </c>
      <c r="B21">
        <f>re*phiq+fe*re*dphiq+fe*phiq*dre</f>
        <v>3999.9049045338375</v>
      </c>
    </row>
    <row r="23" spans="1:12">
      <c r="A23" t="s">
        <v>84</v>
      </c>
      <c r="B23">
        <v>2</v>
      </c>
    </row>
    <row r="27" spans="1:12">
      <c r="D27" t="s">
        <v>30</v>
      </c>
      <c r="E27" t="s">
        <v>81</v>
      </c>
      <c r="F27" t="s">
        <v>82</v>
      </c>
    </row>
    <row r="28" spans="1:12">
      <c r="D28">
        <v>0</v>
      </c>
      <c r="E28">
        <f>ye</f>
        <v>0</v>
      </c>
      <c r="F28">
        <f>dye</f>
        <v>3999.9049045338375</v>
      </c>
    </row>
    <row r="29" spans="1:12">
      <c r="D29">
        <f t="shared" ref="D29:D63" si="8">D28+dfe</f>
        <v>2.5000000000000001E-2</v>
      </c>
      <c r="E29">
        <f t="dataTable" ref="E29:F63" dt2D="0" dtr="0" r1="B4"/>
        <v>84.673318639116303</v>
      </c>
      <c r="F29">
        <v>2849.8329147617055</v>
      </c>
    </row>
    <row r="30" spans="1:12">
      <c r="D30">
        <f t="shared" si="8"/>
        <v>0.05</v>
      </c>
      <c r="E30">
        <v>145.48669183534591</v>
      </c>
      <c r="F30">
        <v>2064.4779391392112</v>
      </c>
    </row>
    <row r="31" spans="1:12">
      <c r="D31">
        <f t="shared" si="8"/>
        <v>7.5000000000000011E-2</v>
      </c>
      <c r="E31">
        <v>189.81419986687834</v>
      </c>
      <c r="F31">
        <v>1515.0926120138863</v>
      </c>
    </row>
    <row r="32" spans="1:12">
      <c r="D32">
        <f t="shared" si="8"/>
        <v>0.1</v>
      </c>
      <c r="E32">
        <v>222.49644799820268</v>
      </c>
      <c r="F32">
        <v>1123.0331146014837</v>
      </c>
    </row>
    <row r="33" spans="4:6">
      <c r="D33">
        <f t="shared" si="8"/>
        <v>0.125</v>
      </c>
      <c r="E33">
        <v>246.79985620692682</v>
      </c>
      <c r="F33">
        <v>838.51340611632395</v>
      </c>
    </row>
    <row r="34" spans="4:6">
      <c r="D34">
        <f t="shared" si="8"/>
        <v>0.15</v>
      </c>
      <c r="E34">
        <v>264.98007943871352</v>
      </c>
      <c r="F34">
        <v>629.06967121541379</v>
      </c>
    </row>
    <row r="35" spans="4:6">
      <c r="D35">
        <f t="shared" si="8"/>
        <v>0.17499999999999999</v>
      </c>
      <c r="E35">
        <v>278.62573296184718</v>
      </c>
      <c r="F35">
        <v>472.99715469968112</v>
      </c>
    </row>
    <row r="36" spans="4:6">
      <c r="D36">
        <f t="shared" si="8"/>
        <v>0.19999999999999998</v>
      </c>
      <c r="E36">
        <v>288.87482519096767</v>
      </c>
      <c r="F36">
        <v>355.46860256495779</v>
      </c>
    </row>
    <row r="37" spans="4:6">
      <c r="D37">
        <f t="shared" si="8"/>
        <v>0.22499999999999998</v>
      </c>
      <c r="E37">
        <v>296.55474194900302</v>
      </c>
      <c r="F37">
        <v>266.16267952789161</v>
      </c>
    </row>
    <row r="38" spans="4:6">
      <c r="D38">
        <f t="shared" si="8"/>
        <v>0.24999999999999997</v>
      </c>
      <c r="E38">
        <v>302.27490330955334</v>
      </c>
      <c r="F38">
        <v>197.77414082590025</v>
      </c>
    </row>
    <row r="39" spans="4:6">
      <c r="D39">
        <f t="shared" si="8"/>
        <v>0.27499999999999997</v>
      </c>
      <c r="E39">
        <v>306.4893481407571</v>
      </c>
      <c r="F39">
        <v>145.05513897736802</v>
      </c>
    </row>
    <row r="40" spans="4:6">
      <c r="D40">
        <f t="shared" si="8"/>
        <v>0.3</v>
      </c>
      <c r="E40">
        <v>309.53977225855425</v>
      </c>
      <c r="F40">
        <v>104.18515562871806</v>
      </c>
    </row>
    <row r="41" spans="4:6">
      <c r="D41">
        <f t="shared" si="8"/>
        <v>0.32500000000000001</v>
      </c>
      <c r="E41">
        <v>311.68560524386027</v>
      </c>
      <c r="F41">
        <v>72.349078292744053</v>
      </c>
    </row>
    <row r="42" spans="4:6">
      <c r="D42">
        <f t="shared" si="8"/>
        <v>0.35000000000000003</v>
      </c>
      <c r="E42">
        <v>313.12533783212064</v>
      </c>
      <c r="F42">
        <v>47.449868589258159</v>
      </c>
    </row>
    <row r="43" spans="4:6">
      <c r="D43">
        <f t="shared" si="8"/>
        <v>0.37500000000000006</v>
      </c>
      <c r="E43">
        <v>314.01184737286297</v>
      </c>
      <c r="F43">
        <v>27.909883761861764</v>
      </c>
    </row>
    <row r="44" spans="4:6">
      <c r="D44">
        <f t="shared" si="8"/>
        <v>0.40000000000000008</v>
      </c>
      <c r="E44">
        <v>314.46354547187036</v>
      </c>
      <c r="F44">
        <v>12.531573488635161</v>
      </c>
    </row>
    <row r="45" spans="4:6">
      <c r="D45">
        <f t="shared" si="8"/>
        <v>0.4250000000000001</v>
      </c>
      <c r="E45">
        <v>314.57257834441043</v>
      </c>
      <c r="F45">
        <v>0.39854969244524341</v>
      </c>
    </row>
    <row r="46" spans="4:6">
      <c r="D46">
        <f t="shared" si="8"/>
        <v>0.45000000000000012</v>
      </c>
      <c r="E46">
        <v>314.41092213866676</v>
      </c>
      <c r="F46">
        <v>-9.195508461303163</v>
      </c>
    </row>
    <row r="47" spans="4:6">
      <c r="D47">
        <f t="shared" si="8"/>
        <v>0.47500000000000014</v>
      </c>
      <c r="E47">
        <v>314.03495747521663</v>
      </c>
      <c r="F47">
        <v>-16.798512054026759</v>
      </c>
    </row>
    <row r="48" spans="4:6">
      <c r="D48">
        <f t="shared" si="8"/>
        <v>0.50000000000000011</v>
      </c>
      <c r="E48">
        <v>313.48893349889414</v>
      </c>
      <c r="F48">
        <v>-22.837885105000339</v>
      </c>
    </row>
    <row r="49" spans="4:6">
      <c r="D49">
        <f t="shared" si="8"/>
        <v>0.52500000000000013</v>
      </c>
      <c r="E49">
        <v>312.8076128961419</v>
      </c>
      <c r="F49">
        <v>-27.648674643340613</v>
      </c>
    </row>
    <row r="50" spans="4:6">
      <c r="D50">
        <f t="shared" si="8"/>
        <v>0.55000000000000016</v>
      </c>
      <c r="E50">
        <v>312.01830713294424</v>
      </c>
      <c r="F50">
        <v>-31.494577731248867</v>
      </c>
    </row>
    <row r="51" spans="4:6">
      <c r="D51">
        <f t="shared" si="8"/>
        <v>0.57500000000000018</v>
      </c>
      <c r="E51">
        <v>311.14245366355613</v>
      </c>
      <c r="F51">
        <v>-34.583806005279939</v>
      </c>
    </row>
    <row r="52" spans="4:6">
      <c r="D52">
        <f t="shared" si="8"/>
        <v>0.6000000000000002</v>
      </c>
      <c r="E52">
        <v>310.19684619992387</v>
      </c>
      <c r="F52">
        <v>-37.081153015160851</v>
      </c>
    </row>
    <row r="53" spans="4:6">
      <c r="D53">
        <f t="shared" si="8"/>
        <v>0.62500000000000022</v>
      </c>
      <c r="E53">
        <v>309.19460009381987</v>
      </c>
      <c r="F53">
        <v>-39.117244290781855</v>
      </c>
    </row>
    <row r="54" spans="4:6">
      <c r="D54">
        <f t="shared" si="8"/>
        <v>0.65000000000000024</v>
      </c>
      <c r="E54">
        <v>308.1459139509634</v>
      </c>
      <c r="F54">
        <v>-40.795679889399096</v>
      </c>
    </row>
    <row r="55" spans="4:6">
      <c r="D55">
        <f t="shared" si="8"/>
        <v>0.67500000000000027</v>
      </c>
      <c r="E55">
        <v>307.05867337257177</v>
      </c>
      <c r="F55">
        <v>-42.198587912196004</v>
      </c>
    </row>
    <row r="56" spans="4:6">
      <c r="D56">
        <f t="shared" si="8"/>
        <v>0.70000000000000029</v>
      </c>
      <c r="E56">
        <v>305.93893155493208</v>
      </c>
      <c r="F56">
        <v>-43.390970850172423</v>
      </c>
    </row>
    <row r="57" spans="4:6">
      <c r="D57">
        <f t="shared" si="8"/>
        <v>0.72500000000000031</v>
      </c>
      <c r="E57">
        <v>304.79129322411336</v>
      </c>
      <c r="F57">
        <v>-44.424128181140915</v>
      </c>
    </row>
    <row r="58" spans="4:6">
      <c r="D58">
        <f t="shared" si="8"/>
        <v>0.75000000000000033</v>
      </c>
      <c r="E58">
        <v>303.61922223522328</v>
      </c>
      <c r="F58">
        <v>-45.338367142535859</v>
      </c>
    </row>
    <row r="59" spans="4:6">
      <c r="D59">
        <f t="shared" si="8"/>
        <v>0.77500000000000036</v>
      </c>
      <c r="E59">
        <v>302.42528855291948</v>
      </c>
      <c r="F59">
        <v>-46.165161276654544</v>
      </c>
    </row>
    <row r="60" spans="4:6">
      <c r="D60">
        <f t="shared" si="8"/>
        <v>0.80000000000000038</v>
      </c>
      <c r="E60">
        <v>301.21136684463193</v>
      </c>
      <c r="F60">
        <v>-46.928877766754439</v>
      </c>
    </row>
    <row r="61" spans="4:6">
      <c r="D61">
        <f t="shared" si="8"/>
        <v>0.8250000000000004</v>
      </c>
      <c r="E61">
        <v>299.97879626664962</v>
      </c>
      <c r="F61">
        <v>-47.648165942958599</v>
      </c>
    </row>
    <row r="62" spans="4:6">
      <c r="D62">
        <f t="shared" si="8"/>
        <v>0.85000000000000042</v>
      </c>
      <c r="E62">
        <v>298.7285089930171</v>
      </c>
      <c r="F62">
        <v>-48.337077933621018</v>
      </c>
    </row>
    <row r="63" spans="4:6">
      <c r="D63">
        <f t="shared" si="8"/>
        <v>0.87500000000000044</v>
      </c>
      <c r="E63">
        <v>297.46113347257716</v>
      </c>
      <c r="F63">
        <v>-49.00597633950062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16" sqref="G16"/>
    </sheetView>
  </sheetViews>
  <sheetFormatPr baseColWidth="10" defaultRowHeight="15" x14ac:dyDescent="0"/>
  <sheetData>
    <row r="1" spans="1:13">
      <c r="A1" t="s">
        <v>17</v>
      </c>
      <c r="B1">
        <v>0.29999994000000002</v>
      </c>
      <c r="F1" t="s">
        <v>76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</row>
    <row r="2" spans="1:13">
      <c r="A2" t="s">
        <v>86</v>
      </c>
      <c r="B2">
        <v>1947.9935</v>
      </c>
      <c r="F2" t="s">
        <v>23</v>
      </c>
      <c r="G2">
        <v>4.1512218000000004E-3</v>
      </c>
      <c r="H2">
        <v>8.4883920000000002E-2</v>
      </c>
      <c r="I2">
        <v>0.60248838999999998</v>
      </c>
      <c r="J2">
        <v>1.8458540000000001</v>
      </c>
      <c r="K2">
        <v>1.7442917</v>
      </c>
      <c r="L2">
        <v>1.3591654</v>
      </c>
      <c r="M2">
        <v>1.3591654</v>
      </c>
    </row>
    <row r="3" spans="1:13">
      <c r="A3" t="s">
        <v>87</v>
      </c>
      <c r="B3">
        <v>1.8466103</v>
      </c>
      <c r="F3" t="s">
        <v>85</v>
      </c>
      <c r="G3">
        <v>2089.2150999999999</v>
      </c>
      <c r="H3">
        <v>1535.9096999999999</v>
      </c>
      <c r="I3">
        <v>972.75351000000001</v>
      </c>
      <c r="J3">
        <v>236.88376</v>
      </c>
      <c r="K3">
        <v>5.8066087</v>
      </c>
      <c r="L3">
        <v>0.17169596000000001</v>
      </c>
      <c r="M3">
        <v>1.1000930000000001E-2</v>
      </c>
    </row>
    <row r="4" spans="1:13">
      <c r="F4" t="s">
        <v>20</v>
      </c>
      <c r="G4">
        <v>1.0120703</v>
      </c>
      <c r="H4">
        <v>1.3858045999999999</v>
      </c>
      <c r="I4">
        <v>1.7250156000000001</v>
      </c>
      <c r="J4">
        <v>2.0174224000000001</v>
      </c>
      <c r="K4">
        <v>2.2609203999999998</v>
      </c>
      <c r="L4">
        <v>2.4588796999999998</v>
      </c>
      <c r="M4">
        <v>2.6170890999999998</v>
      </c>
    </row>
    <row r="5" spans="1:13">
      <c r="A5" t="s">
        <v>89</v>
      </c>
      <c r="B5">
        <f>SUM(ca)</f>
        <v>1722.0766869160302</v>
      </c>
      <c r="F5" t="s">
        <v>35</v>
      </c>
      <c r="G5">
        <f t="shared" ref="G5:M5" si="0">m+ft*va</f>
        <v>0.30766562893346455</v>
      </c>
      <c r="H5">
        <f t="shared" si="0"/>
        <v>0.45674746097637603</v>
      </c>
      <c r="I5">
        <f t="shared" si="0"/>
        <v>1.4125612066044169</v>
      </c>
      <c r="J5">
        <f t="shared" si="0"/>
        <v>3.7085729486962005</v>
      </c>
      <c r="K5">
        <f t="shared" si="0"/>
        <v>3.52102695942451</v>
      </c>
      <c r="L5">
        <f t="shared" si="0"/>
        <v>2.8098487670436203</v>
      </c>
      <c r="M5">
        <f t="shared" si="0"/>
        <v>2.8098487670436203</v>
      </c>
    </row>
    <row r="6" spans="1:13">
      <c r="F6" t="s">
        <v>88</v>
      </c>
      <c r="G6">
        <f t="shared" ref="G6:M6" si="1">ft*va/za*(1-EXP(-za))*na*wa</f>
        <v>13.952365125364416</v>
      </c>
      <c r="H6">
        <f t="shared" si="1"/>
        <v>267.82767025976096</v>
      </c>
      <c r="I6">
        <f t="shared" si="1"/>
        <v>999.7942723756812</v>
      </c>
      <c r="J6">
        <f t="shared" si="1"/>
        <v>428.46921031081189</v>
      </c>
      <c r="K6">
        <f t="shared" si="1"/>
        <v>11.65460309739872</v>
      </c>
      <c r="L6">
        <f t="shared" si="1"/>
        <v>0.35439770575008267</v>
      </c>
      <c r="M6">
        <f t="shared" si="1"/>
        <v>2.416804126322869E-2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opLeftCell="A3" zoomScale="125" zoomScaleNormal="125" zoomScalePageLayoutView="125" workbookViewId="0">
      <selection activeCell="C10" sqref="C10"/>
    </sheetView>
  </sheetViews>
  <sheetFormatPr baseColWidth="10" defaultRowHeight="15" x14ac:dyDescent="0"/>
  <cols>
    <col min="6" max="6" width="10.1640625" customWidth="1"/>
    <col min="7" max="12" width="8.6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0.2</v>
      </c>
      <c r="C4">
        <v>0.45224389999999998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0.30083023999999997</v>
      </c>
      <c r="G5">
        <f t="shared" si="0"/>
        <v>0.3169768</v>
      </c>
      <c r="H5">
        <f t="shared" si="0"/>
        <v>0.42049799999999998</v>
      </c>
      <c r="I5">
        <f t="shared" si="0"/>
        <v>0.66918000000000011</v>
      </c>
      <c r="J5">
        <f t="shared" si="0"/>
        <v>0.64885999999999999</v>
      </c>
      <c r="K5">
        <f t="shared" si="0"/>
        <v>0.57184000000000001</v>
      </c>
      <c r="L5">
        <f t="shared" si="0"/>
        <v>0.57184000000000001</v>
      </c>
    </row>
    <row r="6" spans="1:22">
      <c r="A6" t="s">
        <v>29</v>
      </c>
      <c r="B6" s="2">
        <v>1E-4</v>
      </c>
      <c r="E6" s="5" t="s">
        <v>60</v>
      </c>
      <c r="F6" s="5">
        <f t="shared" ref="F6:L6" si="1">EXP(-za)</f>
        <v>0.74020341901396258</v>
      </c>
      <c r="G6" s="5">
        <f t="shared" si="1"/>
        <v>0.72834765259523049</v>
      </c>
      <c r="H6" s="5">
        <f t="shared" si="1"/>
        <v>0.65671969196038549</v>
      </c>
      <c r="I6" s="5">
        <f t="shared" si="1"/>
        <v>0.51212835090378417</v>
      </c>
      <c r="J6" s="5">
        <f t="shared" si="1"/>
        <v>0.52264124830081171</v>
      </c>
      <c r="K6" s="5">
        <f t="shared" si="1"/>
        <v>0.56448582862690544</v>
      </c>
      <c r="L6" s="5">
        <f t="shared" si="1"/>
        <v>0.56448582862690544</v>
      </c>
    </row>
    <row r="7" spans="1:22">
      <c r="A7" t="s">
        <v>91</v>
      </c>
      <c r="B7" s="2">
        <f>fe+dh</f>
        <v>0.2001</v>
      </c>
      <c r="E7" t="s">
        <v>61</v>
      </c>
      <c r="F7">
        <f t="shared" ref="F7:L7" si="2">1-sa</f>
        <v>0.25979658098603742</v>
      </c>
      <c r="G7">
        <f t="shared" si="2"/>
        <v>0.27165234740476951</v>
      </c>
      <c r="H7">
        <f t="shared" si="2"/>
        <v>0.34328030803961451</v>
      </c>
      <c r="I7">
        <f t="shared" si="2"/>
        <v>0.48787164909621583</v>
      </c>
      <c r="J7">
        <f t="shared" si="2"/>
        <v>0.47735875169918829</v>
      </c>
      <c r="K7">
        <f t="shared" si="2"/>
        <v>0.43551417137309456</v>
      </c>
      <c r="L7">
        <f t="shared" si="2"/>
        <v>0.43551417137309456</v>
      </c>
    </row>
    <row r="8" spans="1:22">
      <c r="A8" t="s">
        <v>92</v>
      </c>
      <c r="B8">
        <f>fe-dh</f>
        <v>0.19990000000000002</v>
      </c>
      <c r="E8" t="s">
        <v>22</v>
      </c>
      <c r="F8">
        <f t="shared" ref="F8:K8" si="3">EXP(-m*(age-1)-zf*m)</f>
        <v>1</v>
      </c>
      <c r="G8">
        <f t="shared" si="3"/>
        <v>0.74081822068171788</v>
      </c>
      <c r="H8">
        <f t="shared" si="3"/>
        <v>0.54881163609402639</v>
      </c>
      <c r="I8">
        <f t="shared" si="3"/>
        <v>0.40656965974059917</v>
      </c>
      <c r="J8">
        <f t="shared" si="3"/>
        <v>0.30119421191220214</v>
      </c>
      <c r="K8">
        <f t="shared" si="3"/>
        <v>0.22313016014842982</v>
      </c>
      <c r="L8">
        <f>EXP(-m*(age-1)-zf*m)/(1-EXP(-m))</f>
        <v>0.63777202493310736</v>
      </c>
    </row>
    <row r="9" spans="1:22">
      <c r="A9" s="6" t="s">
        <v>90</v>
      </c>
      <c r="B9" s="10">
        <v>0</v>
      </c>
      <c r="C9">
        <f>SUMPRODUCT(lx*EXP(-m/2),fa)</f>
        <v>4.4332085644956951</v>
      </c>
      <c r="E9" t="s">
        <v>25</v>
      </c>
      <c r="F9">
        <f t="shared" ref="F9:K9" si="4">lw*EXP(-zf*za)</f>
        <v>1</v>
      </c>
      <c r="G9">
        <f t="shared" si="4"/>
        <v>0.74020341901396258</v>
      </c>
      <c r="H9">
        <f t="shared" si="4"/>
        <v>0.53912542268178343</v>
      </c>
      <c r="I9">
        <f t="shared" si="4"/>
        <v>0.35405428151159346</v>
      </c>
      <c r="J9">
        <f t="shared" si="4"/>
        <v>0.18132123532095651</v>
      </c>
      <c r="K9">
        <f t="shared" si="4"/>
        <v>9.4765956771589943E-2</v>
      </c>
      <c r="L9">
        <f>K10*EXP(-K5-zf*za)/(1-EXP(-za))</f>
        <v>0.12282961875884721</v>
      </c>
    </row>
    <row r="10" spans="1:22">
      <c r="A10" t="s">
        <v>37</v>
      </c>
      <c r="B10">
        <f>SUMPRODUCT(lx,fa)</f>
        <v>5.1506535153873942</v>
      </c>
      <c r="C10">
        <v>4.4332085644956951</v>
      </c>
      <c r="E10" s="9" t="s">
        <v>95</v>
      </c>
      <c r="F10" s="9">
        <v>1</v>
      </c>
      <c r="G10" s="9">
        <f>F10*EXP(-F5)</f>
        <v>0.74020341901396258</v>
      </c>
      <c r="H10" s="9">
        <f t="shared" ref="H10:K10" si="5">G10*EXP(-G5)</f>
        <v>0.53912542268178343</v>
      </c>
      <c r="I10" s="9">
        <f t="shared" si="5"/>
        <v>0.35405428151159346</v>
      </c>
      <c r="J10" s="9">
        <f t="shared" si="5"/>
        <v>0.18132123532095651</v>
      </c>
      <c r="K10" s="9">
        <f t="shared" si="5"/>
        <v>9.4765956771589943E-2</v>
      </c>
      <c r="L10" s="9">
        <f>K10*EXP(-K5)/(1-EXP(-za))</f>
        <v>0.12282961875884721</v>
      </c>
    </row>
    <row r="11" spans="1:22">
      <c r="A11" t="s">
        <v>38</v>
      </c>
      <c r="B11">
        <f>SUMPRODUCT(lz,fa)</f>
        <v>3.0956001057137921</v>
      </c>
    </row>
    <row r="12" spans="1:22">
      <c r="A12" t="s">
        <v>51</v>
      </c>
      <c r="B12">
        <f>ro*(kappa-phie/phif)/(kappa-1)</f>
        <v>3172.3868084604778</v>
      </c>
      <c r="E12" t="s">
        <v>26</v>
      </c>
      <c r="F12">
        <f t="shared" ref="F12:K12" si="6">lw*EXP(-zf*(m+feh*va))</f>
        <v>1</v>
      </c>
      <c r="G12">
        <f t="shared" si="6"/>
        <v>0.74020341901396258</v>
      </c>
      <c r="H12">
        <f t="shared" si="6"/>
        <v>0.53912542268178343</v>
      </c>
      <c r="I12">
        <f t="shared" si="6"/>
        <v>0.35405428151159346</v>
      </c>
      <c r="J12">
        <f t="shared" si="6"/>
        <v>0.18132123532095651</v>
      </c>
      <c r="K12">
        <f t="shared" si="6"/>
        <v>9.4765956771589943E-2</v>
      </c>
      <c r="L12">
        <f>K10*EXP(-(m+feh*va)-zf*(m+feh*va))/(1-EXP(-(m+feh*va)))</f>
        <v>0.12279129411160845</v>
      </c>
    </row>
    <row r="13" spans="1:22">
      <c r="A13" t="s">
        <v>41</v>
      </c>
      <c r="B13">
        <f>SUMPRODUCT(lw,qa)</f>
        <v>2.5969596166632289</v>
      </c>
      <c r="E13" t="s">
        <v>26</v>
      </c>
      <c r="F13">
        <f t="shared" ref="F13:K13" si="7">lw*EXP(-zf*(m+fem*va))</f>
        <v>1</v>
      </c>
      <c r="G13">
        <f t="shared" si="7"/>
        <v>0.74020341901396258</v>
      </c>
      <c r="H13">
        <f t="shared" si="7"/>
        <v>0.53912542268178343</v>
      </c>
      <c r="I13">
        <f t="shared" si="7"/>
        <v>0.35405428151159346</v>
      </c>
      <c r="J13">
        <f t="shared" si="7"/>
        <v>0.18132123532095651</v>
      </c>
      <c r="K13">
        <f t="shared" si="7"/>
        <v>9.4765956771589943E-2</v>
      </c>
      <c r="L13">
        <f>K10*EXP(-(m+fem*va)-zf*(m+fem*va))/(1-EXP(-(m+fem*va)))</f>
        <v>0.12286796212311486</v>
      </c>
    </row>
    <row r="14" spans="1:22">
      <c r="A14" t="s">
        <v>99</v>
      </c>
      <c r="B14">
        <f>kappa/phie</f>
        <v>1.2835116799164832</v>
      </c>
      <c r="E14" t="s">
        <v>79</v>
      </c>
      <c r="F14">
        <f t="shared" ref="F14:L14" si="8">(F12-F9)/dh</f>
        <v>0</v>
      </c>
      <c r="G14">
        <f t="shared" si="8"/>
        <v>0</v>
      </c>
      <c r="H14">
        <f t="shared" si="8"/>
        <v>0</v>
      </c>
      <c r="I14">
        <f t="shared" si="8"/>
        <v>0</v>
      </c>
      <c r="J14">
        <f t="shared" si="8"/>
        <v>0</v>
      </c>
      <c r="K14">
        <f t="shared" si="8"/>
        <v>0</v>
      </c>
      <c r="L14">
        <f t="shared" si="8"/>
        <v>-0.3832464723875495</v>
      </c>
    </row>
    <row r="15" spans="1:22">
      <c r="A15" t="s">
        <v>100</v>
      </c>
      <c r="B15">
        <f>(kappa-1)/(ro*phie)</f>
        <v>3.0276022332504049E-4</v>
      </c>
      <c r="E15" t="s">
        <v>78</v>
      </c>
      <c r="F15">
        <f t="shared" ref="F15:K15" si="9">-lw*zf*va*EXP(-zf*za)</f>
        <v>0</v>
      </c>
      <c r="G15">
        <f t="shared" si="9"/>
        <v>0</v>
      </c>
      <c r="H15">
        <f t="shared" si="9"/>
        <v>0</v>
      </c>
      <c r="I15">
        <f t="shared" si="9"/>
        <v>0</v>
      </c>
      <c r="J15">
        <f t="shared" si="9"/>
        <v>0</v>
      </c>
      <c r="K15">
        <f t="shared" si="9"/>
        <v>0</v>
      </c>
      <c r="L15">
        <f>-K10*K6*zf*va*EXP(-zf*za)/oa - K10*EXP(-zf*za)*va*sa/(oa)^2</f>
        <v>-0.38334003527523108</v>
      </c>
    </row>
    <row r="16" spans="1:22">
      <c r="A16" t="s">
        <v>48</v>
      </c>
      <c r="B16">
        <f>SUMPRODUCT(dlw,fa)</f>
        <v>-4.985296603629978</v>
      </c>
      <c r="E16" s="9" t="s">
        <v>96</v>
      </c>
      <c r="F16" s="9">
        <v>0</v>
      </c>
      <c r="G16" s="9">
        <f>F16*F6-F10*F4*F6</f>
        <v>-3.0727324330107613E-3</v>
      </c>
      <c r="H16" s="9">
        <f>G16*G6-G10*G4*G6</f>
        <v>-4.8001139833557131E-2</v>
      </c>
      <c r="I16" s="9">
        <f>H16*H6-H10*H4*H6</f>
        <v>-0.24483745783316097</v>
      </c>
      <c r="J16" s="9">
        <f>I16*I6-I10*I4*I6</f>
        <v>-0.46008907179852521</v>
      </c>
      <c r="K16" s="9">
        <f>J16*J6-J10*J4*J6</f>
        <v>-0.40576178521102735</v>
      </c>
      <c r="L16" s="9">
        <f>(K16*K6-K10*K4*K6)/oa - K10*K6*va*sa/oa^2</f>
        <v>-0.90926270922137997</v>
      </c>
    </row>
    <row r="17" spans="1:14">
      <c r="A17" t="s">
        <v>43</v>
      </c>
      <c r="B17">
        <f>SUM(dqa)</f>
        <v>-7.2195390106458692</v>
      </c>
      <c r="E17" t="s">
        <v>93</v>
      </c>
      <c r="F17">
        <f t="shared" ref="F17:K17" si="10">lw*zf^2*va^2*EXP(-zf*za)</f>
        <v>0</v>
      </c>
      <c r="G17">
        <f t="shared" si="10"/>
        <v>0</v>
      </c>
      <c r="H17">
        <f t="shared" si="10"/>
        <v>0</v>
      </c>
      <c r="I17">
        <f t="shared" si="10"/>
        <v>0</v>
      </c>
      <c r="J17">
        <f t="shared" si="10"/>
        <v>0</v>
      </c>
      <c r="K17">
        <f t="shared" si="10"/>
        <v>0</v>
      </c>
      <c r="L17">
        <f>K10*zf^2*va^2*EXP(-zf*za)/oa  +  2*K10*zf*va^2*EXP(-zf*za)*sa/oa^2  +  2*K10*EXP(-zf*za)*va^2*sa^2/oa^3  +  K10*EXP(-zf*za)*va^2*sa/oa^2</f>
        <v>1.8717027854805797</v>
      </c>
    </row>
    <row r="18" spans="1:14">
      <c r="A18" t="s">
        <v>46</v>
      </c>
      <c r="B18">
        <f>ro*phie*dphif/(phif^2*(kappa-1))</f>
        <v>-1718.3138060461404</v>
      </c>
      <c r="E18" t="s">
        <v>94</v>
      </c>
      <c r="F18">
        <f t="shared" ref="F18:L18" si="11">(F12-2*F9+F13)/dh^2</f>
        <v>0</v>
      </c>
      <c r="G18">
        <f t="shared" si="11"/>
        <v>0</v>
      </c>
      <c r="H18">
        <f t="shared" si="11"/>
        <v>0</v>
      </c>
      <c r="I18">
        <f t="shared" si="11"/>
        <v>0</v>
      </c>
      <c r="J18">
        <f t="shared" si="11"/>
        <v>0</v>
      </c>
      <c r="K18">
        <f t="shared" si="11"/>
        <v>0</v>
      </c>
      <c r="L18">
        <f t="shared" si="11"/>
        <v>1.8717028898995736</v>
      </c>
    </row>
    <row r="19" spans="1:14">
      <c r="A19" t="s">
        <v>103</v>
      </c>
      <c r="B19">
        <f>ro*phie</f>
        <v>18532.566413715384</v>
      </c>
      <c r="E19" t="s">
        <v>39</v>
      </c>
      <c r="F19">
        <f t="shared" ref="F19:L19" si="12">wa*va/za*oa</f>
        <v>3.6283487476186189E-3</v>
      </c>
      <c r="G19">
        <f t="shared" si="12"/>
        <v>0.10081203445292565</v>
      </c>
      <c r="H19">
        <f t="shared" si="12"/>
        <v>0.84844539941713915</v>
      </c>
      <c r="I19">
        <f t="shared" si="12"/>
        <v>2.7149561220514213</v>
      </c>
      <c r="J19">
        <f t="shared" si="12"/>
        <v>2.9013252761989192</v>
      </c>
      <c r="K19">
        <f t="shared" si="12"/>
        <v>2.5453762834160942</v>
      </c>
      <c r="L19">
        <f t="shared" si="12"/>
        <v>2.7091399696320555</v>
      </c>
    </row>
    <row r="20" spans="1:14">
      <c r="A20" t="s">
        <v>101</v>
      </c>
      <c r="B20">
        <f>re*phif</f>
        <v>9820.4409396352949</v>
      </c>
      <c r="E20" t="s">
        <v>80</v>
      </c>
      <c r="F20">
        <f t="shared" ref="F20:L20" si="13">wa*oa*va/za*dlw+lw*wa*va^p*sa/za - lw*wa*va^p*oa/za^2</f>
        <v>-7.1539768408972919E-6</v>
      </c>
      <c r="G20">
        <f t="shared" si="13"/>
        <v>-3.3098146608241501E-3</v>
      </c>
      <c r="H20">
        <f t="shared" si="13"/>
        <v>-0.16889262838834473</v>
      </c>
      <c r="I20">
        <f t="shared" si="13"/>
        <v>-1.4536848217316871</v>
      </c>
      <c r="J20">
        <f t="shared" si="13"/>
        <v>-1.7444087274615701</v>
      </c>
      <c r="K20">
        <f t="shared" si="13"/>
        <v>-1.1812070470506484</v>
      </c>
      <c r="L20">
        <f t="shared" si="13"/>
        <v>-2.6680288173759541</v>
      </c>
    </row>
    <row r="21" spans="1:14">
      <c r="A21" t="s">
        <v>104</v>
      </c>
      <c r="B21">
        <f>re*SUMPRODUCT(lw,fa)</f>
        <v>9820.4409396352949</v>
      </c>
    </row>
    <row r="22" spans="1:14">
      <c r="A22" t="s">
        <v>83</v>
      </c>
      <c r="B22">
        <v>2.5000000000000001E-2</v>
      </c>
    </row>
    <row r="23" spans="1:14">
      <c r="A23" t="s">
        <v>81</v>
      </c>
      <c r="B23">
        <f>fe*re*phiq</f>
        <v>1647.7120860014015</v>
      </c>
    </row>
    <row r="24" spans="1:14">
      <c r="A24" t="s">
        <v>82</v>
      </c>
      <c r="B24">
        <f>re*phiq+fe*re*dphiq+fe*phiq*dre</f>
        <v>2765.4480532879093</v>
      </c>
      <c r="F24">
        <f t="shared" ref="F24:L24" si="14">F27*EXP(-zf*za)</f>
        <v>3172.3868084604778</v>
      </c>
      <c r="G24">
        <f t="shared" si="14"/>
        <v>2348.2115620572386</v>
      </c>
      <c r="H24">
        <f t="shared" si="14"/>
        <v>1710.3143790213689</v>
      </c>
      <c r="I24">
        <f t="shared" si="14"/>
        <v>1123.1971321463316</v>
      </c>
      <c r="J24">
        <f t="shared" si="14"/>
        <v>575.22109502596049</v>
      </c>
      <c r="K24">
        <f t="shared" si="14"/>
        <v>300.6342711533278</v>
      </c>
      <c r="L24">
        <f t="shared" si="14"/>
        <v>389.66306223879656</v>
      </c>
      <c r="M24">
        <f>SUMPRODUCT(F24:L24,fa)</f>
        <v>9820.440939635293</v>
      </c>
    </row>
    <row r="25" spans="1:14">
      <c r="A25" t="s">
        <v>84</v>
      </c>
      <c r="B25">
        <v>2</v>
      </c>
      <c r="F25">
        <f t="shared" ref="F25:L25" si="15">ro*lx</f>
        <v>3598.1</v>
      </c>
      <c r="G25">
        <f t="shared" si="15"/>
        <v>2665.5380398348889</v>
      </c>
      <c r="H25">
        <f t="shared" si="15"/>
        <v>1974.6791478299162</v>
      </c>
      <c r="I25">
        <f t="shared" si="15"/>
        <v>1462.8782927126499</v>
      </c>
      <c r="J25">
        <f t="shared" si="15"/>
        <v>1083.7268938812945</v>
      </c>
      <c r="K25">
        <f t="shared" si="15"/>
        <v>802.84462923006527</v>
      </c>
      <c r="L25">
        <f t="shared" si="15"/>
        <v>2294.7675229118136</v>
      </c>
      <c r="M25">
        <f>SUMPRODUCT(F25:L25,fa)</f>
        <v>18532.566413715384</v>
      </c>
    </row>
    <row r="26" spans="1:14">
      <c r="A26" t="s">
        <v>30</v>
      </c>
      <c r="B26" t="s">
        <v>81</v>
      </c>
      <c r="C26" t="s">
        <v>82</v>
      </c>
      <c r="E26" t="s">
        <v>97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 t="s">
        <v>98</v>
      </c>
      <c r="N26" t="s">
        <v>102</v>
      </c>
    </row>
    <row r="27" spans="1:14">
      <c r="A27">
        <v>0</v>
      </c>
      <c r="B27">
        <f>ye</f>
        <v>1647.7120860014015</v>
      </c>
      <c r="C27">
        <f>dye</f>
        <v>2765.4480532879093</v>
      </c>
      <c r="E27">
        <v>1900</v>
      </c>
      <c r="F27">
        <f t="shared" ref="F27:L27" si="16">re*lw</f>
        <v>3172.3868084604778</v>
      </c>
      <c r="G27">
        <f t="shared" si="16"/>
        <v>2348.2115620572386</v>
      </c>
      <c r="H27">
        <f t="shared" si="16"/>
        <v>1710.3143790213689</v>
      </c>
      <c r="I27">
        <f t="shared" si="16"/>
        <v>1123.1971321463316</v>
      </c>
      <c r="J27">
        <f t="shared" si="16"/>
        <v>575.22109502596049</v>
      </c>
      <c r="K27">
        <f t="shared" si="16"/>
        <v>300.6342711533278</v>
      </c>
      <c r="L27">
        <f t="shared" si="16"/>
        <v>389.66306223879656</v>
      </c>
      <c r="M27">
        <f t="shared" ref="M27:M58" si="17">SUMPRODUCT(F27:L27,EXP(-zf*(m+fe*va)),fa)</f>
        <v>9820.440939635293</v>
      </c>
      <c r="N27">
        <f>SUMPRODUCT(F27:L27,fa)</f>
        <v>9820.440939635293</v>
      </c>
    </row>
    <row r="28" spans="1:14">
      <c r="A28">
        <f t="shared" ref="A28:A62" si="18">A27+dfe</f>
        <v>2.5000000000000001E-2</v>
      </c>
      <c r="B28">
        <f t="dataTable" ref="B28:C62" dt2D="0" dtr="0" r1="B4"/>
        <v>430.15274549193066</v>
      </c>
      <c r="C28">
        <v>14876.971363107168</v>
      </c>
      <c r="E28">
        <v>1901</v>
      </c>
      <c r="F28">
        <f t="shared" ref="F28:F59" si="19">so*M27/(1+beta*M27)</f>
        <v>3172.3868084604774</v>
      </c>
      <c r="G28">
        <f t="shared" ref="G28:K37" si="20">F27*EXP(-m-fe*F$4)</f>
        <v>2348.2115620572386</v>
      </c>
      <c r="H28">
        <f t="shared" si="20"/>
        <v>1710.3143790213692</v>
      </c>
      <c r="I28">
        <f t="shared" si="20"/>
        <v>1123.1971321463313</v>
      </c>
      <c r="J28">
        <f t="shared" si="20"/>
        <v>575.22109502596049</v>
      </c>
      <c r="K28">
        <f t="shared" si="20"/>
        <v>300.6342711533278</v>
      </c>
      <c r="L28">
        <f t="shared" ref="L28:L59" si="21">K27*EXP(-m-fe*K$4)+L27*EXP(-m-fe*va)</f>
        <v>389.6630622387965</v>
      </c>
      <c r="M28">
        <f t="shared" si="17"/>
        <v>9820.4409396352912</v>
      </c>
    </row>
    <row r="29" spans="1:14">
      <c r="A29">
        <f t="shared" si="18"/>
        <v>0.05</v>
      </c>
      <c r="B29">
        <v>755.6449057978981</v>
      </c>
      <c r="C29">
        <v>11353.549980458565</v>
      </c>
      <c r="E29">
        <v>1902</v>
      </c>
      <c r="F29">
        <f t="shared" si="19"/>
        <v>3172.3868084604778</v>
      </c>
      <c r="G29">
        <f t="shared" si="20"/>
        <v>2348.2115620572381</v>
      </c>
      <c r="H29">
        <f t="shared" si="20"/>
        <v>1710.3143790213692</v>
      </c>
      <c r="I29">
        <f t="shared" si="20"/>
        <v>1123.1971321463316</v>
      </c>
      <c r="J29">
        <f t="shared" si="20"/>
        <v>575.22109502596038</v>
      </c>
      <c r="K29">
        <f t="shared" si="20"/>
        <v>300.6342711533278</v>
      </c>
      <c r="L29">
        <f t="shared" si="21"/>
        <v>389.66306223879644</v>
      </c>
      <c r="M29">
        <f t="shared" si="17"/>
        <v>9820.440939635293</v>
      </c>
    </row>
    <row r="30" spans="1:14">
      <c r="A30">
        <f t="shared" si="18"/>
        <v>7.5000000000000011E-2</v>
      </c>
      <c r="B30">
        <v>1005.7194147127842</v>
      </c>
      <c r="C30">
        <v>8782.5081389592469</v>
      </c>
      <c r="E30">
        <v>1903</v>
      </c>
      <c r="F30">
        <f t="shared" si="19"/>
        <v>3172.3868084604774</v>
      </c>
      <c r="G30">
        <f t="shared" si="20"/>
        <v>2348.2115620572386</v>
      </c>
      <c r="H30">
        <f t="shared" si="20"/>
        <v>1710.3143790213687</v>
      </c>
      <c r="I30">
        <f t="shared" si="20"/>
        <v>1123.1971321463316</v>
      </c>
      <c r="J30">
        <f t="shared" si="20"/>
        <v>575.22109502596049</v>
      </c>
      <c r="K30">
        <f t="shared" si="20"/>
        <v>300.63427115332775</v>
      </c>
      <c r="L30">
        <f t="shared" si="21"/>
        <v>389.66306223879644</v>
      </c>
      <c r="M30">
        <f t="shared" si="17"/>
        <v>9820.4409396352912</v>
      </c>
    </row>
    <row r="31" spans="1:14">
      <c r="A31">
        <f t="shared" si="18"/>
        <v>0.1</v>
      </c>
      <c r="B31">
        <v>1200.2172010005124</v>
      </c>
      <c r="C31">
        <v>6868.4260126604886</v>
      </c>
      <c r="E31">
        <v>1904</v>
      </c>
      <c r="F31">
        <f t="shared" si="19"/>
        <v>3172.3868084604778</v>
      </c>
      <c r="G31">
        <f t="shared" si="20"/>
        <v>2348.2115620572381</v>
      </c>
      <c r="H31">
        <f t="shared" si="20"/>
        <v>1710.3143790213692</v>
      </c>
      <c r="I31">
        <f t="shared" si="20"/>
        <v>1123.1971321463313</v>
      </c>
      <c r="J31">
        <f t="shared" si="20"/>
        <v>575.22109502596049</v>
      </c>
      <c r="K31">
        <f t="shared" si="20"/>
        <v>300.6342711533278</v>
      </c>
      <c r="L31">
        <f t="shared" si="21"/>
        <v>389.66306223879644</v>
      </c>
      <c r="M31">
        <f t="shared" si="17"/>
        <v>9820.4409396352912</v>
      </c>
    </row>
    <row r="32" spans="1:14">
      <c r="A32">
        <f t="shared" si="18"/>
        <v>0.125</v>
      </c>
      <c r="B32">
        <v>1353.000668268764</v>
      </c>
      <c r="C32">
        <v>5419.5810602899719</v>
      </c>
      <c r="E32">
        <v>1905</v>
      </c>
      <c r="F32">
        <f t="shared" si="19"/>
        <v>3172.3868084604778</v>
      </c>
      <c r="G32">
        <f t="shared" si="20"/>
        <v>2348.2115620572386</v>
      </c>
      <c r="H32">
        <f t="shared" si="20"/>
        <v>1710.3143790213687</v>
      </c>
      <c r="I32">
        <f t="shared" si="20"/>
        <v>1123.1971321463316</v>
      </c>
      <c r="J32">
        <f t="shared" si="20"/>
        <v>575.22109502596038</v>
      </c>
      <c r="K32">
        <f t="shared" si="20"/>
        <v>300.6342711533278</v>
      </c>
      <c r="L32">
        <f t="shared" si="21"/>
        <v>389.66306223879644</v>
      </c>
      <c r="M32">
        <f t="shared" si="17"/>
        <v>9820.440939635293</v>
      </c>
    </row>
    <row r="33" spans="1:13">
      <c r="A33">
        <f t="shared" si="18"/>
        <v>0.15</v>
      </c>
      <c r="B33">
        <v>1473.9914327471786</v>
      </c>
      <c r="C33">
        <v>4307.4560686730738</v>
      </c>
      <c r="E33">
        <v>1906</v>
      </c>
      <c r="F33">
        <f t="shared" si="19"/>
        <v>3172.3868084604774</v>
      </c>
      <c r="G33">
        <f t="shared" si="20"/>
        <v>2348.2115620572386</v>
      </c>
      <c r="H33">
        <f t="shared" si="20"/>
        <v>1710.3143790213692</v>
      </c>
      <c r="I33">
        <f t="shared" si="20"/>
        <v>1123.1971321463313</v>
      </c>
      <c r="J33">
        <f t="shared" si="20"/>
        <v>575.22109502596049</v>
      </c>
      <c r="K33">
        <f t="shared" si="20"/>
        <v>300.63427115332775</v>
      </c>
      <c r="L33">
        <f t="shared" si="21"/>
        <v>389.66306223879644</v>
      </c>
      <c r="M33">
        <f t="shared" si="17"/>
        <v>9820.4409396352912</v>
      </c>
    </row>
    <row r="34" spans="1:13">
      <c r="A34">
        <f t="shared" si="18"/>
        <v>0.17499999999999999</v>
      </c>
      <c r="B34">
        <v>1570.4347584946968</v>
      </c>
      <c r="C34">
        <v>3443.5368880623846</v>
      </c>
      <c r="E34">
        <v>1907</v>
      </c>
      <c r="F34">
        <f t="shared" si="19"/>
        <v>3172.3868084604778</v>
      </c>
      <c r="G34">
        <f t="shared" si="20"/>
        <v>2348.2115620572381</v>
      </c>
      <c r="H34">
        <f t="shared" si="20"/>
        <v>1710.3143790213692</v>
      </c>
      <c r="I34">
        <f t="shared" si="20"/>
        <v>1123.1971321463316</v>
      </c>
      <c r="J34">
        <f t="shared" si="20"/>
        <v>575.22109502596038</v>
      </c>
      <c r="K34">
        <f t="shared" si="20"/>
        <v>300.6342711533278</v>
      </c>
      <c r="L34">
        <f t="shared" si="21"/>
        <v>389.66306223879644</v>
      </c>
      <c r="M34">
        <f t="shared" si="17"/>
        <v>9820.440939635293</v>
      </c>
    </row>
    <row r="35" spans="1:13">
      <c r="A35">
        <f t="shared" si="18"/>
        <v>0.19999999999999998</v>
      </c>
      <c r="B35">
        <v>1647.7120860014015</v>
      </c>
      <c r="C35">
        <v>2765.4480532879102</v>
      </c>
      <c r="E35">
        <v>1908</v>
      </c>
      <c r="F35">
        <f t="shared" si="19"/>
        <v>3172.3868084604774</v>
      </c>
      <c r="G35">
        <f t="shared" si="20"/>
        <v>2348.2115620572386</v>
      </c>
      <c r="H35">
        <f t="shared" si="20"/>
        <v>1710.3143790213687</v>
      </c>
      <c r="I35">
        <f t="shared" si="20"/>
        <v>1123.1971321463316</v>
      </c>
      <c r="J35">
        <f t="shared" si="20"/>
        <v>575.22109502596049</v>
      </c>
      <c r="K35">
        <f t="shared" si="20"/>
        <v>300.63427115332775</v>
      </c>
      <c r="L35">
        <f t="shared" si="21"/>
        <v>389.66306223879644</v>
      </c>
      <c r="M35">
        <f t="shared" si="17"/>
        <v>9820.4409396352912</v>
      </c>
    </row>
    <row r="36" spans="1:13">
      <c r="A36">
        <f t="shared" si="18"/>
        <v>0.22499999999999998</v>
      </c>
      <c r="B36">
        <v>1709.8789227133198</v>
      </c>
      <c r="C36">
        <v>2228.3655954637543</v>
      </c>
      <c r="E36">
        <v>1909</v>
      </c>
      <c r="F36">
        <f t="shared" si="19"/>
        <v>3172.3868084604778</v>
      </c>
      <c r="G36">
        <f t="shared" si="20"/>
        <v>2348.2115620572381</v>
      </c>
      <c r="H36">
        <f t="shared" si="20"/>
        <v>1710.3143790213692</v>
      </c>
      <c r="I36">
        <f t="shared" si="20"/>
        <v>1123.1971321463313</v>
      </c>
      <c r="J36">
        <f t="shared" si="20"/>
        <v>575.22109502596049</v>
      </c>
      <c r="K36">
        <f t="shared" si="20"/>
        <v>300.6342711533278</v>
      </c>
      <c r="L36">
        <f t="shared" si="21"/>
        <v>389.66306223879644</v>
      </c>
      <c r="M36">
        <f t="shared" si="17"/>
        <v>9820.4409396352912</v>
      </c>
    </row>
    <row r="37" spans="1:13">
      <c r="A37">
        <f t="shared" si="18"/>
        <v>0.24999999999999997</v>
      </c>
      <c r="B37">
        <v>1760.0301177176359</v>
      </c>
      <c r="C37">
        <v>1799.5310080781653</v>
      </c>
      <c r="E37">
        <v>1910</v>
      </c>
      <c r="F37">
        <f t="shared" si="19"/>
        <v>3172.3868084604778</v>
      </c>
      <c r="G37">
        <f t="shared" si="20"/>
        <v>2348.2115620572386</v>
      </c>
      <c r="H37">
        <f t="shared" si="20"/>
        <v>1710.3143790213687</v>
      </c>
      <c r="I37">
        <f t="shared" si="20"/>
        <v>1123.1971321463316</v>
      </c>
      <c r="J37">
        <f t="shared" si="20"/>
        <v>575.22109502596038</v>
      </c>
      <c r="K37">
        <f t="shared" si="20"/>
        <v>300.6342711533278</v>
      </c>
      <c r="L37">
        <f t="shared" si="21"/>
        <v>389.66306223879644</v>
      </c>
      <c r="M37">
        <f t="shared" si="17"/>
        <v>9820.440939635293</v>
      </c>
    </row>
    <row r="38" spans="1:13">
      <c r="A38">
        <f t="shared" si="18"/>
        <v>0.27499999999999997</v>
      </c>
      <c r="B38">
        <v>1800.5534367390185</v>
      </c>
      <c r="C38">
        <v>1454.6506434738612</v>
      </c>
      <c r="E38">
        <v>1911</v>
      </c>
      <c r="F38">
        <f t="shared" si="19"/>
        <v>3172.3868084604774</v>
      </c>
      <c r="G38">
        <f t="shared" ref="G38:K47" si="22">F37*EXP(-m-fe*F$4)</f>
        <v>2348.2115620572386</v>
      </c>
      <c r="H38">
        <f t="shared" si="22"/>
        <v>1710.3143790213692</v>
      </c>
      <c r="I38">
        <f t="shared" si="22"/>
        <v>1123.1971321463313</v>
      </c>
      <c r="J38">
        <f t="shared" si="22"/>
        <v>575.22109502596049</v>
      </c>
      <c r="K38">
        <f t="shared" si="22"/>
        <v>300.63427115332775</v>
      </c>
      <c r="L38">
        <f t="shared" si="21"/>
        <v>389.66306223879644</v>
      </c>
      <c r="M38">
        <f t="shared" si="17"/>
        <v>9820.4409396352912</v>
      </c>
    </row>
    <row r="39" spans="1:13">
      <c r="A39">
        <f t="shared" si="18"/>
        <v>0.3</v>
      </c>
      <c r="B39">
        <v>1833.3089965255731</v>
      </c>
      <c r="C39">
        <v>1175.4761190843574</v>
      </c>
      <c r="E39">
        <v>1912</v>
      </c>
      <c r="F39">
        <f t="shared" si="19"/>
        <v>3172.3868084604778</v>
      </c>
      <c r="G39">
        <f t="shared" si="22"/>
        <v>2348.2115620572381</v>
      </c>
      <c r="H39">
        <f t="shared" si="22"/>
        <v>1710.3143790213692</v>
      </c>
      <c r="I39">
        <f t="shared" si="22"/>
        <v>1123.1971321463316</v>
      </c>
      <c r="J39">
        <f t="shared" si="22"/>
        <v>575.22109502596038</v>
      </c>
      <c r="K39">
        <f t="shared" si="22"/>
        <v>300.6342711533278</v>
      </c>
      <c r="L39">
        <f t="shared" si="21"/>
        <v>389.66306223879644</v>
      </c>
      <c r="M39">
        <f t="shared" si="17"/>
        <v>9820.440939635293</v>
      </c>
    </row>
    <row r="40" spans="1:13">
      <c r="A40">
        <f t="shared" si="18"/>
        <v>0.32500000000000001</v>
      </c>
      <c r="B40">
        <v>1859.7583796963302</v>
      </c>
      <c r="C40">
        <v>948.14423878949935</v>
      </c>
      <c r="E40">
        <v>1913</v>
      </c>
      <c r="F40">
        <f t="shared" si="19"/>
        <v>3172.3868084604774</v>
      </c>
      <c r="G40">
        <f t="shared" si="22"/>
        <v>2348.2115620572386</v>
      </c>
      <c r="H40">
        <f t="shared" si="22"/>
        <v>1710.3143790213687</v>
      </c>
      <c r="I40">
        <f t="shared" si="22"/>
        <v>1123.1971321463316</v>
      </c>
      <c r="J40">
        <f t="shared" si="22"/>
        <v>575.22109502596049</v>
      </c>
      <c r="K40">
        <f t="shared" si="22"/>
        <v>300.63427115332775</v>
      </c>
      <c r="L40">
        <f t="shared" si="21"/>
        <v>389.66306223879644</v>
      </c>
      <c r="M40">
        <f t="shared" si="17"/>
        <v>9820.4409396352912</v>
      </c>
    </row>
    <row r="41" spans="1:13">
      <c r="A41">
        <f t="shared" si="18"/>
        <v>0.35000000000000003</v>
      </c>
      <c r="B41">
        <v>1881.0589202404294</v>
      </c>
      <c r="C41">
        <v>762.01691673349933</v>
      </c>
      <c r="E41">
        <v>1914</v>
      </c>
      <c r="F41">
        <f t="shared" si="19"/>
        <v>3172.3868084604778</v>
      </c>
      <c r="G41">
        <f t="shared" si="22"/>
        <v>2348.2115620572381</v>
      </c>
      <c r="H41">
        <f t="shared" si="22"/>
        <v>1710.3143790213692</v>
      </c>
      <c r="I41">
        <f t="shared" si="22"/>
        <v>1123.1971321463313</v>
      </c>
      <c r="J41">
        <f t="shared" si="22"/>
        <v>575.22109502596049</v>
      </c>
      <c r="K41">
        <f t="shared" si="22"/>
        <v>300.6342711533278</v>
      </c>
      <c r="L41">
        <f t="shared" si="21"/>
        <v>389.66306223879644</v>
      </c>
      <c r="M41">
        <f t="shared" si="17"/>
        <v>9820.4409396352912</v>
      </c>
    </row>
    <row r="42" spans="1:13">
      <c r="A42">
        <f t="shared" si="18"/>
        <v>0.37500000000000006</v>
      </c>
      <c r="B42">
        <v>1898.1334586638307</v>
      </c>
      <c r="C42">
        <v>608.8571910599461</v>
      </c>
      <c r="E42">
        <v>1915</v>
      </c>
      <c r="F42">
        <f t="shared" si="19"/>
        <v>3172.3868084604778</v>
      </c>
      <c r="G42">
        <f t="shared" si="22"/>
        <v>2348.2115620572386</v>
      </c>
      <c r="H42">
        <f t="shared" si="22"/>
        <v>1710.3143790213687</v>
      </c>
      <c r="I42">
        <f t="shared" si="22"/>
        <v>1123.1971321463316</v>
      </c>
      <c r="J42">
        <f t="shared" si="22"/>
        <v>575.22109502596038</v>
      </c>
      <c r="K42">
        <f t="shared" si="22"/>
        <v>300.6342711533278</v>
      </c>
      <c r="L42">
        <f t="shared" si="21"/>
        <v>389.66306223879644</v>
      </c>
      <c r="M42">
        <f t="shared" si="17"/>
        <v>9820.440939635293</v>
      </c>
    </row>
    <row r="43" spans="1:13">
      <c r="A43">
        <f t="shared" si="18"/>
        <v>0.40000000000000008</v>
      </c>
      <c r="B43">
        <v>1911.7225513061003</v>
      </c>
      <c r="C43">
        <v>482.23539754265585</v>
      </c>
      <c r="E43">
        <v>1916</v>
      </c>
      <c r="F43">
        <f t="shared" si="19"/>
        <v>3172.3868084604774</v>
      </c>
      <c r="G43">
        <f t="shared" si="22"/>
        <v>2348.2115620572386</v>
      </c>
      <c r="H43">
        <f t="shared" si="22"/>
        <v>1710.3143790213692</v>
      </c>
      <c r="I43">
        <f t="shared" si="22"/>
        <v>1123.1971321463313</v>
      </c>
      <c r="J43">
        <f t="shared" si="22"/>
        <v>575.22109502596049</v>
      </c>
      <c r="K43">
        <f t="shared" si="22"/>
        <v>300.63427115332775</v>
      </c>
      <c r="L43">
        <f t="shared" si="21"/>
        <v>389.66306223879644</v>
      </c>
      <c r="M43">
        <f t="shared" si="17"/>
        <v>9820.4409396352912</v>
      </c>
    </row>
    <row r="44" spans="1:13">
      <c r="A44">
        <f t="shared" si="18"/>
        <v>0.4250000000000001</v>
      </c>
      <c r="B44">
        <v>1922.4239553129028</v>
      </c>
      <c r="C44">
        <v>377.09561661362488</v>
      </c>
      <c r="E44">
        <v>1917</v>
      </c>
      <c r="F44">
        <f t="shared" si="19"/>
        <v>3172.3868084604778</v>
      </c>
      <c r="G44">
        <f t="shared" si="22"/>
        <v>2348.2115620572381</v>
      </c>
      <c r="H44">
        <f t="shared" si="22"/>
        <v>1710.3143790213692</v>
      </c>
      <c r="I44">
        <f t="shared" si="22"/>
        <v>1123.1971321463316</v>
      </c>
      <c r="J44">
        <f t="shared" si="22"/>
        <v>575.22109502596038</v>
      </c>
      <c r="K44">
        <f t="shared" si="22"/>
        <v>300.6342711533278</v>
      </c>
      <c r="L44">
        <f t="shared" si="21"/>
        <v>389.66306223879644</v>
      </c>
      <c r="M44">
        <f t="shared" si="17"/>
        <v>9820.440939635293</v>
      </c>
    </row>
    <row r="45" spans="1:13">
      <c r="A45">
        <f t="shared" si="18"/>
        <v>0.45000000000000012</v>
      </c>
      <c r="B45">
        <v>1930.7227710137254</v>
      </c>
      <c r="C45">
        <v>289.43541843880234</v>
      </c>
      <c r="E45">
        <v>1918</v>
      </c>
      <c r="F45">
        <f t="shared" si="19"/>
        <v>3172.3868084604774</v>
      </c>
      <c r="G45">
        <f t="shared" si="22"/>
        <v>2348.2115620572386</v>
      </c>
      <c r="H45">
        <f t="shared" si="22"/>
        <v>1710.3143790213687</v>
      </c>
      <c r="I45">
        <f t="shared" si="22"/>
        <v>1123.1971321463316</v>
      </c>
      <c r="J45">
        <f t="shared" si="22"/>
        <v>575.22109502596049</v>
      </c>
      <c r="K45">
        <f t="shared" si="22"/>
        <v>300.63427115332775</v>
      </c>
      <c r="L45">
        <f t="shared" si="21"/>
        <v>389.66306223879644</v>
      </c>
      <c r="M45">
        <f t="shared" si="17"/>
        <v>9820.4409396352912</v>
      </c>
    </row>
    <row r="46" spans="1:13">
      <c r="A46">
        <f t="shared" si="18"/>
        <v>0.47500000000000014</v>
      </c>
      <c r="B46">
        <v>1937.0146478999532</v>
      </c>
      <c r="C46">
        <v>216.06679269768404</v>
      </c>
      <c r="E46">
        <v>1919</v>
      </c>
      <c r="F46">
        <f t="shared" si="19"/>
        <v>3172.3868084604778</v>
      </c>
      <c r="G46">
        <f t="shared" si="22"/>
        <v>2348.2115620572381</v>
      </c>
      <c r="H46">
        <f t="shared" si="22"/>
        <v>1710.3143790213692</v>
      </c>
      <c r="I46">
        <f t="shared" si="22"/>
        <v>1123.1971321463313</v>
      </c>
      <c r="J46">
        <f t="shared" si="22"/>
        <v>575.22109502596049</v>
      </c>
      <c r="K46">
        <f t="shared" si="22"/>
        <v>300.6342711533278</v>
      </c>
      <c r="L46">
        <f t="shared" si="21"/>
        <v>389.66306223879644</v>
      </c>
      <c r="M46">
        <f t="shared" si="17"/>
        <v>9820.4409396352912</v>
      </c>
    </row>
    <row r="47" spans="1:13">
      <c r="A47">
        <f t="shared" si="18"/>
        <v>0.50000000000000011</v>
      </c>
      <c r="B47">
        <v>1941.6237885918556</v>
      </c>
      <c r="C47">
        <v>154.43597038283087</v>
      </c>
      <c r="E47">
        <v>1920</v>
      </c>
      <c r="F47">
        <f t="shared" si="19"/>
        <v>3172.3868084604778</v>
      </c>
      <c r="G47">
        <f t="shared" si="22"/>
        <v>2348.2115620572386</v>
      </c>
      <c r="H47">
        <f t="shared" si="22"/>
        <v>1710.3143790213687</v>
      </c>
      <c r="I47">
        <f t="shared" si="22"/>
        <v>1123.1971321463316</v>
      </c>
      <c r="J47">
        <f t="shared" si="22"/>
        <v>575.22109502596038</v>
      </c>
      <c r="K47">
        <f t="shared" si="22"/>
        <v>300.6342711533278</v>
      </c>
      <c r="L47">
        <f t="shared" si="21"/>
        <v>389.66306223879644</v>
      </c>
      <c r="M47">
        <f t="shared" si="17"/>
        <v>9820.440939635293</v>
      </c>
    </row>
    <row r="48" spans="1:13">
      <c r="A48">
        <f t="shared" si="18"/>
        <v>0.52500000000000013</v>
      </c>
      <c r="B48">
        <v>1944.8170157029019</v>
      </c>
      <c r="C48">
        <v>102.48644491161758</v>
      </c>
      <c r="E48">
        <v>1921</v>
      </c>
      <c r="F48">
        <f t="shared" si="19"/>
        <v>3172.3868084604774</v>
      </c>
      <c r="G48">
        <f t="shared" ref="G48:K57" si="23">F47*EXP(-m-fe*F$4)</f>
        <v>2348.2115620572386</v>
      </c>
      <c r="H48">
        <f t="shared" si="23"/>
        <v>1710.3143790213692</v>
      </c>
      <c r="I48">
        <f t="shared" si="23"/>
        <v>1123.1971321463313</v>
      </c>
      <c r="J48">
        <f t="shared" si="23"/>
        <v>575.22109502596049</v>
      </c>
      <c r="K48">
        <f t="shared" si="23"/>
        <v>300.63427115332775</v>
      </c>
      <c r="L48">
        <f t="shared" si="21"/>
        <v>389.66306223879644</v>
      </c>
      <c r="M48">
        <f t="shared" si="17"/>
        <v>9820.4409396352912</v>
      </c>
    </row>
    <row r="49" spans="1:13">
      <c r="A49">
        <f t="shared" si="18"/>
        <v>0.55000000000000016</v>
      </c>
      <c r="B49">
        <v>1946.8148340053667</v>
      </c>
      <c r="C49">
        <v>58.55400447716795</v>
      </c>
      <c r="E49">
        <v>1922</v>
      </c>
      <c r="F49">
        <f t="shared" si="19"/>
        <v>3172.3868084604778</v>
      </c>
      <c r="G49">
        <f t="shared" si="23"/>
        <v>2348.2115620572381</v>
      </c>
      <c r="H49">
        <f t="shared" si="23"/>
        <v>1710.3143790213692</v>
      </c>
      <c r="I49">
        <f t="shared" si="23"/>
        <v>1123.1971321463316</v>
      </c>
      <c r="J49">
        <f t="shared" si="23"/>
        <v>575.22109502596038</v>
      </c>
      <c r="K49">
        <f t="shared" si="23"/>
        <v>300.6342711533278</v>
      </c>
      <c r="L49">
        <f t="shared" si="21"/>
        <v>389.66306223879644</v>
      </c>
      <c r="M49">
        <f t="shared" si="17"/>
        <v>9820.440939635293</v>
      </c>
    </row>
    <row r="50" spans="1:13">
      <c r="A50">
        <f t="shared" si="18"/>
        <v>0.57500000000000018</v>
      </c>
      <c r="B50">
        <v>1947.8001819185683</v>
      </c>
      <c r="C50">
        <v>21.285705963016539</v>
      </c>
      <c r="E50">
        <v>1923</v>
      </c>
      <c r="F50">
        <f t="shared" si="19"/>
        <v>3172.3868084604774</v>
      </c>
      <c r="G50">
        <f t="shared" si="23"/>
        <v>2348.2115620572386</v>
      </c>
      <c r="H50">
        <f t="shared" si="23"/>
        <v>1710.3143790213687</v>
      </c>
      <c r="I50">
        <f t="shared" si="23"/>
        <v>1123.1971321463316</v>
      </c>
      <c r="J50">
        <f t="shared" si="23"/>
        <v>575.22109502596049</v>
      </c>
      <c r="K50">
        <f t="shared" si="23"/>
        <v>300.63427115332775</v>
      </c>
      <c r="L50">
        <f t="shared" si="21"/>
        <v>389.66306223879644</v>
      </c>
      <c r="M50">
        <f t="shared" si="17"/>
        <v>9820.4409396352912</v>
      </c>
    </row>
    <row r="51" spans="1:13">
      <c r="A51">
        <f t="shared" si="18"/>
        <v>0.6000000000000002</v>
      </c>
      <c r="B51">
        <v>1947.925393521175</v>
      </c>
      <c r="C51">
        <v>-10.423092236585717</v>
      </c>
      <c r="E51">
        <v>1924</v>
      </c>
      <c r="F51">
        <f t="shared" si="19"/>
        <v>3172.3868084604778</v>
      </c>
      <c r="G51">
        <f t="shared" si="23"/>
        <v>2348.2115620572381</v>
      </c>
      <c r="H51">
        <f t="shared" si="23"/>
        <v>1710.3143790213692</v>
      </c>
      <c r="I51">
        <f t="shared" si="23"/>
        <v>1123.1971321463313</v>
      </c>
      <c r="J51">
        <f t="shared" si="23"/>
        <v>575.22109502596049</v>
      </c>
      <c r="K51">
        <f t="shared" si="23"/>
        <v>300.6342711533278</v>
      </c>
      <c r="L51">
        <f t="shared" si="21"/>
        <v>389.66306223879644</v>
      </c>
      <c r="M51">
        <f t="shared" si="17"/>
        <v>9820.4409396352912</v>
      </c>
    </row>
    <row r="52" spans="1:13">
      <c r="A52">
        <f t="shared" si="18"/>
        <v>0.62500000000000022</v>
      </c>
      <c r="B52">
        <v>1947.3177657134981</v>
      </c>
      <c r="C52">
        <v>-37.477968886786925</v>
      </c>
      <c r="E52">
        <v>1925</v>
      </c>
      <c r="F52">
        <f t="shared" si="19"/>
        <v>3172.3868084604778</v>
      </c>
      <c r="G52">
        <f t="shared" si="23"/>
        <v>2348.2115620572386</v>
      </c>
      <c r="H52">
        <f t="shared" si="23"/>
        <v>1710.3143790213687</v>
      </c>
      <c r="I52">
        <f t="shared" si="23"/>
        <v>1123.1971321463316</v>
      </c>
      <c r="J52">
        <f t="shared" si="23"/>
        <v>575.22109502596038</v>
      </c>
      <c r="K52">
        <f t="shared" si="23"/>
        <v>300.6342711533278</v>
      </c>
      <c r="L52">
        <f t="shared" si="21"/>
        <v>389.66306223879644</v>
      </c>
      <c r="M52">
        <f t="shared" si="17"/>
        <v>9820.440939635293</v>
      </c>
    </row>
    <row r="53" spans="1:13">
      <c r="A53">
        <f t="shared" si="18"/>
        <v>0.65000000000000024</v>
      </c>
      <c r="B53">
        <v>1946.0840315761773</v>
      </c>
      <c r="C53">
        <v>-60.624166539448993</v>
      </c>
      <c r="E53">
        <v>1926</v>
      </c>
      <c r="F53">
        <f t="shared" si="19"/>
        <v>3172.3868084604774</v>
      </c>
      <c r="G53">
        <f t="shared" si="23"/>
        <v>2348.2115620572386</v>
      </c>
      <c r="H53">
        <f t="shared" si="23"/>
        <v>1710.3143790213692</v>
      </c>
      <c r="I53">
        <f t="shared" si="23"/>
        <v>1123.1971321463313</v>
      </c>
      <c r="J53">
        <f t="shared" si="23"/>
        <v>575.22109502596049</v>
      </c>
      <c r="K53">
        <f t="shared" si="23"/>
        <v>300.63427115332775</v>
      </c>
      <c r="L53">
        <f t="shared" si="21"/>
        <v>389.66306223879644</v>
      </c>
      <c r="M53">
        <f t="shared" si="17"/>
        <v>9820.4409396352912</v>
      </c>
    </row>
    <row r="54" spans="1:13">
      <c r="A54">
        <f t="shared" si="18"/>
        <v>0.67500000000000027</v>
      </c>
      <c r="B54">
        <v>1944.313971185888</v>
      </c>
      <c r="C54">
        <v>-80.477215056410159</v>
      </c>
      <c r="E54">
        <v>1927</v>
      </c>
      <c r="F54">
        <f t="shared" si="19"/>
        <v>3172.3868084604778</v>
      </c>
      <c r="G54">
        <f t="shared" si="23"/>
        <v>2348.2115620572381</v>
      </c>
      <c r="H54">
        <f t="shared" si="23"/>
        <v>1710.3143790213692</v>
      </c>
      <c r="I54">
        <f t="shared" si="23"/>
        <v>1123.1971321463316</v>
      </c>
      <c r="J54">
        <f t="shared" si="23"/>
        <v>575.22109502596038</v>
      </c>
      <c r="K54">
        <f t="shared" si="23"/>
        <v>300.6342711533278</v>
      </c>
      <c r="L54">
        <f t="shared" si="21"/>
        <v>389.66306223879644</v>
      </c>
      <c r="M54">
        <f t="shared" si="17"/>
        <v>9820.440939635293</v>
      </c>
    </row>
    <row r="55" spans="1:13">
      <c r="A55">
        <f t="shared" si="18"/>
        <v>0.70000000000000029</v>
      </c>
      <c r="B55">
        <v>1942.0833386900886</v>
      </c>
      <c r="C55">
        <v>-97.547270045884034</v>
      </c>
      <c r="E55">
        <v>1928</v>
      </c>
      <c r="F55">
        <f t="shared" si="19"/>
        <v>3172.3868084604774</v>
      </c>
      <c r="G55">
        <f t="shared" si="23"/>
        <v>2348.2115620572386</v>
      </c>
      <c r="H55">
        <f t="shared" si="23"/>
        <v>1710.3143790213687</v>
      </c>
      <c r="I55">
        <f t="shared" si="23"/>
        <v>1123.1971321463316</v>
      </c>
      <c r="J55">
        <f t="shared" si="23"/>
        <v>575.22109502596049</v>
      </c>
      <c r="K55">
        <f t="shared" si="23"/>
        <v>300.63427115332775</v>
      </c>
      <c r="L55">
        <f t="shared" si="21"/>
        <v>389.66306223879644</v>
      </c>
      <c r="M55">
        <f t="shared" si="17"/>
        <v>9820.4409396352912</v>
      </c>
    </row>
    <row r="56" spans="1:13">
      <c r="A56">
        <f t="shared" si="18"/>
        <v>0.72500000000000031</v>
      </c>
      <c r="B56">
        <v>1939.4562447162366</v>
      </c>
      <c r="C56">
        <v>-112.25854804393282</v>
      </c>
      <c r="E56">
        <v>1929</v>
      </c>
      <c r="F56">
        <f t="shared" si="19"/>
        <v>3172.3868084604778</v>
      </c>
      <c r="G56">
        <f t="shared" si="23"/>
        <v>2348.2115620572381</v>
      </c>
      <c r="H56">
        <f t="shared" si="23"/>
        <v>1710.3143790213692</v>
      </c>
      <c r="I56">
        <f t="shared" si="23"/>
        <v>1123.1971321463313</v>
      </c>
      <c r="J56">
        <f t="shared" si="23"/>
        <v>575.22109502596049</v>
      </c>
      <c r="K56">
        <f t="shared" si="23"/>
        <v>300.6342711533278</v>
      </c>
      <c r="L56">
        <f t="shared" si="21"/>
        <v>389.66306223879644</v>
      </c>
      <c r="M56">
        <f t="shared" si="17"/>
        <v>9820.4409396352912</v>
      </c>
    </row>
    <row r="57" spans="1:13">
      <c r="A57">
        <f t="shared" si="18"/>
        <v>0.75000000000000033</v>
      </c>
      <c r="B57">
        <v>1936.48710289924</v>
      </c>
      <c r="C57">
        <v>-124.96491570215477</v>
      </c>
      <c r="E57">
        <v>1930</v>
      </c>
      <c r="F57">
        <f t="shared" si="19"/>
        <v>3172.3868084604778</v>
      </c>
      <c r="G57">
        <f t="shared" si="23"/>
        <v>2348.2115620572386</v>
      </c>
      <c r="H57">
        <f t="shared" si="23"/>
        <v>1710.3143790213687</v>
      </c>
      <c r="I57">
        <f t="shared" si="23"/>
        <v>1123.1971321463316</v>
      </c>
      <c r="J57">
        <f t="shared" si="23"/>
        <v>575.22109502596038</v>
      </c>
      <c r="K57">
        <f t="shared" si="23"/>
        <v>300.6342711533278</v>
      </c>
      <c r="L57">
        <f t="shared" si="21"/>
        <v>389.66306223879644</v>
      </c>
      <c r="M57">
        <f t="shared" si="17"/>
        <v>9820.440939635293</v>
      </c>
    </row>
    <row r="58" spans="1:13">
      <c r="A58">
        <f t="shared" si="18"/>
        <v>0.77500000000000036</v>
      </c>
      <c r="B58">
        <v>1933.2222260649075</v>
      </c>
      <c r="C58">
        <v>-135.96244691115902</v>
      </c>
      <c r="E58">
        <v>1931</v>
      </c>
      <c r="F58">
        <f t="shared" si="19"/>
        <v>3172.3868084604774</v>
      </c>
      <c r="G58">
        <f t="shared" ref="G58:K67" si="24">F57*EXP(-m-fe*F$4)</f>
        <v>2348.2115620572386</v>
      </c>
      <c r="H58">
        <f t="shared" si="24"/>
        <v>1710.3143790213692</v>
      </c>
      <c r="I58">
        <f t="shared" si="24"/>
        <v>1123.1971321463313</v>
      </c>
      <c r="J58">
        <f t="shared" si="24"/>
        <v>575.22109502596049</v>
      </c>
      <c r="K58">
        <f t="shared" si="24"/>
        <v>300.63427115332775</v>
      </c>
      <c r="L58">
        <f t="shared" si="21"/>
        <v>389.66306223879644</v>
      </c>
      <c r="M58">
        <f t="shared" si="17"/>
        <v>9820.4409396352912</v>
      </c>
    </row>
    <row r="59" spans="1:13">
      <c r="A59">
        <f t="shared" si="18"/>
        <v>0.80000000000000038</v>
      </c>
      <c r="B59">
        <v>1929.7011396614548</v>
      </c>
      <c r="C59">
        <v>-145.49957808558389</v>
      </c>
      <c r="E59">
        <v>1932</v>
      </c>
      <c r="F59">
        <f t="shared" si="19"/>
        <v>3172.3868084604778</v>
      </c>
      <c r="G59">
        <f t="shared" si="24"/>
        <v>2348.2115620572381</v>
      </c>
      <c r="H59">
        <f t="shared" si="24"/>
        <v>1710.3143790213692</v>
      </c>
      <c r="I59">
        <f t="shared" si="24"/>
        <v>1123.1971321463316</v>
      </c>
      <c r="J59">
        <f t="shared" si="24"/>
        <v>575.22109502596038</v>
      </c>
      <c r="K59">
        <f t="shared" si="24"/>
        <v>300.6342711533278</v>
      </c>
      <c r="L59">
        <f t="shared" si="21"/>
        <v>389.66306223879644</v>
      </c>
      <c r="M59">
        <f t="shared" ref="M59:M90" si="25">SUMPRODUCT(F59:L59,EXP(-zf*(m+fe*va)),fa)</f>
        <v>9820.440939635293</v>
      </c>
    </row>
    <row r="60" spans="1:13">
      <c r="A60">
        <f t="shared" si="18"/>
        <v>0.8250000000000004</v>
      </c>
      <c r="B60">
        <v>1925.9576660991445</v>
      </c>
      <c r="C60">
        <v>-153.78535224224987</v>
      </c>
      <c r="E60">
        <v>1933</v>
      </c>
      <c r="F60">
        <f t="shared" ref="F60:F91" si="26">so*M59/(1+beta*M59)</f>
        <v>3172.3868084604774</v>
      </c>
      <c r="G60">
        <f t="shared" si="24"/>
        <v>2348.2115620572386</v>
      </c>
      <c r="H60">
        <f t="shared" si="24"/>
        <v>1710.3143790213687</v>
      </c>
      <c r="I60">
        <f t="shared" si="24"/>
        <v>1123.1971321463316</v>
      </c>
      <c r="J60">
        <f t="shared" si="24"/>
        <v>575.22109502596049</v>
      </c>
      <c r="K60">
        <f t="shared" si="24"/>
        <v>300.63427115332775</v>
      </c>
      <c r="L60">
        <f t="shared" ref="L60:L91" si="27">K59*EXP(-m-fe*K$4)+L59*EXP(-m-fe*va)</f>
        <v>389.66306223879644</v>
      </c>
      <c r="M60">
        <f t="shared" si="25"/>
        <v>9820.4409396352912</v>
      </c>
    </row>
    <row r="61" spans="1:13">
      <c r="A61">
        <f t="shared" si="18"/>
        <v>0.85000000000000042</v>
      </c>
      <c r="B61">
        <v>1922.0208227854414</v>
      </c>
      <c r="C61">
        <v>-160.9961357775752</v>
      </c>
      <c r="E61">
        <v>1934</v>
      </c>
      <c r="F61">
        <f t="shared" si="26"/>
        <v>3172.3868084604778</v>
      </c>
      <c r="G61">
        <f t="shared" si="24"/>
        <v>2348.2115620572381</v>
      </c>
      <c r="H61">
        <f t="shared" si="24"/>
        <v>1710.3143790213692</v>
      </c>
      <c r="I61">
        <f t="shared" si="24"/>
        <v>1123.1971321463313</v>
      </c>
      <c r="J61">
        <f t="shared" si="24"/>
        <v>575.22109502596049</v>
      </c>
      <c r="K61">
        <f t="shared" si="24"/>
        <v>300.6342711533278</v>
      </c>
      <c r="L61">
        <f t="shared" si="27"/>
        <v>389.66306223879644</v>
      </c>
      <c r="M61">
        <f t="shared" si="25"/>
        <v>9820.4409396352912</v>
      </c>
    </row>
    <row r="62" spans="1:13">
      <c r="A62">
        <f t="shared" si="18"/>
        <v>0.87500000000000044</v>
      </c>
      <c r="B62">
        <v>1917.9155681155617</v>
      </c>
      <c r="C62">
        <v>-167.28110978589268</v>
      </c>
      <c r="E62">
        <v>1935</v>
      </c>
      <c r="F62">
        <f t="shared" si="26"/>
        <v>3172.3868084604778</v>
      </c>
      <c r="G62">
        <f t="shared" si="24"/>
        <v>2348.2115620572386</v>
      </c>
      <c r="H62">
        <f t="shared" si="24"/>
        <v>1710.3143790213687</v>
      </c>
      <c r="I62">
        <f t="shared" si="24"/>
        <v>1123.1971321463316</v>
      </c>
      <c r="J62">
        <f t="shared" si="24"/>
        <v>575.22109502596038</v>
      </c>
      <c r="K62">
        <f t="shared" si="24"/>
        <v>300.6342711533278</v>
      </c>
      <c r="L62">
        <f t="shared" si="27"/>
        <v>389.66306223879644</v>
      </c>
      <c r="M62">
        <f t="shared" si="25"/>
        <v>9820.440939635293</v>
      </c>
    </row>
    <row r="63" spans="1:13">
      <c r="E63">
        <v>1936</v>
      </c>
      <c r="F63">
        <f t="shared" si="26"/>
        <v>3172.3868084604774</v>
      </c>
      <c r="G63">
        <f t="shared" si="24"/>
        <v>2348.2115620572386</v>
      </c>
      <c r="H63">
        <f t="shared" si="24"/>
        <v>1710.3143790213692</v>
      </c>
      <c r="I63">
        <f t="shared" si="24"/>
        <v>1123.1971321463313</v>
      </c>
      <c r="J63">
        <f t="shared" si="24"/>
        <v>575.22109502596049</v>
      </c>
      <c r="K63">
        <f t="shared" si="24"/>
        <v>300.63427115332775</v>
      </c>
      <c r="L63">
        <f t="shared" si="27"/>
        <v>389.66306223879644</v>
      </c>
      <c r="M63">
        <f t="shared" si="25"/>
        <v>9820.4409396352912</v>
      </c>
    </row>
    <row r="64" spans="1:13">
      <c r="E64">
        <v>1937</v>
      </c>
      <c r="F64">
        <f t="shared" si="26"/>
        <v>3172.3868084604778</v>
      </c>
      <c r="G64">
        <f t="shared" si="24"/>
        <v>2348.2115620572381</v>
      </c>
      <c r="H64">
        <f t="shared" si="24"/>
        <v>1710.3143790213692</v>
      </c>
      <c r="I64">
        <f t="shared" si="24"/>
        <v>1123.1971321463316</v>
      </c>
      <c r="J64">
        <f t="shared" si="24"/>
        <v>575.22109502596038</v>
      </c>
      <c r="K64">
        <f t="shared" si="24"/>
        <v>300.6342711533278</v>
      </c>
      <c r="L64">
        <f t="shared" si="27"/>
        <v>389.66306223879644</v>
      </c>
      <c r="M64">
        <f t="shared" si="25"/>
        <v>9820.440939635293</v>
      </c>
    </row>
    <row r="65" spans="5:13">
      <c r="E65">
        <v>1938</v>
      </c>
      <c r="F65">
        <f t="shared" si="26"/>
        <v>3172.3868084604774</v>
      </c>
      <c r="G65">
        <f t="shared" si="24"/>
        <v>2348.2115620572386</v>
      </c>
      <c r="H65">
        <f t="shared" si="24"/>
        <v>1710.3143790213687</v>
      </c>
      <c r="I65">
        <f t="shared" si="24"/>
        <v>1123.1971321463316</v>
      </c>
      <c r="J65">
        <f t="shared" si="24"/>
        <v>575.22109502596049</v>
      </c>
      <c r="K65">
        <f t="shared" si="24"/>
        <v>300.63427115332775</v>
      </c>
      <c r="L65">
        <f t="shared" si="27"/>
        <v>389.66306223879644</v>
      </c>
      <c r="M65">
        <f t="shared" si="25"/>
        <v>9820.4409396352912</v>
      </c>
    </row>
    <row r="66" spans="5:13">
      <c r="E66">
        <v>1939</v>
      </c>
      <c r="F66">
        <f t="shared" si="26"/>
        <v>3172.3868084604778</v>
      </c>
      <c r="G66">
        <f t="shared" si="24"/>
        <v>2348.2115620572381</v>
      </c>
      <c r="H66">
        <f t="shared" si="24"/>
        <v>1710.3143790213692</v>
      </c>
      <c r="I66">
        <f t="shared" si="24"/>
        <v>1123.1971321463313</v>
      </c>
      <c r="J66">
        <f t="shared" si="24"/>
        <v>575.22109502596049</v>
      </c>
      <c r="K66">
        <f t="shared" si="24"/>
        <v>300.6342711533278</v>
      </c>
      <c r="L66">
        <f t="shared" si="27"/>
        <v>389.66306223879644</v>
      </c>
      <c r="M66">
        <f t="shared" si="25"/>
        <v>9820.4409396352912</v>
      </c>
    </row>
    <row r="67" spans="5:13">
      <c r="E67">
        <v>1940</v>
      </c>
      <c r="F67">
        <f t="shared" si="26"/>
        <v>3172.3868084604778</v>
      </c>
      <c r="G67">
        <f t="shared" si="24"/>
        <v>2348.2115620572386</v>
      </c>
      <c r="H67">
        <f t="shared" si="24"/>
        <v>1710.3143790213687</v>
      </c>
      <c r="I67">
        <f t="shared" si="24"/>
        <v>1123.1971321463316</v>
      </c>
      <c r="J67">
        <f t="shared" si="24"/>
        <v>575.22109502596038</v>
      </c>
      <c r="K67">
        <f t="shared" si="24"/>
        <v>300.6342711533278</v>
      </c>
      <c r="L67">
        <f t="shared" si="27"/>
        <v>389.66306223879644</v>
      </c>
      <c r="M67">
        <f t="shared" si="25"/>
        <v>9820.440939635293</v>
      </c>
    </row>
    <row r="68" spans="5:13">
      <c r="E68">
        <v>1941</v>
      </c>
      <c r="F68">
        <f t="shared" si="26"/>
        <v>3172.3868084604774</v>
      </c>
      <c r="G68">
        <f t="shared" ref="G68:K77" si="28">F67*EXP(-m-fe*F$4)</f>
        <v>2348.2115620572386</v>
      </c>
      <c r="H68">
        <f t="shared" si="28"/>
        <v>1710.3143790213692</v>
      </c>
      <c r="I68">
        <f t="shared" si="28"/>
        <v>1123.1971321463313</v>
      </c>
      <c r="J68">
        <f t="shared" si="28"/>
        <v>575.22109502596049</v>
      </c>
      <c r="K68">
        <f t="shared" si="28"/>
        <v>300.63427115332775</v>
      </c>
      <c r="L68">
        <f t="shared" si="27"/>
        <v>389.66306223879644</v>
      </c>
      <c r="M68">
        <f t="shared" si="25"/>
        <v>9820.4409396352912</v>
      </c>
    </row>
    <row r="69" spans="5:13">
      <c r="E69">
        <v>1942</v>
      </c>
      <c r="F69">
        <f t="shared" si="26"/>
        <v>3172.3868084604778</v>
      </c>
      <c r="G69">
        <f t="shared" si="28"/>
        <v>2348.2115620572381</v>
      </c>
      <c r="H69">
        <f t="shared" si="28"/>
        <v>1710.3143790213692</v>
      </c>
      <c r="I69">
        <f t="shared" si="28"/>
        <v>1123.1971321463316</v>
      </c>
      <c r="J69">
        <f t="shared" si="28"/>
        <v>575.22109502596038</v>
      </c>
      <c r="K69">
        <f t="shared" si="28"/>
        <v>300.6342711533278</v>
      </c>
      <c r="L69">
        <f t="shared" si="27"/>
        <v>389.66306223879644</v>
      </c>
      <c r="M69">
        <f t="shared" si="25"/>
        <v>9820.440939635293</v>
      </c>
    </row>
    <row r="70" spans="5:13">
      <c r="E70">
        <v>1943</v>
      </c>
      <c r="F70">
        <f t="shared" si="26"/>
        <v>3172.3868084604774</v>
      </c>
      <c r="G70">
        <f t="shared" si="28"/>
        <v>2348.2115620572386</v>
      </c>
      <c r="H70">
        <f t="shared" si="28"/>
        <v>1710.3143790213687</v>
      </c>
      <c r="I70">
        <f t="shared" si="28"/>
        <v>1123.1971321463316</v>
      </c>
      <c r="J70">
        <f t="shared" si="28"/>
        <v>575.22109502596049</v>
      </c>
      <c r="K70">
        <f t="shared" si="28"/>
        <v>300.63427115332775</v>
      </c>
      <c r="L70">
        <f t="shared" si="27"/>
        <v>389.66306223879644</v>
      </c>
      <c r="M70">
        <f t="shared" si="25"/>
        <v>9820.4409396352912</v>
      </c>
    </row>
    <row r="71" spans="5:13">
      <c r="E71">
        <v>1944</v>
      </c>
      <c r="F71">
        <f t="shared" si="26"/>
        <v>3172.3868084604778</v>
      </c>
      <c r="G71">
        <f t="shared" si="28"/>
        <v>2348.2115620572381</v>
      </c>
      <c r="H71">
        <f t="shared" si="28"/>
        <v>1710.3143790213692</v>
      </c>
      <c r="I71">
        <f t="shared" si="28"/>
        <v>1123.1971321463313</v>
      </c>
      <c r="J71">
        <f t="shared" si="28"/>
        <v>575.22109502596049</v>
      </c>
      <c r="K71">
        <f t="shared" si="28"/>
        <v>300.6342711533278</v>
      </c>
      <c r="L71">
        <f t="shared" si="27"/>
        <v>389.66306223879644</v>
      </c>
      <c r="M71">
        <f t="shared" si="25"/>
        <v>9820.4409396352912</v>
      </c>
    </row>
    <row r="72" spans="5:13">
      <c r="E72">
        <v>1945</v>
      </c>
      <c r="F72">
        <f t="shared" si="26"/>
        <v>3172.3868084604778</v>
      </c>
      <c r="G72">
        <f t="shared" si="28"/>
        <v>2348.2115620572386</v>
      </c>
      <c r="H72">
        <f t="shared" si="28"/>
        <v>1710.3143790213687</v>
      </c>
      <c r="I72">
        <f t="shared" si="28"/>
        <v>1123.1971321463316</v>
      </c>
      <c r="J72">
        <f t="shared" si="28"/>
        <v>575.22109502596038</v>
      </c>
      <c r="K72">
        <f t="shared" si="28"/>
        <v>300.6342711533278</v>
      </c>
      <c r="L72">
        <f t="shared" si="27"/>
        <v>389.66306223879644</v>
      </c>
      <c r="M72">
        <f t="shared" si="25"/>
        <v>9820.440939635293</v>
      </c>
    </row>
    <row r="73" spans="5:13">
      <c r="E73">
        <v>1946</v>
      </c>
      <c r="F73">
        <f t="shared" si="26"/>
        <v>3172.3868084604774</v>
      </c>
      <c r="G73">
        <f t="shared" si="28"/>
        <v>2348.2115620572386</v>
      </c>
      <c r="H73">
        <f t="shared" si="28"/>
        <v>1710.3143790213692</v>
      </c>
      <c r="I73">
        <f t="shared" si="28"/>
        <v>1123.1971321463313</v>
      </c>
      <c r="J73">
        <f t="shared" si="28"/>
        <v>575.22109502596049</v>
      </c>
      <c r="K73">
        <f t="shared" si="28"/>
        <v>300.63427115332775</v>
      </c>
      <c r="L73">
        <f t="shared" si="27"/>
        <v>389.66306223879644</v>
      </c>
      <c r="M73">
        <f t="shared" si="25"/>
        <v>9820.4409396352912</v>
      </c>
    </row>
    <row r="74" spans="5:13">
      <c r="E74">
        <v>1947</v>
      </c>
      <c r="F74">
        <f t="shared" si="26"/>
        <v>3172.3868084604778</v>
      </c>
      <c r="G74">
        <f t="shared" si="28"/>
        <v>2348.2115620572381</v>
      </c>
      <c r="H74">
        <f t="shared" si="28"/>
        <v>1710.3143790213692</v>
      </c>
      <c r="I74">
        <f t="shared" si="28"/>
        <v>1123.1971321463316</v>
      </c>
      <c r="J74">
        <f t="shared" si="28"/>
        <v>575.22109502596038</v>
      </c>
      <c r="K74">
        <f t="shared" si="28"/>
        <v>300.6342711533278</v>
      </c>
      <c r="L74">
        <f t="shared" si="27"/>
        <v>389.66306223879644</v>
      </c>
      <c r="M74">
        <f t="shared" si="25"/>
        <v>9820.440939635293</v>
      </c>
    </row>
    <row r="75" spans="5:13">
      <c r="E75">
        <v>1948</v>
      </c>
      <c r="F75">
        <f t="shared" si="26"/>
        <v>3172.3868084604774</v>
      </c>
      <c r="G75">
        <f t="shared" si="28"/>
        <v>2348.2115620572386</v>
      </c>
      <c r="H75">
        <f t="shared" si="28"/>
        <v>1710.3143790213687</v>
      </c>
      <c r="I75">
        <f t="shared" si="28"/>
        <v>1123.1971321463316</v>
      </c>
      <c r="J75">
        <f t="shared" si="28"/>
        <v>575.22109502596049</v>
      </c>
      <c r="K75">
        <f t="shared" si="28"/>
        <v>300.63427115332775</v>
      </c>
      <c r="L75">
        <f t="shared" si="27"/>
        <v>389.66306223879644</v>
      </c>
      <c r="M75">
        <f t="shared" si="25"/>
        <v>9820.4409396352912</v>
      </c>
    </row>
    <row r="76" spans="5:13">
      <c r="E76">
        <v>1949</v>
      </c>
      <c r="F76">
        <f t="shared" si="26"/>
        <v>3172.3868084604778</v>
      </c>
      <c r="G76">
        <f t="shared" si="28"/>
        <v>2348.2115620572381</v>
      </c>
      <c r="H76">
        <f t="shared" si="28"/>
        <v>1710.3143790213692</v>
      </c>
      <c r="I76">
        <f t="shared" si="28"/>
        <v>1123.1971321463313</v>
      </c>
      <c r="J76">
        <f t="shared" si="28"/>
        <v>575.22109502596049</v>
      </c>
      <c r="K76">
        <f t="shared" si="28"/>
        <v>300.6342711533278</v>
      </c>
      <c r="L76">
        <f t="shared" si="27"/>
        <v>389.66306223879644</v>
      </c>
      <c r="M76">
        <f t="shared" si="25"/>
        <v>9820.4409396352912</v>
      </c>
    </row>
    <row r="77" spans="5:13">
      <c r="E77">
        <v>1950</v>
      </c>
      <c r="F77">
        <f t="shared" si="26"/>
        <v>3172.3868084604778</v>
      </c>
      <c r="G77">
        <f t="shared" si="28"/>
        <v>2348.2115620572386</v>
      </c>
      <c r="H77">
        <f t="shared" si="28"/>
        <v>1710.3143790213687</v>
      </c>
      <c r="I77">
        <f t="shared" si="28"/>
        <v>1123.1971321463316</v>
      </c>
      <c r="J77">
        <f t="shared" si="28"/>
        <v>575.22109502596038</v>
      </c>
      <c r="K77">
        <f t="shared" si="28"/>
        <v>300.6342711533278</v>
      </c>
      <c r="L77">
        <f t="shared" si="27"/>
        <v>389.66306223879644</v>
      </c>
      <c r="M77">
        <f t="shared" si="25"/>
        <v>9820.440939635293</v>
      </c>
    </row>
    <row r="78" spans="5:13">
      <c r="E78">
        <v>1951</v>
      </c>
      <c r="F78">
        <f t="shared" si="26"/>
        <v>3172.3868084604774</v>
      </c>
      <c r="G78">
        <f t="shared" ref="G78:K87" si="29">F77*EXP(-m-fe*F$4)</f>
        <v>2348.2115620572386</v>
      </c>
      <c r="H78">
        <f t="shared" si="29"/>
        <v>1710.3143790213692</v>
      </c>
      <c r="I78">
        <f t="shared" si="29"/>
        <v>1123.1971321463313</v>
      </c>
      <c r="J78">
        <f t="shared" si="29"/>
        <v>575.22109502596049</v>
      </c>
      <c r="K78">
        <f t="shared" si="29"/>
        <v>300.63427115332775</v>
      </c>
      <c r="L78">
        <f t="shared" si="27"/>
        <v>389.66306223879644</v>
      </c>
      <c r="M78">
        <f t="shared" si="25"/>
        <v>9820.4409396352912</v>
      </c>
    </row>
    <row r="79" spans="5:13">
      <c r="E79">
        <v>1952</v>
      </c>
      <c r="F79">
        <f t="shared" si="26"/>
        <v>3172.3868084604778</v>
      </c>
      <c r="G79">
        <f t="shared" si="29"/>
        <v>2348.2115620572381</v>
      </c>
      <c r="H79">
        <f t="shared" si="29"/>
        <v>1710.3143790213692</v>
      </c>
      <c r="I79">
        <f t="shared" si="29"/>
        <v>1123.1971321463316</v>
      </c>
      <c r="J79">
        <f t="shared" si="29"/>
        <v>575.22109502596038</v>
      </c>
      <c r="K79">
        <f t="shared" si="29"/>
        <v>300.6342711533278</v>
      </c>
      <c r="L79">
        <f t="shared" si="27"/>
        <v>389.66306223879644</v>
      </c>
      <c r="M79">
        <f t="shared" si="25"/>
        <v>9820.440939635293</v>
      </c>
    </row>
    <row r="80" spans="5:13">
      <c r="E80">
        <v>1953</v>
      </c>
      <c r="F80">
        <f t="shared" si="26"/>
        <v>3172.3868084604774</v>
      </c>
      <c r="G80">
        <f t="shared" si="29"/>
        <v>2348.2115620572386</v>
      </c>
      <c r="H80">
        <f t="shared" si="29"/>
        <v>1710.3143790213687</v>
      </c>
      <c r="I80">
        <f t="shared" si="29"/>
        <v>1123.1971321463316</v>
      </c>
      <c r="J80">
        <f t="shared" si="29"/>
        <v>575.22109502596049</v>
      </c>
      <c r="K80">
        <f t="shared" si="29"/>
        <v>300.63427115332775</v>
      </c>
      <c r="L80">
        <f t="shared" si="27"/>
        <v>389.66306223879644</v>
      </c>
      <c r="M80">
        <f t="shared" si="25"/>
        <v>9820.4409396352912</v>
      </c>
    </row>
    <row r="81" spans="5:13">
      <c r="E81">
        <v>1954</v>
      </c>
      <c r="F81">
        <f t="shared" si="26"/>
        <v>3172.3868084604778</v>
      </c>
      <c r="G81">
        <f t="shared" si="29"/>
        <v>2348.2115620572381</v>
      </c>
      <c r="H81">
        <f t="shared" si="29"/>
        <v>1710.3143790213692</v>
      </c>
      <c r="I81">
        <f t="shared" si="29"/>
        <v>1123.1971321463313</v>
      </c>
      <c r="J81">
        <f t="shared" si="29"/>
        <v>575.22109502596049</v>
      </c>
      <c r="K81">
        <f t="shared" si="29"/>
        <v>300.6342711533278</v>
      </c>
      <c r="L81">
        <f t="shared" si="27"/>
        <v>389.66306223879644</v>
      </c>
      <c r="M81">
        <f t="shared" si="25"/>
        <v>9820.4409396352912</v>
      </c>
    </row>
    <row r="82" spans="5:13">
      <c r="E82">
        <v>1955</v>
      </c>
      <c r="F82">
        <f t="shared" si="26"/>
        <v>3172.3868084604778</v>
      </c>
      <c r="G82">
        <f t="shared" si="29"/>
        <v>2348.2115620572386</v>
      </c>
      <c r="H82">
        <f t="shared" si="29"/>
        <v>1710.3143790213687</v>
      </c>
      <c r="I82">
        <f t="shared" si="29"/>
        <v>1123.1971321463316</v>
      </c>
      <c r="J82">
        <f t="shared" si="29"/>
        <v>575.22109502596038</v>
      </c>
      <c r="K82">
        <f t="shared" si="29"/>
        <v>300.6342711533278</v>
      </c>
      <c r="L82">
        <f t="shared" si="27"/>
        <v>389.66306223879644</v>
      </c>
      <c r="M82">
        <f t="shared" si="25"/>
        <v>9820.440939635293</v>
      </c>
    </row>
    <row r="83" spans="5:13">
      <c r="E83">
        <v>1956</v>
      </c>
      <c r="F83">
        <f t="shared" si="26"/>
        <v>3172.3868084604774</v>
      </c>
      <c r="G83">
        <f t="shared" si="29"/>
        <v>2348.2115620572386</v>
      </c>
      <c r="H83">
        <f t="shared" si="29"/>
        <v>1710.3143790213692</v>
      </c>
      <c r="I83">
        <f t="shared" si="29"/>
        <v>1123.1971321463313</v>
      </c>
      <c r="J83">
        <f t="shared" si="29"/>
        <v>575.22109502596049</v>
      </c>
      <c r="K83">
        <f t="shared" si="29"/>
        <v>300.63427115332775</v>
      </c>
      <c r="L83">
        <f t="shared" si="27"/>
        <v>389.66306223879644</v>
      </c>
      <c r="M83">
        <f t="shared" si="25"/>
        <v>9820.4409396352912</v>
      </c>
    </row>
    <row r="84" spans="5:13">
      <c r="E84">
        <v>1957</v>
      </c>
      <c r="F84">
        <f t="shared" si="26"/>
        <v>3172.3868084604778</v>
      </c>
      <c r="G84">
        <f t="shared" si="29"/>
        <v>2348.2115620572381</v>
      </c>
      <c r="H84">
        <f t="shared" si="29"/>
        <v>1710.3143790213692</v>
      </c>
      <c r="I84">
        <f t="shared" si="29"/>
        <v>1123.1971321463316</v>
      </c>
      <c r="J84">
        <f t="shared" si="29"/>
        <v>575.22109502596038</v>
      </c>
      <c r="K84">
        <f t="shared" si="29"/>
        <v>300.6342711533278</v>
      </c>
      <c r="L84">
        <f t="shared" si="27"/>
        <v>389.66306223879644</v>
      </c>
      <c r="M84">
        <f t="shared" si="25"/>
        <v>9820.440939635293</v>
      </c>
    </row>
    <row r="85" spans="5:13">
      <c r="E85">
        <v>1958</v>
      </c>
      <c r="F85">
        <f t="shared" si="26"/>
        <v>3172.3868084604774</v>
      </c>
      <c r="G85">
        <f t="shared" si="29"/>
        <v>2348.2115620572386</v>
      </c>
      <c r="H85">
        <f t="shared" si="29"/>
        <v>1710.3143790213687</v>
      </c>
      <c r="I85">
        <f t="shared" si="29"/>
        <v>1123.1971321463316</v>
      </c>
      <c r="J85">
        <f t="shared" si="29"/>
        <v>575.22109502596049</v>
      </c>
      <c r="K85">
        <f t="shared" si="29"/>
        <v>300.63427115332775</v>
      </c>
      <c r="L85">
        <f t="shared" si="27"/>
        <v>389.66306223879644</v>
      </c>
      <c r="M85">
        <f t="shared" si="25"/>
        <v>9820.4409396352912</v>
      </c>
    </row>
    <row r="86" spans="5:13">
      <c r="E86">
        <v>1959</v>
      </c>
      <c r="F86">
        <f t="shared" si="26"/>
        <v>3172.3868084604778</v>
      </c>
      <c r="G86">
        <f t="shared" si="29"/>
        <v>2348.2115620572381</v>
      </c>
      <c r="H86">
        <f t="shared" si="29"/>
        <v>1710.3143790213692</v>
      </c>
      <c r="I86">
        <f t="shared" si="29"/>
        <v>1123.1971321463313</v>
      </c>
      <c r="J86">
        <f t="shared" si="29"/>
        <v>575.22109502596049</v>
      </c>
      <c r="K86">
        <f t="shared" si="29"/>
        <v>300.6342711533278</v>
      </c>
      <c r="L86">
        <f t="shared" si="27"/>
        <v>389.66306223879644</v>
      </c>
      <c r="M86">
        <f t="shared" si="25"/>
        <v>9820.4409396352912</v>
      </c>
    </row>
    <row r="87" spans="5:13">
      <c r="E87">
        <v>1960</v>
      </c>
      <c r="F87">
        <f t="shared" si="26"/>
        <v>3172.3868084604778</v>
      </c>
      <c r="G87">
        <f t="shared" si="29"/>
        <v>2348.2115620572386</v>
      </c>
      <c r="H87">
        <f t="shared" si="29"/>
        <v>1710.3143790213687</v>
      </c>
      <c r="I87">
        <f t="shared" si="29"/>
        <v>1123.1971321463316</v>
      </c>
      <c r="J87">
        <f t="shared" si="29"/>
        <v>575.22109502596038</v>
      </c>
      <c r="K87">
        <f t="shared" si="29"/>
        <v>300.6342711533278</v>
      </c>
      <c r="L87">
        <f t="shared" si="27"/>
        <v>389.66306223879644</v>
      </c>
      <c r="M87">
        <f t="shared" si="25"/>
        <v>9820.440939635293</v>
      </c>
    </row>
    <row r="88" spans="5:13">
      <c r="E88">
        <v>1961</v>
      </c>
      <c r="F88">
        <f t="shared" si="26"/>
        <v>3172.3868084604774</v>
      </c>
      <c r="G88">
        <f t="shared" ref="G88:K97" si="30">F87*EXP(-m-fe*F$4)</f>
        <v>2348.2115620572386</v>
      </c>
      <c r="H88">
        <f t="shared" si="30"/>
        <v>1710.3143790213692</v>
      </c>
      <c r="I88">
        <f t="shared" si="30"/>
        <v>1123.1971321463313</v>
      </c>
      <c r="J88">
        <f t="shared" si="30"/>
        <v>575.22109502596049</v>
      </c>
      <c r="K88">
        <f t="shared" si="30"/>
        <v>300.63427115332775</v>
      </c>
      <c r="L88">
        <f t="shared" si="27"/>
        <v>389.66306223879644</v>
      </c>
      <c r="M88">
        <f t="shared" si="25"/>
        <v>9820.4409396352912</v>
      </c>
    </row>
    <row r="89" spans="5:13">
      <c r="E89">
        <v>1962</v>
      </c>
      <c r="F89">
        <f t="shared" si="26"/>
        <v>3172.3868084604778</v>
      </c>
      <c r="G89">
        <f t="shared" si="30"/>
        <v>2348.2115620572381</v>
      </c>
      <c r="H89">
        <f t="shared" si="30"/>
        <v>1710.3143790213692</v>
      </c>
      <c r="I89">
        <f t="shared" si="30"/>
        <v>1123.1971321463316</v>
      </c>
      <c r="J89">
        <f t="shared" si="30"/>
        <v>575.22109502596038</v>
      </c>
      <c r="K89">
        <f t="shared" si="30"/>
        <v>300.6342711533278</v>
      </c>
      <c r="L89">
        <f t="shared" si="27"/>
        <v>389.66306223879644</v>
      </c>
      <c r="M89">
        <f t="shared" si="25"/>
        <v>9820.440939635293</v>
      </c>
    </row>
    <row r="90" spans="5:13">
      <c r="E90">
        <v>1963</v>
      </c>
      <c r="F90">
        <f t="shared" si="26"/>
        <v>3172.3868084604774</v>
      </c>
      <c r="G90">
        <f t="shared" si="30"/>
        <v>2348.2115620572386</v>
      </c>
      <c r="H90">
        <f t="shared" si="30"/>
        <v>1710.3143790213687</v>
      </c>
      <c r="I90">
        <f t="shared" si="30"/>
        <v>1123.1971321463316</v>
      </c>
      <c r="J90">
        <f t="shared" si="30"/>
        <v>575.22109502596049</v>
      </c>
      <c r="K90">
        <f t="shared" si="30"/>
        <v>300.63427115332775</v>
      </c>
      <c r="L90">
        <f t="shared" si="27"/>
        <v>389.66306223879644</v>
      </c>
      <c r="M90">
        <f t="shared" si="25"/>
        <v>9820.4409396352912</v>
      </c>
    </row>
    <row r="91" spans="5:13">
      <c r="E91">
        <v>1964</v>
      </c>
      <c r="F91">
        <f t="shared" si="26"/>
        <v>3172.3868084604778</v>
      </c>
      <c r="G91">
        <f t="shared" si="30"/>
        <v>2348.2115620572381</v>
      </c>
      <c r="H91">
        <f t="shared" si="30"/>
        <v>1710.3143790213692</v>
      </c>
      <c r="I91">
        <f t="shared" si="30"/>
        <v>1123.1971321463313</v>
      </c>
      <c r="J91">
        <f t="shared" si="30"/>
        <v>575.22109502596049</v>
      </c>
      <c r="K91">
        <f t="shared" si="30"/>
        <v>300.6342711533278</v>
      </c>
      <c r="L91">
        <f t="shared" si="27"/>
        <v>389.66306223879644</v>
      </c>
      <c r="M91">
        <f t="shared" ref="M91:M122" si="31">SUMPRODUCT(F91:L91,EXP(-zf*(m+fe*va)),fa)</f>
        <v>9820.4409396352912</v>
      </c>
    </row>
    <row r="92" spans="5:13">
      <c r="E92">
        <v>1965</v>
      </c>
      <c r="F92">
        <f t="shared" ref="F92:F127" si="32">so*M91/(1+beta*M91)</f>
        <v>3172.3868084604778</v>
      </c>
      <c r="G92">
        <f t="shared" si="30"/>
        <v>2348.2115620572386</v>
      </c>
      <c r="H92">
        <f t="shared" si="30"/>
        <v>1710.3143790213687</v>
      </c>
      <c r="I92">
        <f t="shared" si="30"/>
        <v>1123.1971321463316</v>
      </c>
      <c r="J92">
        <f t="shared" si="30"/>
        <v>575.22109502596038</v>
      </c>
      <c r="K92">
        <f t="shared" si="30"/>
        <v>300.6342711533278</v>
      </c>
      <c r="L92">
        <f t="shared" ref="L92:L123" si="33">K91*EXP(-m-fe*K$4)+L91*EXP(-m-fe*va)</f>
        <v>389.66306223879644</v>
      </c>
      <c r="M92">
        <f t="shared" si="31"/>
        <v>9820.440939635293</v>
      </c>
    </row>
    <row r="93" spans="5:13">
      <c r="E93">
        <v>1966</v>
      </c>
      <c r="F93">
        <f t="shared" si="32"/>
        <v>3172.3868084604774</v>
      </c>
      <c r="G93">
        <f t="shared" si="30"/>
        <v>2348.2115620572386</v>
      </c>
      <c r="H93">
        <f t="shared" si="30"/>
        <v>1710.3143790213692</v>
      </c>
      <c r="I93">
        <f t="shared" si="30"/>
        <v>1123.1971321463313</v>
      </c>
      <c r="J93">
        <f t="shared" si="30"/>
        <v>575.22109502596049</v>
      </c>
      <c r="K93">
        <f t="shared" si="30"/>
        <v>300.63427115332775</v>
      </c>
      <c r="L93">
        <f t="shared" si="33"/>
        <v>389.66306223879644</v>
      </c>
      <c r="M93">
        <f t="shared" si="31"/>
        <v>9820.4409396352912</v>
      </c>
    </row>
    <row r="94" spans="5:13">
      <c r="E94">
        <v>1967</v>
      </c>
      <c r="F94">
        <f t="shared" si="32"/>
        <v>3172.3868084604778</v>
      </c>
      <c r="G94">
        <f t="shared" si="30"/>
        <v>2348.2115620572381</v>
      </c>
      <c r="H94">
        <f t="shared" si="30"/>
        <v>1710.3143790213692</v>
      </c>
      <c r="I94">
        <f t="shared" si="30"/>
        <v>1123.1971321463316</v>
      </c>
      <c r="J94">
        <f t="shared" si="30"/>
        <v>575.22109502596038</v>
      </c>
      <c r="K94">
        <f t="shared" si="30"/>
        <v>300.6342711533278</v>
      </c>
      <c r="L94">
        <f t="shared" si="33"/>
        <v>389.66306223879644</v>
      </c>
      <c r="M94">
        <f t="shared" si="31"/>
        <v>9820.440939635293</v>
      </c>
    </row>
    <row r="95" spans="5:13">
      <c r="E95">
        <v>1968</v>
      </c>
      <c r="F95">
        <f t="shared" si="32"/>
        <v>3172.3868084604774</v>
      </c>
      <c r="G95">
        <f t="shared" si="30"/>
        <v>2348.2115620572386</v>
      </c>
      <c r="H95">
        <f t="shared" si="30"/>
        <v>1710.3143790213687</v>
      </c>
      <c r="I95">
        <f t="shared" si="30"/>
        <v>1123.1971321463316</v>
      </c>
      <c r="J95">
        <f t="shared" si="30"/>
        <v>575.22109502596049</v>
      </c>
      <c r="K95">
        <f t="shared" si="30"/>
        <v>300.63427115332775</v>
      </c>
      <c r="L95">
        <f t="shared" si="33"/>
        <v>389.66306223879644</v>
      </c>
      <c r="M95">
        <f t="shared" si="31"/>
        <v>9820.4409396352912</v>
      </c>
    </row>
    <row r="96" spans="5:13">
      <c r="E96">
        <v>1969</v>
      </c>
      <c r="F96">
        <f t="shared" si="32"/>
        <v>3172.3868084604778</v>
      </c>
      <c r="G96">
        <f t="shared" si="30"/>
        <v>2348.2115620572381</v>
      </c>
      <c r="H96">
        <f t="shared" si="30"/>
        <v>1710.3143790213692</v>
      </c>
      <c r="I96">
        <f t="shared" si="30"/>
        <v>1123.1971321463313</v>
      </c>
      <c r="J96">
        <f t="shared" si="30"/>
        <v>575.22109502596049</v>
      </c>
      <c r="K96">
        <f t="shared" si="30"/>
        <v>300.6342711533278</v>
      </c>
      <c r="L96">
        <f t="shared" si="33"/>
        <v>389.66306223879644</v>
      </c>
      <c r="M96">
        <f t="shared" si="31"/>
        <v>9820.4409396352912</v>
      </c>
    </row>
    <row r="97" spans="5:13">
      <c r="E97">
        <v>1970</v>
      </c>
      <c r="F97">
        <f t="shared" si="32"/>
        <v>3172.3868084604778</v>
      </c>
      <c r="G97">
        <f t="shared" si="30"/>
        <v>2348.2115620572386</v>
      </c>
      <c r="H97">
        <f t="shared" si="30"/>
        <v>1710.3143790213687</v>
      </c>
      <c r="I97">
        <f t="shared" si="30"/>
        <v>1123.1971321463316</v>
      </c>
      <c r="J97">
        <f t="shared" si="30"/>
        <v>575.22109502596038</v>
      </c>
      <c r="K97">
        <f t="shared" si="30"/>
        <v>300.6342711533278</v>
      </c>
      <c r="L97">
        <f t="shared" si="33"/>
        <v>389.66306223879644</v>
      </c>
      <c r="M97">
        <f t="shared" si="31"/>
        <v>9820.440939635293</v>
      </c>
    </row>
    <row r="98" spans="5:13">
      <c r="E98">
        <v>1971</v>
      </c>
      <c r="F98">
        <f t="shared" si="32"/>
        <v>3172.3868084604774</v>
      </c>
      <c r="G98">
        <f t="shared" ref="G98:K107" si="34">F97*EXP(-m-fe*F$4)</f>
        <v>2348.2115620572386</v>
      </c>
      <c r="H98">
        <f t="shared" si="34"/>
        <v>1710.3143790213692</v>
      </c>
      <c r="I98">
        <f t="shared" si="34"/>
        <v>1123.1971321463313</v>
      </c>
      <c r="J98">
        <f t="shared" si="34"/>
        <v>575.22109502596049</v>
      </c>
      <c r="K98">
        <f t="shared" si="34"/>
        <v>300.63427115332775</v>
      </c>
      <c r="L98">
        <f t="shared" si="33"/>
        <v>389.66306223879644</v>
      </c>
      <c r="M98">
        <f t="shared" si="31"/>
        <v>9820.4409396352912</v>
      </c>
    </row>
    <row r="99" spans="5:13">
      <c r="E99">
        <v>1972</v>
      </c>
      <c r="F99">
        <f t="shared" si="32"/>
        <v>3172.3868084604778</v>
      </c>
      <c r="G99">
        <f t="shared" si="34"/>
        <v>2348.2115620572381</v>
      </c>
      <c r="H99">
        <f t="shared" si="34"/>
        <v>1710.3143790213692</v>
      </c>
      <c r="I99">
        <f t="shared" si="34"/>
        <v>1123.1971321463316</v>
      </c>
      <c r="J99">
        <f t="shared" si="34"/>
        <v>575.22109502596038</v>
      </c>
      <c r="K99">
        <f t="shared" si="34"/>
        <v>300.6342711533278</v>
      </c>
      <c r="L99">
        <f t="shared" si="33"/>
        <v>389.66306223879644</v>
      </c>
      <c r="M99">
        <f t="shared" si="31"/>
        <v>9820.440939635293</v>
      </c>
    </row>
    <row r="100" spans="5:13">
      <c r="E100">
        <v>1973</v>
      </c>
      <c r="F100">
        <f t="shared" si="32"/>
        <v>3172.3868084604774</v>
      </c>
      <c r="G100">
        <f t="shared" si="34"/>
        <v>2348.2115620572386</v>
      </c>
      <c r="H100">
        <f t="shared" si="34"/>
        <v>1710.3143790213687</v>
      </c>
      <c r="I100">
        <f t="shared" si="34"/>
        <v>1123.1971321463316</v>
      </c>
      <c r="J100">
        <f t="shared" si="34"/>
        <v>575.22109502596049</v>
      </c>
      <c r="K100">
        <f t="shared" si="34"/>
        <v>300.63427115332775</v>
      </c>
      <c r="L100">
        <f t="shared" si="33"/>
        <v>389.66306223879644</v>
      </c>
      <c r="M100">
        <f t="shared" si="31"/>
        <v>9820.4409396352912</v>
      </c>
    </row>
    <row r="101" spans="5:13">
      <c r="E101">
        <v>1974</v>
      </c>
      <c r="F101">
        <f t="shared" si="32"/>
        <v>3172.3868084604778</v>
      </c>
      <c r="G101">
        <f t="shared" si="34"/>
        <v>2348.2115620572381</v>
      </c>
      <c r="H101">
        <f t="shared" si="34"/>
        <v>1710.3143790213692</v>
      </c>
      <c r="I101">
        <f t="shared" si="34"/>
        <v>1123.1971321463313</v>
      </c>
      <c r="J101">
        <f t="shared" si="34"/>
        <v>575.22109502596049</v>
      </c>
      <c r="K101">
        <f t="shared" si="34"/>
        <v>300.6342711533278</v>
      </c>
      <c r="L101">
        <f t="shared" si="33"/>
        <v>389.66306223879644</v>
      </c>
      <c r="M101">
        <f t="shared" si="31"/>
        <v>9820.4409396352912</v>
      </c>
    </row>
    <row r="102" spans="5:13">
      <c r="E102">
        <v>1975</v>
      </c>
      <c r="F102">
        <f t="shared" si="32"/>
        <v>3172.3868084604778</v>
      </c>
      <c r="G102">
        <f t="shared" si="34"/>
        <v>2348.2115620572386</v>
      </c>
      <c r="H102">
        <f t="shared" si="34"/>
        <v>1710.3143790213687</v>
      </c>
      <c r="I102">
        <f t="shared" si="34"/>
        <v>1123.1971321463316</v>
      </c>
      <c r="J102">
        <f t="shared" si="34"/>
        <v>575.22109502596038</v>
      </c>
      <c r="K102">
        <f t="shared" si="34"/>
        <v>300.6342711533278</v>
      </c>
      <c r="L102">
        <f t="shared" si="33"/>
        <v>389.66306223879644</v>
      </c>
      <c r="M102">
        <f t="shared" si="31"/>
        <v>9820.440939635293</v>
      </c>
    </row>
    <row r="103" spans="5:13">
      <c r="E103">
        <v>1976</v>
      </c>
      <c r="F103">
        <f t="shared" si="32"/>
        <v>3172.3868084604774</v>
      </c>
      <c r="G103">
        <f t="shared" si="34"/>
        <v>2348.2115620572386</v>
      </c>
      <c r="H103">
        <f t="shared" si="34"/>
        <v>1710.3143790213692</v>
      </c>
      <c r="I103">
        <f t="shared" si="34"/>
        <v>1123.1971321463313</v>
      </c>
      <c r="J103">
        <f t="shared" si="34"/>
        <v>575.22109502596049</v>
      </c>
      <c r="K103">
        <f t="shared" si="34"/>
        <v>300.63427115332775</v>
      </c>
      <c r="L103">
        <f t="shared" si="33"/>
        <v>389.66306223879644</v>
      </c>
      <c r="M103">
        <f t="shared" si="31"/>
        <v>9820.4409396352912</v>
      </c>
    </row>
    <row r="104" spans="5:13">
      <c r="E104">
        <v>1977</v>
      </c>
      <c r="F104">
        <f t="shared" si="32"/>
        <v>3172.3868084604778</v>
      </c>
      <c r="G104">
        <f t="shared" si="34"/>
        <v>2348.2115620572381</v>
      </c>
      <c r="H104">
        <f t="shared" si="34"/>
        <v>1710.3143790213692</v>
      </c>
      <c r="I104">
        <f t="shared" si="34"/>
        <v>1123.1971321463316</v>
      </c>
      <c r="J104">
        <f t="shared" si="34"/>
        <v>575.22109502596038</v>
      </c>
      <c r="K104">
        <f t="shared" si="34"/>
        <v>300.6342711533278</v>
      </c>
      <c r="L104">
        <f t="shared" si="33"/>
        <v>389.66306223879644</v>
      </c>
      <c r="M104">
        <f t="shared" si="31"/>
        <v>9820.440939635293</v>
      </c>
    </row>
    <row r="105" spans="5:13">
      <c r="E105">
        <v>1978</v>
      </c>
      <c r="F105">
        <f t="shared" si="32"/>
        <v>3172.3868084604774</v>
      </c>
      <c r="G105">
        <f t="shared" si="34"/>
        <v>2348.2115620572386</v>
      </c>
      <c r="H105">
        <f t="shared" si="34"/>
        <v>1710.3143790213687</v>
      </c>
      <c r="I105">
        <f t="shared" si="34"/>
        <v>1123.1971321463316</v>
      </c>
      <c r="J105">
        <f t="shared" si="34"/>
        <v>575.22109502596049</v>
      </c>
      <c r="K105">
        <f t="shared" si="34"/>
        <v>300.63427115332775</v>
      </c>
      <c r="L105">
        <f t="shared" si="33"/>
        <v>389.66306223879644</v>
      </c>
      <c r="M105">
        <f t="shared" si="31"/>
        <v>9820.4409396352912</v>
      </c>
    </row>
    <row r="106" spans="5:13">
      <c r="E106">
        <v>1979</v>
      </c>
      <c r="F106">
        <f t="shared" si="32"/>
        <v>3172.3868084604778</v>
      </c>
      <c r="G106">
        <f t="shared" si="34"/>
        <v>2348.2115620572381</v>
      </c>
      <c r="H106">
        <f t="shared" si="34"/>
        <v>1710.3143790213692</v>
      </c>
      <c r="I106">
        <f t="shared" si="34"/>
        <v>1123.1971321463313</v>
      </c>
      <c r="J106">
        <f t="shared" si="34"/>
        <v>575.22109502596049</v>
      </c>
      <c r="K106">
        <f t="shared" si="34"/>
        <v>300.6342711533278</v>
      </c>
      <c r="L106">
        <f t="shared" si="33"/>
        <v>389.66306223879644</v>
      </c>
      <c r="M106">
        <f t="shared" si="31"/>
        <v>9820.4409396352912</v>
      </c>
    </row>
    <row r="107" spans="5:13">
      <c r="E107">
        <v>1980</v>
      </c>
      <c r="F107">
        <f t="shared" si="32"/>
        <v>3172.3868084604778</v>
      </c>
      <c r="G107">
        <f t="shared" si="34"/>
        <v>2348.2115620572386</v>
      </c>
      <c r="H107">
        <f t="shared" si="34"/>
        <v>1710.3143790213687</v>
      </c>
      <c r="I107">
        <f t="shared" si="34"/>
        <v>1123.1971321463316</v>
      </c>
      <c r="J107">
        <f t="shared" si="34"/>
        <v>575.22109502596038</v>
      </c>
      <c r="K107">
        <f t="shared" si="34"/>
        <v>300.6342711533278</v>
      </c>
      <c r="L107">
        <f t="shared" si="33"/>
        <v>389.66306223879644</v>
      </c>
      <c r="M107">
        <f t="shared" si="31"/>
        <v>9820.440939635293</v>
      </c>
    </row>
    <row r="108" spans="5:13">
      <c r="E108">
        <v>1981</v>
      </c>
      <c r="F108">
        <f t="shared" si="32"/>
        <v>3172.3868084604774</v>
      </c>
      <c r="G108">
        <f t="shared" ref="G108:K117" si="35">F107*EXP(-m-fe*F$4)</f>
        <v>2348.2115620572386</v>
      </c>
      <c r="H108">
        <f t="shared" si="35"/>
        <v>1710.3143790213692</v>
      </c>
      <c r="I108">
        <f t="shared" si="35"/>
        <v>1123.1971321463313</v>
      </c>
      <c r="J108">
        <f t="shared" si="35"/>
        <v>575.22109502596049</v>
      </c>
      <c r="K108">
        <f t="shared" si="35"/>
        <v>300.63427115332775</v>
      </c>
      <c r="L108">
        <f t="shared" si="33"/>
        <v>389.66306223879644</v>
      </c>
      <c r="M108">
        <f t="shared" si="31"/>
        <v>9820.4409396352912</v>
      </c>
    </row>
    <row r="109" spans="5:13">
      <c r="E109">
        <v>1982</v>
      </c>
      <c r="F109">
        <f t="shared" si="32"/>
        <v>3172.3868084604778</v>
      </c>
      <c r="G109">
        <f t="shared" si="35"/>
        <v>2348.2115620572381</v>
      </c>
      <c r="H109">
        <f t="shared" si="35"/>
        <v>1710.3143790213692</v>
      </c>
      <c r="I109">
        <f t="shared" si="35"/>
        <v>1123.1971321463316</v>
      </c>
      <c r="J109">
        <f t="shared" si="35"/>
        <v>575.22109502596038</v>
      </c>
      <c r="K109">
        <f t="shared" si="35"/>
        <v>300.6342711533278</v>
      </c>
      <c r="L109">
        <f t="shared" si="33"/>
        <v>389.66306223879644</v>
      </c>
      <c r="M109">
        <f t="shared" si="31"/>
        <v>9820.440939635293</v>
      </c>
    </row>
    <row r="110" spans="5:13">
      <c r="E110">
        <v>1983</v>
      </c>
      <c r="F110">
        <f t="shared" si="32"/>
        <v>3172.3868084604774</v>
      </c>
      <c r="G110">
        <f t="shared" si="35"/>
        <v>2348.2115620572386</v>
      </c>
      <c r="H110">
        <f t="shared" si="35"/>
        <v>1710.3143790213687</v>
      </c>
      <c r="I110">
        <f t="shared" si="35"/>
        <v>1123.1971321463316</v>
      </c>
      <c r="J110">
        <f t="shared" si="35"/>
        <v>575.22109502596049</v>
      </c>
      <c r="K110">
        <f t="shared" si="35"/>
        <v>300.63427115332775</v>
      </c>
      <c r="L110">
        <f t="shared" si="33"/>
        <v>389.66306223879644</v>
      </c>
      <c r="M110">
        <f t="shared" si="31"/>
        <v>9820.4409396352912</v>
      </c>
    </row>
    <row r="111" spans="5:13">
      <c r="E111">
        <v>1984</v>
      </c>
      <c r="F111">
        <f t="shared" si="32"/>
        <v>3172.3868084604778</v>
      </c>
      <c r="G111">
        <f t="shared" si="35"/>
        <v>2348.2115620572381</v>
      </c>
      <c r="H111">
        <f t="shared" si="35"/>
        <v>1710.3143790213692</v>
      </c>
      <c r="I111">
        <f t="shared" si="35"/>
        <v>1123.1971321463313</v>
      </c>
      <c r="J111">
        <f t="shared" si="35"/>
        <v>575.22109502596049</v>
      </c>
      <c r="K111">
        <f t="shared" si="35"/>
        <v>300.6342711533278</v>
      </c>
      <c r="L111">
        <f t="shared" si="33"/>
        <v>389.66306223879644</v>
      </c>
      <c r="M111">
        <f t="shared" si="31"/>
        <v>9820.4409396352912</v>
      </c>
    </row>
    <row r="112" spans="5:13">
      <c r="E112">
        <v>1985</v>
      </c>
      <c r="F112">
        <f t="shared" si="32"/>
        <v>3172.3868084604778</v>
      </c>
      <c r="G112">
        <f t="shared" si="35"/>
        <v>2348.2115620572386</v>
      </c>
      <c r="H112">
        <f t="shared" si="35"/>
        <v>1710.3143790213687</v>
      </c>
      <c r="I112">
        <f t="shared" si="35"/>
        <v>1123.1971321463316</v>
      </c>
      <c r="J112">
        <f t="shared" si="35"/>
        <v>575.22109502596038</v>
      </c>
      <c r="K112">
        <f t="shared" si="35"/>
        <v>300.6342711533278</v>
      </c>
      <c r="L112">
        <f t="shared" si="33"/>
        <v>389.66306223879644</v>
      </c>
      <c r="M112">
        <f t="shared" si="31"/>
        <v>9820.440939635293</v>
      </c>
    </row>
    <row r="113" spans="5:13">
      <c r="E113">
        <v>1986</v>
      </c>
      <c r="F113">
        <f t="shared" si="32"/>
        <v>3172.3868084604774</v>
      </c>
      <c r="G113">
        <f t="shared" si="35"/>
        <v>2348.2115620572386</v>
      </c>
      <c r="H113">
        <f t="shared" si="35"/>
        <v>1710.3143790213692</v>
      </c>
      <c r="I113">
        <f t="shared" si="35"/>
        <v>1123.1971321463313</v>
      </c>
      <c r="J113">
        <f t="shared" si="35"/>
        <v>575.22109502596049</v>
      </c>
      <c r="K113">
        <f t="shared" si="35"/>
        <v>300.63427115332775</v>
      </c>
      <c r="L113">
        <f t="shared" si="33"/>
        <v>389.66306223879644</v>
      </c>
      <c r="M113">
        <f t="shared" si="31"/>
        <v>9820.4409396352912</v>
      </c>
    </row>
    <row r="114" spans="5:13">
      <c r="E114">
        <v>1987</v>
      </c>
      <c r="F114">
        <f t="shared" si="32"/>
        <v>3172.3868084604778</v>
      </c>
      <c r="G114">
        <f t="shared" si="35"/>
        <v>2348.2115620572381</v>
      </c>
      <c r="H114">
        <f t="shared" si="35"/>
        <v>1710.3143790213692</v>
      </c>
      <c r="I114">
        <f t="shared" si="35"/>
        <v>1123.1971321463316</v>
      </c>
      <c r="J114">
        <f t="shared" si="35"/>
        <v>575.22109502596038</v>
      </c>
      <c r="K114">
        <f t="shared" si="35"/>
        <v>300.6342711533278</v>
      </c>
      <c r="L114">
        <f t="shared" si="33"/>
        <v>389.66306223879644</v>
      </c>
      <c r="M114">
        <f t="shared" si="31"/>
        <v>9820.440939635293</v>
      </c>
    </row>
    <row r="115" spans="5:13">
      <c r="E115">
        <v>1988</v>
      </c>
      <c r="F115">
        <f t="shared" si="32"/>
        <v>3172.3868084604774</v>
      </c>
      <c r="G115">
        <f t="shared" si="35"/>
        <v>2348.2115620572386</v>
      </c>
      <c r="H115">
        <f t="shared" si="35"/>
        <v>1710.3143790213687</v>
      </c>
      <c r="I115">
        <f t="shared" si="35"/>
        <v>1123.1971321463316</v>
      </c>
      <c r="J115">
        <f t="shared" si="35"/>
        <v>575.22109502596049</v>
      </c>
      <c r="K115">
        <f t="shared" si="35"/>
        <v>300.63427115332775</v>
      </c>
      <c r="L115">
        <f t="shared" si="33"/>
        <v>389.66306223879644</v>
      </c>
      <c r="M115">
        <f t="shared" si="31"/>
        <v>9820.4409396352912</v>
      </c>
    </row>
    <row r="116" spans="5:13">
      <c r="E116">
        <v>1989</v>
      </c>
      <c r="F116">
        <f t="shared" si="32"/>
        <v>3172.3868084604778</v>
      </c>
      <c r="G116">
        <f t="shared" si="35"/>
        <v>2348.2115620572381</v>
      </c>
      <c r="H116">
        <f t="shared" si="35"/>
        <v>1710.3143790213692</v>
      </c>
      <c r="I116">
        <f t="shared" si="35"/>
        <v>1123.1971321463313</v>
      </c>
      <c r="J116">
        <f t="shared" si="35"/>
        <v>575.22109502596049</v>
      </c>
      <c r="K116">
        <f t="shared" si="35"/>
        <v>300.6342711533278</v>
      </c>
      <c r="L116">
        <f t="shared" si="33"/>
        <v>389.66306223879644</v>
      </c>
      <c r="M116">
        <f t="shared" si="31"/>
        <v>9820.4409396352912</v>
      </c>
    </row>
    <row r="117" spans="5:13">
      <c r="E117">
        <v>1990</v>
      </c>
      <c r="F117">
        <f t="shared" si="32"/>
        <v>3172.3868084604778</v>
      </c>
      <c r="G117">
        <f t="shared" si="35"/>
        <v>2348.2115620572386</v>
      </c>
      <c r="H117">
        <f t="shared" si="35"/>
        <v>1710.3143790213687</v>
      </c>
      <c r="I117">
        <f t="shared" si="35"/>
        <v>1123.1971321463316</v>
      </c>
      <c r="J117">
        <f t="shared" si="35"/>
        <v>575.22109502596038</v>
      </c>
      <c r="K117">
        <f t="shared" si="35"/>
        <v>300.6342711533278</v>
      </c>
      <c r="L117">
        <f t="shared" si="33"/>
        <v>389.66306223879644</v>
      </c>
      <c r="M117">
        <f t="shared" si="31"/>
        <v>9820.440939635293</v>
      </c>
    </row>
    <row r="118" spans="5:13">
      <c r="E118">
        <v>1991</v>
      </c>
      <c r="F118">
        <f t="shared" si="32"/>
        <v>3172.3868084604774</v>
      </c>
      <c r="G118">
        <f t="shared" ref="G118:K127" si="36">F117*EXP(-m-fe*F$4)</f>
        <v>2348.2115620572386</v>
      </c>
      <c r="H118">
        <f t="shared" si="36"/>
        <v>1710.3143790213692</v>
      </c>
      <c r="I118">
        <f t="shared" si="36"/>
        <v>1123.1971321463313</v>
      </c>
      <c r="J118">
        <f t="shared" si="36"/>
        <v>575.22109502596049</v>
      </c>
      <c r="K118">
        <f t="shared" si="36"/>
        <v>300.63427115332775</v>
      </c>
      <c r="L118">
        <f t="shared" si="33"/>
        <v>389.66306223879644</v>
      </c>
      <c r="M118">
        <f t="shared" si="31"/>
        <v>9820.4409396352912</v>
      </c>
    </row>
    <row r="119" spans="5:13">
      <c r="E119">
        <v>1992</v>
      </c>
      <c r="F119">
        <f t="shared" si="32"/>
        <v>3172.3868084604778</v>
      </c>
      <c r="G119">
        <f t="shared" si="36"/>
        <v>2348.2115620572381</v>
      </c>
      <c r="H119">
        <f t="shared" si="36"/>
        <v>1710.3143790213692</v>
      </c>
      <c r="I119">
        <f t="shared" si="36"/>
        <v>1123.1971321463316</v>
      </c>
      <c r="J119">
        <f t="shared" si="36"/>
        <v>575.22109502596038</v>
      </c>
      <c r="K119">
        <f t="shared" si="36"/>
        <v>300.6342711533278</v>
      </c>
      <c r="L119">
        <f t="shared" si="33"/>
        <v>389.66306223879644</v>
      </c>
      <c r="M119">
        <f t="shared" si="31"/>
        <v>9820.440939635293</v>
      </c>
    </row>
    <row r="120" spans="5:13">
      <c r="E120">
        <v>1993</v>
      </c>
      <c r="F120">
        <f t="shared" si="32"/>
        <v>3172.3868084604774</v>
      </c>
      <c r="G120">
        <f t="shared" si="36"/>
        <v>2348.2115620572386</v>
      </c>
      <c r="H120">
        <f t="shared" si="36"/>
        <v>1710.3143790213687</v>
      </c>
      <c r="I120">
        <f t="shared" si="36"/>
        <v>1123.1971321463316</v>
      </c>
      <c r="J120">
        <f t="shared" si="36"/>
        <v>575.22109502596049</v>
      </c>
      <c r="K120">
        <f t="shared" si="36"/>
        <v>300.63427115332775</v>
      </c>
      <c r="L120">
        <f t="shared" si="33"/>
        <v>389.66306223879644</v>
      </c>
      <c r="M120">
        <f t="shared" si="31"/>
        <v>9820.4409396352912</v>
      </c>
    </row>
    <row r="121" spans="5:13">
      <c r="E121">
        <v>1994</v>
      </c>
      <c r="F121">
        <f t="shared" si="32"/>
        <v>3172.3868084604778</v>
      </c>
      <c r="G121">
        <f t="shared" si="36"/>
        <v>2348.2115620572381</v>
      </c>
      <c r="H121">
        <f t="shared" si="36"/>
        <v>1710.3143790213692</v>
      </c>
      <c r="I121">
        <f t="shared" si="36"/>
        <v>1123.1971321463313</v>
      </c>
      <c r="J121">
        <f t="shared" si="36"/>
        <v>575.22109502596049</v>
      </c>
      <c r="K121">
        <f t="shared" si="36"/>
        <v>300.6342711533278</v>
      </c>
      <c r="L121">
        <f t="shared" si="33"/>
        <v>389.66306223879644</v>
      </c>
      <c r="M121">
        <f t="shared" si="31"/>
        <v>9820.4409396352912</v>
      </c>
    </row>
    <row r="122" spans="5:13">
      <c r="E122">
        <v>1995</v>
      </c>
      <c r="F122">
        <f t="shared" si="32"/>
        <v>3172.3868084604778</v>
      </c>
      <c r="G122">
        <f t="shared" si="36"/>
        <v>2348.2115620572386</v>
      </c>
      <c r="H122">
        <f t="shared" si="36"/>
        <v>1710.3143790213687</v>
      </c>
      <c r="I122">
        <f t="shared" si="36"/>
        <v>1123.1971321463316</v>
      </c>
      <c r="J122">
        <f t="shared" si="36"/>
        <v>575.22109502596038</v>
      </c>
      <c r="K122">
        <f t="shared" si="36"/>
        <v>300.6342711533278</v>
      </c>
      <c r="L122">
        <f t="shared" si="33"/>
        <v>389.66306223879644</v>
      </c>
      <c r="M122">
        <f t="shared" si="31"/>
        <v>9820.440939635293</v>
      </c>
    </row>
    <row r="123" spans="5:13">
      <c r="E123">
        <v>1996</v>
      </c>
      <c r="F123">
        <f t="shared" si="32"/>
        <v>3172.3868084604774</v>
      </c>
      <c r="G123">
        <f t="shared" si="36"/>
        <v>2348.2115620572386</v>
      </c>
      <c r="H123">
        <f t="shared" si="36"/>
        <v>1710.3143790213692</v>
      </c>
      <c r="I123">
        <f t="shared" si="36"/>
        <v>1123.1971321463313</v>
      </c>
      <c r="J123">
        <f t="shared" si="36"/>
        <v>575.22109502596049</v>
      </c>
      <c r="K123">
        <f t="shared" si="36"/>
        <v>300.63427115332775</v>
      </c>
      <c r="L123">
        <f t="shared" si="33"/>
        <v>389.66306223879644</v>
      </c>
      <c r="M123">
        <f t="shared" ref="M123:M127" si="37">SUMPRODUCT(F123:L123,EXP(-zf*(m+fe*va)),fa)</f>
        <v>9820.4409396352912</v>
      </c>
    </row>
    <row r="124" spans="5:13">
      <c r="E124">
        <v>1997</v>
      </c>
      <c r="F124">
        <f t="shared" si="32"/>
        <v>3172.3868084604778</v>
      </c>
      <c r="G124">
        <f t="shared" si="36"/>
        <v>2348.2115620572381</v>
      </c>
      <c r="H124">
        <f t="shared" si="36"/>
        <v>1710.3143790213692</v>
      </c>
      <c r="I124">
        <f t="shared" si="36"/>
        <v>1123.1971321463316</v>
      </c>
      <c r="J124">
        <f t="shared" si="36"/>
        <v>575.22109502596038</v>
      </c>
      <c r="K124">
        <f t="shared" si="36"/>
        <v>300.6342711533278</v>
      </c>
      <c r="L124">
        <f t="shared" ref="L124:L127" si="38">K123*EXP(-m-fe*K$4)+L123*EXP(-m-fe*va)</f>
        <v>389.66306223879644</v>
      </c>
      <c r="M124">
        <f t="shared" si="37"/>
        <v>9820.440939635293</v>
      </c>
    </row>
    <row r="125" spans="5:13">
      <c r="E125">
        <v>1998</v>
      </c>
      <c r="F125">
        <f t="shared" si="32"/>
        <v>3172.3868084604774</v>
      </c>
      <c r="G125">
        <f t="shared" si="36"/>
        <v>2348.2115620572386</v>
      </c>
      <c r="H125">
        <f t="shared" si="36"/>
        <v>1710.3143790213687</v>
      </c>
      <c r="I125">
        <f t="shared" si="36"/>
        <v>1123.1971321463316</v>
      </c>
      <c r="J125">
        <f t="shared" si="36"/>
        <v>575.22109502596049</v>
      </c>
      <c r="K125">
        <f t="shared" si="36"/>
        <v>300.63427115332775</v>
      </c>
      <c r="L125">
        <f t="shared" si="38"/>
        <v>389.66306223879644</v>
      </c>
      <c r="M125">
        <f t="shared" si="37"/>
        <v>9820.4409396352912</v>
      </c>
    </row>
    <row r="126" spans="5:13">
      <c r="E126">
        <v>1999</v>
      </c>
      <c r="F126">
        <f t="shared" si="32"/>
        <v>3172.3868084604778</v>
      </c>
      <c r="G126">
        <f t="shared" si="36"/>
        <v>2348.2115620572381</v>
      </c>
      <c r="H126">
        <f t="shared" si="36"/>
        <v>1710.3143790213692</v>
      </c>
      <c r="I126">
        <f t="shared" si="36"/>
        <v>1123.1971321463313</v>
      </c>
      <c r="J126">
        <f t="shared" si="36"/>
        <v>575.22109502596049</v>
      </c>
      <c r="K126">
        <f t="shared" si="36"/>
        <v>300.6342711533278</v>
      </c>
      <c r="L126">
        <f t="shared" si="38"/>
        <v>389.66306223879644</v>
      </c>
      <c r="M126">
        <f t="shared" si="37"/>
        <v>9820.4409396352912</v>
      </c>
    </row>
    <row r="127" spans="5:13">
      <c r="E127">
        <v>2000</v>
      </c>
      <c r="F127">
        <f t="shared" si="32"/>
        <v>3172.3868084604778</v>
      </c>
      <c r="G127">
        <f t="shared" si="36"/>
        <v>2348.2115620572386</v>
      </c>
      <c r="H127">
        <f t="shared" si="36"/>
        <v>1710.3143790213687</v>
      </c>
      <c r="I127">
        <f t="shared" si="36"/>
        <v>1123.1971321463316</v>
      </c>
      <c r="J127">
        <f t="shared" si="36"/>
        <v>575.22109502596038</v>
      </c>
      <c r="K127">
        <f t="shared" si="36"/>
        <v>300.6342711533278</v>
      </c>
      <c r="L127">
        <f t="shared" si="38"/>
        <v>389.66306223879644</v>
      </c>
      <c r="M127">
        <f t="shared" si="37"/>
        <v>9820.440939635293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Allocation</vt:lpstr>
      <vt:lpstr>SingleFleet</vt:lpstr>
      <vt:lpstr>Sheet5</vt:lpstr>
      <vt:lpstr>FlakLake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dcterms:created xsi:type="dcterms:W3CDTF">2012-07-11T06:54:14Z</dcterms:created>
  <dcterms:modified xsi:type="dcterms:W3CDTF">2014-03-05T20:19:17Z</dcterms:modified>
</cp:coreProperties>
</file>