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05976339abd78/Dokumenter/KU/4. år/Bachelor/Data/Minteq/"/>
    </mc:Choice>
  </mc:AlternateContent>
  <xr:revisionPtr revIDLastSave="3" documentId="8_{444F1F16-860A-4B62-B953-DB356EDEAE33}" xr6:coauthVersionLast="47" xr6:coauthVersionMax="47" xr10:uidLastSave="{B1DC01C5-6D86-404C-A66F-EFC906BAD0CF}"/>
  <bookViews>
    <workbookView xWindow="-110" yWindow="-110" windowWidth="19420" windowHeight="10300" activeTab="2" xr2:uid="{F5B018E1-63A6-4141-B020-268135847A29}"/>
  </bookViews>
  <sheets>
    <sheet name="Ark1" sheetId="1" r:id="rId1"/>
    <sheet name="Ark2" sheetId="2" r:id="rId2"/>
    <sheet name="Ar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H7" i="2"/>
  <c r="G7" i="2"/>
  <c r="E7" i="2"/>
  <c r="D7" i="2"/>
  <c r="C7" i="2"/>
  <c r="B7" i="2"/>
  <c r="J6" i="2"/>
  <c r="I6" i="2"/>
  <c r="H6" i="2"/>
  <c r="G6" i="2"/>
  <c r="E6" i="2"/>
  <c r="D6" i="2"/>
  <c r="C6" i="2"/>
  <c r="B6" i="2"/>
  <c r="J5" i="2"/>
  <c r="I5" i="2"/>
  <c r="H5" i="2"/>
  <c r="G5" i="2"/>
  <c r="E5" i="2"/>
  <c r="D5" i="2"/>
  <c r="C5" i="2"/>
  <c r="B5" i="2"/>
  <c r="J4" i="2"/>
  <c r="I4" i="2"/>
  <c r="H4" i="2"/>
  <c r="G4" i="2"/>
  <c r="E4" i="2"/>
  <c r="D4" i="2"/>
  <c r="C4" i="2"/>
  <c r="B4" i="2"/>
  <c r="J3" i="2"/>
  <c r="I3" i="2"/>
  <c r="H3" i="2"/>
  <c r="G3" i="2"/>
  <c r="E3" i="2"/>
  <c r="D3" i="2"/>
  <c r="C3" i="2"/>
  <c r="B3" i="2"/>
  <c r="J2" i="2"/>
  <c r="I2" i="2"/>
  <c r="H2" i="2"/>
  <c r="G2" i="2"/>
  <c r="E2" i="2"/>
  <c r="D2" i="2"/>
  <c r="C2" i="2"/>
  <c r="B2" i="2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  <c r="R3" i="1"/>
  <c r="Q3" i="1"/>
  <c r="P3" i="1"/>
  <c r="O3" i="1"/>
  <c r="N3" i="1"/>
  <c r="M3" i="1"/>
  <c r="L3" i="1"/>
  <c r="K3" i="1"/>
  <c r="R2" i="1"/>
  <c r="Q2" i="1"/>
  <c r="P2" i="1"/>
  <c r="O2" i="1"/>
  <c r="N2" i="1"/>
  <c r="M2" i="1"/>
  <c r="L2" i="1"/>
  <c r="K2" i="1"/>
  <c r="I7" i="1"/>
  <c r="H7" i="1"/>
  <c r="G7" i="1"/>
  <c r="F7" i="1"/>
  <c r="E7" i="1"/>
  <c r="D7" i="1"/>
  <c r="C7" i="1"/>
  <c r="B7" i="1"/>
  <c r="I6" i="1"/>
  <c r="H6" i="1"/>
  <c r="G6" i="1"/>
  <c r="F6" i="1"/>
  <c r="E6" i="1"/>
  <c r="D6" i="1"/>
  <c r="C6" i="1"/>
  <c r="B6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<sst xmlns="http://schemas.openxmlformats.org/spreadsheetml/2006/main" count="28" uniqueCount="18">
  <si>
    <t>Mn(OH)4-2</t>
  </si>
  <si>
    <t>Mn+2</t>
  </si>
  <si>
    <t>Mn2(OH)3+</t>
  </si>
  <si>
    <t>Mn2OH+3</t>
  </si>
  <si>
    <t>MnCl+</t>
  </si>
  <si>
    <t>MnCl2 (aq)</t>
  </si>
  <si>
    <t>MnCl3-</t>
  </si>
  <si>
    <t>MnOH+</t>
  </si>
  <si>
    <t>conc in hcl</t>
  </si>
  <si>
    <t>conc in water</t>
  </si>
  <si>
    <t>Mn+2 in hcl</t>
  </si>
  <si>
    <t>MnCl+ in hcl</t>
  </si>
  <si>
    <t>MnCl2 (aq) in hcl</t>
  </si>
  <si>
    <t xml:space="preserve">MnCl3- in hcl </t>
  </si>
  <si>
    <t>Mn+2 in water</t>
  </si>
  <si>
    <t>MnCl+ in water</t>
  </si>
  <si>
    <t>MnCl2 (aq) in water</t>
  </si>
  <si>
    <t>MnCl3- in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</si>
</sst>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 HCl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Mn+2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cat>
          <c:val>
            <c:numRef>
              <c:f>'Ark1'!$C$2:$C$7</c:f>
              <c:numCache>
                <c:formatCode>General</c:formatCode>
                <c:ptCount val="6"/>
                <c:pt idx="0">
                  <c:v>0.25846706586826351</c:v>
                </c:pt>
                <c:pt idx="1">
                  <c:v>0.44314079422382674</c:v>
                </c:pt>
                <c:pt idx="2">
                  <c:v>0.65345707656612528</c:v>
                </c:pt>
                <c:pt idx="3">
                  <c:v>0.81859090909090904</c:v>
                </c:pt>
                <c:pt idx="4">
                  <c:v>0.89525862068965512</c:v>
                </c:pt>
                <c:pt idx="5">
                  <c:v>0.93071180555555555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2-4CA6-ACF4-25FCD05D7039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MnCl+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'Ark1'!$A$2:$A$7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cat>
          <c:val>
            <c:numRef>
              <c:f>'Ark1'!$F$2:$F$7</c:f>
              <c:numCache>
                <c:formatCode>General</c:formatCode>
                <c:ptCount val="6"/>
                <c:pt idx="0">
                  <c:v>0.26043712574850297</c:v>
                </c:pt>
                <c:pt idx="1">
                  <c:v>0.24367027677496994</c:v>
                </c:pt>
                <c:pt idx="2">
                  <c:v>0.19092575406032483</c:v>
                </c:pt>
                <c:pt idx="3">
                  <c:v>0.12291363636363636</c:v>
                </c:pt>
                <c:pt idx="4">
                  <c:v>8.0667241379310348E-2</c:v>
                </c:pt>
                <c:pt idx="5">
                  <c:v>5.7585069444444442E-2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2-4CA6-ACF4-25FCD05D7039}"/>
            </c:ext>
          </c:extLst>
        </c:ser>
        <c:ser>
          <c:idx val="2"/>
          <c:order val="2"/>
          <c:tx>
            <c:strRef>
              <c:f>'Ark1'!$G$1</c:f>
              <c:strCache>
                <c:ptCount val="1"/>
                <c:pt idx="0">
                  <c:v>MnCl2 (aq)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'Ark1'!$A$2:$A$7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cat>
          <c:val>
            <c:numRef>
              <c:f>'Ark1'!$G$2:$G$7</c:f>
              <c:numCache>
                <c:formatCode>General</c:formatCode>
                <c:ptCount val="6"/>
                <c:pt idx="0">
                  <c:v>0.32547904191616767</c:v>
                </c:pt>
                <c:pt idx="1">
                  <c:v>0.22873646209386284</c:v>
                </c:pt>
                <c:pt idx="2">
                  <c:v>0.12393735498839907</c:v>
                </c:pt>
                <c:pt idx="3">
                  <c:v>5.0609090909090909E-2</c:v>
                </c:pt>
                <c:pt idx="4">
                  <c:v>2.1998275862068963E-2</c:v>
                </c:pt>
                <c:pt idx="5">
                  <c:v>1.0996701388888889E-2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32-4CA6-ACF4-25FCD05D7039}"/>
            </c:ext>
          </c:extLst>
        </c:ser>
        <c:ser>
          <c:idx val="3"/>
          <c:order val="3"/>
          <c:tx>
            <c:strRef>
              <c:f>'Ark1'!$H$1</c:f>
              <c:strCache>
                <c:ptCount val="1"/>
                <c:pt idx="0">
                  <c:v>MnCl3-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'Ark1'!$A$2:$A$7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cat>
          <c:val>
            <c:numRef>
              <c:f>'Ark1'!$H$2:$H$7</c:f>
              <c:numCache>
                <c:formatCode>General</c:formatCode>
                <c:ptCount val="6"/>
                <c:pt idx="0">
                  <c:v>0.15555089820359283</c:v>
                </c:pt>
                <c:pt idx="1">
                  <c:v>8.4399518652226238E-2</c:v>
                </c:pt>
                <c:pt idx="2">
                  <c:v>3.1651972157772622E-2</c:v>
                </c:pt>
                <c:pt idx="3">
                  <c:v>7.8909090909090908E-3</c:v>
                </c:pt>
                <c:pt idx="4">
                  <c:v>2.1148275862068965E-3</c:v>
                </c:pt>
                <c:pt idx="5">
                  <c:v>6.7751736111111116E-4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32-4CA6-ACF4-25FCD05D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556416"/>
        <c:axId val="1089566400"/>
      </c:barChart>
      <c:catAx>
        <c:axId val="108955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89566400"/>
        <c:crosses val="autoZero"/>
        <c:auto val="1"/>
        <c:lblAlgn val="ctr"/>
        <c:lblOffset val="100"/>
        <c:noMultiLvlLbl val="0"/>
      </c:catAx>
      <c:valAx>
        <c:axId val="10895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895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'Ark1'!$L$1</c:f>
              <c:strCache>
                <c:ptCount val="1"/>
                <c:pt idx="0">
                  <c:v>Mn+2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'Ark1'!$J$2:$J$7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cat>
          <c:val>
            <c:numRef>
              <c:f>'Ark1'!$L$2:$L$7</c:f>
              <c:numCache>
                <c:formatCode>General</c:formatCode>
                <c:ptCount val="6"/>
                <c:pt idx="0">
                  <c:v>0.26047457627118642</c:v>
                </c:pt>
                <c:pt idx="1">
                  <c:v>0.45398179749715589</c:v>
                </c:pt>
                <c:pt idx="2">
                  <c:v>0.70443914081145587</c:v>
                </c:pt>
                <c:pt idx="3">
                  <c:v>0.85069264069264061</c:v>
                </c:pt>
                <c:pt idx="4">
                  <c:v>0.93556730769230767</c:v>
                </c:pt>
                <c:pt idx="5">
                  <c:v>0.95998322147651005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F-4CA7-B9C7-CF0E5BD8D3A6}"/>
            </c:ext>
          </c:extLst>
        </c:ser>
        <c:ser>
          <c:idx val="1"/>
          <c:order val="1"/>
          <c:tx>
            <c:strRef>
              <c:f>'Ark1'!$O$1</c:f>
              <c:strCache>
                <c:ptCount val="1"/>
                <c:pt idx="0">
                  <c:v>MnCl+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'Ark1'!$J$2:$J$7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cat>
          <c:val>
            <c:numRef>
              <c:f>'Ark1'!$O$2:$O$7</c:f>
              <c:numCache>
                <c:formatCode>General</c:formatCode>
                <c:ptCount val="6"/>
                <c:pt idx="0">
                  <c:v>0.26276271186440681</c:v>
                </c:pt>
                <c:pt idx="1">
                  <c:v>0.24360637087599543</c:v>
                </c:pt>
                <c:pt idx="2">
                  <c:v>0.17373269689737469</c:v>
                </c:pt>
                <c:pt idx="3">
                  <c:v>0.10668831168831168</c:v>
                </c:pt>
                <c:pt idx="4">
                  <c:v>5.4160576923076929E-2</c:v>
                </c:pt>
                <c:pt idx="5">
                  <c:v>3.5822147651006712E-2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F-4CA7-B9C7-CF0E5BD8D3A6}"/>
            </c:ext>
          </c:extLst>
        </c:ser>
        <c:ser>
          <c:idx val="2"/>
          <c:order val="2"/>
          <c:tx>
            <c:strRef>
              <c:f>'Ark1'!$P$1</c:f>
              <c:strCache>
                <c:ptCount val="1"/>
                <c:pt idx="0">
                  <c:v>MnCl2 (aq)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'Ark1'!$J$2:$J$7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cat>
          <c:val>
            <c:numRef>
              <c:f>'Ark1'!$P$2:$P$7</c:f>
              <c:numCache>
                <c:formatCode>General</c:formatCode>
                <c:ptCount val="6"/>
                <c:pt idx="0">
                  <c:v>0.3240960451977401</c:v>
                </c:pt>
                <c:pt idx="1">
                  <c:v>0.22254835039817975</c:v>
                </c:pt>
                <c:pt idx="2">
                  <c:v>9.9491646778042966E-2</c:v>
                </c:pt>
                <c:pt idx="3">
                  <c:v>3.7642857142857145E-2</c:v>
                </c:pt>
                <c:pt idx="4">
                  <c:v>9.6817307692307706E-3</c:v>
                </c:pt>
                <c:pt idx="5">
                  <c:v>4.0362416107382545E-3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F-4CA7-B9C7-CF0E5BD8D3A6}"/>
            </c:ext>
          </c:extLst>
        </c:ser>
        <c:ser>
          <c:idx val="3"/>
          <c:order val="3"/>
          <c:tx>
            <c:strRef>
              <c:f>'Ark1'!$Q$1</c:f>
              <c:strCache>
                <c:ptCount val="1"/>
                <c:pt idx="0">
                  <c:v>MnCl3-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'Ark1'!$J$2:$J$7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cat>
          <c:val>
            <c:numRef>
              <c:f>'Ark1'!$Q$2:$Q$7</c:f>
              <c:numCache>
                <c:formatCode>General</c:formatCode>
                <c:ptCount val="6"/>
                <c:pt idx="0">
                  <c:v>0.15262146892655368</c:v>
                </c:pt>
                <c:pt idx="1">
                  <c:v>7.9904436860068262E-2</c:v>
                </c:pt>
                <c:pt idx="2">
                  <c:v>2.2337231503579951E-2</c:v>
                </c:pt>
                <c:pt idx="3">
                  <c:v>4.9744588744588735E-3</c:v>
                </c:pt>
                <c:pt idx="4">
                  <c:v>5.7160576923076924E-4</c:v>
                </c:pt>
                <c:pt idx="5" formatCode="0.00E+00">
                  <c:v>1.3489932885906038E-4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FF-4CA7-B9C7-CF0E5BD8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227504"/>
        <c:axId val="1992229584"/>
      </c:barChart>
      <c:catAx>
        <c:axId val="19922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2229584"/>
        <c:crosses val="autoZero"/>
        <c:auto val="1"/>
        <c:lblAlgn val="ctr"/>
        <c:lblOffset val="100"/>
        <c:noMultiLvlLbl val="0"/>
      </c:catAx>
      <c:valAx>
        <c:axId val="1992229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22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 HCl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Mn+2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xVal>
          <c:yVal>
            <c:numRef>
              <c:f>'Ark1'!$C$2:$C$7</c:f>
              <c:numCache>
                <c:formatCode>General</c:formatCode>
                <c:ptCount val="6"/>
                <c:pt idx="0">
                  <c:v>0.25846706586826351</c:v>
                </c:pt>
                <c:pt idx="1">
                  <c:v>0.44314079422382674</c:v>
                </c:pt>
                <c:pt idx="2">
                  <c:v>0.65345707656612528</c:v>
                </c:pt>
                <c:pt idx="3">
                  <c:v>0.81859090909090904</c:v>
                </c:pt>
                <c:pt idx="4">
                  <c:v>0.89525862068965512</c:v>
                </c:pt>
                <c:pt idx="5">
                  <c:v>0.93071180555555555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7-4967-A5A1-14B8A456BEC2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MnCl+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xVal>
          <c:yVal>
            <c:numRef>
              <c:f>'Ark1'!$F$2:$F$7</c:f>
              <c:numCache>
                <c:formatCode>General</c:formatCode>
                <c:ptCount val="6"/>
                <c:pt idx="0">
                  <c:v>0.26043712574850297</c:v>
                </c:pt>
                <c:pt idx="1">
                  <c:v>0.24367027677496994</c:v>
                </c:pt>
                <c:pt idx="2">
                  <c:v>0.19092575406032483</c:v>
                </c:pt>
                <c:pt idx="3">
                  <c:v>0.12291363636363636</c:v>
                </c:pt>
                <c:pt idx="4">
                  <c:v>8.0667241379310348E-2</c:v>
                </c:pt>
                <c:pt idx="5">
                  <c:v>5.7585069444444442E-2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7-4967-A5A1-14B8A456BEC2}"/>
            </c:ext>
          </c:extLst>
        </c:ser>
        <c:ser>
          <c:idx val="2"/>
          <c:order val="2"/>
          <c:tx>
            <c:strRef>
              <c:f>'Ark1'!$G$1</c:f>
              <c:strCache>
                <c:ptCount val="1"/>
                <c:pt idx="0">
                  <c:v>MnCl2 (aq)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'Ark1'!$A$2:$A$7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xVal>
          <c:yVal>
            <c:numRef>
              <c:f>'Ark1'!$G$2:$G$7</c:f>
              <c:numCache>
                <c:formatCode>General</c:formatCode>
                <c:ptCount val="6"/>
                <c:pt idx="0">
                  <c:v>0.32547904191616767</c:v>
                </c:pt>
                <c:pt idx="1">
                  <c:v>0.22873646209386284</c:v>
                </c:pt>
                <c:pt idx="2">
                  <c:v>0.12393735498839907</c:v>
                </c:pt>
                <c:pt idx="3">
                  <c:v>5.0609090909090909E-2</c:v>
                </c:pt>
                <c:pt idx="4">
                  <c:v>2.1998275862068963E-2</c:v>
                </c:pt>
                <c:pt idx="5">
                  <c:v>1.0996701388888889E-2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7-4967-A5A1-14B8A456BEC2}"/>
            </c:ext>
          </c:extLst>
        </c:ser>
        <c:ser>
          <c:idx val="3"/>
          <c:order val="3"/>
          <c:tx>
            <c:strRef>
              <c:f>'Ark1'!$H$1</c:f>
              <c:strCache>
                <c:ptCount val="1"/>
                <c:pt idx="0">
                  <c:v>MnCl3-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'Ark1'!$A$2:$A$7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xVal>
          <c:yVal>
            <c:numRef>
              <c:f>'Ark1'!$H$2:$H$7</c:f>
              <c:numCache>
                <c:formatCode>General</c:formatCode>
                <c:ptCount val="6"/>
                <c:pt idx="0">
                  <c:v>0.15555089820359283</c:v>
                </c:pt>
                <c:pt idx="1">
                  <c:v>8.4399518652226238E-2</c:v>
                </c:pt>
                <c:pt idx="2">
                  <c:v>3.1651972157772622E-2</c:v>
                </c:pt>
                <c:pt idx="3">
                  <c:v>7.8909090909090908E-3</c:v>
                </c:pt>
                <c:pt idx="4">
                  <c:v>2.1148275862068965E-3</c:v>
                </c:pt>
                <c:pt idx="5">
                  <c:v>6.7751736111111116E-4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27-4967-A5A1-14B8A456B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60576"/>
        <c:axId val="1089568064"/>
      </c:scatterChart>
      <c:valAx>
        <c:axId val="10895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89568064"/>
        <c:crosses val="autoZero"/>
        <c:crossBetween val="midCat"/>
      </c:valAx>
      <c:valAx>
        <c:axId val="10895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8956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</a:t>
            </a:r>
            <a:r>
              <a:rPr lang="da-DK" baseline="0"/>
              <a:t> Water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'Ark1'!$L$1</c:f>
              <c:strCache>
                <c:ptCount val="1"/>
                <c:pt idx="0">
                  <c:v>Mn+2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'Ark1'!$J$2:$J$7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xVal>
          <c:yVal>
            <c:numRef>
              <c:f>'Ark1'!$L$2:$L$7</c:f>
              <c:numCache>
                <c:formatCode>General</c:formatCode>
                <c:ptCount val="6"/>
                <c:pt idx="0">
                  <c:v>0.26047457627118642</c:v>
                </c:pt>
                <c:pt idx="1">
                  <c:v>0.45398179749715589</c:v>
                </c:pt>
                <c:pt idx="2">
                  <c:v>0.70443914081145587</c:v>
                </c:pt>
                <c:pt idx="3">
                  <c:v>0.85069264069264061</c:v>
                </c:pt>
                <c:pt idx="4">
                  <c:v>0.93556730769230767</c:v>
                </c:pt>
                <c:pt idx="5">
                  <c:v>0.95998322147651005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6-4A81-A50B-C3848787BF28}"/>
            </c:ext>
          </c:extLst>
        </c:ser>
        <c:ser>
          <c:idx val="1"/>
          <c:order val="1"/>
          <c:tx>
            <c:strRef>
              <c:f>'Ark1'!$O$1</c:f>
              <c:strCache>
                <c:ptCount val="1"/>
                <c:pt idx="0">
                  <c:v>MnCl+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'Ark1'!$J$2:$J$7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xVal>
          <c:yVal>
            <c:numRef>
              <c:f>'Ark1'!$O$2:$O$7</c:f>
              <c:numCache>
                <c:formatCode>General</c:formatCode>
                <c:ptCount val="6"/>
                <c:pt idx="0">
                  <c:v>0.26276271186440681</c:v>
                </c:pt>
                <c:pt idx="1">
                  <c:v>0.24360637087599543</c:v>
                </c:pt>
                <c:pt idx="2">
                  <c:v>0.17373269689737469</c:v>
                </c:pt>
                <c:pt idx="3">
                  <c:v>0.10668831168831168</c:v>
                </c:pt>
                <c:pt idx="4">
                  <c:v>5.4160576923076929E-2</c:v>
                </c:pt>
                <c:pt idx="5">
                  <c:v>3.5822147651006712E-2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6-4A81-A50B-C3848787BF28}"/>
            </c:ext>
          </c:extLst>
        </c:ser>
        <c:ser>
          <c:idx val="2"/>
          <c:order val="2"/>
          <c:tx>
            <c:strRef>
              <c:f>'Ark1'!$P$1</c:f>
              <c:strCache>
                <c:ptCount val="1"/>
                <c:pt idx="0">
                  <c:v>MnCl2 (aq)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'Ark1'!$J$2:$J$7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xVal>
          <c:yVal>
            <c:numRef>
              <c:f>'Ark1'!$P$2:$P$7</c:f>
              <c:numCache>
                <c:formatCode>General</c:formatCode>
                <c:ptCount val="6"/>
                <c:pt idx="0">
                  <c:v>0.3240960451977401</c:v>
                </c:pt>
                <c:pt idx="1">
                  <c:v>0.22254835039817975</c:v>
                </c:pt>
                <c:pt idx="2">
                  <c:v>9.9491646778042966E-2</c:v>
                </c:pt>
                <c:pt idx="3">
                  <c:v>3.7642857142857145E-2</c:v>
                </c:pt>
                <c:pt idx="4">
                  <c:v>9.6817307692307706E-3</c:v>
                </c:pt>
                <c:pt idx="5">
                  <c:v>4.0362416107382545E-3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6-4A81-A50B-C3848787BF28}"/>
            </c:ext>
          </c:extLst>
        </c:ser>
        <c:ser>
          <c:idx val="3"/>
          <c:order val="3"/>
          <c:tx>
            <c:strRef>
              <c:f>'Ark1'!$Q$1</c:f>
              <c:strCache>
                <c:ptCount val="1"/>
                <c:pt idx="0">
                  <c:v>MnCl3-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'Ark1'!$J$2:$J$7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xVal>
          <c:yVal>
            <c:numRef>
              <c:f>'Ark1'!$Q$2:$Q$7</c:f>
              <c:numCache>
                <c:formatCode>General</c:formatCode>
                <c:ptCount val="6"/>
                <c:pt idx="0">
                  <c:v>0.15262146892655368</c:v>
                </c:pt>
                <c:pt idx="1">
                  <c:v>7.9904436860068262E-2</c:v>
                </c:pt>
                <c:pt idx="2">
                  <c:v>2.2337231503579951E-2</c:v>
                </c:pt>
                <c:pt idx="3">
                  <c:v>4.9744588744588735E-3</c:v>
                </c:pt>
                <c:pt idx="4">
                  <c:v>5.7160576923076924E-4</c:v>
                </c:pt>
                <c:pt idx="5" formatCode="0.00E+00">
                  <c:v>1.3489932885906038E-4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6-4A81-A50B-C3848787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723104"/>
        <c:axId val="325723936"/>
      </c:scatterChart>
      <c:valAx>
        <c:axId val="3257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5723936"/>
        <c:crosses val="autoZero"/>
        <c:crossBetween val="midCat"/>
        <c:majorUnit val="0.2"/>
      </c:valAx>
      <c:valAx>
        <c:axId val="325723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257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'Ark2'!$B$1</c:f>
              <c:strCache>
                <c:ptCount val="1"/>
                <c:pt idx="0">
                  <c:v>Mn+2 in hcl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'Ark2'!$A$2:$A$7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xVal>
          <c:yVal>
            <c:numRef>
              <c:f>'Ark2'!$B$2:$B$7</c:f>
              <c:numCache>
                <c:formatCode>General</c:formatCode>
                <c:ptCount val="6"/>
                <c:pt idx="0">
                  <c:v>0.25846706586826351</c:v>
                </c:pt>
                <c:pt idx="1">
                  <c:v>0.44314079422382674</c:v>
                </c:pt>
                <c:pt idx="2">
                  <c:v>0.65345707656612528</c:v>
                </c:pt>
                <c:pt idx="3">
                  <c:v>0.81859090909090904</c:v>
                </c:pt>
                <c:pt idx="4">
                  <c:v>0.89525862068965512</c:v>
                </c:pt>
                <c:pt idx="5">
                  <c:v>0.93071180555555555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7-4FF5-936E-8FBADBE3DBB8}"/>
            </c:ext>
          </c:extLst>
        </c:ser>
        <c:ser>
          <c:idx val="1"/>
          <c:order val="1"/>
          <c:tx>
            <c:strRef>
              <c:f>'Ark2'!$C$1</c:f>
              <c:strCache>
                <c:ptCount val="1"/>
                <c:pt idx="0">
                  <c:v>MnCl+ in hcl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'Ark2'!$A$2:$A$7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xVal>
          <c:yVal>
            <c:numRef>
              <c:f>'Ark2'!$C$2:$C$7</c:f>
              <c:numCache>
                <c:formatCode>General</c:formatCode>
                <c:ptCount val="6"/>
                <c:pt idx="0">
                  <c:v>0.26043712574850297</c:v>
                </c:pt>
                <c:pt idx="1">
                  <c:v>0.24367027677496994</c:v>
                </c:pt>
                <c:pt idx="2">
                  <c:v>0.19092575406032483</c:v>
                </c:pt>
                <c:pt idx="3">
                  <c:v>0.12291363636363636</c:v>
                </c:pt>
                <c:pt idx="4">
                  <c:v>8.0667241379310348E-2</c:v>
                </c:pt>
                <c:pt idx="5">
                  <c:v>5.7585069444444442E-2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7-4FF5-936E-8FBADBE3DBB8}"/>
            </c:ext>
          </c:extLst>
        </c:ser>
        <c:ser>
          <c:idx val="2"/>
          <c:order val="2"/>
          <c:tx>
            <c:strRef>
              <c:f>'Ark2'!$D$1</c:f>
              <c:strCache>
                <c:ptCount val="1"/>
                <c:pt idx="0">
                  <c:v>MnCl2 (aq) in hcl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'Ark2'!$A$2:$A$7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xVal>
          <c:yVal>
            <c:numRef>
              <c:f>'Ark2'!$D$2:$D$7</c:f>
              <c:numCache>
                <c:formatCode>General</c:formatCode>
                <c:ptCount val="6"/>
                <c:pt idx="0">
                  <c:v>0.32547904191616767</c:v>
                </c:pt>
                <c:pt idx="1">
                  <c:v>0.22873646209386284</c:v>
                </c:pt>
                <c:pt idx="2">
                  <c:v>0.12393735498839907</c:v>
                </c:pt>
                <c:pt idx="3">
                  <c:v>5.0609090909090909E-2</c:v>
                </c:pt>
                <c:pt idx="4">
                  <c:v>2.1998275862068963E-2</c:v>
                </c:pt>
                <c:pt idx="5">
                  <c:v>1.0996701388888889E-2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7-4FF5-936E-8FBADBE3DBB8}"/>
            </c:ext>
          </c:extLst>
        </c:ser>
        <c:ser>
          <c:idx val="3"/>
          <c:order val="3"/>
          <c:tx>
            <c:strRef>
              <c:f>'Ark2'!$E$1</c:f>
              <c:strCache>
                <c:ptCount val="1"/>
                <c:pt idx="0">
                  <c:v>MnCl3- in hcl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'Ark2'!$A$2:$A$7</c:f>
              <c:numCache>
                <c:formatCode>General</c:formatCode>
                <c:ptCount val="6"/>
                <c:pt idx="0">
                  <c:v>1.67</c:v>
                </c:pt>
                <c:pt idx="1">
                  <c:v>0.83099999999999996</c:v>
                </c:pt>
                <c:pt idx="2">
                  <c:v>0.43099999999999999</c:v>
                </c:pt>
                <c:pt idx="3">
                  <c:v>0.22</c:v>
                </c:pt>
                <c:pt idx="4">
                  <c:v>0.11600000000000001</c:v>
                </c:pt>
                <c:pt idx="5">
                  <c:v>5.7599999999999998E-2</c:v>
                </c:pt>
              </c:numCache>
            </c:numRef>
          </c:xVal>
          <c:yVal>
            <c:numRef>
              <c:f>'Ark2'!$E$2:$E$7</c:f>
              <c:numCache>
                <c:formatCode>General</c:formatCode>
                <c:ptCount val="6"/>
                <c:pt idx="0">
                  <c:v>0.15555089820359283</c:v>
                </c:pt>
                <c:pt idx="1">
                  <c:v>8.4399518652226238E-2</c:v>
                </c:pt>
                <c:pt idx="2">
                  <c:v>3.1651972157772622E-2</c:v>
                </c:pt>
                <c:pt idx="3">
                  <c:v>7.8909090909090908E-3</c:v>
                </c:pt>
                <c:pt idx="4">
                  <c:v>2.1148275862068965E-3</c:v>
                </c:pt>
                <c:pt idx="5">
                  <c:v>6.7751736111111116E-4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27-4FF5-936E-8FBADBE3DBB8}"/>
            </c:ext>
          </c:extLst>
        </c:ser>
        <c:ser>
          <c:idx val="4"/>
          <c:order val="4"/>
          <c:tx>
            <c:strRef>
              <c:f>'Ark2'!$G$1</c:f>
              <c:strCache>
                <c:ptCount val="1"/>
                <c:pt idx="0">
                  <c:v>Mn+2 in water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'Ark2'!$F$2:$F$7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xVal>
          <c:yVal>
            <c:numRef>
              <c:f>'Ark2'!$G$2:$G$7</c:f>
              <c:numCache>
                <c:formatCode>General</c:formatCode>
                <c:ptCount val="6"/>
                <c:pt idx="0">
                  <c:v>0.26047457627118642</c:v>
                </c:pt>
                <c:pt idx="1">
                  <c:v>0.45398179749715589</c:v>
                </c:pt>
                <c:pt idx="2">
                  <c:v>0.70443914081145587</c:v>
                </c:pt>
                <c:pt idx="3">
                  <c:v>0.85069264069264061</c:v>
                </c:pt>
                <c:pt idx="4">
                  <c:v>0.93556730769230767</c:v>
                </c:pt>
                <c:pt idx="5">
                  <c:v>0.95998322147651005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7-4FF5-936E-8FBADBE3DBB8}"/>
            </c:ext>
          </c:extLst>
        </c:ser>
        <c:ser>
          <c:idx val="5"/>
          <c:order val="5"/>
          <c:tx>
            <c:strRef>
              <c:f>'Ark2'!$H$1</c:f>
              <c:strCache>
                <c:ptCount val="1"/>
                <c:pt idx="0">
                  <c:v>MnCl+ in water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'Ark2'!$F$2:$F$7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xVal>
          <c:yVal>
            <c:numRef>
              <c:f>'Ark2'!$H$2:$H$7</c:f>
              <c:numCache>
                <c:formatCode>General</c:formatCode>
                <c:ptCount val="6"/>
                <c:pt idx="0">
                  <c:v>0.26276271186440681</c:v>
                </c:pt>
                <c:pt idx="1">
                  <c:v>0.24360637087599543</c:v>
                </c:pt>
                <c:pt idx="2">
                  <c:v>0.17373269689737469</c:v>
                </c:pt>
                <c:pt idx="3">
                  <c:v>0.10668831168831168</c:v>
                </c:pt>
                <c:pt idx="4">
                  <c:v>5.4160576923076929E-2</c:v>
                </c:pt>
                <c:pt idx="5">
                  <c:v>3.5822147651006712E-2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27-4FF5-936E-8FBADBE3DBB8}"/>
            </c:ext>
          </c:extLst>
        </c:ser>
        <c:ser>
          <c:idx val="6"/>
          <c:order val="6"/>
          <c:tx>
            <c:strRef>
              <c:f>'Ark2'!$I$1</c:f>
              <c:strCache>
                <c:ptCount val="1"/>
                <c:pt idx="0">
                  <c:v>MnCl2 (aq) in water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'Ark2'!$F$2:$F$7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xVal>
          <c:yVal>
            <c:numRef>
              <c:f>'Ark2'!$I$2:$I$7</c:f>
              <c:numCache>
                <c:formatCode>General</c:formatCode>
                <c:ptCount val="6"/>
                <c:pt idx="0">
                  <c:v>0.3240960451977401</c:v>
                </c:pt>
                <c:pt idx="1">
                  <c:v>0.22254835039817975</c:v>
                </c:pt>
                <c:pt idx="2">
                  <c:v>9.9491646778042966E-2</c:v>
                </c:pt>
                <c:pt idx="3">
                  <c:v>3.7642857142857145E-2</c:v>
                </c:pt>
                <c:pt idx="4">
                  <c:v>9.6817307692307706E-3</c:v>
                </c:pt>
                <c:pt idx="5">
                  <c:v>4.0362416107382545E-3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7-4FF5-936E-8FBADBE3DBB8}"/>
            </c:ext>
          </c:extLst>
        </c:ser>
        <c:ser>
          <c:idx val="7"/>
          <c:order val="7"/>
          <c:tx>
            <c:strRef>
              <c:f>'Ark2'!$J$1</c:f>
              <c:strCache>
                <c:ptCount val="1"/>
                <c:pt idx="0">
                  <c:v>MnCl3- in water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'Ark2'!$F$2:$F$7</c:f>
              <c:numCache>
                <c:formatCode>General</c:formatCode>
                <c:ptCount val="6"/>
                <c:pt idx="0">
                  <c:v>1.77</c:v>
                </c:pt>
                <c:pt idx="1">
                  <c:v>0.879</c:v>
                </c:pt>
                <c:pt idx="2">
                  <c:v>0.41899999999999998</c:v>
                </c:pt>
                <c:pt idx="3">
                  <c:v>0.23100000000000001</c:v>
                </c:pt>
                <c:pt idx="4">
                  <c:v>0.104</c:v>
                </c:pt>
                <c:pt idx="5">
                  <c:v>5.96E-2</c:v>
                </c:pt>
              </c:numCache>
            </c:numRef>
          </c:xVal>
          <c:yVal>
            <c:numRef>
              <c:f>'Ark2'!$J$2:$J$7</c:f>
              <c:numCache>
                <c:formatCode>General</c:formatCode>
                <c:ptCount val="6"/>
                <c:pt idx="0">
                  <c:v>0.15262146892655368</c:v>
                </c:pt>
                <c:pt idx="1">
                  <c:v>7.9904436860068262E-2</c:v>
                </c:pt>
                <c:pt idx="2">
                  <c:v>2.2337231503579951E-2</c:v>
                </c:pt>
                <c:pt idx="3">
                  <c:v>4.9744588744588735E-3</c:v>
                </c:pt>
                <c:pt idx="4">
                  <c:v>5.7160576923076924E-4</c:v>
                </c:pt>
                <c:pt idx="5" formatCode="0.00E+00">
                  <c:v>1.3489932885906038E-4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27-4FF5-936E-8FBADBE3D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83216"/>
        <c:axId val="858290288"/>
      </c:scatterChart>
      <c:valAx>
        <c:axId val="858283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8290288"/>
        <c:crosses val="autoZero"/>
        <c:crossBetween val="midCat"/>
      </c:valAx>
      <c:valAx>
        <c:axId val="8582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828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FDD326B-9E00-44CD-9C3E-3AD222027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298450</xdr:colOff>
      <xdr:row>0</xdr:row>
      <xdr:rowOff>0</xdr:rowOff>
    </xdr:from>
    <xdr:to>
      <xdr:col>14</xdr:col>
      <xdr:colOff>603250</xdr:colOff>
      <xdr:row>14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051A7BF-956F-4D21-A4A6-71EA6F9F2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165100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2D601AA-545A-47E8-AC64-F7F74E90D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17</xdr:row>
      <xdr:rowOff>0</xdr:rowOff>
    </xdr:from>
    <xdr:to>
      <xdr:col>15</xdr:col>
      <xdr:colOff>0</xdr:colOff>
      <xdr:row>31</xdr:row>
      <xdr:rowOff>165100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5CCA686C-D57D-45F8-8FB1-58845BD40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25400</xdr:rowOff>
    </xdr:from>
    <xdr:to>
      <xdr:col>10</xdr:col>
      <xdr:colOff>358775</xdr:colOff>
      <xdr:row>49</xdr:row>
      <xdr:rowOff>146050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9BF4328-F06D-4EE6-BE9C-3B99DA382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EAAC-E904-4641-B4DF-D7D66579E7B6}">
  <dimension ref="A1:R10"/>
  <sheetViews>
    <sheetView topLeftCell="I1" workbookViewId="0">
      <selection activeCell="O10" sqref="O10"/>
    </sheetView>
  </sheetViews>
  <sheetFormatPr defaultRowHeight="14.5" x14ac:dyDescent="0.35"/>
  <sheetData>
    <row r="1" spans="1:18" x14ac:dyDescent="0.3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</row>
    <row r="2" spans="1:18" x14ac:dyDescent="0.35">
      <c r="A2">
        <v>1.67</v>
      </c>
      <c r="B2" s="1">
        <f>1.73E-45/1.67</f>
        <v>1.0359281437125749E-45</v>
      </c>
      <c r="C2">
        <f>0.43164/1.67</f>
        <v>0.25846706586826351</v>
      </c>
      <c r="D2" s="1">
        <f>1.6E-22/1.67</f>
        <v>9.5808383233532938E-23</v>
      </c>
      <c r="E2" s="1">
        <f>0.0000000000457/1.67</f>
        <v>2.7365269461077845E-11</v>
      </c>
      <c r="F2">
        <f>0.43493/1.67</f>
        <v>0.26043712574850297</v>
      </c>
      <c r="G2">
        <f>0.54355/1.67</f>
        <v>0.32547904191616767</v>
      </c>
      <c r="H2">
        <f>0.25977/1.67</f>
        <v>0.15555089820359283</v>
      </c>
      <c r="I2" s="1">
        <f>0.0000000000936/1.67</f>
        <v>5.6047904191616772E-11</v>
      </c>
      <c r="J2">
        <v>1.77</v>
      </c>
      <c r="K2" s="1">
        <f>7.722E-28/1.77</f>
        <v>4.3627118644067799E-28</v>
      </c>
      <c r="L2">
        <f>0.46104/1.77</f>
        <v>0.26047457627118642</v>
      </c>
      <c r="M2" s="1">
        <f>0.0000000031114/1.77</f>
        <v>1.7578531073446327E-9</v>
      </c>
      <c r="N2" s="1">
        <f>0.0000013169/1.77</f>
        <v>7.4401129943502829E-7</v>
      </c>
      <c r="O2">
        <f>0.46509/1.77</f>
        <v>0.26276271186440681</v>
      </c>
      <c r="P2">
        <f>0.57365/1.77</f>
        <v>0.3240960451977401</v>
      </c>
      <c r="Q2">
        <f>0.27014/1.77</f>
        <v>0.15262146892655368</v>
      </c>
      <c r="R2" s="1">
        <f>0.0000025794/1.77</f>
        <v>1.4572881355932202E-6</v>
      </c>
    </row>
    <row r="3" spans="1:18" x14ac:dyDescent="0.35">
      <c r="A3">
        <v>0.83099999999999996</v>
      </c>
      <c r="B3" s="1">
        <f>2.77E-45/0.831</f>
        <v>3.3333333333333336E-45</v>
      </c>
      <c r="C3">
        <f>0.36825/0.831</f>
        <v>0.44314079422382674</v>
      </c>
      <c r="D3" s="1">
        <f>8.59E-23/0.831</f>
        <v>1.0336943441636584E-22</v>
      </c>
      <c r="E3" s="1">
        <f>0.0000000000434/0.831</f>
        <v>5.2226233453670277E-11</v>
      </c>
      <c r="F3">
        <f>0.20249/0.831</f>
        <v>0.24367027677496994</v>
      </c>
      <c r="G3">
        <f>0.19008/0.831</f>
        <v>0.22873646209386284</v>
      </c>
      <c r="H3">
        <f>0.070136/0.831</f>
        <v>8.4399518652226238E-2</v>
      </c>
      <c r="I3" s="1">
        <f>0.000000000067/0.831</f>
        <v>8.0625752105896516E-11</v>
      </c>
      <c r="J3">
        <v>0.879</v>
      </c>
      <c r="K3" s="1">
        <f>1.95E-27/0.879</f>
        <v>2.2184300341296927E-27</v>
      </c>
      <c r="L3">
        <f>0.39905/0.879</f>
        <v>0.45398179749715589</v>
      </c>
      <c r="M3" s="1">
        <f>0.00000000232/0.879</f>
        <v>2.6393629124004548E-9</v>
      </c>
      <c r="N3" s="1">
        <f>0.00000145/0.879</f>
        <v>1.6496018202502846E-6</v>
      </c>
      <c r="O3">
        <f>0.21413/0.879</f>
        <v>0.24360637087599543</v>
      </c>
      <c r="P3">
        <f>0.19562/0.879</f>
        <v>0.22254835039817975</v>
      </c>
      <c r="Q3">
        <f>0.070236/0.879</f>
        <v>7.9904436860068262E-2</v>
      </c>
      <c r="R3" s="1">
        <f>0.00000207/0.879</f>
        <v>2.3549488054607508E-6</v>
      </c>
    </row>
    <row r="4" spans="1:18" x14ac:dyDescent="0.35">
      <c r="A4">
        <v>0.43099999999999999</v>
      </c>
      <c r="B4" s="1">
        <f>3.28E-45/0.431</f>
        <v>7.6102088167053365E-45</v>
      </c>
      <c r="C4">
        <f>0.28164/0.431</f>
        <v>0.65345707656612528</v>
      </c>
      <c r="D4" s="1">
        <f>3.77E-23/0.431</f>
        <v>8.7470997679814386E-23</v>
      </c>
      <c r="E4" s="1">
        <f>0.000000000031/0.431</f>
        <v>7.192575406032483E-11</v>
      </c>
      <c r="F4">
        <f>0.082289/0.431</f>
        <v>0.19092575406032483</v>
      </c>
      <c r="G4">
        <f>0.053417/0.431</f>
        <v>0.12393735498839907</v>
      </c>
      <c r="H4">
        <f>0.013642/0.431</f>
        <v>3.1651972157772622E-2</v>
      </c>
      <c r="I4" s="1">
        <f>0.0000000000439/0.431</f>
        <v>1.0185614849187934E-10</v>
      </c>
      <c r="J4">
        <v>0.41899999999999998</v>
      </c>
      <c r="K4" s="1">
        <f>5.74E-27/0.419</f>
        <v>1.3699284009546541E-26</v>
      </c>
      <c r="L4">
        <f>0.29516/0.419</f>
        <v>0.70443914081145587</v>
      </c>
      <c r="M4" s="1">
        <f>0.00000000174/0.419</f>
        <v>4.1527446300715991E-9</v>
      </c>
      <c r="N4">
        <f>0.000001239/0.419</f>
        <v>2.9570405727923625E-6</v>
      </c>
      <c r="O4">
        <f>0.072794/0.419</f>
        <v>0.17373269689737469</v>
      </c>
      <c r="P4">
        <f>0.041687/0.419</f>
        <v>9.9491646778042966E-2</v>
      </c>
      <c r="Q4">
        <f>0.0093593/0.419</f>
        <v>2.2337231503579951E-2</v>
      </c>
      <c r="R4" s="1">
        <f>0.00000158/0.419</f>
        <v>3.7708830548926015E-6</v>
      </c>
    </row>
    <row r="5" spans="1:18" x14ac:dyDescent="0.35">
      <c r="A5">
        <v>0.22</v>
      </c>
      <c r="B5" s="1">
        <f>2.83E-45/0.22</f>
        <v>1.2863636363636361E-44</v>
      </c>
      <c r="C5">
        <f>0.18009/0.22</f>
        <v>0.81859090909090904</v>
      </c>
      <c r="D5" s="1">
        <f>1.23E-23/0.22</f>
        <v>5.5909090909090904E-23</v>
      </c>
      <c r="E5" s="1">
        <f>0.0000000000145/0.22</f>
        <v>6.5909090909090906E-11</v>
      </c>
      <c r="F5">
        <f>0.027041/0.22</f>
        <v>0.12291363636363636</v>
      </c>
      <c r="G5">
        <f>0.011134/0.22</f>
        <v>5.0609090909090909E-2</v>
      </c>
      <c r="H5">
        <f>0.001736/0.22</f>
        <v>7.8909090909090908E-3</v>
      </c>
      <c r="I5" s="1">
        <f>0.000000000025/0.22</f>
        <v>1.1363636363636364E-10</v>
      </c>
      <c r="J5">
        <v>0.23100000000000001</v>
      </c>
      <c r="K5" s="1">
        <f>1.6E-26/0.231</f>
        <v>6.9264069264069261E-26</v>
      </c>
      <c r="L5">
        <f>0.19651/0.231</f>
        <v>0.85069264069264061</v>
      </c>
      <c r="M5" s="1">
        <f>0.00000000152/0.231</f>
        <v>6.5800865800865792E-9</v>
      </c>
      <c r="N5" s="1">
        <f>0.000000831/0.231</f>
        <v>3.5974025974025969E-6</v>
      </c>
      <c r="O5">
        <f>0.024645/0.231</f>
        <v>0.10668831168831168</v>
      </c>
      <c r="P5">
        <f>0.0086955/0.231</f>
        <v>3.7642857142857145E-2</v>
      </c>
      <c r="Q5">
        <f>0.0011491/0.231</f>
        <v>4.9744588744588735E-3</v>
      </c>
      <c r="R5" s="1">
        <f>0.00000127/0.231</f>
        <v>5.4978354978354968E-6</v>
      </c>
    </row>
    <row r="6" spans="1:18" x14ac:dyDescent="0.35">
      <c r="A6">
        <v>0.11600000000000001</v>
      </c>
      <c r="B6" s="1">
        <f>1.81E-45/0.116</f>
        <v>1.560344827586207E-44</v>
      </c>
      <c r="C6">
        <f>0.10385/0.116</f>
        <v>0.89525862068965512</v>
      </c>
      <c r="D6" s="1">
        <f>3.83E-24/0.116</f>
        <v>3.3017241379310342E-23</v>
      </c>
      <c r="E6" s="1">
        <f>0.00000000000507/0.116</f>
        <v>4.3706896551724139E-11</v>
      </c>
      <c r="F6">
        <f>0.0093574/0.116</f>
        <v>8.0667241379310348E-2</v>
      </c>
      <c r="G6">
        <f>0.0025518/0.116</f>
        <v>2.1998275862068963E-2</v>
      </c>
      <c r="H6">
        <f>0.00024532/0.116</f>
        <v>2.1148275862068965E-3</v>
      </c>
      <c r="I6" s="1">
        <f>0.0000000000139/0.116</f>
        <v>1.1982758620689654E-10</v>
      </c>
      <c r="J6">
        <v>0.104</v>
      </c>
      <c r="K6" s="1">
        <f>5.33E-26/0.104</f>
        <v>5.1250000000000002E-25</v>
      </c>
      <c r="L6">
        <f>0.097299/0.104</f>
        <v>0.93556730769230767</v>
      </c>
      <c r="M6" s="1">
        <f>0.00000000145/0.104</f>
        <v>1.3942307692307692E-8</v>
      </c>
      <c r="N6" s="1">
        <f>0.000000332/0.104</f>
        <v>3.1923076923076926E-6</v>
      </c>
      <c r="O6">
        <f>0.0056327/0.104</f>
        <v>5.4160576923076929E-2</v>
      </c>
      <c r="P6">
        <f>0.0010069/0.104</f>
        <v>9.6817307692307706E-3</v>
      </c>
      <c r="Q6">
        <f>0.000059447/0.104</f>
        <v>5.7160576923076924E-4</v>
      </c>
      <c r="R6" s="1">
        <f>0.000000986/0.104</f>
        <v>9.4807692307692316E-6</v>
      </c>
    </row>
    <row r="7" spans="1:18" x14ac:dyDescent="0.35">
      <c r="A7">
        <v>5.7599999999999998E-2</v>
      </c>
      <c r="B7" s="1">
        <f>9.16E-46/0.0576</f>
        <v>1.5902777777777777E-44</v>
      </c>
      <c r="C7">
        <f>0.053609/0.0576</f>
        <v>0.93071180555555555</v>
      </c>
      <c r="D7" s="1">
        <f>1.07E-24/0.0576</f>
        <v>1.8576388888888888E-23</v>
      </c>
      <c r="E7" s="1">
        <f>0.00000000000133/0.0576</f>
        <v>2.3090277777777777E-11</v>
      </c>
      <c r="F7">
        <f>0.0033169/0.0576</f>
        <v>5.7585069444444442E-2</v>
      </c>
      <c r="G7">
        <f>0.00063341/0.0576</f>
        <v>1.0996701388888889E-2</v>
      </c>
      <c r="H7">
        <f>0.000039025/0.0576</f>
        <v>6.7751736111111116E-4</v>
      </c>
      <c r="I7" s="1">
        <f>0.0000000000073/0.0576</f>
        <v>1.2673611111111112E-10</v>
      </c>
      <c r="J7">
        <v>5.96E-2</v>
      </c>
      <c r="K7" s="1">
        <f>9.4E-26/0.0596</f>
        <v>1.5771812080536912E-24</v>
      </c>
      <c r="L7">
        <f>0.057215/0.0596</f>
        <v>0.95998322147651005</v>
      </c>
      <c r="M7" s="1">
        <f>0.00000000137/0.0596</f>
        <v>2.2986577181208055E-8</v>
      </c>
      <c r="N7" s="1">
        <f>0.000000147/0.0596</f>
        <v>2.4664429530201345E-6</v>
      </c>
      <c r="O7">
        <f>0.002135/0.0596</f>
        <v>3.5822147651006712E-2</v>
      </c>
      <c r="P7">
        <f>0.00024056/0.0596</f>
        <v>4.0362416107382545E-3</v>
      </c>
      <c r="Q7" s="1">
        <f>0.00000804/0.0596</f>
        <v>1.3489932885906038E-4</v>
      </c>
      <c r="R7" s="1">
        <f>0.000000823/0.0596</f>
        <v>1.3808724832214764E-5</v>
      </c>
    </row>
    <row r="10" spans="1:18" x14ac:dyDescent="0.35">
      <c r="Q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BB1D-AB41-4CC0-8010-B3CA85E384DD}">
  <dimension ref="A1:J7"/>
  <sheetViews>
    <sheetView topLeftCell="A4" workbookViewId="0">
      <selection sqref="A1:E7"/>
    </sheetView>
  </sheetViews>
  <sheetFormatPr defaultRowHeight="14.5" x14ac:dyDescent="0.35"/>
  <sheetData>
    <row r="1" spans="1:10" x14ac:dyDescent="0.35">
      <c r="A1" t="s">
        <v>8</v>
      </c>
      <c r="B1" t="s">
        <v>10</v>
      </c>
      <c r="C1" t="s">
        <v>11</v>
      </c>
      <c r="D1" t="s">
        <v>12</v>
      </c>
      <c r="E1" t="s">
        <v>13</v>
      </c>
      <c r="F1" t="s">
        <v>9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35">
      <c r="A2">
        <v>1.67</v>
      </c>
      <c r="B2">
        <f>0.43164/1.67</f>
        <v>0.25846706586826351</v>
      </c>
      <c r="C2">
        <f>0.43493/1.67</f>
        <v>0.26043712574850297</v>
      </c>
      <c r="D2">
        <f>0.54355/1.67</f>
        <v>0.32547904191616767</v>
      </c>
      <c r="E2">
        <f>0.25977/1.67</f>
        <v>0.15555089820359283</v>
      </c>
      <c r="F2">
        <v>1.77</v>
      </c>
      <c r="G2">
        <f>0.46104/1.77</f>
        <v>0.26047457627118642</v>
      </c>
      <c r="H2">
        <f>0.46509/1.77</f>
        <v>0.26276271186440681</v>
      </c>
      <c r="I2">
        <f>0.57365/1.77</f>
        <v>0.3240960451977401</v>
      </c>
      <c r="J2">
        <f>0.27014/1.77</f>
        <v>0.15262146892655368</v>
      </c>
    </row>
    <row r="3" spans="1:10" x14ac:dyDescent="0.35">
      <c r="A3">
        <v>0.83099999999999996</v>
      </c>
      <c r="B3">
        <f>0.36825/0.831</f>
        <v>0.44314079422382674</v>
      </c>
      <c r="C3">
        <f>0.20249/0.831</f>
        <v>0.24367027677496994</v>
      </c>
      <c r="D3">
        <f>0.19008/0.831</f>
        <v>0.22873646209386284</v>
      </c>
      <c r="E3">
        <f>0.070136/0.831</f>
        <v>8.4399518652226238E-2</v>
      </c>
      <c r="F3">
        <v>0.879</v>
      </c>
      <c r="G3">
        <f>0.39905/0.879</f>
        <v>0.45398179749715589</v>
      </c>
      <c r="H3">
        <f>0.21413/0.879</f>
        <v>0.24360637087599543</v>
      </c>
      <c r="I3">
        <f>0.19562/0.879</f>
        <v>0.22254835039817975</v>
      </c>
      <c r="J3">
        <f>0.070236/0.879</f>
        <v>7.9904436860068262E-2</v>
      </c>
    </row>
    <row r="4" spans="1:10" x14ac:dyDescent="0.35">
      <c r="A4">
        <v>0.43099999999999999</v>
      </c>
      <c r="B4">
        <f>0.28164/0.431</f>
        <v>0.65345707656612528</v>
      </c>
      <c r="C4">
        <f>0.082289/0.431</f>
        <v>0.19092575406032483</v>
      </c>
      <c r="D4">
        <f>0.053417/0.431</f>
        <v>0.12393735498839907</v>
      </c>
      <c r="E4">
        <f>0.013642/0.431</f>
        <v>3.1651972157772622E-2</v>
      </c>
      <c r="F4">
        <v>0.41899999999999998</v>
      </c>
      <c r="G4">
        <f>0.29516/0.419</f>
        <v>0.70443914081145587</v>
      </c>
      <c r="H4">
        <f>0.072794/0.419</f>
        <v>0.17373269689737469</v>
      </c>
      <c r="I4">
        <f>0.041687/0.419</f>
        <v>9.9491646778042966E-2</v>
      </c>
      <c r="J4">
        <f>0.0093593/0.419</f>
        <v>2.2337231503579951E-2</v>
      </c>
    </row>
    <row r="5" spans="1:10" x14ac:dyDescent="0.35">
      <c r="A5">
        <v>0.22</v>
      </c>
      <c r="B5">
        <f>0.18009/0.22</f>
        <v>0.81859090909090904</v>
      </c>
      <c r="C5">
        <f>0.027041/0.22</f>
        <v>0.12291363636363636</v>
      </c>
      <c r="D5">
        <f>0.011134/0.22</f>
        <v>5.0609090909090909E-2</v>
      </c>
      <c r="E5">
        <f>0.001736/0.22</f>
        <v>7.8909090909090908E-3</v>
      </c>
      <c r="F5">
        <v>0.23100000000000001</v>
      </c>
      <c r="G5">
        <f>0.19651/0.231</f>
        <v>0.85069264069264061</v>
      </c>
      <c r="H5">
        <f>0.024645/0.231</f>
        <v>0.10668831168831168</v>
      </c>
      <c r="I5">
        <f>0.0086955/0.231</f>
        <v>3.7642857142857145E-2</v>
      </c>
      <c r="J5">
        <f>0.0011491/0.231</f>
        <v>4.9744588744588735E-3</v>
      </c>
    </row>
    <row r="6" spans="1:10" x14ac:dyDescent="0.35">
      <c r="A6">
        <v>0.11600000000000001</v>
      </c>
      <c r="B6">
        <f>0.10385/0.116</f>
        <v>0.89525862068965512</v>
      </c>
      <c r="C6">
        <f>0.0093574/0.116</f>
        <v>8.0667241379310348E-2</v>
      </c>
      <c r="D6">
        <f>0.0025518/0.116</f>
        <v>2.1998275862068963E-2</v>
      </c>
      <c r="E6">
        <f>0.00024532/0.116</f>
        <v>2.1148275862068965E-3</v>
      </c>
      <c r="F6">
        <v>0.104</v>
      </c>
      <c r="G6">
        <f>0.097299/0.104</f>
        <v>0.93556730769230767</v>
      </c>
      <c r="H6">
        <f>0.0056327/0.104</f>
        <v>5.4160576923076929E-2</v>
      </c>
      <c r="I6">
        <f>0.0010069/0.104</f>
        <v>9.6817307692307706E-3</v>
      </c>
      <c r="J6">
        <f>0.000059447/0.104</f>
        <v>5.7160576923076924E-4</v>
      </c>
    </row>
    <row r="7" spans="1:10" x14ac:dyDescent="0.35">
      <c r="A7">
        <v>5.7599999999999998E-2</v>
      </c>
      <c r="B7">
        <f>0.053609/0.0576</f>
        <v>0.93071180555555555</v>
      </c>
      <c r="C7">
        <f>0.0033169/0.0576</f>
        <v>5.7585069444444442E-2</v>
      </c>
      <c r="D7">
        <f>0.00063341/0.0576</f>
        <v>1.0996701388888889E-2</v>
      </c>
      <c r="E7">
        <f>0.000039025/0.0576</f>
        <v>6.7751736111111116E-4</v>
      </c>
      <c r="F7">
        <v>5.96E-2</v>
      </c>
      <c r="G7">
        <f>0.057215/0.0596</f>
        <v>0.95998322147651005</v>
      </c>
      <c r="H7">
        <f>0.002135/0.0596</f>
        <v>3.5822147651006712E-2</v>
      </c>
      <c r="I7">
        <f>0.00024056/0.0596</f>
        <v>4.0362416107382545E-3</v>
      </c>
      <c r="J7" s="1">
        <f>0.00000804/0.0596</f>
        <v>1.3489932885906038E-4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3CD8-6B0B-49D8-8542-1F8DF938CC79}">
  <dimension ref="A1"/>
  <sheetViews>
    <sheetView tabSelected="1" workbookViewId="0">
      <selection activeCell="R17" sqref="R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Normann Jakobsen</dc:creator>
  <cp:lastModifiedBy>Nan Normann Jakobsen</cp:lastModifiedBy>
  <dcterms:created xsi:type="dcterms:W3CDTF">2022-12-28T15:06:44Z</dcterms:created>
  <dcterms:modified xsi:type="dcterms:W3CDTF">2023-01-02T14:59:08Z</dcterms:modified>
</cp:coreProperties>
</file>