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8800" windowHeight="12360" activeTab="2"/>
  </bookViews>
  <sheets>
    <sheet name="Стоимость сервиса" sheetId="1" r:id="rId1"/>
    <sheet name="Простой оборудования (пример)" sheetId="3" r:id="rId2"/>
    <sheet name="Простой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10" i="4"/>
  <c r="I8" i="4"/>
  <c r="I6" i="4"/>
  <c r="I7" i="4"/>
  <c r="I3" i="4"/>
  <c r="H6" i="3"/>
  <c r="H7" i="3"/>
  <c r="H16" i="3"/>
  <c r="H9" i="3"/>
  <c r="C11" i="4"/>
  <c r="C10" i="4"/>
  <c r="C4" i="4"/>
  <c r="M2" i="4" s="1"/>
  <c r="H18" i="3"/>
  <c r="H17" i="3"/>
  <c r="H11" i="3"/>
  <c r="H13" i="3"/>
  <c r="H12" i="3"/>
  <c r="H8" i="3"/>
  <c r="H10" i="3"/>
  <c r="H5" i="3"/>
  <c r="I20" i="1" l="1"/>
  <c r="C25" i="1"/>
  <c r="C24" i="1"/>
  <c r="C23" i="1"/>
  <c r="C22" i="1"/>
  <c r="I23" i="1"/>
  <c r="H20" i="1"/>
  <c r="E7" i="1" l="1"/>
  <c r="C7" i="1"/>
  <c r="E17" i="1"/>
  <c r="C17" i="1"/>
  <c r="I4" i="1"/>
  <c r="I5" i="1"/>
  <c r="E4" i="1"/>
  <c r="C4" i="1"/>
  <c r="C3" i="1"/>
  <c r="B22" i="1"/>
  <c r="I17" i="1"/>
  <c r="I14" i="1"/>
  <c r="H5" i="1"/>
  <c r="F17" i="1"/>
  <c r="G17" i="1" s="1"/>
  <c r="H17" i="1" s="1"/>
  <c r="C12" i="1"/>
  <c r="B14" i="1"/>
  <c r="B15" i="1" s="1"/>
  <c r="B7" i="1"/>
  <c r="B8" i="1" s="1"/>
  <c r="C13" i="1" l="1"/>
  <c r="E13" i="1" s="1"/>
  <c r="C14" i="1"/>
  <c r="C5" i="1"/>
  <c r="E5" i="1" s="1"/>
  <c r="C6" i="1"/>
  <c r="E6" i="1" s="1"/>
  <c r="F5" i="1" l="1"/>
  <c r="G5" i="1" s="1"/>
  <c r="F4" i="1"/>
  <c r="G4" i="1" s="1"/>
  <c r="H4" i="1" s="1"/>
  <c r="C15" i="1"/>
  <c r="F13" i="1"/>
  <c r="G13" i="1" s="1"/>
  <c r="H13" i="1" s="1"/>
  <c r="I13" i="1"/>
  <c r="F6" i="1"/>
  <c r="G6" i="1" s="1"/>
  <c r="H6" i="1" s="1"/>
  <c r="I6" i="1"/>
  <c r="E14" i="1"/>
  <c r="F7" i="1"/>
  <c r="G7" i="1" s="1"/>
  <c r="H7" i="1" s="1"/>
  <c r="I7" i="1"/>
  <c r="C8" i="1"/>
  <c r="H23" i="1" l="1"/>
  <c r="C26" i="1"/>
  <c r="F14" i="1"/>
  <c r="G14" i="1" s="1"/>
  <c r="H14" i="1" s="1"/>
</calcChain>
</file>

<file path=xl/sharedStrings.xml><?xml version="1.0" encoding="utf-8"?>
<sst xmlns="http://schemas.openxmlformats.org/spreadsheetml/2006/main" count="173" uniqueCount="144">
  <si>
    <t>Сервер</t>
  </si>
  <si>
    <t>Платформа</t>
  </si>
  <si>
    <t>Процессор</t>
  </si>
  <si>
    <t>Оперативная память</t>
  </si>
  <si>
    <t>Жесткий диск</t>
  </si>
  <si>
    <t>Итого</t>
  </si>
  <si>
    <t>Компонент</t>
  </si>
  <si>
    <t>Стоимость</t>
  </si>
  <si>
    <t>Процент от стоимости</t>
  </si>
  <si>
    <t>Стоимость обслуживания/5 лет</t>
  </si>
  <si>
    <t>Часов в 5 годах</t>
  </si>
  <si>
    <t>Месяцев в 5 годах</t>
  </si>
  <si>
    <t>Исходная стоимость</t>
  </si>
  <si>
    <t>Жесткие диски</t>
  </si>
  <si>
    <t>Хранилище данных</t>
  </si>
  <si>
    <t>Стоимость в час</t>
  </si>
  <si>
    <t>Объем</t>
  </si>
  <si>
    <t>5 лет</t>
  </si>
  <si>
    <t>Год</t>
  </si>
  <si>
    <t>Месяц</t>
  </si>
  <si>
    <t>Час</t>
  </si>
  <si>
    <t>Программное обеспечение</t>
  </si>
  <si>
    <t>Часов в месяце</t>
  </si>
  <si>
    <t>Стоимость ВМ руб./час</t>
  </si>
  <si>
    <t>Час(правильный)</t>
  </si>
  <si>
    <t>Кол-во ядер</t>
  </si>
  <si>
    <t>Частота (ГГц)</t>
  </si>
  <si>
    <t>Оперативная память (ГБ)</t>
  </si>
  <si>
    <t>Жесткий диск (ГБ)</t>
  </si>
  <si>
    <t>Характеристика</t>
  </si>
  <si>
    <t>Значение</t>
  </si>
  <si>
    <t>Виртуальная машина</t>
  </si>
  <si>
    <t>Обслуживание</t>
  </si>
  <si>
    <t>Количество администраторов </t>
  </si>
  <si>
    <t>Годовой валовой доход компании</t>
  </si>
  <si>
    <t>Планируемые отключения сервера</t>
  </si>
  <si>
    <t>отключений каждый месяц</t>
  </si>
  <si>
    <t>средняя продолжительность отключений</t>
  </si>
  <si>
    <t>количество пользователей, отключенных при этом</t>
  </si>
  <si>
    <t>количество администраторов, задействованных для этого</t>
  </si>
  <si>
    <t>Планируемые отключения (часов)</t>
  </si>
  <si>
    <t>Внеплановые отключения (часов)</t>
  </si>
  <si>
    <t>Плановые расходы на отключение сервера</t>
  </si>
  <si>
    <t>Исходные данные для расчета</t>
  </si>
  <si>
    <t>Число работников</t>
  </si>
  <si>
    <t xml:space="preserve">рабочих часов в день </t>
  </si>
  <si>
    <t>рабочих дней в неделю</t>
  </si>
  <si>
    <t>A1</t>
  </si>
  <si>
    <t>A2</t>
  </si>
  <si>
    <t>A3</t>
  </si>
  <si>
    <t>A4</t>
  </si>
  <si>
    <t>Часовая оплата труда администратора </t>
  </si>
  <si>
    <t>Часовая оплата труда работника</t>
  </si>
  <si>
    <t>A5</t>
  </si>
  <si>
    <t>A6</t>
  </si>
  <si>
    <t>A7</t>
  </si>
  <si>
    <t>A8</t>
  </si>
  <si>
    <t>A9</t>
  </si>
  <si>
    <t>A10</t>
  </si>
  <si>
    <t>A11</t>
  </si>
  <si>
    <t>Внеплановые отключения сервера</t>
  </si>
  <si>
    <t>средняя продолжительность отключений </t>
  </si>
  <si>
    <t>количество пользователей, отключенных при этом </t>
  </si>
  <si>
    <t>A12</t>
  </si>
  <si>
    <t>A13</t>
  </si>
  <si>
    <t>A14</t>
  </si>
  <si>
    <t>A15</t>
  </si>
  <si>
    <t>Расчет промежуточных показателей</t>
  </si>
  <si>
    <t>Доход на каждого работника (USD/час)</t>
  </si>
  <si>
    <t>Плановые расходы на администраторов (USD/год)</t>
  </si>
  <si>
    <t>Плановые расходы на конечных пользователей (USD/год)</t>
  </si>
  <si>
    <t>Внеплановые расходы на отключение сервера</t>
  </si>
  <si>
    <t>Внеплановые расходы на администраторов (USD/год)</t>
  </si>
  <si>
    <t>Внеплановые расходы на конечных пользователей (USD/год)</t>
  </si>
  <si>
    <t>B8</t>
  </si>
  <si>
    <t>B9</t>
  </si>
  <si>
    <t>B10</t>
  </si>
  <si>
    <t>B12</t>
  </si>
  <si>
    <t>B13</t>
  </si>
  <si>
    <t>B14</t>
  </si>
  <si>
    <t>B16</t>
  </si>
  <si>
    <t>B17</t>
  </si>
  <si>
    <t>B18</t>
  </si>
  <si>
    <t>Расчет основных показателей</t>
  </si>
  <si>
    <t>Потерянный доход (USD/год)</t>
  </si>
  <si>
    <t>Общие расходы на остановы сервера (долл./год)</t>
  </si>
  <si>
    <t>Затраты на каждый час остановки сервера</t>
  </si>
  <si>
    <t>B7</t>
  </si>
  <si>
    <t>B21</t>
  </si>
  <si>
    <t>B23</t>
  </si>
  <si>
    <t>А5/((АЗ х А4 х 50) х А1)</t>
  </si>
  <si>
    <t>А12 х 12 х А13х (А14 + А15)</t>
  </si>
  <si>
    <t>В13 + В14</t>
  </si>
  <si>
    <t>А8 х 12 х А9 х А11 х А6</t>
  </si>
  <si>
    <t>А8 х 12 х А9 х А10 х А7</t>
  </si>
  <si>
    <t>В17 + В18</t>
  </si>
  <si>
    <t>А12 х 12 х А13 х А15 х А6</t>
  </si>
  <si>
    <t>А12 х 12 х А13 х А14 х А7</t>
  </si>
  <si>
    <t>В8 х (В9 + В10)</t>
  </si>
  <si>
    <t>В21/((A8 х 12 х А9) + (А12 х 12 х А13))</t>
  </si>
  <si>
    <t>Формула</t>
  </si>
  <si>
    <t>Результат</t>
  </si>
  <si>
    <t>А8 х 12 х А9 х (А10 + A11)</t>
  </si>
  <si>
    <t>В12 + В16</t>
  </si>
  <si>
    <t>Минут в году</t>
  </si>
  <si>
    <t>Доход в минуту</t>
  </si>
  <si>
    <t>Средняя часовая оплата труда администратора </t>
  </si>
  <si>
    <t>Средняя часовая оплата труда работника</t>
  </si>
  <si>
    <t>Продолжительность (мин.)</t>
  </si>
  <si>
    <t>Доход на каждого работника (руб./мин)</t>
  </si>
  <si>
    <t>Средний доход работника в минуту</t>
  </si>
  <si>
    <t>Средний доход администратора в минуту</t>
  </si>
  <si>
    <t>Промежуточные показатели</t>
  </si>
  <si>
    <t>Плановые расходы на администраторов (руб./мин.)</t>
  </si>
  <si>
    <t>Плановые расходы на конечных пользователей (руб./мин.)</t>
  </si>
  <si>
    <t>Потерянный доход (руб./мин.)</t>
  </si>
  <si>
    <t>Затраты на каждую минуту остановки сервера</t>
  </si>
  <si>
    <t>Планируемые отключения (мин.)</t>
  </si>
  <si>
    <t>Простой</t>
  </si>
  <si>
    <t>B1</t>
  </si>
  <si>
    <t>B2</t>
  </si>
  <si>
    <t>B3</t>
  </si>
  <si>
    <t>B4</t>
  </si>
  <si>
    <t>B5</t>
  </si>
  <si>
    <t>B6</t>
  </si>
  <si>
    <t>A1/A2</t>
  </si>
  <si>
    <t>B3/60</t>
  </si>
  <si>
    <t>B4/60</t>
  </si>
  <si>
    <t>C1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</si>
  <si>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</si>
  <si>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</si>
  <si>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</si>
  <si>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</si>
  <si>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</si>
  <si>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</si>
  <si>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</si>
  <si>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</si>
  <si>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</si>
  <si>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 * (D3 + D4)</t>
  </si>
  <si>
    <t>D1 * D4 * B5</t>
  </si>
  <si>
    <t>D1 * D3 * B6</t>
  </si>
  <si>
    <t>D5 + D6</t>
  </si>
  <si>
    <t>D7 / D1</t>
  </si>
  <si>
    <t>C1 /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</si>
</sst>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₽&quot;"/>
    <numFmt numFmtId="165" formatCode="0.00000"/>
    <numFmt numFmtId="166" formatCode="#,##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165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0" fillId="0" borderId="6" xfId="0" applyNumberForma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165" fontId="0" fillId="0" borderId="7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4" fontId="0" fillId="0" borderId="1" xfId="0" applyNumberFormat="1" applyBorder="1"/>
    <xf numFmtId="166" fontId="0" fillId="0" borderId="1" xfId="0" applyNumberFormat="1" applyBorder="1"/>
    <xf numFmtId="166" fontId="0" fillId="2" borderId="1" xfId="0" applyNumberFormat="1" applyFill="1" applyBorder="1"/>
    <xf numFmtId="0" fontId="3" fillId="0" borderId="10" xfId="0" applyFont="1" applyBorder="1"/>
    <xf numFmtId="0" fontId="3" fillId="0" borderId="12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1" fillId="0" borderId="0" xfId="0" applyFont="1"/>
    <xf numFmtId="0" fontId="3" fillId="0" borderId="1" xfId="0" applyFont="1" applyBorder="1"/>
    <xf numFmtId="0" fontId="1" fillId="0" borderId="11" xfId="0" applyFont="1" applyBorder="1"/>
    <xf numFmtId="0" fontId="1" fillId="0" borderId="1" xfId="0" applyFont="1" applyBorder="1"/>
    <xf numFmtId="0" fontId="3" fillId="0" borderId="15" xfId="0" applyFont="1" applyBorder="1"/>
    <xf numFmtId="0" fontId="1" fillId="0" borderId="13" xfId="0" applyFont="1" applyBorder="1"/>
    <xf numFmtId="0" fontId="4" fillId="0" borderId="18" xfId="0" applyFont="1" applyBorder="1"/>
    <xf numFmtId="0" fontId="2" fillId="0" borderId="8" xfId="0" applyFont="1" applyBorder="1"/>
    <xf numFmtId="0" fontId="3" fillId="0" borderId="14" xfId="0" applyFont="1" applyBorder="1"/>
    <xf numFmtId="0" fontId="4" fillId="0" borderId="17" xfId="0" applyFont="1" applyBorder="1"/>
    <xf numFmtId="164" fontId="1" fillId="0" borderId="0" xfId="0" applyNumberFormat="1" applyFont="1"/>
    <xf numFmtId="164" fontId="4" fillId="0" borderId="18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/>
    <xf numFmtId="164" fontId="1" fillId="0" borderId="13" xfId="0" applyNumberFormat="1" applyFont="1" applyBorder="1"/>
    <xf numFmtId="3" fontId="1" fillId="0" borderId="11" xfId="0" applyNumberFormat="1" applyFont="1" applyBorder="1"/>
    <xf numFmtId="0" fontId="3" fillId="0" borderId="8" xfId="0" applyFon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9" xfId="0" applyNumberFormat="1" applyBorder="1"/>
    <xf numFmtId="0" fontId="3" fillId="0" borderId="10" xfId="0" applyFont="1" applyFill="1" applyBorder="1"/>
    <xf numFmtId="0" fontId="3" fillId="0" borderId="12" xfId="0" applyFont="1" applyFill="1" applyBorder="1"/>
    <xf numFmtId="0" fontId="0" fillId="0" borderId="19" xfId="0" applyBorder="1"/>
    <xf numFmtId="1" fontId="0" fillId="0" borderId="20" xfId="0" applyNumberFormat="1" applyBorder="1"/>
    <xf numFmtId="0" fontId="3" fillId="0" borderId="0" xfId="0" applyFont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3" fillId="2" borderId="12" xfId="0" applyFont="1" applyFill="1" applyBorder="1"/>
    <xf numFmtId="164" fontId="0" fillId="2" borderId="13" xfId="0" applyNumberFormat="1" applyFill="1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22" xfId="0" applyFont="1" applyBorder="1"/>
    <xf numFmtId="0" fontId="6" fillId="0" borderId="3" xfId="0" applyFont="1" applyBorder="1"/>
    <xf numFmtId="0" fontId="6" fillId="2" borderId="3" xfId="0" applyFont="1" applyFill="1" applyBorder="1"/>
    <xf numFmtId="0" fontId="6" fillId="2" borderId="23" xfId="0" applyFont="1" applyFill="1" applyBorder="1"/>
    <xf numFmtId="165" fontId="2" fillId="0" borderId="5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workbookViewId="0">
      <selection sqref="A1:I1"/>
    </sheetView>
  </sheetViews>
  <sheetFormatPr defaultRowHeight="15" x14ac:dyDescent="0.25"/>
  <cols>
    <col min="1" max="1" width="29.7109375" bestFit="1" customWidth="1"/>
    <col min="2" max="2" width="11.5703125" style="2" bestFit="1" customWidth="1"/>
    <col min="3" max="3" width="21.7109375" style="3" bestFit="1" customWidth="1"/>
    <col min="4" max="4" width="15.42578125" style="15" bestFit="1" customWidth="1"/>
    <col min="5" max="5" width="12.5703125" style="18" bestFit="1" customWidth="1"/>
    <col min="6" max="6" width="11.5703125" style="18" bestFit="1" customWidth="1"/>
    <col min="7" max="7" width="10.5703125" style="18" bestFit="1" customWidth="1"/>
    <col min="8" max="8" width="9.28515625" style="18" bestFit="1" customWidth="1"/>
    <col min="9" max="9" width="17.28515625" style="22" bestFit="1" customWidth="1"/>
    <col min="10" max="10" width="17.5703125" style="1" bestFit="1" customWidth="1"/>
  </cols>
  <sheetData>
    <row r="1" spans="1:11" s="1" customForma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1"/>
    </row>
    <row r="2" spans="1:11" s="1" customFormat="1" x14ac:dyDescent="0.25">
      <c r="A2" s="10" t="s">
        <v>6</v>
      </c>
      <c r="B2" s="11" t="s">
        <v>7</v>
      </c>
      <c r="C2" s="12" t="s">
        <v>8</v>
      </c>
      <c r="D2" s="13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20" t="s">
        <v>24</v>
      </c>
    </row>
    <row r="3" spans="1:11" x14ac:dyDescent="0.25">
      <c r="A3" s="7" t="s">
        <v>1</v>
      </c>
      <c r="B3" s="8">
        <v>40157</v>
      </c>
      <c r="C3" s="9">
        <f>100%/($B$8/B3)</f>
        <v>0.14077086218077928</v>
      </c>
      <c r="D3" s="14"/>
      <c r="E3" s="17"/>
      <c r="F3" s="17"/>
      <c r="G3" s="17"/>
      <c r="H3" s="17"/>
      <c r="I3" s="21"/>
      <c r="J3" s="1" t="s">
        <v>10</v>
      </c>
      <c r="K3">
        <v>43800</v>
      </c>
    </row>
    <row r="4" spans="1:11" x14ac:dyDescent="0.25">
      <c r="A4" s="7" t="s">
        <v>2</v>
      </c>
      <c r="B4" s="8">
        <v>42950</v>
      </c>
      <c r="C4" s="9">
        <f>100%/($B$8/B4)</f>
        <v>0.150561758365029</v>
      </c>
      <c r="D4" s="13">
        <v>3.4</v>
      </c>
      <c r="E4" s="17">
        <f>($B$8/D4)*C4</f>
        <v>12632.35294117647</v>
      </c>
      <c r="F4" s="17">
        <f>E4/5</f>
        <v>2526.4705882352941</v>
      </c>
      <c r="G4" s="17">
        <f>F4/12</f>
        <v>210.5392156862745</v>
      </c>
      <c r="H4" s="17">
        <f>G4/$K$5</f>
        <v>0.28298281678262704</v>
      </c>
      <c r="I4" s="26">
        <f>E4/$K$3</f>
        <v>0.28840988450174587</v>
      </c>
      <c r="J4" s="1" t="s">
        <v>11</v>
      </c>
      <c r="K4">
        <v>60</v>
      </c>
    </row>
    <row r="5" spans="1:11" x14ac:dyDescent="0.25">
      <c r="A5" s="7" t="s">
        <v>3</v>
      </c>
      <c r="B5" s="8">
        <v>50200</v>
      </c>
      <c r="C5" s="9">
        <f>100%/($B$8/B5)</f>
        <v>0.17597672339754264</v>
      </c>
      <c r="D5" s="13">
        <v>64</v>
      </c>
      <c r="E5" s="17">
        <f>($B$8/D5)*C5</f>
        <v>784.375</v>
      </c>
      <c r="F5" s="17">
        <f t="shared" ref="F5:F6" si="0">E5/5</f>
        <v>156.875</v>
      </c>
      <c r="G5" s="17">
        <f t="shared" ref="G5:G6" si="1">F5/12</f>
        <v>13.072916666666666</v>
      </c>
      <c r="H5" s="17">
        <f>G5/$K$5</f>
        <v>1.7571124551971327E-2</v>
      </c>
      <c r="I5" s="26">
        <f>E5/$K$3</f>
        <v>1.790810502283105E-2</v>
      </c>
      <c r="J5" s="1" t="s">
        <v>22</v>
      </c>
      <c r="K5">
        <v>744</v>
      </c>
    </row>
    <row r="6" spans="1:11" s="1" customFormat="1" x14ac:dyDescent="0.25">
      <c r="A6" s="7" t="s">
        <v>4</v>
      </c>
      <c r="B6" s="8">
        <v>31958</v>
      </c>
      <c r="C6" s="9">
        <f>100%/($B$8/B6)</f>
        <v>0.11202916586332008</v>
      </c>
      <c r="D6" s="13">
        <v>512</v>
      </c>
      <c r="E6" s="17">
        <f>($B$8/D6)*C6</f>
        <v>62.417968750000007</v>
      </c>
      <c r="F6" s="17">
        <f t="shared" si="0"/>
        <v>12.483593750000001</v>
      </c>
      <c r="G6" s="17">
        <f t="shared" si="1"/>
        <v>1.0402994791666667</v>
      </c>
      <c r="H6" s="17">
        <f t="shared" ref="H6" si="2">G6/$K$5</f>
        <v>1.3982519881272401E-3</v>
      </c>
      <c r="I6" s="26">
        <f>E6/$K$3</f>
        <v>1.4250677796803655E-3</v>
      </c>
    </row>
    <row r="7" spans="1:11" s="1" customFormat="1" x14ac:dyDescent="0.25">
      <c r="A7" s="7" t="s">
        <v>9</v>
      </c>
      <c r="B7" s="8">
        <f>2000*$K$4</f>
        <v>120000</v>
      </c>
      <c r="C7" s="9">
        <f>100%/($B$8/B7)</f>
        <v>0.42066149019332899</v>
      </c>
      <c r="D7" s="13"/>
      <c r="E7" s="16">
        <f>B7*C7</f>
        <v>50479.378823199477</v>
      </c>
      <c r="F7" s="16">
        <f>E7/5</f>
        <v>10095.875764639895</v>
      </c>
      <c r="G7" s="16">
        <f>F7/12</f>
        <v>841.32298038665795</v>
      </c>
      <c r="H7" s="16">
        <f>G7/K5</f>
        <v>1.1308104575089488</v>
      </c>
      <c r="I7" s="24">
        <f>E7/K3</f>
        <v>1.1524972334063808</v>
      </c>
    </row>
    <row r="8" spans="1:11" x14ac:dyDescent="0.25">
      <c r="A8" s="4" t="s">
        <v>5</v>
      </c>
      <c r="B8" s="5">
        <f>SUM(B3:B7)</f>
        <v>285265</v>
      </c>
      <c r="C8" s="6">
        <f>SUM(C3:C7)</f>
        <v>1</v>
      </c>
      <c r="D8" s="14"/>
      <c r="E8" s="17"/>
      <c r="F8" s="17"/>
      <c r="G8" s="17"/>
      <c r="H8" s="17"/>
      <c r="I8" s="21"/>
    </row>
    <row r="10" spans="1:11" x14ac:dyDescent="0.25">
      <c r="A10" s="79" t="s">
        <v>14</v>
      </c>
      <c r="B10" s="80"/>
      <c r="C10" s="80"/>
      <c r="D10" s="80"/>
      <c r="E10" s="80"/>
      <c r="F10" s="80"/>
      <c r="G10" s="80"/>
      <c r="H10" s="80"/>
      <c r="I10" s="81"/>
    </row>
    <row r="11" spans="1:11" s="1" customFormat="1" x14ac:dyDescent="0.25">
      <c r="A11" s="4" t="s">
        <v>6</v>
      </c>
      <c r="B11" s="5" t="s">
        <v>7</v>
      </c>
      <c r="C11" s="6" t="s">
        <v>8</v>
      </c>
      <c r="D11" s="13" t="s">
        <v>16</v>
      </c>
      <c r="E11" s="16" t="s">
        <v>17</v>
      </c>
      <c r="F11" s="16" t="s">
        <v>18</v>
      </c>
      <c r="G11" s="16" t="s">
        <v>19</v>
      </c>
      <c r="H11" s="16" t="s">
        <v>20</v>
      </c>
      <c r="I11" s="20" t="s">
        <v>24</v>
      </c>
    </row>
    <row r="12" spans="1:11" x14ac:dyDescent="0.25">
      <c r="A12" s="7" t="s">
        <v>12</v>
      </c>
      <c r="B12" s="8">
        <v>24980</v>
      </c>
      <c r="C12" s="9">
        <f>100%/($B$15/B12)</f>
        <v>0.14807350326022525</v>
      </c>
      <c r="D12" s="14"/>
      <c r="E12" s="17"/>
      <c r="F12" s="17"/>
      <c r="G12" s="17"/>
      <c r="H12" s="17"/>
      <c r="I12" s="21"/>
    </row>
    <row r="13" spans="1:11" x14ac:dyDescent="0.25">
      <c r="A13" s="7" t="s">
        <v>13</v>
      </c>
      <c r="B13" s="8">
        <v>84920</v>
      </c>
      <c r="C13" s="9">
        <f>100%/($B$15/B13)</f>
        <v>0.50337877889745108</v>
      </c>
      <c r="D13" s="14">
        <v>16384</v>
      </c>
      <c r="E13" s="17">
        <f>($B$15/D13)*C13</f>
        <v>5.18310546875</v>
      </c>
      <c r="F13" s="17">
        <f>E13/5</f>
        <v>1.03662109375</v>
      </c>
      <c r="G13" s="17">
        <f>F13/12</f>
        <v>8.6385091145833329E-2</v>
      </c>
      <c r="H13" s="17">
        <f>G13/$K$5</f>
        <v>1.1610899347558243E-4</v>
      </c>
      <c r="I13" s="25">
        <f>E13/$K$3</f>
        <v>1.183357412956621E-4</v>
      </c>
    </row>
    <row r="14" spans="1:11" x14ac:dyDescent="0.25">
      <c r="A14" s="7" t="s">
        <v>9</v>
      </c>
      <c r="B14" s="8">
        <f>980*$K$4</f>
        <v>58800</v>
      </c>
      <c r="C14" s="9">
        <f>100%/($B$15/B14)</f>
        <v>0.34854771784232363</v>
      </c>
      <c r="D14" s="14"/>
      <c r="E14" s="17">
        <f>B14*C14</f>
        <v>20494.605809128629</v>
      </c>
      <c r="F14" s="17">
        <f>E14/5</f>
        <v>4098.9211618257259</v>
      </c>
      <c r="G14" s="17">
        <f>F14/12</f>
        <v>341.57676348547716</v>
      </c>
      <c r="H14" s="17">
        <f>G14/K5</f>
        <v>0.45910855307187792</v>
      </c>
      <c r="I14" s="25">
        <f>E14/$K$3</f>
        <v>0.46791337463763993</v>
      </c>
    </row>
    <row r="15" spans="1:11" x14ac:dyDescent="0.25">
      <c r="A15" s="4" t="s">
        <v>5</v>
      </c>
      <c r="B15" s="5">
        <f>SUM(B12:B14)</f>
        <v>168700</v>
      </c>
      <c r="C15" s="6">
        <f>SUM(C12:C14)</f>
        <v>1</v>
      </c>
      <c r="D15" s="14"/>
      <c r="E15" s="17"/>
      <c r="F15" s="17"/>
      <c r="G15" s="17"/>
      <c r="H15" s="17"/>
      <c r="I15" s="21"/>
    </row>
    <row r="17" spans="1:9" x14ac:dyDescent="0.25">
      <c r="A17" s="4" t="s">
        <v>21</v>
      </c>
      <c r="B17" s="8">
        <v>58220</v>
      </c>
      <c r="C17" s="9">
        <f>100%/(($B$15+$B$8)/B17)</f>
        <v>0.12824777240536164</v>
      </c>
      <c r="D17" s="14"/>
      <c r="E17" s="17">
        <f>B17*C17</f>
        <v>7466.5853094401546</v>
      </c>
      <c r="F17" s="17">
        <f>E17/5</f>
        <v>1493.3170618880308</v>
      </c>
      <c r="G17" s="17">
        <f>F17/12</f>
        <v>124.44308849066924</v>
      </c>
      <c r="H17" s="17">
        <f>G17/$K$5</f>
        <v>0.16726221571326511</v>
      </c>
      <c r="I17" s="25">
        <f>E17/$K$3</f>
        <v>0.17046998423379348</v>
      </c>
    </row>
    <row r="19" spans="1:9" ht="15.75" thickBot="1" x14ac:dyDescent="0.3">
      <c r="A19" s="82" t="s">
        <v>31</v>
      </c>
      <c r="B19" s="82"/>
      <c r="C19" s="82"/>
    </row>
    <row r="20" spans="1:9" ht="15.75" thickBot="1" x14ac:dyDescent="0.3">
      <c r="A20" s="10" t="s">
        <v>29</v>
      </c>
      <c r="B20" s="11" t="s">
        <v>30</v>
      </c>
      <c r="C20" s="12" t="s">
        <v>15</v>
      </c>
      <c r="F20" s="77" t="s">
        <v>32</v>
      </c>
      <c r="G20" s="78"/>
      <c r="H20" s="19">
        <f>SUM(H14,H7,H17)</f>
        <v>1.7571812262940918</v>
      </c>
      <c r="I20" s="27">
        <f>SUM(I14,I7,I17)</f>
        <v>1.7908805922778142</v>
      </c>
    </row>
    <row r="21" spans="1:9" x14ac:dyDescent="0.25">
      <c r="A21" s="7" t="s">
        <v>25</v>
      </c>
      <c r="B21" s="28">
        <v>1</v>
      </c>
      <c r="C21" s="29"/>
    </row>
    <row r="22" spans="1:9" ht="15.75" thickBot="1" x14ac:dyDescent="0.3">
      <c r="A22" s="7" t="s">
        <v>26</v>
      </c>
      <c r="B22" s="28">
        <f>$D$4*B21</f>
        <v>3.4</v>
      </c>
      <c r="C22" s="29">
        <f>I4*B22</f>
        <v>0.98059360730593592</v>
      </c>
    </row>
    <row r="23" spans="1:9" ht="15.75" thickBot="1" x14ac:dyDescent="0.3">
      <c r="A23" s="7" t="s">
        <v>27</v>
      </c>
      <c r="B23" s="28">
        <v>8</v>
      </c>
      <c r="C23" s="29">
        <f>B23*I5</f>
        <v>0.1432648401826484</v>
      </c>
      <c r="F23" s="77" t="s">
        <v>23</v>
      </c>
      <c r="G23" s="78"/>
      <c r="H23" s="19">
        <f>SUM(H4:H7,H13:H14,H17)</f>
        <v>2.0592495286102932</v>
      </c>
      <c r="I23" s="23">
        <f>SUM(I4:I7,I13:I14,I17)</f>
        <v>2.0987419853233669</v>
      </c>
    </row>
    <row r="24" spans="1:9" x14ac:dyDescent="0.25">
      <c r="A24" s="7" t="s">
        <v>28</v>
      </c>
      <c r="B24" s="28">
        <v>128</v>
      </c>
      <c r="C24" s="29">
        <f>I13*B24</f>
        <v>1.5146974885844749E-2</v>
      </c>
    </row>
    <row r="25" spans="1:9" x14ac:dyDescent="0.25">
      <c r="A25" s="7" t="s">
        <v>32</v>
      </c>
      <c r="B25" s="28"/>
      <c r="C25" s="29">
        <f>I20</f>
        <v>1.7908805922778142</v>
      </c>
    </row>
    <row r="26" spans="1:9" x14ac:dyDescent="0.25">
      <c r="A26" s="4" t="s">
        <v>5</v>
      </c>
      <c r="B26" s="28"/>
      <c r="C26" s="30">
        <f>SUM(C22:C25)</f>
        <v>2.9298860146522432</v>
      </c>
    </row>
  </sheetData>
  <mergeCells count="5">
    <mergeCell ref="F23:G23"/>
    <mergeCell ref="A10:I10"/>
    <mergeCell ref="A1:I1"/>
    <mergeCell ref="A19:C19"/>
    <mergeCell ref="F20:G2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cols>
    <col min="1" max="1" width="9.140625" style="1"/>
    <col min="2" max="2" width="63.7109375" style="40" bestFit="1" customWidth="1"/>
    <col min="3" max="3" width="12.28515625" style="40" bestFit="1" customWidth="1"/>
    <col min="4" max="4" width="9.140625" style="40"/>
    <col min="5" max="5" width="9.140625" style="1"/>
    <col min="6" max="6" width="67.42578125" style="40" bestFit="1" customWidth="1"/>
    <col min="7" max="7" width="41.42578125" style="40" bestFit="1" customWidth="1"/>
    <col min="8" max="8" width="14.140625" style="50" bestFit="1" customWidth="1"/>
    <col min="9" max="16384" width="9.140625" style="40"/>
  </cols>
  <sheetData>
    <row r="1" spans="1:8" ht="15.75" thickBot="1" x14ac:dyDescent="0.3"/>
    <row r="2" spans="1:8" ht="15.75" thickBot="1" x14ac:dyDescent="0.3">
      <c r="A2" s="83" t="s">
        <v>43</v>
      </c>
      <c r="B2" s="84"/>
      <c r="C2" s="46" t="s">
        <v>101</v>
      </c>
    </row>
    <row r="3" spans="1:8" ht="15.75" thickBot="1" x14ac:dyDescent="0.3">
      <c r="A3" s="47" t="s">
        <v>47</v>
      </c>
      <c r="B3" s="48" t="s">
        <v>44</v>
      </c>
      <c r="C3" s="37">
        <v>124</v>
      </c>
    </row>
    <row r="4" spans="1:8" ht="15.75" thickBot="1" x14ac:dyDescent="0.3">
      <c r="A4" s="38" t="s">
        <v>48</v>
      </c>
      <c r="B4" s="41" t="s">
        <v>33</v>
      </c>
      <c r="C4" s="42">
        <v>4</v>
      </c>
      <c r="E4" s="85" t="s">
        <v>67</v>
      </c>
      <c r="F4" s="86"/>
      <c r="G4" s="49" t="s">
        <v>100</v>
      </c>
      <c r="H4" s="51" t="s">
        <v>101</v>
      </c>
    </row>
    <row r="5" spans="1:8" x14ac:dyDescent="0.25">
      <c r="A5" s="38" t="s">
        <v>49</v>
      </c>
      <c r="B5" s="43" t="s">
        <v>45</v>
      </c>
      <c r="C5" s="42">
        <v>8</v>
      </c>
      <c r="E5" s="47" t="s">
        <v>74</v>
      </c>
      <c r="F5" s="48" t="s">
        <v>68</v>
      </c>
      <c r="G5" s="48" t="s">
        <v>90</v>
      </c>
      <c r="H5" s="52">
        <f>C7/((C5*C6*50)*C3)</f>
        <v>305.00088709677419</v>
      </c>
    </row>
    <row r="6" spans="1:8" x14ac:dyDescent="0.25">
      <c r="A6" s="38" t="s">
        <v>50</v>
      </c>
      <c r="B6" s="41" t="s">
        <v>46</v>
      </c>
      <c r="C6" s="42">
        <v>5</v>
      </c>
      <c r="E6" s="38" t="s">
        <v>75</v>
      </c>
      <c r="F6" s="41" t="s">
        <v>40</v>
      </c>
      <c r="G6" s="41" t="s">
        <v>102</v>
      </c>
      <c r="H6" s="55">
        <f>C12*12*C13*(C14+C15)</f>
        <v>34560</v>
      </c>
    </row>
    <row r="7" spans="1:8" x14ac:dyDescent="0.25">
      <c r="A7" s="38" t="s">
        <v>53</v>
      </c>
      <c r="B7" s="41" t="s">
        <v>34</v>
      </c>
      <c r="C7" s="42">
        <v>75640220</v>
      </c>
      <c r="E7" s="38" t="s">
        <v>76</v>
      </c>
      <c r="F7" s="41" t="s">
        <v>41</v>
      </c>
      <c r="G7" s="41" t="s">
        <v>91</v>
      </c>
      <c r="H7" s="55">
        <f>C18*12*C19*(C20+C21)</f>
        <v>19920</v>
      </c>
    </row>
    <row r="8" spans="1:8" x14ac:dyDescent="0.25">
      <c r="A8" s="38" t="s">
        <v>54</v>
      </c>
      <c r="B8" s="41" t="s">
        <v>51</v>
      </c>
      <c r="C8" s="42">
        <v>334.76</v>
      </c>
      <c r="E8" s="38" t="s">
        <v>77</v>
      </c>
      <c r="F8" s="41" t="s">
        <v>42</v>
      </c>
      <c r="G8" s="41" t="s">
        <v>92</v>
      </c>
      <c r="H8" s="53">
        <f>H9+H10</f>
        <v>8873614.0800000001</v>
      </c>
    </row>
    <row r="9" spans="1:8" ht="15.75" thickBot="1" x14ac:dyDescent="0.3">
      <c r="A9" s="39" t="s">
        <v>55</v>
      </c>
      <c r="B9" s="44" t="s">
        <v>52</v>
      </c>
      <c r="C9" s="45">
        <v>254.07</v>
      </c>
      <c r="E9" s="38" t="s">
        <v>78</v>
      </c>
      <c r="F9" s="41" t="s">
        <v>69</v>
      </c>
      <c r="G9" s="41" t="s">
        <v>93</v>
      </c>
      <c r="H9" s="53">
        <f>C12*12*C13*C15*C8</f>
        <v>385643.52000000002</v>
      </c>
    </row>
    <row r="10" spans="1:8" ht="15.75" thickBot="1" x14ac:dyDescent="0.3">
      <c r="E10" s="38" t="s">
        <v>79</v>
      </c>
      <c r="F10" s="41" t="s">
        <v>70</v>
      </c>
      <c r="G10" s="41" t="s">
        <v>94</v>
      </c>
      <c r="H10" s="53">
        <f>C12*12*C13*C14*C9</f>
        <v>8487970.5600000005</v>
      </c>
    </row>
    <row r="11" spans="1:8" ht="15.75" thickBot="1" x14ac:dyDescent="0.3">
      <c r="A11" s="83" t="s">
        <v>35</v>
      </c>
      <c r="B11" s="84"/>
      <c r="C11" s="46" t="s">
        <v>101</v>
      </c>
      <c r="E11" s="38" t="s">
        <v>80</v>
      </c>
      <c r="F11" s="41" t="s">
        <v>71</v>
      </c>
      <c r="G11" s="41" t="s">
        <v>95</v>
      </c>
      <c r="H11" s="53">
        <f>H12+H13</f>
        <v>5138536.8</v>
      </c>
    </row>
    <row r="12" spans="1:8" x14ac:dyDescent="0.25">
      <c r="A12" s="47" t="s">
        <v>56</v>
      </c>
      <c r="B12" s="48" t="s">
        <v>36</v>
      </c>
      <c r="C12" s="37">
        <v>12</v>
      </c>
      <c r="E12" s="38" t="s">
        <v>81</v>
      </c>
      <c r="F12" s="41" t="s">
        <v>72</v>
      </c>
      <c r="G12" s="41" t="s">
        <v>96</v>
      </c>
      <c r="H12" s="53">
        <f>C18*12*C19*C21*C8</f>
        <v>321369.59999999998</v>
      </c>
    </row>
    <row r="13" spans="1:8" ht="15.75" thickBot="1" x14ac:dyDescent="0.3">
      <c r="A13" s="38" t="s">
        <v>57</v>
      </c>
      <c r="B13" s="41" t="s">
        <v>37</v>
      </c>
      <c r="C13" s="42">
        <v>4</v>
      </c>
      <c r="E13" s="39" t="s">
        <v>82</v>
      </c>
      <c r="F13" s="44" t="s">
        <v>73</v>
      </c>
      <c r="G13" s="44" t="s">
        <v>97</v>
      </c>
      <c r="H13" s="54">
        <f>C18*12*C19*C20*C9</f>
        <v>4817167.2</v>
      </c>
    </row>
    <row r="14" spans="1:8" ht="15.75" thickBot="1" x14ac:dyDescent="0.3">
      <c r="A14" s="38" t="s">
        <v>58</v>
      </c>
      <c r="B14" s="41" t="s">
        <v>38</v>
      </c>
      <c r="C14" s="42">
        <v>58</v>
      </c>
    </row>
    <row r="15" spans="1:8" ht="15.75" thickBot="1" x14ac:dyDescent="0.3">
      <c r="A15" s="39" t="s">
        <v>59</v>
      </c>
      <c r="B15" s="44" t="s">
        <v>39</v>
      </c>
      <c r="C15" s="45">
        <v>2</v>
      </c>
      <c r="E15" s="85" t="s">
        <v>83</v>
      </c>
      <c r="F15" s="86"/>
      <c r="G15" s="49" t="s">
        <v>100</v>
      </c>
      <c r="H15" s="51" t="s">
        <v>101</v>
      </c>
    </row>
    <row r="16" spans="1:8" ht="15.75" thickBot="1" x14ac:dyDescent="0.3">
      <c r="E16" s="47" t="s">
        <v>87</v>
      </c>
      <c r="F16" s="48" t="s">
        <v>84</v>
      </c>
      <c r="G16" s="48" t="s">
        <v>98</v>
      </c>
      <c r="H16" s="52">
        <f>H5*(H6+H7)</f>
        <v>16616448.329032257</v>
      </c>
    </row>
    <row r="17" spans="1:8" ht="15.75" thickBot="1" x14ac:dyDescent="0.3">
      <c r="A17" s="85" t="s">
        <v>60</v>
      </c>
      <c r="B17" s="86"/>
      <c r="C17" s="46" t="s">
        <v>101</v>
      </c>
      <c r="E17" s="38" t="s">
        <v>88</v>
      </c>
      <c r="F17" s="41" t="s">
        <v>85</v>
      </c>
      <c r="G17" s="41" t="s">
        <v>103</v>
      </c>
      <c r="H17" s="53">
        <f>H8+H11</f>
        <v>14012150.879999999</v>
      </c>
    </row>
    <row r="18" spans="1:8" ht="15.75" thickBot="1" x14ac:dyDescent="0.3">
      <c r="A18" s="47" t="s">
        <v>63</v>
      </c>
      <c r="B18" s="48" t="s">
        <v>36</v>
      </c>
      <c r="C18" s="37">
        <v>2</v>
      </c>
      <c r="E18" s="39" t="s">
        <v>89</v>
      </c>
      <c r="F18" s="44" t="s">
        <v>86</v>
      </c>
      <c r="G18" s="44" t="s">
        <v>99</v>
      </c>
      <c r="H18" s="54">
        <f>H17/((C12*12*C13)+(C18*12*C19))</f>
        <v>17171.753529411762</v>
      </c>
    </row>
    <row r="19" spans="1:8" x14ac:dyDescent="0.25">
      <c r="A19" s="38" t="s">
        <v>64</v>
      </c>
      <c r="B19" s="41" t="s">
        <v>61</v>
      </c>
      <c r="C19" s="42">
        <v>10</v>
      </c>
    </row>
    <row r="20" spans="1:8" x14ac:dyDescent="0.25">
      <c r="A20" s="38" t="s">
        <v>65</v>
      </c>
      <c r="B20" s="41" t="s">
        <v>62</v>
      </c>
      <c r="C20" s="42">
        <v>79</v>
      </c>
    </row>
    <row r="21" spans="1:8" ht="15.75" thickBot="1" x14ac:dyDescent="0.3">
      <c r="A21" s="39" t="s">
        <v>66</v>
      </c>
      <c r="B21" s="44" t="s">
        <v>39</v>
      </c>
      <c r="C21" s="45">
        <v>4</v>
      </c>
    </row>
  </sheetData>
  <mergeCells count="5">
    <mergeCell ref="A2:B2"/>
    <mergeCell ref="A11:B11"/>
    <mergeCell ref="A17:B17"/>
    <mergeCell ref="E4:F4"/>
    <mergeCell ref="E15:F1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selection activeCell="B1" sqref="B1"/>
    </sheetView>
  </sheetViews>
  <sheetFormatPr defaultRowHeight="15" x14ac:dyDescent="0.25"/>
  <cols>
    <col min="1" max="1" width="9.140625" style="72"/>
    <col min="2" max="2" width="45.42578125" bestFit="1" customWidth="1"/>
    <col min="3" max="3" width="15.140625" bestFit="1" customWidth="1"/>
    <col min="4" max="4" width="9.140625" style="1"/>
    <col min="6" max="6" width="9.140625" style="72"/>
    <col min="7" max="7" width="55.42578125" bestFit="1" customWidth="1"/>
    <col min="8" max="8" width="55.42578125" style="1" customWidth="1"/>
    <col min="9" max="9" width="14.140625" bestFit="1" customWidth="1"/>
    <col min="11" max="11" width="9.140625" style="72"/>
    <col min="12" max="12" width="37.42578125" bestFit="1" customWidth="1"/>
  </cols>
  <sheetData>
    <row r="1" spans="1:13" ht="15.75" thickBot="1" x14ac:dyDescent="0.3">
      <c r="A1" s="72" t="s">
        <v>47</v>
      </c>
      <c r="B1" s="56" t="s">
        <v>34</v>
      </c>
      <c r="C1" s="57">
        <v>640356247</v>
      </c>
      <c r="G1" s="83" t="s">
        <v>118</v>
      </c>
      <c r="H1" s="87"/>
      <c r="I1" s="88"/>
      <c r="L1" s="71" t="s">
        <v>112</v>
      </c>
      <c r="M1" s="36"/>
    </row>
    <row r="2" spans="1:13" ht="15.75" thickBot="1" x14ac:dyDescent="0.3">
      <c r="A2" s="72" t="s">
        <v>48</v>
      </c>
      <c r="B2" s="33" t="s">
        <v>104</v>
      </c>
      <c r="C2" s="60">
        <v>525600</v>
      </c>
      <c r="F2" s="72" t="s">
        <v>129</v>
      </c>
      <c r="G2" s="71" t="s">
        <v>108</v>
      </c>
      <c r="H2" s="73"/>
      <c r="I2" s="36">
        <v>350</v>
      </c>
      <c r="K2" s="72" t="s">
        <v>128</v>
      </c>
      <c r="L2" s="32" t="s">
        <v>109</v>
      </c>
      <c r="M2" s="58">
        <f>C4/C6</f>
        <v>7.91125846280812</v>
      </c>
    </row>
    <row r="3" spans="1:13" x14ac:dyDescent="0.25">
      <c r="B3" s="64"/>
      <c r="C3" s="65"/>
      <c r="F3" s="72" t="s">
        <v>130</v>
      </c>
      <c r="G3" s="31" t="s">
        <v>117</v>
      </c>
      <c r="H3" s="74" t="s">
        <v>138</v>
      </c>
      <c r="I3" s="34">
        <f>I2*(I4+I5)</f>
        <v>9450</v>
      </c>
      <c r="L3" s="66"/>
      <c r="M3" s="2"/>
    </row>
    <row r="4" spans="1:13" ht="15.75" thickBot="1" x14ac:dyDescent="0.3">
      <c r="A4" s="72" t="s">
        <v>49</v>
      </c>
      <c r="B4" s="35" t="s">
        <v>105</v>
      </c>
      <c r="C4" s="58">
        <f>C1/C2</f>
        <v>1218.3338032724505</v>
      </c>
      <c r="D4" s="1" t="s">
        <v>125</v>
      </c>
      <c r="F4" s="72" t="s">
        <v>131</v>
      </c>
      <c r="G4" s="31" t="s">
        <v>38</v>
      </c>
      <c r="H4" s="74"/>
      <c r="I4" s="34">
        <v>25</v>
      </c>
    </row>
    <row r="5" spans="1:13" ht="15.75" thickBot="1" x14ac:dyDescent="0.3">
      <c r="F5" s="72" t="s">
        <v>132</v>
      </c>
      <c r="G5" s="31" t="s">
        <v>39</v>
      </c>
      <c r="H5" s="74"/>
      <c r="I5" s="34">
        <v>2</v>
      </c>
    </row>
    <row r="6" spans="1:13" x14ac:dyDescent="0.25">
      <c r="A6" s="72" t="s">
        <v>119</v>
      </c>
      <c r="B6" s="56" t="s">
        <v>44</v>
      </c>
      <c r="C6" s="61">
        <v>154</v>
      </c>
      <c r="F6" s="72" t="s">
        <v>133</v>
      </c>
      <c r="G6" s="31" t="s">
        <v>113</v>
      </c>
      <c r="H6" s="74" t="s">
        <v>139</v>
      </c>
      <c r="I6" s="59">
        <f>I2*I5*C10</f>
        <v>3905.5333333333333</v>
      </c>
    </row>
    <row r="7" spans="1:13" x14ac:dyDescent="0.25">
      <c r="A7" s="72" t="s">
        <v>120</v>
      </c>
      <c r="B7" s="31" t="s">
        <v>33</v>
      </c>
      <c r="C7" s="60">
        <v>6</v>
      </c>
      <c r="F7" s="72" t="s">
        <v>134</v>
      </c>
      <c r="G7" s="31" t="s">
        <v>114</v>
      </c>
      <c r="H7" s="74" t="s">
        <v>140</v>
      </c>
      <c r="I7" s="59">
        <f>I2*I4*C11</f>
        <v>37051.875</v>
      </c>
    </row>
    <row r="8" spans="1:13" x14ac:dyDescent="0.25">
      <c r="A8" s="72" t="s">
        <v>121</v>
      </c>
      <c r="B8" s="31" t="s">
        <v>106</v>
      </c>
      <c r="C8" s="59">
        <v>334.76</v>
      </c>
      <c r="F8" s="72" t="s">
        <v>135</v>
      </c>
      <c r="G8" s="67" t="s">
        <v>42</v>
      </c>
      <c r="H8" s="75" t="s">
        <v>141</v>
      </c>
      <c r="I8" s="68">
        <f>I6+I7</f>
        <v>40957.408333333333</v>
      </c>
    </row>
    <row r="9" spans="1:13" x14ac:dyDescent="0.25">
      <c r="A9" s="72" t="s">
        <v>122</v>
      </c>
      <c r="B9" s="31" t="s">
        <v>107</v>
      </c>
      <c r="C9" s="59">
        <v>254.07</v>
      </c>
      <c r="F9" s="72" t="s">
        <v>136</v>
      </c>
      <c r="G9" s="67" t="s">
        <v>116</v>
      </c>
      <c r="H9" s="75" t="s">
        <v>142</v>
      </c>
      <c r="I9" s="68">
        <f>I8/I2</f>
        <v>117.02116666666666</v>
      </c>
    </row>
    <row r="10" spans="1:13" ht="15.75" thickBot="1" x14ac:dyDescent="0.3">
      <c r="A10" s="72" t="s">
        <v>123</v>
      </c>
      <c r="B10" s="62" t="s">
        <v>111</v>
      </c>
      <c r="C10" s="59">
        <f>C8/60</f>
        <v>5.5793333333333335</v>
      </c>
      <c r="D10" s="1" t="s">
        <v>126</v>
      </c>
      <c r="F10" s="72" t="s">
        <v>137</v>
      </c>
      <c r="G10" s="69" t="s">
        <v>115</v>
      </c>
      <c r="H10" s="76" t="s">
        <v>143</v>
      </c>
      <c r="I10" s="70">
        <f>M2*I3</f>
        <v>74761.392473536733</v>
      </c>
    </row>
    <row r="11" spans="1:13" ht="15.75" thickBot="1" x14ac:dyDescent="0.3">
      <c r="A11" s="72" t="s">
        <v>124</v>
      </c>
      <c r="B11" s="63" t="s">
        <v>110</v>
      </c>
      <c r="C11" s="58">
        <f>C9/60</f>
        <v>4.2344999999999997</v>
      </c>
      <c r="D11" s="1" t="s">
        <v>127</v>
      </c>
    </row>
  </sheetData>
  <mergeCells count="1">
    <mergeCell ref="G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Стоимость сервиса</vt:lpstr>
      <vt:lpstr>Простой оборудования (пример)</vt:lpstr>
      <vt:lpstr>Простой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2018-06-15T11:27:49Z</dcterms:modified>
</cp:coreProperties>
</file>