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N25" i="1"/>
  <c r="N24" i="1"/>
  <c r="N23" i="1"/>
  <c r="N27" i="1" s="1"/>
  <c r="J12" i="1"/>
  <c r="S17" i="1" s="1"/>
  <c r="J11" i="1"/>
  <c r="S16" i="1" s="1"/>
  <c r="I12" i="1"/>
  <c r="S14" i="1" s="1"/>
  <c r="I11" i="1"/>
  <c r="S13" i="1" s="1"/>
  <c r="I10" i="1"/>
  <c r="S12" i="1" s="1"/>
  <c r="H12" i="1"/>
  <c r="H11" i="1"/>
  <c r="H10" i="1"/>
  <c r="G10" i="1"/>
  <c r="J10" i="1" s="1"/>
  <c r="S15" i="1" s="1"/>
  <c r="S22" i="1" s="1"/>
  <c r="F11" i="1"/>
  <c r="F12" i="1"/>
  <c r="F10" i="1"/>
  <c r="E22" i="1"/>
  <c r="D22" i="1"/>
  <c r="E21" i="1"/>
  <c r="D21" i="1"/>
  <c r="E19" i="1"/>
  <c r="E20" i="1"/>
  <c r="E18" i="1"/>
  <c r="D19" i="1"/>
  <c r="D20" i="1"/>
  <c r="D18" i="1"/>
  <c r="S9" i="1"/>
  <c r="R9" i="1"/>
  <c r="Q9" i="1"/>
  <c r="P9" i="1"/>
  <c r="O9" i="1"/>
  <c r="G13" i="1" l="1"/>
  <c r="R11" i="1" s="1"/>
  <c r="R21" i="1" s="1"/>
  <c r="F13" i="1"/>
  <c r="P11" i="1" s="1"/>
  <c r="P21" i="1" s="1"/>
  <c r="D23" i="1"/>
  <c r="P10" i="1" s="1"/>
  <c r="P18" i="1" s="1"/>
  <c r="S11" i="1"/>
  <c r="S21" i="1" s="1"/>
  <c r="Q11" i="1"/>
  <c r="Q21" i="1" s="1"/>
  <c r="E23" i="1"/>
  <c r="S10" i="1"/>
  <c r="R10" i="1"/>
  <c r="R18" i="1" s="1"/>
  <c r="R19" i="1" s="1"/>
  <c r="R20" i="1" s="1"/>
  <c r="R27" i="1" s="1"/>
  <c r="O10" i="1" l="1"/>
  <c r="Q10" i="1"/>
  <c r="Q18" i="1" s="1"/>
  <c r="O11" i="1"/>
  <c r="O21" i="1" s="1"/>
  <c r="S18" i="1"/>
  <c r="S19" i="1" s="1"/>
  <c r="S20" i="1" s="1"/>
  <c r="S27" i="1" s="1"/>
  <c r="P19" i="1"/>
  <c r="P20" i="1" s="1"/>
  <c r="P27" i="1" s="1"/>
  <c r="O18" i="1" l="1"/>
  <c r="Q19" i="1"/>
  <c r="Q20" i="1" s="1"/>
  <c r="Q27" i="1" s="1"/>
  <c r="O19" i="1" l="1"/>
  <c r="O20" i="1"/>
  <c r="O27" i="1" s="1"/>
  <c r="N29" i="1" s="1"/>
</calcChain>
</file>

<file path=xl/sharedStrings.xml><?xml version="1.0" encoding="utf-8"?>
<sst xmlns="http://schemas.openxmlformats.org/spreadsheetml/2006/main" count="75" uniqueCount="68">
  <si>
    <t>Formulación y Evaluación de Proyectos</t>
  </si>
  <si>
    <t>Pablo Montoya</t>
  </si>
  <si>
    <t>20.259.152-3</t>
  </si>
  <si>
    <t>Apuntes</t>
  </si>
  <si>
    <t>Ítem</t>
  </si>
  <si>
    <t>Cantidad</t>
  </si>
  <si>
    <t>Costo Unitario</t>
  </si>
  <si>
    <t>Vida útil</t>
  </si>
  <si>
    <t>Valor Salvamento</t>
  </si>
  <si>
    <t>Vagones</t>
  </si>
  <si>
    <t>Locomotoras</t>
  </si>
  <si>
    <t>Obras Físicas</t>
  </si>
  <si>
    <t>Inversiones</t>
  </si>
  <si>
    <t>Valor unitario</t>
  </si>
  <si>
    <t>Unidad de medida</t>
  </si>
  <si>
    <t>Petróleo</t>
  </si>
  <si>
    <t>Mantención</t>
  </si>
  <si>
    <t>Mano de obra</t>
  </si>
  <si>
    <t>Gastos de administración</t>
  </si>
  <si>
    <t>Gastos generales</t>
  </si>
  <si>
    <t>Por Ton. transportada</t>
  </si>
  <si>
    <t>Anuales</t>
  </si>
  <si>
    <t>Costos Operacionales</t>
  </si>
  <si>
    <t>Desarrollo</t>
  </si>
  <si>
    <t>Ingresos por venta</t>
  </si>
  <si>
    <t>Demanda anual</t>
  </si>
  <si>
    <t>Tonelada</t>
  </si>
  <si>
    <t>Total</t>
  </si>
  <si>
    <t>Totales &lt;= 3 años</t>
  </si>
  <si>
    <t>Totales &gt; 3 años</t>
  </si>
  <si>
    <t>Costo Operacional</t>
  </si>
  <si>
    <t>Depreciación</t>
  </si>
  <si>
    <t>Utilidad antes de impuestos</t>
  </si>
  <si>
    <t>Depreciación &lt; 3 años</t>
  </si>
  <si>
    <t>Impuestos</t>
  </si>
  <si>
    <t>Utilidad después de impuestos</t>
  </si>
  <si>
    <t>Valor Libro</t>
  </si>
  <si>
    <t>Depreciación &gt;= 3 años</t>
  </si>
  <si>
    <t>Valor Recuperable &lt; 3 años</t>
  </si>
  <si>
    <t>Valor Recuperable &gt;= 3 años</t>
  </si>
  <si>
    <t>Valor Vagones</t>
  </si>
  <si>
    <t>Valor Locomotoras</t>
  </si>
  <si>
    <t>Valor Obras Físicas</t>
  </si>
  <si>
    <t>Valor Libro Vagón</t>
  </si>
  <si>
    <t>Valor Libro Locomoras</t>
  </si>
  <si>
    <t>Valor Libro Obras Físicas</t>
  </si>
  <si>
    <t>Valor Libros activos</t>
  </si>
  <si>
    <t>Inversión Vagones</t>
  </si>
  <si>
    <t>Inversión Locomotoras</t>
  </si>
  <si>
    <t>Inversión Obras Físicas</t>
  </si>
  <si>
    <t>Inversión Capital Trabajo</t>
  </si>
  <si>
    <t>Flujo</t>
  </si>
  <si>
    <t>VAN</t>
  </si>
  <si>
    <t>Tasa de descuento:</t>
  </si>
  <si>
    <t>Respuestas</t>
  </si>
  <si>
    <t>A</t>
  </si>
  <si>
    <t>B</t>
  </si>
  <si>
    <t>C</t>
  </si>
  <si>
    <t>D</t>
  </si>
  <si>
    <t>VAN (3.182.023,01) &gt; 0 || El proyecto es rentable.</t>
  </si>
  <si>
    <t>Precio cobrado por tonelada transportada:</t>
  </si>
  <si>
    <r>
      <rPr>
        <b/>
        <sz val="11"/>
        <color theme="1"/>
        <rFont val="Calibri"/>
        <family val="2"/>
        <scheme val="minor"/>
      </rPr>
      <t>Demanda anual:</t>
    </r>
    <r>
      <rPr>
        <sz val="11"/>
        <color theme="1"/>
        <rFont val="Calibri"/>
        <family val="2"/>
        <scheme val="minor"/>
      </rPr>
      <t xml:space="preserve"> </t>
    </r>
  </si>
  <si>
    <t>300 toneladas al mes para los primeros 3 años, luego aumentará a $350.</t>
  </si>
  <si>
    <t>Período de evaluación:</t>
  </si>
  <si>
    <t>VAN &gt; 0 || Por lo tanto el proyecto es rentable (Aunque menos rentable que el primero).</t>
  </si>
  <si>
    <t>Tasa de impuesto:</t>
  </si>
  <si>
    <t>VAN &gt; 0 || Por lo que el proyecto sigue siendo rentable (Aunque VAN disminuye).</t>
  </si>
  <si>
    <t>La alternativa más segura es la A al seguir siendo rentable 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</si>
</sst>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&quot;$&quot;\-#,##0"/>
    <numFmt numFmtId="8" formatCode="&quot;$&quot;#,##0.00;[Red]&quot;$&quot;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 wrapText="1"/>
    </xf>
    <xf numFmtId="8" fontId="0" fillId="0" borderId="0" xfId="0" applyNumberFormat="1"/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6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 wrapText="1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6" borderId="0" xfId="0" applyFont="1" applyFill="1"/>
    <xf numFmtId="0" fontId="3" fillId="6" borderId="0" xfId="0" applyFont="1" applyFill="1"/>
    <xf numFmtId="0" fontId="3" fillId="6" borderId="0" xfId="0" applyFont="1" applyFill="1" applyAlignment="1"/>
    <xf numFmtId="0" fontId="0" fillId="6" borderId="0" xfId="0" applyFill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B29" zoomScale="77" zoomScaleNormal="77" workbookViewId="0">
      <selection activeCell="N37" sqref="N37"/>
    </sheetView>
  </sheetViews>
  <sheetFormatPr baseColWidth="10" defaultRowHeight="15" x14ac:dyDescent="0.25"/>
  <cols>
    <col min="1" max="1" width="12.7109375" customWidth="1"/>
    <col min="2" max="2" width="13.42578125" customWidth="1"/>
    <col min="6" max="6" width="13.28515625" customWidth="1"/>
    <col min="7" max="7" width="12.5703125" customWidth="1"/>
    <col min="8" max="8" width="12.7109375" customWidth="1"/>
    <col min="9" max="9" width="12.85546875" customWidth="1"/>
    <col min="11" max="11" width="14" customWidth="1"/>
    <col min="13" max="13" width="13.5703125" customWidth="1"/>
    <col min="14" max="14" width="14" bestFit="1" customWidth="1"/>
  </cols>
  <sheetData>
    <row r="1" spans="1:20" x14ac:dyDescent="0.25">
      <c r="A1" s="27" t="s">
        <v>0</v>
      </c>
      <c r="B1" s="30"/>
      <c r="C1" s="30"/>
      <c r="K1" s="21"/>
      <c r="L1" s="22"/>
      <c r="M1" s="25" t="s">
        <v>23</v>
      </c>
    </row>
    <row r="2" spans="1:20" x14ac:dyDescent="0.25">
      <c r="A2" s="28"/>
      <c r="B2" s="30"/>
      <c r="C2" s="30"/>
      <c r="K2" s="22"/>
      <c r="L2" s="21"/>
    </row>
    <row r="3" spans="1:20" ht="30" x14ac:dyDescent="0.25">
      <c r="A3" s="29" t="s">
        <v>1</v>
      </c>
      <c r="B3" s="30"/>
      <c r="C3" s="30"/>
      <c r="K3" s="21"/>
      <c r="L3" s="22"/>
      <c r="M3" s="15" t="s">
        <v>25</v>
      </c>
      <c r="N3" s="18">
        <v>300</v>
      </c>
      <c r="O3" s="18">
        <v>350</v>
      </c>
    </row>
    <row r="4" spans="1:20" x14ac:dyDescent="0.25">
      <c r="A4" s="28" t="s">
        <v>2</v>
      </c>
      <c r="B4" s="30"/>
      <c r="C4" s="30"/>
      <c r="K4" s="22"/>
      <c r="L4" s="21"/>
      <c r="M4" s="19" t="s">
        <v>26</v>
      </c>
      <c r="N4" s="18">
        <v>600</v>
      </c>
      <c r="O4" s="16"/>
    </row>
    <row r="5" spans="1:20" x14ac:dyDescent="0.25">
      <c r="K5" s="21"/>
      <c r="L5" s="22"/>
    </row>
    <row r="6" spans="1:20" x14ac:dyDescent="0.25">
      <c r="A6" s="26" t="s">
        <v>3</v>
      </c>
      <c r="I6" s="1"/>
      <c r="K6" s="22"/>
      <c r="L6" s="21"/>
    </row>
    <row r="7" spans="1:20" x14ac:dyDescent="0.25">
      <c r="K7" s="21"/>
      <c r="L7" s="22"/>
    </row>
    <row r="8" spans="1:20" x14ac:dyDescent="0.25">
      <c r="C8" s="2" t="s">
        <v>12</v>
      </c>
      <c r="K8" s="22"/>
      <c r="L8" s="21"/>
      <c r="N8" s="2">
        <v>0</v>
      </c>
      <c r="O8" s="2">
        <v>1</v>
      </c>
      <c r="P8" s="2">
        <v>2</v>
      </c>
      <c r="Q8" s="2">
        <v>3</v>
      </c>
      <c r="R8" s="2">
        <v>4</v>
      </c>
      <c r="S8" s="2">
        <v>5</v>
      </c>
      <c r="T8" s="2"/>
    </row>
    <row r="9" spans="1:20" ht="45" x14ac:dyDescent="0.25">
      <c r="A9" s="5" t="s">
        <v>4</v>
      </c>
      <c r="B9" s="5" t="s">
        <v>5</v>
      </c>
      <c r="C9" s="5" t="s">
        <v>6</v>
      </c>
      <c r="D9" s="5" t="s">
        <v>7</v>
      </c>
      <c r="E9" s="5" t="s">
        <v>8</v>
      </c>
      <c r="F9" s="5" t="s">
        <v>33</v>
      </c>
      <c r="G9" s="5" t="s">
        <v>37</v>
      </c>
      <c r="H9" s="5" t="s">
        <v>38</v>
      </c>
      <c r="I9" s="9" t="s">
        <v>39</v>
      </c>
      <c r="J9" s="5" t="s">
        <v>36</v>
      </c>
      <c r="K9" s="23"/>
      <c r="L9" s="22"/>
      <c r="M9" s="5" t="s">
        <v>24</v>
      </c>
      <c r="O9">
        <f>N3*N4*12</f>
        <v>2160000</v>
      </c>
      <c r="P9">
        <f>N3*N4*12</f>
        <v>2160000</v>
      </c>
      <c r="Q9">
        <f>N3*N4*12</f>
        <v>2160000</v>
      </c>
      <c r="R9">
        <f>O3*N4*12</f>
        <v>2520000</v>
      </c>
      <c r="S9">
        <f>O3*N4*12</f>
        <v>2520000</v>
      </c>
    </row>
    <row r="10" spans="1:20" ht="30" x14ac:dyDescent="0.25">
      <c r="A10" s="3" t="s">
        <v>9</v>
      </c>
      <c r="B10" s="3">
        <v>8</v>
      </c>
      <c r="C10" s="3">
        <v>45000</v>
      </c>
      <c r="D10" s="3">
        <v>10</v>
      </c>
      <c r="E10" s="4">
        <v>0.7</v>
      </c>
      <c r="F10">
        <f>(C10*8)/10</f>
        <v>36000</v>
      </c>
      <c r="G10">
        <f>(C10*10)/10</f>
        <v>45000</v>
      </c>
      <c r="H10">
        <f>(C10*8)*0.7</f>
        <v>251999.99999999997</v>
      </c>
      <c r="I10">
        <f>(C10*10)*0.7</f>
        <v>315000</v>
      </c>
      <c r="J10">
        <f>(C10*10)-G10</f>
        <v>405000</v>
      </c>
      <c r="K10" s="22"/>
      <c r="L10" s="21"/>
      <c r="M10" s="5" t="s">
        <v>30</v>
      </c>
      <c r="O10">
        <f>-1*D23</f>
        <v>-749000</v>
      </c>
      <c r="P10">
        <f>-1*D23</f>
        <v>-749000</v>
      </c>
      <c r="Q10">
        <f>-1*D23</f>
        <v>-749000</v>
      </c>
      <c r="R10">
        <f>-1*E23</f>
        <v>-866000</v>
      </c>
      <c r="S10">
        <f>-1*E23</f>
        <v>-866000</v>
      </c>
    </row>
    <row r="11" spans="1:20" x14ac:dyDescent="0.25">
      <c r="A11" s="3" t="s">
        <v>10</v>
      </c>
      <c r="B11" s="3">
        <v>1</v>
      </c>
      <c r="C11" s="3">
        <v>125000</v>
      </c>
      <c r="D11" s="3">
        <v>20</v>
      </c>
      <c r="E11" s="4">
        <v>0</v>
      </c>
      <c r="F11">
        <f>C11/20</f>
        <v>6250</v>
      </c>
      <c r="G11" s="12">
        <v>6250</v>
      </c>
      <c r="H11">
        <f>(C11*1)*0</f>
        <v>0</v>
      </c>
      <c r="I11">
        <f>(C11*1)*0</f>
        <v>0</v>
      </c>
      <c r="J11">
        <f>(C11*1)-G11</f>
        <v>118750</v>
      </c>
      <c r="K11" s="21"/>
      <c r="L11" s="22"/>
      <c r="M11" s="5" t="s">
        <v>31</v>
      </c>
      <c r="O11">
        <f>F13*-1</f>
        <v>-47500</v>
      </c>
      <c r="P11">
        <f>F13*-1</f>
        <v>-47500</v>
      </c>
      <c r="Q11">
        <f>G13*-1</f>
        <v>-56500</v>
      </c>
      <c r="R11">
        <f>G13*-1</f>
        <v>-56500</v>
      </c>
      <c r="S11">
        <f>G13*-1</f>
        <v>-56500</v>
      </c>
    </row>
    <row r="12" spans="1:20" ht="30" x14ac:dyDescent="0.25">
      <c r="A12" s="3" t="s">
        <v>11</v>
      </c>
      <c r="B12" s="3">
        <v>1</v>
      </c>
      <c r="C12" s="3">
        <v>52500</v>
      </c>
      <c r="D12" s="3">
        <v>10</v>
      </c>
      <c r="E12" s="4">
        <v>0.6</v>
      </c>
      <c r="F12">
        <f>C12/10</f>
        <v>5250</v>
      </c>
      <c r="G12" s="12">
        <v>5250</v>
      </c>
      <c r="H12">
        <f>(C12*1)*0.6</f>
        <v>31500</v>
      </c>
      <c r="I12">
        <f>(C12*1)*0.6</f>
        <v>31500</v>
      </c>
      <c r="J12">
        <f>C12-G12</f>
        <v>47250</v>
      </c>
      <c r="K12" s="22"/>
      <c r="L12" s="21"/>
      <c r="M12" s="5" t="s">
        <v>40</v>
      </c>
      <c r="S12">
        <f>I10</f>
        <v>315000</v>
      </c>
    </row>
    <row r="13" spans="1:20" ht="30" x14ac:dyDescent="0.25">
      <c r="A13" s="3" t="s">
        <v>27</v>
      </c>
      <c r="F13">
        <f>SUM(F10:F12)</f>
        <v>47500</v>
      </c>
      <c r="G13">
        <f>SUM(G10,F11:F12)</f>
        <v>56500</v>
      </c>
      <c r="K13" s="21"/>
      <c r="L13" s="22"/>
      <c r="M13" s="5" t="s">
        <v>41</v>
      </c>
      <c r="S13">
        <f>I11</f>
        <v>0</v>
      </c>
    </row>
    <row r="14" spans="1:20" ht="45" x14ac:dyDescent="0.25">
      <c r="B14" s="9" t="s">
        <v>22</v>
      </c>
      <c r="K14" s="22"/>
      <c r="L14" s="21"/>
      <c r="M14" s="5" t="s">
        <v>42</v>
      </c>
      <c r="S14">
        <f>I12</f>
        <v>31500</v>
      </c>
    </row>
    <row r="15" spans="1:20" ht="30" x14ac:dyDescent="0.25">
      <c r="K15" s="21"/>
      <c r="L15" s="22"/>
      <c r="M15" s="5" t="s">
        <v>43</v>
      </c>
      <c r="S15">
        <f>-1*J10</f>
        <v>-405000</v>
      </c>
    </row>
    <row r="16" spans="1:20" ht="30" x14ac:dyDescent="0.25">
      <c r="A16" s="5" t="s">
        <v>4</v>
      </c>
      <c r="B16" s="5" t="s">
        <v>13</v>
      </c>
      <c r="C16" s="5" t="s">
        <v>14</v>
      </c>
      <c r="D16" s="5" t="s">
        <v>28</v>
      </c>
      <c r="E16" s="5" t="s">
        <v>29</v>
      </c>
      <c r="K16" s="22"/>
      <c r="L16" s="21"/>
      <c r="M16" s="5" t="s">
        <v>44</v>
      </c>
      <c r="S16">
        <f>-1*J11</f>
        <v>-118750</v>
      </c>
    </row>
    <row r="17" spans="1:19" ht="30.75" thickBot="1" x14ac:dyDescent="0.3">
      <c r="A17" s="5"/>
      <c r="B17" s="5"/>
      <c r="C17" s="5"/>
      <c r="D17" s="5"/>
      <c r="E17" s="5"/>
      <c r="K17" s="21"/>
      <c r="L17" s="22"/>
      <c r="M17" s="5" t="s">
        <v>45</v>
      </c>
      <c r="S17">
        <f>-1*J12</f>
        <v>-47250</v>
      </c>
    </row>
    <row r="18" spans="1:19" ht="45" x14ac:dyDescent="0.25">
      <c r="A18" s="7" t="s">
        <v>15</v>
      </c>
      <c r="B18" s="7">
        <v>40.700000000000003</v>
      </c>
      <c r="C18" s="7" t="s">
        <v>20</v>
      </c>
      <c r="D18">
        <f>B18*3600</f>
        <v>146520</v>
      </c>
      <c r="E18">
        <f>B18*4200</f>
        <v>170940</v>
      </c>
      <c r="K18" s="22"/>
      <c r="L18" s="21"/>
      <c r="M18" s="5" t="s">
        <v>32</v>
      </c>
      <c r="O18">
        <f>SUM(O9:O11)</f>
        <v>1363500</v>
      </c>
      <c r="P18">
        <f>SUM(P9:P11)</f>
        <v>1363500</v>
      </c>
      <c r="Q18">
        <f>SUM(Q9:Q11)</f>
        <v>1354500</v>
      </c>
      <c r="R18">
        <f>SUM(R9:R11)</f>
        <v>1597500</v>
      </c>
      <c r="S18">
        <f>SUM(S9:S17)</f>
        <v>1373000</v>
      </c>
    </row>
    <row r="19" spans="1:19" ht="45" x14ac:dyDescent="0.25">
      <c r="A19" s="8" t="s">
        <v>16</v>
      </c>
      <c r="B19" s="8">
        <v>17.5</v>
      </c>
      <c r="C19" s="8" t="s">
        <v>20</v>
      </c>
      <c r="D19">
        <f t="shared" ref="D19:D22" si="0">B19*3600</f>
        <v>63000</v>
      </c>
      <c r="E19">
        <f t="shared" ref="E19:E20" si="1">B19*4200</f>
        <v>73500</v>
      </c>
      <c r="K19" s="21"/>
      <c r="L19" s="22"/>
      <c r="M19" s="2" t="s">
        <v>34</v>
      </c>
      <c r="O19">
        <f>O18*0.15</f>
        <v>204525</v>
      </c>
      <c r="P19">
        <f>P18*0.15</f>
        <v>204525</v>
      </c>
      <c r="Q19">
        <f>Q18*0.15</f>
        <v>203175</v>
      </c>
      <c r="R19">
        <f>R18*0.15</f>
        <v>239625</v>
      </c>
      <c r="S19">
        <f>S18*0.15</f>
        <v>205950</v>
      </c>
    </row>
    <row r="20" spans="1:19" ht="45" x14ac:dyDescent="0.25">
      <c r="A20" s="8" t="s">
        <v>17</v>
      </c>
      <c r="B20" s="8">
        <v>136.80000000000001</v>
      </c>
      <c r="C20" s="8" t="s">
        <v>20</v>
      </c>
      <c r="D20">
        <f t="shared" si="0"/>
        <v>492480.00000000006</v>
      </c>
      <c r="E20">
        <f t="shared" si="1"/>
        <v>574560</v>
      </c>
      <c r="K20" s="22"/>
      <c r="L20" s="21"/>
      <c r="M20" s="5" t="s">
        <v>35</v>
      </c>
      <c r="O20">
        <f>O18-O19</f>
        <v>1158975</v>
      </c>
      <c r="P20">
        <f>P18-P19</f>
        <v>1158975</v>
      </c>
      <c r="Q20">
        <f>Q18-Q19</f>
        <v>1151325</v>
      </c>
      <c r="R20">
        <f>R18-R19</f>
        <v>1357875</v>
      </c>
      <c r="S20">
        <f>S18-S19</f>
        <v>1167050</v>
      </c>
    </row>
    <row r="21" spans="1:19" ht="45" x14ac:dyDescent="0.25">
      <c r="A21" s="8" t="s">
        <v>18</v>
      </c>
      <c r="B21" s="8">
        <v>35000</v>
      </c>
      <c r="C21" s="8" t="s">
        <v>21</v>
      </c>
      <c r="D21">
        <f>B21</f>
        <v>35000</v>
      </c>
      <c r="E21">
        <f>B21</f>
        <v>35000</v>
      </c>
      <c r="K21" s="21"/>
      <c r="L21" s="22"/>
      <c r="M21" s="5" t="s">
        <v>31</v>
      </c>
      <c r="O21">
        <f>O11*-1</f>
        <v>47500</v>
      </c>
      <c r="P21">
        <f>P11*-1</f>
        <v>47500</v>
      </c>
      <c r="Q21">
        <f>Q11*-1</f>
        <v>56500</v>
      </c>
      <c r="R21">
        <f>R11*-1</f>
        <v>56500</v>
      </c>
      <c r="S21">
        <f>S11*-1</f>
        <v>56500</v>
      </c>
    </row>
    <row r="22" spans="1:19" ht="30" x14ac:dyDescent="0.25">
      <c r="A22" s="8" t="s">
        <v>19</v>
      </c>
      <c r="B22" s="8">
        <v>12000</v>
      </c>
      <c r="C22" s="8" t="s">
        <v>21</v>
      </c>
      <c r="D22">
        <f>B22</f>
        <v>12000</v>
      </c>
      <c r="E22">
        <f>B22</f>
        <v>12000</v>
      </c>
      <c r="K22" s="22"/>
      <c r="L22" s="21"/>
      <c r="M22" s="5" t="s">
        <v>46</v>
      </c>
      <c r="S22">
        <f>-SUM(S15:S17)</f>
        <v>571000</v>
      </c>
    </row>
    <row r="23" spans="1:19" ht="30" x14ac:dyDescent="0.25">
      <c r="A23" s="8" t="s">
        <v>27</v>
      </c>
      <c r="D23">
        <f>SUM(D18:D22)</f>
        <v>749000</v>
      </c>
      <c r="E23">
        <f>SUM(E18:E22)</f>
        <v>866000</v>
      </c>
      <c r="K23" s="21"/>
      <c r="L23" s="22"/>
      <c r="M23" s="5" t="s">
        <v>47</v>
      </c>
      <c r="N23">
        <f>(B10*C10)*-1</f>
        <v>-360000</v>
      </c>
      <c r="Q23">
        <f>(2*C10)*-1</f>
        <v>-90000</v>
      </c>
    </row>
    <row r="24" spans="1:19" ht="75" x14ac:dyDescent="0.25">
      <c r="A24" s="13" t="s">
        <v>60</v>
      </c>
      <c r="B24" s="20">
        <v>600</v>
      </c>
      <c r="K24" s="22"/>
      <c r="L24" s="21"/>
      <c r="M24" s="5" t="s">
        <v>48</v>
      </c>
      <c r="N24">
        <f>(B11*C11)*-1</f>
        <v>-125000</v>
      </c>
    </row>
    <row r="25" spans="1:19" ht="90" x14ac:dyDescent="0.25">
      <c r="A25" s="11" t="s">
        <v>61</v>
      </c>
      <c r="B25" s="10" t="s">
        <v>62</v>
      </c>
      <c r="K25" s="21"/>
      <c r="L25" s="22"/>
      <c r="M25" s="5" t="s">
        <v>49</v>
      </c>
      <c r="N25">
        <f>(B12*C12)*-1</f>
        <v>-52500</v>
      </c>
    </row>
    <row r="26" spans="1:19" ht="90" x14ac:dyDescent="0.25">
      <c r="A26" s="13" t="s">
        <v>63</v>
      </c>
      <c r="B26" s="6" t="s">
        <v>62</v>
      </c>
      <c r="K26" s="22"/>
      <c r="L26" s="21"/>
      <c r="M26" s="5" t="s">
        <v>50</v>
      </c>
    </row>
    <row r="27" spans="1:19" ht="30" x14ac:dyDescent="0.25">
      <c r="A27" s="13" t="s">
        <v>65</v>
      </c>
      <c r="B27" s="4">
        <v>0.15</v>
      </c>
      <c r="K27" s="21"/>
      <c r="L27" s="22"/>
      <c r="M27" s="5" t="s">
        <v>51</v>
      </c>
      <c r="N27">
        <f>SUM(N20:N26)</f>
        <v>-537500</v>
      </c>
      <c r="O27">
        <f t="shared" ref="O27:S27" si="2">SUM(O20:O26)</f>
        <v>1206475</v>
      </c>
      <c r="P27">
        <f t="shared" si="2"/>
        <v>1206475</v>
      </c>
      <c r="Q27">
        <f t="shared" si="2"/>
        <v>1117825</v>
      </c>
      <c r="R27">
        <f t="shared" si="2"/>
        <v>1414375</v>
      </c>
      <c r="S27">
        <f t="shared" si="2"/>
        <v>1794550</v>
      </c>
    </row>
    <row r="28" spans="1:19" ht="30" x14ac:dyDescent="0.25">
      <c r="A28" s="13" t="s">
        <v>53</v>
      </c>
      <c r="B28" s="31">
        <v>0.16434000000000001</v>
      </c>
      <c r="K28" s="22"/>
      <c r="L28" s="21"/>
      <c r="M28" s="5"/>
    </row>
    <row r="29" spans="1:19" x14ac:dyDescent="0.25">
      <c r="K29" s="21"/>
      <c r="L29" s="24"/>
      <c r="M29" s="5" t="s">
        <v>52</v>
      </c>
      <c r="N29" s="14">
        <f>NPV(B28,N27:S27)</f>
        <v>3182023.0104320305</v>
      </c>
    </row>
    <row r="30" spans="1:19" x14ac:dyDescent="0.25">
      <c r="K30" s="22"/>
      <c r="L30" s="21"/>
    </row>
    <row r="31" spans="1:19" x14ac:dyDescent="0.25">
      <c r="K31" s="21"/>
      <c r="L31" s="22"/>
    </row>
    <row r="32" spans="1:19" x14ac:dyDescent="0.25">
      <c r="K32" s="22"/>
      <c r="L32" s="21"/>
      <c r="M32" s="15" t="s">
        <v>54</v>
      </c>
      <c r="N32" s="16"/>
    </row>
    <row r="33" spans="11:14" ht="75" x14ac:dyDescent="0.25">
      <c r="K33" s="21"/>
      <c r="L33" s="22"/>
      <c r="M33" s="15" t="s">
        <v>55</v>
      </c>
      <c r="N33" s="17" t="s">
        <v>59</v>
      </c>
    </row>
    <row r="34" spans="11:14" ht="120" x14ac:dyDescent="0.25">
      <c r="K34" s="22"/>
      <c r="L34" s="21"/>
      <c r="M34" s="15" t="s">
        <v>56</v>
      </c>
      <c r="N34" s="17" t="s">
        <v>64</v>
      </c>
    </row>
    <row r="35" spans="11:14" ht="105" x14ac:dyDescent="0.25">
      <c r="K35" s="21"/>
      <c r="L35" s="22"/>
      <c r="M35" s="15" t="s">
        <v>57</v>
      </c>
      <c r="N35" s="17" t="s">
        <v>66</v>
      </c>
    </row>
    <row r="36" spans="11:14" ht="90" x14ac:dyDescent="0.25">
      <c r="K36" s="22"/>
      <c r="L36" s="21"/>
      <c r="M36" s="15" t="s">
        <v>58</v>
      </c>
      <c r="N36" s="17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2021-07-27T21:58:04Z</dcterms:created>
  <dcterms:modified xsi:type="dcterms:W3CDTF">2021-07-28T01:30:03Z</dcterms:modified>
</cp:coreProperties>
</file>