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05C40B8-ABE6-4E5D-BFC3-992274243EDB}" xr6:coauthVersionLast="47" xr6:coauthVersionMax="47" xr10:uidLastSave="{00000000-0000-0000-0000-000000000000}"/>
  <bookViews>
    <workbookView xWindow="-110" yWindow="-110" windowWidth="19420" windowHeight="10420" activeTab="1" xr2:uid="{4A35F998-798B-4F96-B216-5E0EDED1C4F2}"/>
  </bookViews>
  <sheets>
    <sheet name="5-7" sheetId="2" r:id="rId1"/>
    <sheet name="6-7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10" i="2" s="1"/>
  <c r="K19" i="2" s="1"/>
  <c r="K42" i="2" s="1"/>
  <c r="L29" i="2"/>
  <c r="M29" i="2"/>
  <c r="N29" i="2"/>
  <c r="O29" i="2"/>
  <c r="P29" i="2"/>
  <c r="Q29" i="2"/>
  <c r="R29" i="2"/>
  <c r="S29" i="2"/>
  <c r="K29" i="2"/>
  <c r="T30" i="2" s="1"/>
  <c r="K47" i="2"/>
  <c r="L47" i="2"/>
  <c r="M47" i="2"/>
  <c r="N47" i="2"/>
  <c r="O47" i="2"/>
  <c r="P47" i="2"/>
  <c r="Q47" i="2"/>
  <c r="R47" i="2"/>
  <c r="S47" i="2"/>
  <c r="J47" i="2"/>
  <c r="J29" i="2"/>
  <c r="T27" i="2"/>
  <c r="J31" i="2"/>
  <c r="T18" i="2"/>
  <c r="E35" i="2"/>
  <c r="E36" i="2" s="1"/>
  <c r="F35" i="2"/>
  <c r="F34" i="2"/>
  <c r="F33" i="2"/>
  <c r="E34" i="2"/>
  <c r="E33" i="2"/>
  <c r="T17" i="2"/>
  <c r="T26" i="2"/>
  <c r="T15" i="2"/>
  <c r="J25" i="2"/>
  <c r="J26" i="2"/>
  <c r="J24" i="2"/>
  <c r="L22" i="2"/>
  <c r="M22" i="2"/>
  <c r="N22" i="2"/>
  <c r="O22" i="2"/>
  <c r="P22" i="2"/>
  <c r="Q22" i="2"/>
  <c r="R22" i="2"/>
  <c r="S22" i="2"/>
  <c r="T22" i="2"/>
  <c r="L23" i="2"/>
  <c r="M23" i="2"/>
  <c r="N23" i="2"/>
  <c r="O23" i="2"/>
  <c r="P23" i="2"/>
  <c r="Q23" i="2"/>
  <c r="R23" i="2"/>
  <c r="S23" i="2"/>
  <c r="T23" i="2"/>
  <c r="K23" i="2"/>
  <c r="K22" i="2"/>
  <c r="K13" i="2"/>
  <c r="L13" i="2" s="1"/>
  <c r="M13" i="2" s="1"/>
  <c r="N13" i="2" s="1"/>
  <c r="O13" i="2" s="1"/>
  <c r="P13" i="2" s="1"/>
  <c r="Q13" i="2" s="1"/>
  <c r="R13" i="2" s="1"/>
  <c r="S13" i="2" s="1"/>
  <c r="T13" i="2" s="1"/>
  <c r="K11" i="2"/>
  <c r="L4" i="2"/>
  <c r="M4" i="2" s="1"/>
  <c r="N4" i="2" s="1"/>
  <c r="O4" i="2" s="1"/>
  <c r="P4" i="2" s="1"/>
  <c r="Q4" i="2" s="1"/>
  <c r="R4" i="2" s="1"/>
  <c r="S4" i="2" s="1"/>
  <c r="T4" i="2" s="1"/>
  <c r="T11" i="2" s="1"/>
  <c r="L3" i="2"/>
  <c r="M3" i="2" s="1"/>
  <c r="N3" i="2" s="1"/>
  <c r="O3" i="2" s="1"/>
  <c r="P3" i="2" s="1"/>
  <c r="Q3" i="2" s="1"/>
  <c r="R3" i="2" s="1"/>
  <c r="S3" i="2" s="1"/>
  <c r="T3" i="2" s="1"/>
  <c r="T10" i="2" s="1"/>
  <c r="T19" i="2" s="1"/>
  <c r="L2" i="2"/>
  <c r="M2" i="2" s="1"/>
  <c r="D21" i="2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D20" i="2"/>
  <c r="D19" i="2"/>
  <c r="D14" i="2"/>
  <c r="D13" i="2"/>
  <c r="D12" i="2"/>
  <c r="K5" i="2" s="1"/>
  <c r="D9" i="2"/>
  <c r="O10" i="2" l="1"/>
  <c r="O19" i="2" s="1"/>
  <c r="O42" i="2" s="1"/>
  <c r="M10" i="2"/>
  <c r="M19" i="2" s="1"/>
  <c r="M20" i="2" s="1"/>
  <c r="K20" i="2"/>
  <c r="K21" i="2" s="1"/>
  <c r="K31" i="2" s="1"/>
  <c r="F36" i="2"/>
  <c r="F37" i="2" s="1"/>
  <c r="F38" i="2" s="1"/>
  <c r="F39" i="2" s="1"/>
  <c r="F40" i="2" s="1"/>
  <c r="F41" i="2" s="1"/>
  <c r="F42" i="2" s="1"/>
  <c r="E37" i="2"/>
  <c r="E38" i="2" s="1"/>
  <c r="E39" i="2" s="1"/>
  <c r="E40" i="2" s="1"/>
  <c r="E41" i="2" s="1"/>
  <c r="E42" i="2" s="1"/>
  <c r="T20" i="2"/>
  <c r="T21" i="2" s="1"/>
  <c r="T31" i="2" s="1"/>
  <c r="L5" i="2"/>
  <c r="K12" i="2"/>
  <c r="Q11" i="2"/>
  <c r="N10" i="2"/>
  <c r="N19" i="2" s="1"/>
  <c r="P11" i="2"/>
  <c r="L10" i="2"/>
  <c r="L19" i="2" s="1"/>
  <c r="L42" i="2" s="1"/>
  <c r="L43" i="2" s="1"/>
  <c r="N11" i="2"/>
  <c r="S10" i="2"/>
  <c r="S19" i="2" s="1"/>
  <c r="S20" i="2" s="1"/>
  <c r="M11" i="2"/>
  <c r="R10" i="2"/>
  <c r="R19" i="2" s="1"/>
  <c r="R20" i="2" s="1"/>
  <c r="L11" i="2"/>
  <c r="Q10" i="2"/>
  <c r="Q19" i="2" s="1"/>
  <c r="Q20" i="2" s="1"/>
  <c r="S11" i="2"/>
  <c r="O11" i="2"/>
  <c r="P10" i="2"/>
  <c r="P19" i="2" s="1"/>
  <c r="P20" i="2" s="1"/>
  <c r="P21" i="2" s="1"/>
  <c r="P31" i="2" s="1"/>
  <c r="R11" i="2"/>
  <c r="M42" i="2" l="1"/>
  <c r="M43" i="2" s="1"/>
  <c r="M21" i="2"/>
  <c r="M31" i="2" s="1"/>
  <c r="S21" i="2"/>
  <c r="S31" i="2" s="1"/>
  <c r="N21" i="2"/>
  <c r="N31" i="2" s="1"/>
  <c r="N42" i="2"/>
  <c r="L20" i="2"/>
  <c r="L21" i="2" s="1"/>
  <c r="L31" i="2" s="1"/>
  <c r="Q21" i="2"/>
  <c r="Q31" i="2" s="1"/>
  <c r="R21" i="2"/>
  <c r="R31" i="2" s="1"/>
  <c r="M5" i="2"/>
  <c r="L12" i="2"/>
  <c r="N43" i="2" l="1"/>
  <c r="O43" i="2" s="1"/>
  <c r="O20" i="2" s="1"/>
  <c r="O21" i="2" s="1"/>
  <c r="O31" i="2" s="1"/>
  <c r="I33" i="2"/>
  <c r="I34" i="2" s="1"/>
  <c r="I35" i="2"/>
  <c r="N5" i="2"/>
  <c r="M12" i="2"/>
  <c r="O5" i="2" l="1"/>
  <c r="N12" i="2"/>
  <c r="P5" i="2" l="1"/>
  <c r="O12" i="2"/>
  <c r="Q5" i="2" l="1"/>
  <c r="P12" i="2"/>
  <c r="R5" i="2" l="1"/>
  <c r="Q12" i="2"/>
  <c r="S5" i="2" l="1"/>
  <c r="R12" i="2"/>
  <c r="T5" i="2" l="1"/>
  <c r="T12" i="2" s="1"/>
  <c r="S12" i="2"/>
</calcChain>
</file>

<file path=xl/sharedStrings.xml><?xml version="1.0" encoding="utf-8"?>
<sst xmlns="http://schemas.openxmlformats.org/spreadsheetml/2006/main" count="116" uniqueCount="87">
  <si>
    <t>Ejercicio 05-07-2021</t>
  </si>
  <si>
    <t>Información</t>
  </si>
  <si>
    <t>Se quieren producir tasas de cerámica, y se ha realizado un estudio de mercado que ha arrojado los siguientes datos</t>
  </si>
  <si>
    <t>Unidades vendidas al año:</t>
  </si>
  <si>
    <t>Precio de venta</t>
  </si>
  <si>
    <t xml:space="preserve">unidades </t>
  </si>
  <si>
    <t>por unidad</t>
  </si>
  <si>
    <t>Costo variable</t>
  </si>
  <si>
    <t>Costos fijos admisnitración</t>
  </si>
  <si>
    <t>anual</t>
  </si>
  <si>
    <t>Seguros</t>
  </si>
  <si>
    <t>Publicidad</t>
  </si>
  <si>
    <t>Terreno</t>
  </si>
  <si>
    <t>Máquinas</t>
  </si>
  <si>
    <t>Galpón</t>
  </si>
  <si>
    <t>Sobre los Activos no corrintes, se debe hacer inversiones. LA información relevante es la siguiente</t>
  </si>
  <si>
    <t>años 1-3</t>
  </si>
  <si>
    <t>años 4-7</t>
  </si>
  <si>
    <t>Inversión</t>
  </si>
  <si>
    <t>Vida útil</t>
  </si>
  <si>
    <t>-</t>
  </si>
  <si>
    <t>Valor venta año 10</t>
  </si>
  <si>
    <t>20% precio compra</t>
  </si>
  <si>
    <t>120% precio compra</t>
  </si>
  <si>
    <t>Además, se debe invertir en un capital de trabajo equivalente a 3 meses de costos variables</t>
  </si>
  <si>
    <t>años 8-10</t>
  </si>
  <si>
    <t>Costos variables</t>
  </si>
  <si>
    <t>Costos fijos</t>
  </si>
  <si>
    <t>depreciación</t>
  </si>
  <si>
    <t>Utilidad antes de impuestos</t>
  </si>
  <si>
    <t>Impuestos</t>
  </si>
  <si>
    <t>Tasa impuestos</t>
  </si>
  <si>
    <t>Tasa de descuento</t>
  </si>
  <si>
    <t>unidades vendidas</t>
  </si>
  <si>
    <t>precio</t>
  </si>
  <si>
    <t>costo variable</t>
  </si>
  <si>
    <t>DATOS</t>
  </si>
  <si>
    <t>costo fijos</t>
  </si>
  <si>
    <t>FLUJO</t>
  </si>
  <si>
    <t>Ingresos por venta</t>
  </si>
  <si>
    <t>Costos variables totales</t>
  </si>
  <si>
    <t>Utilidad despué sde impuestos</t>
  </si>
  <si>
    <t>Depreciación maquinas</t>
  </si>
  <si>
    <t>depreciación galpón</t>
  </si>
  <si>
    <t>Acumulado</t>
  </si>
  <si>
    <t>Crédito fiscal</t>
  </si>
  <si>
    <t>Valor venta terreno</t>
  </si>
  <si>
    <t>valor libro terreno</t>
  </si>
  <si>
    <t>Valor libro</t>
  </si>
  <si>
    <t>valor libro maquinas</t>
  </si>
  <si>
    <t>Valor venta maquinas</t>
  </si>
  <si>
    <t>Maquinas</t>
  </si>
  <si>
    <t>Compra</t>
  </si>
  <si>
    <t>año</t>
  </si>
  <si>
    <t>Flujo</t>
  </si>
  <si>
    <t>Inversión capital de trabajo</t>
  </si>
  <si>
    <t>Recuperación del captial de trabajo</t>
  </si>
  <si>
    <t>VAN</t>
  </si>
  <si>
    <t>TIR</t>
  </si>
  <si>
    <t>VA</t>
  </si>
  <si>
    <t xml:space="preserve">ejercicio </t>
  </si>
  <si>
    <t>Es un proyecto de una cantera. Se tiene la siguiente información</t>
  </si>
  <si>
    <t>Inversiones</t>
  </si>
  <si>
    <t>Maquinarias</t>
  </si>
  <si>
    <t>Obras físicas</t>
  </si>
  <si>
    <t>Valor unitario</t>
  </si>
  <si>
    <t>Cantidad</t>
  </si>
  <si>
    <t>Se deben instalar. Se demorarán 10 meses en hacerlo</t>
  </si>
  <si>
    <t>3 años</t>
  </si>
  <si>
    <t>Valor salvamento</t>
  </si>
  <si>
    <t>Costo mensual</t>
  </si>
  <si>
    <t>20 años</t>
  </si>
  <si>
    <t xml:space="preserve">Demanda </t>
  </si>
  <si>
    <t>año 1</t>
  </si>
  <si>
    <t>toneladas</t>
  </si>
  <si>
    <t>Crecimiento anual</t>
  </si>
  <si>
    <t>Energía</t>
  </si>
  <si>
    <t>explosivos</t>
  </si>
  <si>
    <t>Mano de obra</t>
  </si>
  <si>
    <t>por tonelada</t>
  </si>
  <si>
    <t>Costos Fijos</t>
  </si>
  <si>
    <t>Otros</t>
  </si>
  <si>
    <t>Tasa de impuestos</t>
  </si>
  <si>
    <t>Si se superan las 60,5 toneladas, los costos variables unitarios disminuyen en 12%</t>
  </si>
  <si>
    <t>SE PIDE:</t>
  </si>
  <si>
    <t>evaluar el proyecto para un horizonte de 5 años</t>
  </si>
  <si>
    <t>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</si>
</sst>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2">
    <xf numFmtId="0" fontId="0" fillId="0" borderId="0" xfId="0"/>
    <xf numFmtId="42" fontId="0" fillId="0" borderId="0" xfId="2" applyFont="1"/>
    <xf numFmtId="0" fontId="0" fillId="0" borderId="0" xfId="0" applyAlignment="1">
      <alignment horizontal="center"/>
    </xf>
    <xf numFmtId="42" fontId="0" fillId="0" borderId="0" xfId="2" applyFont="1" applyAlignment="1">
      <alignment horizontal="center"/>
    </xf>
    <xf numFmtId="6" fontId="0" fillId="0" borderId="0" xfId="0" applyNumberFormat="1"/>
    <xf numFmtId="0" fontId="0" fillId="0" borderId="1" xfId="0" applyBorder="1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1" fontId="0" fillId="0" borderId="0" xfId="1" applyFont="1" applyAlignment="1">
      <alignment horizontal="center"/>
    </xf>
    <xf numFmtId="4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2" fillId="0" borderId="2" xfId="0" applyNumberFormat="1" applyFont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0" xfId="2" applyNumberFormat="1" applyFont="1" applyAlignment="1">
      <alignment horizontal="center"/>
    </xf>
    <xf numFmtId="6" fontId="0" fillId="0" borderId="1" xfId="0" applyNumberForma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6" fontId="2" fillId="0" borderId="0" xfId="0" applyNumberFormat="1" applyFont="1" applyAlignment="1">
      <alignment horizontal="center"/>
    </xf>
    <xf numFmtId="42" fontId="2" fillId="0" borderId="0" xfId="2" applyFont="1" applyAlignment="1">
      <alignment horizontal="center"/>
    </xf>
    <xf numFmtId="42" fontId="2" fillId="0" borderId="0" xfId="2" applyFont="1"/>
    <xf numFmtId="41" fontId="2" fillId="0" borderId="0" xfId="1" applyFont="1"/>
    <xf numFmtId="9" fontId="2" fillId="0" borderId="0" xfId="0" applyNumberFormat="1" applyFont="1"/>
    <xf numFmtId="0" fontId="0" fillId="0" borderId="0" xfId="0" applyBorder="1" applyAlignment="1">
      <alignment horizontal="center"/>
    </xf>
    <xf numFmtId="6" fontId="0" fillId="0" borderId="0" xfId="0" applyNumberFormat="1" applyBorder="1" applyAlignment="1">
      <alignment horizontal="center"/>
    </xf>
    <xf numFmtId="42" fontId="0" fillId="0" borderId="0" xfId="2" applyFont="1" applyBorder="1" applyAlignment="1">
      <alignment horizontal="center"/>
    </xf>
    <xf numFmtId="8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</cellXfs>
  <cellStyles count="3"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FC01-983A-4E90-829B-BF34A243E4C2}">
  <dimension ref="A1:U47"/>
  <sheetViews>
    <sheetView topLeftCell="C1" zoomScale="67" workbookViewId="0">
      <selection activeCell="K3" sqref="K3"/>
    </sheetView>
  </sheetViews>
  <sheetFormatPr baseColWidth="10" defaultRowHeight="14.5" x14ac:dyDescent="0.35"/>
  <cols>
    <col min="4" max="4" width="15.08984375" bestFit="1" customWidth="1"/>
    <col min="7" max="7" width="28.1796875" customWidth="1"/>
    <col min="9" max="9" width="14.90625" style="8" bestFit="1" customWidth="1"/>
    <col min="10" max="10" width="13.26953125" style="2" bestFit="1" customWidth="1"/>
    <col min="11" max="20" width="12.26953125" style="2" customWidth="1"/>
    <col min="21" max="21" width="10.90625" style="2"/>
  </cols>
  <sheetData>
    <row r="1" spans="1:21" x14ac:dyDescent="0.35">
      <c r="A1" t="s">
        <v>0</v>
      </c>
      <c r="J1" s="2">
        <v>0</v>
      </c>
      <c r="K1" s="2">
        <v>1</v>
      </c>
      <c r="L1" s="2">
        <v>2</v>
      </c>
      <c r="M1" s="2">
        <v>3</v>
      </c>
      <c r="N1" s="2">
        <v>4</v>
      </c>
      <c r="O1" s="2">
        <v>5</v>
      </c>
      <c r="P1" s="2">
        <v>6</v>
      </c>
      <c r="Q1" s="2">
        <v>7</v>
      </c>
      <c r="R1" s="2">
        <v>8</v>
      </c>
      <c r="S1" s="2">
        <v>9</v>
      </c>
      <c r="T1" s="2">
        <v>10</v>
      </c>
    </row>
    <row r="2" spans="1:21" x14ac:dyDescent="0.35">
      <c r="H2" t="s">
        <v>36</v>
      </c>
      <c r="I2" s="8" t="s">
        <v>33</v>
      </c>
      <c r="K2" s="10">
        <v>10000</v>
      </c>
      <c r="L2" s="10">
        <f>+K2</f>
        <v>10000</v>
      </c>
      <c r="M2" s="10">
        <f>+L2</f>
        <v>10000</v>
      </c>
      <c r="N2" s="10">
        <v>18000</v>
      </c>
      <c r="O2" s="10">
        <v>18000</v>
      </c>
      <c r="P2" s="10">
        <v>18000</v>
      </c>
      <c r="Q2" s="10">
        <v>18000</v>
      </c>
      <c r="R2" s="10">
        <v>21600</v>
      </c>
      <c r="S2" s="10">
        <v>21600</v>
      </c>
      <c r="T2" s="10">
        <v>21600</v>
      </c>
    </row>
    <row r="3" spans="1:21" x14ac:dyDescent="0.35">
      <c r="A3" s="6" t="s">
        <v>1</v>
      </c>
      <c r="I3" s="8" t="s">
        <v>34</v>
      </c>
      <c r="K3" s="3">
        <f>+D10</f>
        <v>3500</v>
      </c>
      <c r="L3" s="3">
        <f>+K3</f>
        <v>3500</v>
      </c>
      <c r="M3" s="3">
        <f t="shared" ref="M3:T3" si="0">+L3</f>
        <v>3500</v>
      </c>
      <c r="N3" s="3">
        <f t="shared" si="0"/>
        <v>3500</v>
      </c>
      <c r="O3" s="3">
        <f t="shared" si="0"/>
        <v>3500</v>
      </c>
      <c r="P3" s="3">
        <f t="shared" si="0"/>
        <v>3500</v>
      </c>
      <c r="Q3" s="3">
        <f t="shared" si="0"/>
        <v>3500</v>
      </c>
      <c r="R3" s="3">
        <f t="shared" si="0"/>
        <v>3500</v>
      </c>
      <c r="S3" s="3">
        <f t="shared" si="0"/>
        <v>3500</v>
      </c>
      <c r="T3" s="3">
        <f t="shared" si="0"/>
        <v>3500</v>
      </c>
    </row>
    <row r="4" spans="1:21" x14ac:dyDescent="0.35">
      <c r="I4" s="8" t="s">
        <v>35</v>
      </c>
      <c r="K4" s="3">
        <v>-970</v>
      </c>
      <c r="L4" s="3">
        <f>+K4</f>
        <v>-970</v>
      </c>
      <c r="M4" s="3">
        <f>+L4</f>
        <v>-970</v>
      </c>
      <c r="N4" s="3">
        <f t="shared" ref="N4:T4" si="1">+M4</f>
        <v>-970</v>
      </c>
      <c r="O4" s="3">
        <f t="shared" si="1"/>
        <v>-970</v>
      </c>
      <c r="P4" s="3">
        <f t="shared" si="1"/>
        <v>-970</v>
      </c>
      <c r="Q4" s="3">
        <f t="shared" si="1"/>
        <v>-970</v>
      </c>
      <c r="R4" s="3">
        <f t="shared" si="1"/>
        <v>-970</v>
      </c>
      <c r="S4" s="3">
        <f t="shared" si="1"/>
        <v>-970</v>
      </c>
      <c r="T4" s="3">
        <f t="shared" si="1"/>
        <v>-970</v>
      </c>
    </row>
    <row r="5" spans="1:21" x14ac:dyDescent="0.35">
      <c r="A5" t="s">
        <v>2</v>
      </c>
      <c r="I5" s="8" t="s">
        <v>37</v>
      </c>
      <c r="K5" s="3">
        <f>-SUM(D12:D14)</f>
        <v>-25440000</v>
      </c>
      <c r="L5" s="3">
        <f>+K5</f>
        <v>-25440000</v>
      </c>
      <c r="M5" s="3">
        <f t="shared" ref="M5:T5" si="2">+L5</f>
        <v>-25440000</v>
      </c>
      <c r="N5" s="3">
        <f t="shared" si="2"/>
        <v>-25440000</v>
      </c>
      <c r="O5" s="3">
        <f t="shared" si="2"/>
        <v>-25440000</v>
      </c>
      <c r="P5" s="3">
        <f t="shared" si="2"/>
        <v>-25440000</v>
      </c>
      <c r="Q5" s="3">
        <f t="shared" si="2"/>
        <v>-25440000</v>
      </c>
      <c r="R5" s="3">
        <f t="shared" si="2"/>
        <v>-25440000</v>
      </c>
      <c r="S5" s="3">
        <f t="shared" si="2"/>
        <v>-25440000</v>
      </c>
      <c r="T5" s="3">
        <f t="shared" si="2"/>
        <v>-25440000</v>
      </c>
    </row>
    <row r="7" spans="1:21" x14ac:dyDescent="0.35">
      <c r="A7" s="6" t="s">
        <v>3</v>
      </c>
      <c r="B7" s="6"/>
      <c r="C7" s="6"/>
      <c r="D7" s="24">
        <v>10000</v>
      </c>
      <c r="E7" s="6" t="s">
        <v>5</v>
      </c>
      <c r="F7" t="s">
        <v>16</v>
      </c>
    </row>
    <row r="8" spans="1:21" x14ac:dyDescent="0.35">
      <c r="A8" s="6"/>
      <c r="B8" s="6"/>
      <c r="C8" s="6"/>
      <c r="D8" s="24">
        <v>18000</v>
      </c>
      <c r="E8" s="6" t="s">
        <v>5</v>
      </c>
      <c r="F8" t="s">
        <v>17</v>
      </c>
      <c r="U8" s="10"/>
    </row>
    <row r="9" spans="1:21" x14ac:dyDescent="0.35">
      <c r="A9" s="6"/>
      <c r="B9" s="6"/>
      <c r="C9" s="6"/>
      <c r="D9" s="24">
        <f>+D8*1.2</f>
        <v>21600</v>
      </c>
      <c r="E9" s="6" t="s">
        <v>5</v>
      </c>
      <c r="F9" t="s">
        <v>25</v>
      </c>
      <c r="H9" s="6" t="s">
        <v>38</v>
      </c>
    </row>
    <row r="10" spans="1:21" x14ac:dyDescent="0.35">
      <c r="A10" s="6" t="s">
        <v>4</v>
      </c>
      <c r="B10" s="6"/>
      <c r="C10" s="6"/>
      <c r="D10" s="23">
        <v>3500</v>
      </c>
      <c r="E10" s="6" t="s">
        <v>6</v>
      </c>
      <c r="I10" s="8" t="s">
        <v>39</v>
      </c>
      <c r="K10" s="17">
        <f>+K3*K2</f>
        <v>35000000</v>
      </c>
      <c r="L10" s="17">
        <f t="shared" ref="L10:T10" si="3">+L3*L2</f>
        <v>35000000</v>
      </c>
      <c r="M10" s="17">
        <f t="shared" si="3"/>
        <v>35000000</v>
      </c>
      <c r="N10" s="17">
        <f t="shared" si="3"/>
        <v>63000000</v>
      </c>
      <c r="O10" s="17">
        <f t="shared" si="3"/>
        <v>63000000</v>
      </c>
      <c r="P10" s="17">
        <f t="shared" si="3"/>
        <v>63000000</v>
      </c>
      <c r="Q10" s="17">
        <f t="shared" si="3"/>
        <v>63000000</v>
      </c>
      <c r="R10" s="17">
        <f t="shared" si="3"/>
        <v>75600000</v>
      </c>
      <c r="S10" s="17">
        <f t="shared" si="3"/>
        <v>75600000</v>
      </c>
      <c r="T10" s="17">
        <f t="shared" si="3"/>
        <v>75600000</v>
      </c>
    </row>
    <row r="11" spans="1:21" x14ac:dyDescent="0.35">
      <c r="A11" s="6" t="s">
        <v>7</v>
      </c>
      <c r="B11" s="6"/>
      <c r="C11" s="6"/>
      <c r="D11" s="23">
        <v>970</v>
      </c>
      <c r="E11" s="6" t="s">
        <v>6</v>
      </c>
      <c r="I11" s="8" t="s">
        <v>40</v>
      </c>
      <c r="K11" s="17">
        <f>+K4*K2</f>
        <v>-9700000</v>
      </c>
      <c r="L11" s="17">
        <f t="shared" ref="L11:T11" si="4">+L4*L2</f>
        <v>-9700000</v>
      </c>
      <c r="M11" s="17">
        <f t="shared" si="4"/>
        <v>-9700000</v>
      </c>
      <c r="N11" s="17">
        <f t="shared" si="4"/>
        <v>-17460000</v>
      </c>
      <c r="O11" s="17">
        <f t="shared" si="4"/>
        <v>-17460000</v>
      </c>
      <c r="P11" s="17">
        <f t="shared" si="4"/>
        <v>-17460000</v>
      </c>
      <c r="Q11" s="17">
        <f t="shared" si="4"/>
        <v>-17460000</v>
      </c>
      <c r="R11" s="17">
        <f t="shared" si="4"/>
        <v>-20952000</v>
      </c>
      <c r="S11" s="17">
        <f t="shared" si="4"/>
        <v>-20952000</v>
      </c>
      <c r="T11" s="17">
        <f t="shared" si="4"/>
        <v>-20952000</v>
      </c>
      <c r="U11" s="11"/>
    </row>
    <row r="12" spans="1:21" x14ac:dyDescent="0.35">
      <c r="A12" s="6" t="s">
        <v>8</v>
      </c>
      <c r="B12" s="6"/>
      <c r="C12" s="6"/>
      <c r="D12" s="23">
        <f>320000*6</f>
        <v>1920000</v>
      </c>
      <c r="E12" s="6" t="s">
        <v>9</v>
      </c>
      <c r="I12" s="8" t="s">
        <v>27</v>
      </c>
      <c r="K12" s="18">
        <f>+K5</f>
        <v>-25440000</v>
      </c>
      <c r="L12" s="18">
        <f t="shared" ref="L12:T12" si="5">+L5</f>
        <v>-25440000</v>
      </c>
      <c r="M12" s="18">
        <f t="shared" si="5"/>
        <v>-25440000</v>
      </c>
      <c r="N12" s="18">
        <f t="shared" si="5"/>
        <v>-25440000</v>
      </c>
      <c r="O12" s="18">
        <f t="shared" si="5"/>
        <v>-25440000</v>
      </c>
      <c r="P12" s="18">
        <f t="shared" si="5"/>
        <v>-25440000</v>
      </c>
      <c r="Q12" s="18">
        <f t="shared" si="5"/>
        <v>-25440000</v>
      </c>
      <c r="R12" s="18">
        <f t="shared" si="5"/>
        <v>-25440000</v>
      </c>
      <c r="S12" s="18">
        <f t="shared" si="5"/>
        <v>-25440000</v>
      </c>
      <c r="T12" s="18">
        <f t="shared" si="5"/>
        <v>-25440000</v>
      </c>
    </row>
    <row r="13" spans="1:21" x14ac:dyDescent="0.35">
      <c r="A13" s="6" t="s">
        <v>10</v>
      </c>
      <c r="B13" s="6"/>
      <c r="C13" s="6"/>
      <c r="D13" s="23">
        <f>2120000*6</f>
        <v>12720000</v>
      </c>
      <c r="E13" s="6" t="s">
        <v>9</v>
      </c>
      <c r="I13" s="8" t="s">
        <v>42</v>
      </c>
      <c r="K13" s="18">
        <f>-D20/12</f>
        <v>-2750000</v>
      </c>
      <c r="L13" s="17">
        <f>+K13</f>
        <v>-2750000</v>
      </c>
      <c r="M13" s="17">
        <f t="shared" ref="M13:T13" si="6">+L13</f>
        <v>-2750000</v>
      </c>
      <c r="N13" s="17">
        <f t="shared" si="6"/>
        <v>-2750000</v>
      </c>
      <c r="O13" s="17">
        <f t="shared" si="6"/>
        <v>-2750000</v>
      </c>
      <c r="P13" s="17">
        <f t="shared" si="6"/>
        <v>-2750000</v>
      </c>
      <c r="Q13" s="17">
        <f t="shared" si="6"/>
        <v>-2750000</v>
      </c>
      <c r="R13" s="17">
        <f t="shared" si="6"/>
        <v>-2750000</v>
      </c>
      <c r="S13" s="17">
        <f t="shared" si="6"/>
        <v>-2750000</v>
      </c>
      <c r="T13" s="17">
        <f t="shared" si="6"/>
        <v>-2750000</v>
      </c>
    </row>
    <row r="14" spans="1:21" x14ac:dyDescent="0.35">
      <c r="A14" s="6" t="s">
        <v>11</v>
      </c>
      <c r="B14" s="6"/>
      <c r="C14" s="6"/>
      <c r="D14" s="23">
        <f>1800000*6</f>
        <v>10800000</v>
      </c>
      <c r="E14" s="6" t="s">
        <v>9</v>
      </c>
      <c r="I14" s="8" t="s">
        <v>43</v>
      </c>
      <c r="K14" s="18">
        <f>-D21/20</f>
        <v>-4100000</v>
      </c>
      <c r="L14" s="17">
        <f>+K14</f>
        <v>-4100000</v>
      </c>
      <c r="M14" s="17">
        <f t="shared" ref="M14:T14" si="7">+L14</f>
        <v>-4100000</v>
      </c>
      <c r="N14" s="17">
        <f t="shared" si="7"/>
        <v>-4100000</v>
      </c>
      <c r="O14" s="17">
        <f t="shared" si="7"/>
        <v>-4100000</v>
      </c>
      <c r="P14" s="17">
        <f t="shared" si="7"/>
        <v>-4100000</v>
      </c>
      <c r="Q14" s="17">
        <f t="shared" si="7"/>
        <v>-4100000</v>
      </c>
      <c r="R14" s="17">
        <f t="shared" si="7"/>
        <v>-4100000</v>
      </c>
      <c r="S14" s="17">
        <f t="shared" si="7"/>
        <v>-4100000</v>
      </c>
      <c r="T14" s="17">
        <f t="shared" si="7"/>
        <v>-4100000</v>
      </c>
    </row>
    <row r="15" spans="1:21" x14ac:dyDescent="0.35">
      <c r="I15" s="8" t="s">
        <v>46</v>
      </c>
      <c r="K15" s="18"/>
      <c r="L15" s="17"/>
      <c r="M15" s="17"/>
      <c r="N15" s="17"/>
      <c r="O15" s="17"/>
      <c r="P15" s="17"/>
      <c r="Q15" s="17"/>
      <c r="R15" s="17"/>
      <c r="S15" s="17"/>
      <c r="T15" s="17">
        <f>+D19*1.2</f>
        <v>144000000</v>
      </c>
    </row>
    <row r="16" spans="1:21" x14ac:dyDescent="0.35">
      <c r="A16" t="s">
        <v>15</v>
      </c>
      <c r="I16" s="8" t="s">
        <v>47</v>
      </c>
      <c r="K16" s="18"/>
      <c r="L16" s="17"/>
      <c r="M16" s="17"/>
      <c r="N16" s="17"/>
      <c r="O16" s="17"/>
      <c r="P16" s="17"/>
      <c r="Q16" s="17"/>
      <c r="R16" s="17"/>
      <c r="S16" s="17"/>
      <c r="T16" s="17">
        <v>-120000000</v>
      </c>
    </row>
    <row r="17" spans="1:21" x14ac:dyDescent="0.35">
      <c r="I17" s="8" t="s">
        <v>50</v>
      </c>
      <c r="K17" s="18"/>
      <c r="L17" s="17"/>
      <c r="M17" s="17"/>
      <c r="N17" s="17"/>
      <c r="O17" s="17"/>
      <c r="P17" s="17"/>
      <c r="Q17" s="17"/>
      <c r="R17" s="17"/>
      <c r="S17" s="17"/>
      <c r="T17" s="17">
        <f>-J25*0.2</f>
        <v>6600000</v>
      </c>
    </row>
    <row r="18" spans="1:21" x14ac:dyDescent="0.35">
      <c r="D18" s="15" t="s">
        <v>18</v>
      </c>
      <c r="E18" s="15" t="s">
        <v>19</v>
      </c>
      <c r="F18" t="s">
        <v>21</v>
      </c>
      <c r="I18" s="8" t="s">
        <v>49</v>
      </c>
      <c r="K18" s="17"/>
      <c r="L18" s="17"/>
      <c r="M18" s="17"/>
      <c r="N18" s="17"/>
      <c r="O18" s="17"/>
      <c r="P18" s="17"/>
      <c r="Q18" s="17"/>
      <c r="R18" s="17"/>
      <c r="S18" s="17"/>
      <c r="T18" s="17">
        <f>-F42</f>
        <v>-5500000</v>
      </c>
    </row>
    <row r="19" spans="1:21" x14ac:dyDescent="0.35">
      <c r="A19" s="6" t="s">
        <v>12</v>
      </c>
      <c r="D19" s="22">
        <f>120000000</f>
        <v>120000000</v>
      </c>
      <c r="E19" s="15" t="s">
        <v>20</v>
      </c>
      <c r="F19" t="s">
        <v>23</v>
      </c>
      <c r="I19" s="13" t="s">
        <v>29</v>
      </c>
      <c r="J19" s="14"/>
      <c r="K19" s="16">
        <f>SUM(K10:K18)</f>
        <v>-6990000</v>
      </c>
      <c r="L19" s="16">
        <f>SUM(L10:L18)</f>
        <v>-6990000</v>
      </c>
      <c r="M19" s="16">
        <f>SUM(M10:M18)</f>
        <v>-6990000</v>
      </c>
      <c r="N19" s="16">
        <f>SUM(N10:N18)</f>
        <v>13250000</v>
      </c>
      <c r="O19" s="16">
        <f>SUM(O10:O18)</f>
        <v>13250000</v>
      </c>
      <c r="P19" s="16">
        <f>SUM(P10:P18)</f>
        <v>13250000</v>
      </c>
      <c r="Q19" s="16">
        <f>SUM(Q10:Q18)</f>
        <v>13250000</v>
      </c>
      <c r="R19" s="16">
        <f>SUM(R10:R18)</f>
        <v>22358000</v>
      </c>
      <c r="S19" s="16">
        <f>SUM(S10:S18)</f>
        <v>22358000</v>
      </c>
      <c r="T19" s="16">
        <f>SUM(T10:T18)</f>
        <v>47458000</v>
      </c>
      <c r="U19" s="15"/>
    </row>
    <row r="20" spans="1:21" x14ac:dyDescent="0.35">
      <c r="A20" s="6" t="s">
        <v>13</v>
      </c>
      <c r="D20" s="22">
        <f>33000000</f>
        <v>33000000</v>
      </c>
      <c r="E20" s="15">
        <v>12</v>
      </c>
      <c r="F20" t="s">
        <v>22</v>
      </c>
      <c r="I20" s="9" t="s">
        <v>30</v>
      </c>
      <c r="J20" s="12"/>
      <c r="K20" s="19">
        <f t="shared" ref="K20" si="8">-K19*0.2</f>
        <v>1398000</v>
      </c>
      <c r="L20" s="19">
        <f t="shared" ref="L20" si="9">-L19*0.2</f>
        <v>1398000</v>
      </c>
      <c r="M20" s="19">
        <f t="shared" ref="M20" si="10">-M19*0.2</f>
        <v>1398000</v>
      </c>
      <c r="N20" s="19">
        <v>0</v>
      </c>
      <c r="O20" s="19">
        <f>+O43</f>
        <v>-1106000</v>
      </c>
      <c r="P20" s="19">
        <f t="shared" ref="O20:T20" si="11">-P19*0.2</f>
        <v>-2650000</v>
      </c>
      <c r="Q20" s="19">
        <f t="shared" si="11"/>
        <v>-2650000</v>
      </c>
      <c r="R20" s="19">
        <f t="shared" si="11"/>
        <v>-4471600</v>
      </c>
      <c r="S20" s="19">
        <f t="shared" si="11"/>
        <v>-4471600</v>
      </c>
      <c r="T20" s="19">
        <f t="shared" si="11"/>
        <v>-9491600</v>
      </c>
    </row>
    <row r="21" spans="1:21" x14ac:dyDescent="0.35">
      <c r="A21" s="6" t="s">
        <v>14</v>
      </c>
      <c r="D21" s="22">
        <f>82000000</f>
        <v>82000000</v>
      </c>
      <c r="E21" s="15">
        <v>20</v>
      </c>
      <c r="F21" s="4">
        <v>0</v>
      </c>
      <c r="I21" s="20" t="s">
        <v>41</v>
      </c>
      <c r="J21" s="21"/>
      <c r="K21" s="21">
        <f>+K19+K20</f>
        <v>-5592000</v>
      </c>
      <c r="L21" s="21">
        <f t="shared" ref="L21:T21" si="12">+L19+L20</f>
        <v>-5592000</v>
      </c>
      <c r="M21" s="21">
        <f t="shared" si="12"/>
        <v>-5592000</v>
      </c>
      <c r="N21" s="21">
        <f t="shared" si="12"/>
        <v>13250000</v>
      </c>
      <c r="O21" s="21">
        <f>+O19+O20</f>
        <v>12144000</v>
      </c>
      <c r="P21" s="21">
        <f t="shared" si="12"/>
        <v>10600000</v>
      </c>
      <c r="Q21" s="21">
        <f t="shared" si="12"/>
        <v>10600000</v>
      </c>
      <c r="R21" s="21">
        <f t="shared" si="12"/>
        <v>17886400</v>
      </c>
      <c r="S21" s="21">
        <f t="shared" si="12"/>
        <v>17886400</v>
      </c>
      <c r="T21" s="21">
        <f t="shared" si="12"/>
        <v>37966400</v>
      </c>
    </row>
    <row r="22" spans="1:21" x14ac:dyDescent="0.35">
      <c r="I22" s="8" t="s">
        <v>42</v>
      </c>
      <c r="J22" s="17"/>
      <c r="K22" s="17">
        <f>-K13</f>
        <v>2750000</v>
      </c>
      <c r="L22" s="17">
        <f>-L13</f>
        <v>2750000</v>
      </c>
      <c r="M22" s="17">
        <f>-M13</f>
        <v>2750000</v>
      </c>
      <c r="N22" s="17">
        <f>-N13</f>
        <v>2750000</v>
      </c>
      <c r="O22" s="17">
        <f>-O13</f>
        <v>2750000</v>
      </c>
      <c r="P22" s="17">
        <f>-P13</f>
        <v>2750000</v>
      </c>
      <c r="Q22" s="17">
        <f>-Q13</f>
        <v>2750000</v>
      </c>
      <c r="R22" s="17">
        <f>-R13</f>
        <v>2750000</v>
      </c>
      <c r="S22" s="17">
        <f>-S13</f>
        <v>2750000</v>
      </c>
      <c r="T22" s="17">
        <f>-T13</f>
        <v>2750000</v>
      </c>
    </row>
    <row r="23" spans="1:21" x14ac:dyDescent="0.35">
      <c r="A23" t="s">
        <v>24</v>
      </c>
      <c r="I23" s="8" t="s">
        <v>43</v>
      </c>
      <c r="J23" s="17"/>
      <c r="K23" s="17">
        <f>-K14</f>
        <v>4100000</v>
      </c>
      <c r="L23" s="17">
        <f>-L14</f>
        <v>4100000</v>
      </c>
      <c r="M23" s="17">
        <f>-M14</f>
        <v>4100000</v>
      </c>
      <c r="N23" s="17">
        <f>-N14</f>
        <v>4100000</v>
      </c>
      <c r="O23" s="17">
        <f>-O14</f>
        <v>4100000</v>
      </c>
      <c r="P23" s="17">
        <f>-P14</f>
        <v>4100000</v>
      </c>
      <c r="Q23" s="17">
        <f>-Q14</f>
        <v>4100000</v>
      </c>
      <c r="R23" s="17">
        <f>-R14</f>
        <v>4100000</v>
      </c>
      <c r="S23" s="17">
        <f>-S14</f>
        <v>4100000</v>
      </c>
      <c r="T23" s="17">
        <f>-T14</f>
        <v>4100000</v>
      </c>
    </row>
    <row r="24" spans="1:21" x14ac:dyDescent="0.35">
      <c r="I24" s="8" t="s">
        <v>12</v>
      </c>
      <c r="J24" s="17">
        <f>-D19</f>
        <v>-120000000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1:21" x14ac:dyDescent="0.35">
      <c r="A25" s="6" t="s">
        <v>31</v>
      </c>
      <c r="B25" s="6"/>
      <c r="C25" s="25">
        <v>0.2</v>
      </c>
      <c r="I25" s="8" t="s">
        <v>13</v>
      </c>
      <c r="J25" s="17">
        <f>-D20</f>
        <v>-33000000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1:21" x14ac:dyDescent="0.35">
      <c r="A26" t="s">
        <v>32</v>
      </c>
      <c r="C26" s="7">
        <v>0.13</v>
      </c>
      <c r="I26" s="8" t="s">
        <v>14</v>
      </c>
      <c r="J26" s="17">
        <f>-D21</f>
        <v>-82000000</v>
      </c>
      <c r="K26" s="17"/>
      <c r="L26" s="17"/>
      <c r="M26" s="17"/>
      <c r="N26" s="17"/>
      <c r="O26" s="17"/>
      <c r="P26" s="17"/>
      <c r="Q26" s="17"/>
      <c r="R26" s="17"/>
      <c r="S26" s="17"/>
      <c r="T26" s="17">
        <f>-T16</f>
        <v>120000000</v>
      </c>
    </row>
    <row r="27" spans="1:21" x14ac:dyDescent="0.35">
      <c r="H27" t="s">
        <v>48</v>
      </c>
      <c r="I27" s="8" t="s">
        <v>12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>
        <f>-T18</f>
        <v>5500000</v>
      </c>
    </row>
    <row r="28" spans="1:21" x14ac:dyDescent="0.35">
      <c r="I28" s="8" t="s">
        <v>13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1:21" x14ac:dyDescent="0.35">
      <c r="I29" s="8" t="s">
        <v>55</v>
      </c>
      <c r="J29" s="27">
        <f>+K11/12*3</f>
        <v>-2425000</v>
      </c>
      <c r="K29" s="17">
        <f>+K47-J47</f>
        <v>0</v>
      </c>
      <c r="L29" s="17">
        <f>+L47-K47</f>
        <v>0</v>
      </c>
      <c r="M29" s="17">
        <f>+M47-L47</f>
        <v>-1940000</v>
      </c>
      <c r="N29" s="17">
        <f>+N47-M47</f>
        <v>0</v>
      </c>
      <c r="O29" s="17">
        <f>+O47-N47</f>
        <v>0</v>
      </c>
      <c r="P29" s="17">
        <f>+P47-O47</f>
        <v>0</v>
      </c>
      <c r="Q29" s="17">
        <f>+Q47-P47</f>
        <v>-873000</v>
      </c>
      <c r="R29" s="17">
        <f>+R47-Q47</f>
        <v>0</v>
      </c>
      <c r="S29" s="17">
        <f>+S47-R47</f>
        <v>0</v>
      </c>
      <c r="T29" s="17"/>
    </row>
    <row r="30" spans="1:21" x14ac:dyDescent="0.35">
      <c r="I30" s="9" t="s">
        <v>56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>
        <f>-SUM(J29:S29)</f>
        <v>5238000</v>
      </c>
    </row>
    <row r="31" spans="1:21" x14ac:dyDescent="0.35">
      <c r="C31" t="s">
        <v>53</v>
      </c>
      <c r="E31" s="5" t="s">
        <v>51</v>
      </c>
      <c r="F31" s="5"/>
      <c r="I31" s="8" t="s">
        <v>54</v>
      </c>
      <c r="J31" s="17">
        <f>SUM(J21:J30)</f>
        <v>-237425000</v>
      </c>
      <c r="K31" s="17">
        <f t="shared" ref="K31:T31" si="13">SUM(K21:K30)</f>
        <v>1258000</v>
      </c>
      <c r="L31" s="17">
        <f t="shared" si="13"/>
        <v>1258000</v>
      </c>
      <c r="M31" s="17">
        <f t="shared" si="13"/>
        <v>-682000</v>
      </c>
      <c r="N31" s="17">
        <f t="shared" si="13"/>
        <v>20100000</v>
      </c>
      <c r="O31" s="17">
        <f t="shared" si="13"/>
        <v>18994000</v>
      </c>
      <c r="P31" s="17">
        <f t="shared" si="13"/>
        <v>17450000</v>
      </c>
      <c r="Q31" s="17">
        <f t="shared" si="13"/>
        <v>16577000</v>
      </c>
      <c r="R31" s="17">
        <f t="shared" si="13"/>
        <v>24736400</v>
      </c>
      <c r="S31" s="17">
        <f t="shared" si="13"/>
        <v>24736400</v>
      </c>
      <c r="T31" s="17">
        <f>SUM(T21:T30)</f>
        <v>175554400</v>
      </c>
    </row>
    <row r="32" spans="1:21" x14ac:dyDescent="0.35">
      <c r="C32">
        <v>0</v>
      </c>
      <c r="D32" t="s">
        <v>52</v>
      </c>
      <c r="E32">
        <v>33000000</v>
      </c>
    </row>
    <row r="33" spans="3:20" x14ac:dyDescent="0.35">
      <c r="C33">
        <v>1</v>
      </c>
      <c r="D33" t="s">
        <v>28</v>
      </c>
      <c r="E33" s="4">
        <f>+K13</f>
        <v>-2750000</v>
      </c>
      <c r="F33" s="4">
        <f>+E32+E33</f>
        <v>30250000</v>
      </c>
      <c r="H33" t="s">
        <v>59</v>
      </c>
      <c r="I33" s="29">
        <f>+NPV(C26,K31:T31)</f>
        <v>108945983.79737388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spans="3:20" x14ac:dyDescent="0.35">
      <c r="C34">
        <v>2</v>
      </c>
      <c r="D34" t="s">
        <v>28</v>
      </c>
      <c r="E34" s="4">
        <f>+E33</f>
        <v>-2750000</v>
      </c>
      <c r="F34" s="4">
        <f>+F33+E34</f>
        <v>27500000</v>
      </c>
      <c r="H34" t="s">
        <v>57</v>
      </c>
      <c r="I34" s="29">
        <f>+I33+J31</f>
        <v>-128479016.20262612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spans="3:20" x14ac:dyDescent="0.35">
      <c r="C35">
        <v>3</v>
      </c>
      <c r="D35" t="s">
        <v>28</v>
      </c>
      <c r="E35" s="4">
        <f t="shared" ref="E35:E42" si="14">+E34</f>
        <v>-2750000</v>
      </c>
      <c r="F35" s="4">
        <f t="shared" ref="F35:F42" si="15">+F34+E35</f>
        <v>24750000</v>
      </c>
      <c r="H35" t="s">
        <v>58</v>
      </c>
      <c r="I35" s="30">
        <f>+IRR(J31:T31)</f>
        <v>2.783163036769043E-2</v>
      </c>
    </row>
    <row r="36" spans="3:20" x14ac:dyDescent="0.35">
      <c r="C36">
        <v>4</v>
      </c>
      <c r="D36" t="s">
        <v>28</v>
      </c>
      <c r="E36" s="4">
        <f t="shared" si="14"/>
        <v>-2750000</v>
      </c>
      <c r="F36" s="4">
        <f t="shared" si="15"/>
        <v>22000000</v>
      </c>
    </row>
    <row r="37" spans="3:20" x14ac:dyDescent="0.35">
      <c r="C37">
        <v>5</v>
      </c>
      <c r="D37" t="s">
        <v>28</v>
      </c>
      <c r="E37" s="4">
        <f t="shared" si="14"/>
        <v>-2750000</v>
      </c>
      <c r="F37" s="4">
        <f t="shared" si="15"/>
        <v>19250000</v>
      </c>
    </row>
    <row r="38" spans="3:20" x14ac:dyDescent="0.35">
      <c r="C38">
        <v>6</v>
      </c>
      <c r="D38" t="s">
        <v>28</v>
      </c>
      <c r="E38" s="4">
        <f t="shared" si="14"/>
        <v>-2750000</v>
      </c>
      <c r="F38" s="4">
        <f t="shared" si="15"/>
        <v>16500000</v>
      </c>
    </row>
    <row r="39" spans="3:20" x14ac:dyDescent="0.35">
      <c r="C39">
        <v>7</v>
      </c>
      <c r="D39" t="s">
        <v>28</v>
      </c>
      <c r="E39" s="4">
        <f t="shared" si="14"/>
        <v>-2750000</v>
      </c>
      <c r="F39" s="4">
        <f t="shared" si="15"/>
        <v>13750000</v>
      </c>
    </row>
    <row r="40" spans="3:20" x14ac:dyDescent="0.35">
      <c r="C40">
        <v>8</v>
      </c>
      <c r="D40" t="s">
        <v>28</v>
      </c>
      <c r="E40" s="4">
        <f t="shared" si="14"/>
        <v>-2750000</v>
      </c>
      <c r="F40" s="4">
        <f t="shared" si="15"/>
        <v>11000000</v>
      </c>
    </row>
    <row r="41" spans="3:20" x14ac:dyDescent="0.35">
      <c r="C41">
        <v>9</v>
      </c>
      <c r="D41" t="s">
        <v>28</v>
      </c>
      <c r="E41" s="4">
        <f t="shared" si="14"/>
        <v>-2750000</v>
      </c>
      <c r="F41" s="4">
        <f t="shared" si="15"/>
        <v>8250000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spans="3:20" x14ac:dyDescent="0.35">
      <c r="C42">
        <v>10</v>
      </c>
      <c r="D42" t="s">
        <v>28</v>
      </c>
      <c r="E42" s="4">
        <f t="shared" si="14"/>
        <v>-2750000</v>
      </c>
      <c r="F42" s="4">
        <f t="shared" si="15"/>
        <v>5500000</v>
      </c>
      <c r="J42" s="2" t="s">
        <v>45</v>
      </c>
      <c r="K42" s="17">
        <f>+K19*-0.2</f>
        <v>1398000</v>
      </c>
      <c r="L42" s="17">
        <f>+L19*-0.2</f>
        <v>1398000</v>
      </c>
      <c r="M42" s="17">
        <f>+M19*-0.2</f>
        <v>1398000</v>
      </c>
      <c r="N42" s="17">
        <f>+N19*-0.2</f>
        <v>-2650000</v>
      </c>
      <c r="O42" s="17">
        <f>+O19*-0.2</f>
        <v>-2650000</v>
      </c>
      <c r="P42" s="17"/>
      <c r="Q42" s="17"/>
      <c r="R42" s="17"/>
      <c r="S42" s="17"/>
      <c r="T42" s="17"/>
    </row>
    <row r="43" spans="3:20" x14ac:dyDescent="0.35">
      <c r="E43" s="4"/>
      <c r="F43" s="4"/>
      <c r="J43" s="2" t="s">
        <v>44</v>
      </c>
      <c r="K43" s="17"/>
      <c r="L43" s="17">
        <f>+L42+K42</f>
        <v>2796000</v>
      </c>
      <c r="M43" s="17">
        <f>+M42+L43</f>
        <v>4194000</v>
      </c>
      <c r="N43" s="17">
        <f>+N42+M43</f>
        <v>1544000</v>
      </c>
      <c r="O43" s="17">
        <f>+O42+N43</f>
        <v>-1106000</v>
      </c>
    </row>
    <row r="44" spans="3:20" x14ac:dyDescent="0.35">
      <c r="E44" s="4"/>
      <c r="F44" s="4"/>
    </row>
    <row r="47" spans="3:20" x14ac:dyDescent="0.35">
      <c r="I47" s="8" t="s">
        <v>55</v>
      </c>
      <c r="J47" s="28">
        <f>+K11/12*3</f>
        <v>-2425000</v>
      </c>
      <c r="K47" s="28">
        <f>+L11/12*3</f>
        <v>-2425000</v>
      </c>
      <c r="L47" s="28">
        <f>+M11/12*3</f>
        <v>-2425000</v>
      </c>
      <c r="M47" s="28">
        <f>+N11/12*3</f>
        <v>-4365000</v>
      </c>
      <c r="N47" s="28">
        <f>+O11/12*3</f>
        <v>-4365000</v>
      </c>
      <c r="O47" s="28">
        <f>+P11/12*3</f>
        <v>-4365000</v>
      </c>
      <c r="P47" s="28">
        <f>+Q11/12*3</f>
        <v>-4365000</v>
      </c>
      <c r="Q47" s="28">
        <f>+R11/12*3</f>
        <v>-5238000</v>
      </c>
      <c r="R47" s="28">
        <f>+S11/12*3</f>
        <v>-5238000</v>
      </c>
      <c r="S47" s="28">
        <f>+T11/12*3</f>
        <v>-5238000</v>
      </c>
      <c r="T47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4596-978E-440F-8A91-721AD68F261C}">
  <dimension ref="A1:E32"/>
  <sheetViews>
    <sheetView tabSelected="1" topLeftCell="A2" workbookViewId="0">
      <selection activeCell="C9" sqref="C9"/>
    </sheetView>
  </sheetViews>
  <sheetFormatPr baseColWidth="10" defaultRowHeight="14.5" x14ac:dyDescent="0.35"/>
  <cols>
    <col min="1" max="1" width="17.7265625" customWidth="1"/>
  </cols>
  <sheetData>
    <row r="1" spans="1:5" x14ac:dyDescent="0.35">
      <c r="A1" t="s">
        <v>60</v>
      </c>
    </row>
    <row r="3" spans="1:5" x14ac:dyDescent="0.35">
      <c r="A3" t="s">
        <v>61</v>
      </c>
    </row>
    <row r="5" spans="1:5" x14ac:dyDescent="0.35">
      <c r="A5" s="6" t="s">
        <v>62</v>
      </c>
    </row>
    <row r="6" spans="1:5" x14ac:dyDescent="0.35">
      <c r="B6" t="s">
        <v>66</v>
      </c>
      <c r="C6" t="s">
        <v>65</v>
      </c>
      <c r="D6" t="s">
        <v>19</v>
      </c>
      <c r="E6" t="s">
        <v>69</v>
      </c>
    </row>
    <row r="7" spans="1:5" x14ac:dyDescent="0.35">
      <c r="A7" s="8" t="s">
        <v>12</v>
      </c>
      <c r="B7">
        <v>1</v>
      </c>
      <c r="C7" s="1">
        <v>20000</v>
      </c>
      <c r="E7" s="7">
        <v>1.2</v>
      </c>
    </row>
    <row r="8" spans="1:5" x14ac:dyDescent="0.35">
      <c r="A8" s="8" t="s">
        <v>63</v>
      </c>
      <c r="B8">
        <v>4</v>
      </c>
      <c r="C8" s="1">
        <v>4000</v>
      </c>
      <c r="D8" t="s">
        <v>68</v>
      </c>
      <c r="E8" s="7">
        <v>0.5</v>
      </c>
    </row>
    <row r="11" spans="1:5" x14ac:dyDescent="0.35">
      <c r="A11" t="s">
        <v>64</v>
      </c>
      <c r="B11" t="s">
        <v>67</v>
      </c>
    </row>
    <row r="12" spans="1:5" x14ac:dyDescent="0.35">
      <c r="A12" s="8" t="s">
        <v>70</v>
      </c>
      <c r="B12" s="1">
        <v>1800</v>
      </c>
    </row>
    <row r="13" spans="1:5" x14ac:dyDescent="0.35">
      <c r="A13" s="8" t="s">
        <v>69</v>
      </c>
      <c r="B13" s="7">
        <v>0.6</v>
      </c>
    </row>
    <row r="14" spans="1:5" x14ac:dyDescent="0.35">
      <c r="A14" s="8" t="s">
        <v>19</v>
      </c>
      <c r="B14" s="8" t="s">
        <v>71</v>
      </c>
    </row>
    <row r="16" spans="1:5" x14ac:dyDescent="0.35">
      <c r="A16" s="31" t="s">
        <v>72</v>
      </c>
    </row>
    <row r="17" spans="1:5" x14ac:dyDescent="0.35">
      <c r="A17" s="8" t="s">
        <v>73</v>
      </c>
      <c r="B17">
        <v>50</v>
      </c>
      <c r="C17" t="s">
        <v>74</v>
      </c>
    </row>
    <row r="18" spans="1:5" x14ac:dyDescent="0.35">
      <c r="A18" s="8" t="s">
        <v>75</v>
      </c>
      <c r="B18" s="7">
        <v>0.1</v>
      </c>
    </row>
    <row r="20" spans="1:5" x14ac:dyDescent="0.35">
      <c r="A20" s="6" t="s">
        <v>26</v>
      </c>
      <c r="E20" t="s">
        <v>83</v>
      </c>
    </row>
    <row r="21" spans="1:5" x14ac:dyDescent="0.35">
      <c r="A21" s="8" t="s">
        <v>76</v>
      </c>
      <c r="B21">
        <v>80</v>
      </c>
      <c r="C21" t="s">
        <v>79</v>
      </c>
    </row>
    <row r="22" spans="1:5" x14ac:dyDescent="0.35">
      <c r="A22" s="8" t="s">
        <v>77</v>
      </c>
      <c r="B22">
        <v>180</v>
      </c>
      <c r="C22" t="s">
        <v>79</v>
      </c>
    </row>
    <row r="23" spans="1:5" x14ac:dyDescent="0.35">
      <c r="A23" s="8" t="s">
        <v>78</v>
      </c>
      <c r="B23">
        <v>140</v>
      </c>
      <c r="C23" t="s">
        <v>79</v>
      </c>
    </row>
    <row r="25" spans="1:5" x14ac:dyDescent="0.35">
      <c r="A25" s="6" t="s">
        <v>80</v>
      </c>
    </row>
    <row r="26" spans="1:5" x14ac:dyDescent="0.35">
      <c r="A26" s="8" t="s">
        <v>86</v>
      </c>
      <c r="B26">
        <v>5000</v>
      </c>
    </row>
    <row r="27" spans="1:5" x14ac:dyDescent="0.35">
      <c r="A27" s="8" t="s">
        <v>81</v>
      </c>
      <c r="B27">
        <v>3000</v>
      </c>
    </row>
    <row r="29" spans="1:5" x14ac:dyDescent="0.35">
      <c r="A29" t="s">
        <v>82</v>
      </c>
      <c r="B29" s="7">
        <v>0.2</v>
      </c>
    </row>
    <row r="30" spans="1:5" x14ac:dyDescent="0.35">
      <c r="A30" t="s">
        <v>32</v>
      </c>
      <c r="B30" s="7">
        <v>0.12</v>
      </c>
    </row>
    <row r="32" spans="1:5" x14ac:dyDescent="0.35">
      <c r="A32" t="s">
        <v>84</v>
      </c>
      <c r="B32" t="s">
        <v>85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5-7</vt:lpstr>
      <vt:lpstr>6-7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K</dc:creator>
  <cp:lastModifiedBy>A K</cp:lastModifiedBy>
  <dcterms:created xsi:type="dcterms:W3CDTF">2021-07-05T18:22:44Z</dcterms:created>
  <dcterms:modified xsi:type="dcterms:W3CDTF">2021-07-06T21:45:16Z</dcterms:modified>
</cp:coreProperties>
</file>