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CD96BC7-AB14-44D9-BAFB-D649FEEE43B6}" xr6:coauthVersionLast="47" xr6:coauthVersionMax="47" xr10:uidLastSave="{00000000-0000-0000-0000-000000000000}"/>
  <bookViews>
    <workbookView xWindow="-110" yWindow="-110" windowWidth="19420" windowHeight="10420" xr2:uid="{7692E031-C27F-4070-A5A9-9A183943AD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1" l="1"/>
  <c r="E61" i="1"/>
  <c r="E75" i="1"/>
  <c r="G73" i="1"/>
  <c r="H73" i="1"/>
  <c r="I73" i="1"/>
  <c r="J73" i="1"/>
  <c r="E73" i="1"/>
  <c r="F73" i="1"/>
  <c r="G70" i="1"/>
  <c r="H70" i="1"/>
  <c r="I70" i="1"/>
  <c r="J70" i="1"/>
  <c r="F70" i="1"/>
  <c r="G69" i="1"/>
  <c r="H69" i="1"/>
  <c r="I69" i="1"/>
  <c r="J69" i="1"/>
  <c r="F69" i="1"/>
  <c r="N81" i="1"/>
  <c r="O81" i="1" s="1"/>
  <c r="P81" i="1" s="1"/>
  <c r="L82" i="1" s="1"/>
  <c r="P80" i="1"/>
  <c r="L81" i="1" s="1"/>
  <c r="O80" i="1"/>
  <c r="N80" i="1"/>
  <c r="M82" i="1"/>
  <c r="M83" i="1" s="1"/>
  <c r="M84" i="1" s="1"/>
  <c r="M81" i="1"/>
  <c r="M80" i="1"/>
  <c r="L80" i="1"/>
  <c r="M73" i="1"/>
  <c r="M70" i="1"/>
  <c r="E72" i="1"/>
  <c r="O67" i="1"/>
  <c r="O66" i="1"/>
  <c r="M64" i="1"/>
  <c r="M61" i="1"/>
  <c r="E59" i="1"/>
  <c r="E56" i="1"/>
  <c r="J55" i="1"/>
  <c r="E55" i="1"/>
  <c r="R24" i="1"/>
  <c r="P25" i="1"/>
  <c r="M23" i="1"/>
  <c r="M26" i="1" s="1"/>
  <c r="N25" i="1" s="1"/>
  <c r="N26" i="1" s="1"/>
  <c r="P26" i="1"/>
  <c r="Q25" i="1" s="1"/>
  <c r="Q26" i="1" s="1"/>
  <c r="R25" i="1" s="1"/>
  <c r="R26" i="1" s="1"/>
  <c r="P24" i="1"/>
  <c r="Q21" i="1"/>
  <c r="Q22" i="1"/>
  <c r="Q4" i="1"/>
  <c r="O20" i="1"/>
  <c r="Q20" i="1" s="1"/>
  <c r="E50" i="1"/>
  <c r="E49" i="1"/>
  <c r="E48" i="1"/>
  <c r="E47" i="1"/>
  <c r="J18" i="1"/>
  <c r="J20" i="1" s="1"/>
  <c r="J35" i="1"/>
  <c r="F31" i="1"/>
  <c r="G31" i="1" s="1"/>
  <c r="H31" i="1" s="1"/>
  <c r="I31" i="1" s="1"/>
  <c r="J31" i="1" s="1"/>
  <c r="G30" i="1"/>
  <c r="G29" i="1"/>
  <c r="F29" i="1"/>
  <c r="G25" i="1"/>
  <c r="G24" i="1"/>
  <c r="E10" i="1"/>
  <c r="F10" i="1" s="1"/>
  <c r="F32" i="1"/>
  <c r="G32" i="1" s="1"/>
  <c r="H32" i="1" s="1"/>
  <c r="I32" i="1" s="1"/>
  <c r="J32" i="1" s="1"/>
  <c r="F30" i="1"/>
  <c r="O19" i="1" s="1"/>
  <c r="H26" i="1"/>
  <c r="I26" i="1" s="1"/>
  <c r="J26" i="1" s="1"/>
  <c r="G26" i="1"/>
  <c r="H24" i="1"/>
  <c r="I24" i="1" s="1"/>
  <c r="J24" i="1" s="1"/>
  <c r="J54" i="1"/>
  <c r="J53" i="1"/>
  <c r="J52" i="1"/>
  <c r="H9" i="1"/>
  <c r="H11" i="1"/>
  <c r="J39" i="1"/>
  <c r="J51" i="1" s="1"/>
  <c r="J36" i="1"/>
  <c r="J37" i="1"/>
  <c r="E22" i="1"/>
  <c r="E21" i="1"/>
  <c r="F21" i="1" s="1"/>
  <c r="E20" i="1"/>
  <c r="F33" i="1"/>
  <c r="G33" i="1" s="1"/>
  <c r="H33" i="1" s="1"/>
  <c r="I33" i="1" s="1"/>
  <c r="J33" i="1" s="1"/>
  <c r="F9" i="1"/>
  <c r="E11" i="1"/>
  <c r="F11" i="1" s="1"/>
  <c r="J19" i="1" s="1"/>
  <c r="E19" i="1"/>
  <c r="E18" i="1"/>
  <c r="E17" i="1"/>
  <c r="E16" i="1"/>
  <c r="E15" i="1"/>
  <c r="G28" i="1"/>
  <c r="H28" i="1" s="1"/>
  <c r="I28" i="1" s="1"/>
  <c r="J28" i="1" s="1"/>
  <c r="N82" i="1" l="1"/>
  <c r="O82" i="1" s="1"/>
  <c r="P82" i="1"/>
  <c r="L83" i="1" s="1"/>
  <c r="O68" i="1"/>
  <c r="O25" i="1"/>
  <c r="O26" i="1" s="1"/>
  <c r="F34" i="1"/>
  <c r="J10" i="1"/>
  <c r="O23" i="1"/>
  <c r="Q19" i="1"/>
  <c r="H30" i="1"/>
  <c r="Q23" i="1"/>
  <c r="H25" i="1"/>
  <c r="H10" i="1"/>
  <c r="N83" i="1" l="1"/>
  <c r="O83" i="1" s="1"/>
  <c r="P83" i="1" s="1"/>
  <c r="L84" i="1" s="1"/>
  <c r="G34" i="1"/>
  <c r="F46" i="1"/>
  <c r="F43" i="1"/>
  <c r="I25" i="1"/>
  <c r="I30" i="1" s="1"/>
  <c r="H29" i="1"/>
  <c r="N84" i="1" l="1"/>
  <c r="O84" i="1" s="1"/>
  <c r="P84" i="1" s="1"/>
  <c r="G46" i="1"/>
  <c r="H34" i="1"/>
  <c r="H43" i="1" s="1"/>
  <c r="H44" i="1" s="1"/>
  <c r="H45" i="1" s="1"/>
  <c r="G43" i="1"/>
  <c r="F44" i="1"/>
  <c r="F45" i="1" s="1"/>
  <c r="F56" i="1" s="1"/>
  <c r="J25" i="1"/>
  <c r="I29" i="1"/>
  <c r="H56" i="1" l="1"/>
  <c r="G44" i="1"/>
  <c r="G45" i="1"/>
  <c r="G56" i="1" s="1"/>
  <c r="H46" i="1"/>
  <c r="I34" i="1"/>
  <c r="J29" i="1"/>
  <c r="J30" i="1"/>
  <c r="J34" i="1" l="1"/>
  <c r="J46" i="1" s="1"/>
  <c r="I46" i="1"/>
  <c r="I43" i="1"/>
  <c r="I44" i="1" s="1"/>
  <c r="I45" i="1" s="1"/>
  <c r="I56" i="1" s="1"/>
  <c r="J43" i="1"/>
  <c r="J44" i="1" s="1"/>
  <c r="J45" i="1" s="1"/>
  <c r="J56" i="1" s="1"/>
</calcChain>
</file>

<file path=xl/sharedStrings.xml><?xml version="1.0" encoding="utf-8"?>
<sst xmlns="http://schemas.openxmlformats.org/spreadsheetml/2006/main" count="138" uniqueCount="112">
  <si>
    <t>Inversiones:</t>
  </si>
  <si>
    <t>Activo</t>
  </si>
  <si>
    <t>Cantidad</t>
  </si>
  <si>
    <t>Años de vida útil</t>
  </si>
  <si>
    <t>Valor de mercado (C/U)</t>
  </si>
  <si>
    <t>Valor de salvamento C/U)</t>
  </si>
  <si>
    <t>Momento de adquisición</t>
  </si>
  <si>
    <t>Terreno</t>
  </si>
  <si>
    <t>-</t>
  </si>
  <si>
    <t>12 meses antes</t>
  </si>
  <si>
    <t>Camiones</t>
  </si>
  <si>
    <t>Maquinarias</t>
  </si>
  <si>
    <t>6 meses antes</t>
  </si>
  <si>
    <t>Procesadoras</t>
  </si>
  <si>
    <t>3 meses antes</t>
  </si>
  <si>
    <t>La planta estará a 30 kilómetros de la ciudad. Puede extraer como máximo 21.000 toneladas de material.</t>
  </si>
  <si>
    <t>Se sabe que:</t>
  </si>
  <si>
    <t>$1.000/ ton   años 1-4</t>
  </si>
  <si>
    <t>$1.200/ton a partir del año 5</t>
  </si>
  <si>
    <t xml:space="preserve">El producto se vende el mismo día que llega a la ciudad, pero el comprador lo paga 16 días después.  </t>
  </si>
  <si>
    <t>Los dueños han ahorrado $6.656,1643 al mes a la tasa de 1,2% mensual, monto que destinarán a financiar la inversión. Si no alcanzara, deberían pedir un préstamo a la tasa de 10% anual a 5 años.</t>
  </si>
  <si>
    <t>La tasa de descuento exigida por los dueños es de 16,8%.</t>
  </si>
  <si>
    <t>La tasa de impuesto a la que está afecta la empresa es de 15%.</t>
  </si>
  <si>
    <t>·         Demanda anual: 4.200 toneladas</t>
  </si>
  <si>
    <t xml:space="preserve">·         Precio de venta: </t>
  </si>
  <si>
    <t>·         Costos variables directos: $290/ ton (se pagan a fin de mes)</t>
  </si>
  <si>
    <t>·         Costo transporte a la ciudad: $1.75 /ton por kilómetro. Se paga el transporte mismo día que es utilizado.</t>
  </si>
  <si>
    <t>·         Costos fijos de administración: $35.000/ mes, se pagan a fin de mes</t>
  </si>
  <si>
    <t>·         Costos de seguro_ $50.000/mes, se pagan a inicios de mes.</t>
  </si>
  <si>
    <t>años</t>
  </si>
  <si>
    <t>Ingreso</t>
  </si>
  <si>
    <t>depreciacion</t>
  </si>
  <si>
    <t>impuesto</t>
  </si>
  <si>
    <t>inv Terreno</t>
  </si>
  <si>
    <t xml:space="preserve"> </t>
  </si>
  <si>
    <t>costo Variables</t>
  </si>
  <si>
    <t>costo Fijos</t>
  </si>
  <si>
    <t>costo Transporte</t>
  </si>
  <si>
    <t>Costos seguro</t>
  </si>
  <si>
    <t>Precio</t>
  </si>
  <si>
    <t>T/Anual</t>
  </si>
  <si>
    <t>C/V</t>
  </si>
  <si>
    <t>C/F</t>
  </si>
  <si>
    <t>km</t>
  </si>
  <si>
    <t>C/S</t>
  </si>
  <si>
    <t>Camion</t>
  </si>
  <si>
    <t>Maquinaria</t>
  </si>
  <si>
    <t>Procesadora</t>
  </si>
  <si>
    <t>inv Maquinaria</t>
  </si>
  <si>
    <t>inv Camiones</t>
  </si>
  <si>
    <t>inv Procesadora</t>
  </si>
  <si>
    <t>T/D</t>
  </si>
  <si>
    <t>V/M Terreno</t>
  </si>
  <si>
    <t>V/M Maquinarias</t>
  </si>
  <si>
    <t>V/M Camiones</t>
  </si>
  <si>
    <t>V/M Procesadora</t>
  </si>
  <si>
    <t>V/L Terreno</t>
  </si>
  <si>
    <t>V/L Maquinarias</t>
  </si>
  <si>
    <t>V/L Camiones</t>
  </si>
  <si>
    <t>V/L Procesadora</t>
  </si>
  <si>
    <t>V/L</t>
  </si>
  <si>
    <t>Depreciacion</t>
  </si>
  <si>
    <t>Flujo</t>
  </si>
  <si>
    <t xml:space="preserve">Precio </t>
  </si>
  <si>
    <t>Costos variables</t>
  </si>
  <si>
    <t>Utilidad ante impuesto</t>
  </si>
  <si>
    <t>Valor libro:</t>
  </si>
  <si>
    <t>Valor de compra - depreciación acumulada</t>
  </si>
  <si>
    <t>V/L camiones:</t>
  </si>
  <si>
    <t>Valor de compra</t>
  </si>
  <si>
    <t>depreciación acumulada</t>
  </si>
  <si>
    <t>Utilidad despues de impuest</t>
  </si>
  <si>
    <t>Capital de trabajo</t>
  </si>
  <si>
    <t>Dia</t>
  </si>
  <si>
    <t>Costo transporte</t>
  </si>
  <si>
    <t>Costos fijos</t>
  </si>
  <si>
    <t>Costo seguro</t>
  </si>
  <si>
    <t>Salidas</t>
  </si>
  <si>
    <t>Entradas</t>
  </si>
  <si>
    <t>Entradas - salidas</t>
  </si>
  <si>
    <t>salido inicial</t>
  </si>
  <si>
    <t>Los dueños han ahorrado $6.656,1643 al mes a la tasa de 1,2% mensual, por 5 años, monto que destinarán a financiar la inversión. Si no alcanzara, deberían pedir un préstamo a la tasa de 10% anual a 5 años.</t>
  </si>
  <si>
    <t>Meses de ahorro</t>
  </si>
  <si>
    <t>Monto ahorrado (cuota)</t>
  </si>
  <si>
    <t>Tasa de interés</t>
  </si>
  <si>
    <t>mensual</t>
  </si>
  <si>
    <t>Valor ahorrado</t>
  </si>
  <si>
    <t>Necesidad de financiamiento</t>
  </si>
  <si>
    <t>Inversión</t>
  </si>
  <si>
    <t>Ahorro</t>
  </si>
  <si>
    <t>Prestamo</t>
  </si>
  <si>
    <t>VAN proyecto (puro)</t>
  </si>
  <si>
    <t xml:space="preserve">VAN financiamiento </t>
  </si>
  <si>
    <t>VAN inversionista o proyecto financiado</t>
  </si>
  <si>
    <t>+</t>
  </si>
  <si>
    <t>=</t>
  </si>
  <si>
    <t>Flujo del financiamiento</t>
  </si>
  <si>
    <t>Intereses</t>
  </si>
  <si>
    <t>amortizaciones</t>
  </si>
  <si>
    <t>ahorro de impuestos</t>
  </si>
  <si>
    <t>intereses después de impuestos</t>
  </si>
  <si>
    <t>préstamo</t>
  </si>
  <si>
    <t>Préstamo</t>
  </si>
  <si>
    <t>Años</t>
  </si>
  <si>
    <t>CUOTA</t>
  </si>
  <si>
    <t>Amortización</t>
  </si>
  <si>
    <t>intereses</t>
  </si>
  <si>
    <t>Cuota</t>
  </si>
  <si>
    <t>cuota</t>
  </si>
  <si>
    <t>amortización</t>
  </si>
  <si>
    <t>saldo préstamo</t>
  </si>
  <si>
    <t>VAN financiamiento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</si>
</sst>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&quot;$&quot;\-#,##0"/>
    <numFmt numFmtId="8" formatCode="&quot;$&quot;#,##0.00;[Red]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5" formatCode="_ &quot;$&quot;* #,##0.0_ ;_ &quot;$&quot;* \-#,##0.0_ ;_ &quot;$&quot;* &quot;-&quot;_ ;_ @_ "/>
    <numFmt numFmtId="169" formatCode="_ &quot;$&quot;* #,##0_ ;_ &quot;$&quot;* \-#,##0_ ;_ &quot;$&quot;* &quot;-&quot;??_ ;_ @_ "/>
  </numFmts>
  <fonts count="8" x14ac:knownFonts="1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6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9" fontId="4" fillId="3" borderId="5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6" fontId="5" fillId="0" borderId="5" xfId="0" applyNumberFormat="1" applyFont="1" applyBorder="1" applyAlignment="1">
      <alignment horizontal="center" vertical="center" wrapText="1"/>
    </xf>
    <xf numFmtId="6" fontId="4" fillId="3" borderId="5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6" xfId="0" applyBorder="1"/>
    <xf numFmtId="0" fontId="0" fillId="4" borderId="6" xfId="0" applyFill="1" applyBorder="1" applyAlignment="1">
      <alignment horizontal="center"/>
    </xf>
    <xf numFmtId="0" fontId="7" fillId="4" borderId="0" xfId="0" applyFont="1" applyFill="1"/>
    <xf numFmtId="8" fontId="0" fillId="0" borderId="0" xfId="0" applyNumberFormat="1"/>
    <xf numFmtId="0" fontId="0" fillId="0" borderId="0" xfId="0" applyBorder="1"/>
    <xf numFmtId="0" fontId="0" fillId="0" borderId="7" xfId="0" applyBorder="1"/>
    <xf numFmtId="0" fontId="7" fillId="0" borderId="0" xfId="0" applyFont="1"/>
    <xf numFmtId="0" fontId="7" fillId="0" borderId="0" xfId="0" applyFont="1" applyAlignment="1">
      <alignment horizontal="right"/>
    </xf>
    <xf numFmtId="165" fontId="7" fillId="4" borderId="0" xfId="1" applyNumberFormat="1" applyFont="1" applyFill="1"/>
    <xf numFmtId="42" fontId="0" fillId="0" borderId="0" xfId="1" applyFont="1"/>
    <xf numFmtId="6" fontId="0" fillId="0" borderId="0" xfId="0" applyNumberFormat="1"/>
    <xf numFmtId="165" fontId="0" fillId="0" borderId="0" xfId="0" applyNumberFormat="1"/>
    <xf numFmtId="165" fontId="7" fillId="0" borderId="0" xfId="0" applyNumberFormat="1" applyFont="1"/>
    <xf numFmtId="0" fontId="7" fillId="4" borderId="8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7" xfId="0" applyFill="1" applyBorder="1"/>
    <xf numFmtId="0" fontId="0" fillId="0" borderId="7" xfId="0" applyBorder="1" applyAlignment="1">
      <alignment horizontal="center"/>
    </xf>
    <xf numFmtId="9" fontId="0" fillId="0" borderId="0" xfId="0" applyNumberFormat="1"/>
    <xf numFmtId="169" fontId="0" fillId="0" borderId="0" xfId="0" applyNumberFormat="1"/>
    <xf numFmtId="44" fontId="0" fillId="0" borderId="7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42" fontId="0" fillId="0" borderId="7" xfId="0" applyNumberFormat="1" applyBorder="1" applyAlignment="1"/>
    <xf numFmtId="169" fontId="0" fillId="0" borderId="0" xfId="0" applyNumberFormat="1" applyAlignment="1">
      <alignment horizontal="center"/>
    </xf>
    <xf numFmtId="6" fontId="7" fillId="4" borderId="9" xfId="0" applyNumberFormat="1" applyFont="1" applyFill="1" applyBorder="1"/>
    <xf numFmtId="0" fontId="0" fillId="0" borderId="10" xfId="0" applyBorder="1" applyAlignment="1">
      <alignment horizontal="center"/>
    </xf>
    <xf numFmtId="0" fontId="0" fillId="0" borderId="10" xfId="0" applyBorder="1" applyAlignmen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B467-AD3D-4DCA-BDC5-9558DA97F65D}">
  <dimension ref="A2:R84"/>
  <sheetViews>
    <sheetView tabSelected="1" topLeftCell="C57" workbookViewId="0">
      <selection activeCell="E59" sqref="E59"/>
    </sheetView>
  </sheetViews>
  <sheetFormatPr baseColWidth="10" defaultRowHeight="14.5" x14ac:dyDescent="0.35"/>
  <cols>
    <col min="4" max="4" width="34.6328125" customWidth="1"/>
    <col min="5" max="10" width="12.36328125" bestFit="1" customWidth="1"/>
    <col min="12" max="12" width="26.1796875" customWidth="1"/>
    <col min="14" max="15" width="11.36328125" bestFit="1" customWidth="1"/>
    <col min="16" max="16" width="11.7265625" bestFit="1" customWidth="1"/>
  </cols>
  <sheetData>
    <row r="2" spans="1:17" x14ac:dyDescent="0.35">
      <c r="L2" t="s">
        <v>15</v>
      </c>
    </row>
    <row r="3" spans="1:17" ht="15" thickBot="1" x14ac:dyDescent="0.4">
      <c r="A3" s="1" t="s">
        <v>0</v>
      </c>
      <c r="L3" t="s">
        <v>16</v>
      </c>
    </row>
    <row r="4" spans="1:17" ht="36.5" thickBot="1" x14ac:dyDescent="0.4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L4" t="s">
        <v>23</v>
      </c>
      <c r="Q4">
        <f>4200/12</f>
        <v>350</v>
      </c>
    </row>
    <row r="5" spans="1:17" ht="24.5" thickBot="1" x14ac:dyDescent="0.4">
      <c r="A5" s="5" t="s">
        <v>7</v>
      </c>
      <c r="B5" s="6">
        <v>1</v>
      </c>
      <c r="C5" s="6" t="s">
        <v>8</v>
      </c>
      <c r="D5" s="6">
        <v>300000</v>
      </c>
      <c r="E5" s="7">
        <v>0.2</v>
      </c>
      <c r="F5" s="6" t="s">
        <v>9</v>
      </c>
      <c r="L5" t="s">
        <v>24</v>
      </c>
      <c r="M5" t="s">
        <v>17</v>
      </c>
    </row>
    <row r="6" spans="1:17" ht="15" thickBot="1" x14ac:dyDescent="0.4">
      <c r="A6" s="8" t="s">
        <v>10</v>
      </c>
      <c r="B6" s="9">
        <v>4</v>
      </c>
      <c r="C6" s="9">
        <v>5</v>
      </c>
      <c r="D6" s="10">
        <v>25000</v>
      </c>
      <c r="E6" s="10">
        <v>5000</v>
      </c>
      <c r="F6" s="9">
        <v>0</v>
      </c>
      <c r="M6" t="s">
        <v>18</v>
      </c>
    </row>
    <row r="7" spans="1:17" ht="15" thickBot="1" x14ac:dyDescent="0.4">
      <c r="A7" s="5" t="s">
        <v>11</v>
      </c>
      <c r="B7" s="6">
        <v>4</v>
      </c>
      <c r="C7" s="6">
        <v>5</v>
      </c>
      <c r="D7" s="11">
        <v>30000</v>
      </c>
      <c r="E7" s="11">
        <v>10000</v>
      </c>
      <c r="F7" s="6" t="s">
        <v>12</v>
      </c>
      <c r="L7" t="s">
        <v>25</v>
      </c>
    </row>
    <row r="8" spans="1:17" ht="15" thickBot="1" x14ac:dyDescent="0.4">
      <c r="A8" s="8" t="s">
        <v>13</v>
      </c>
      <c r="B8" s="9">
        <v>1</v>
      </c>
      <c r="C8" s="9">
        <v>10</v>
      </c>
      <c r="D8" s="10">
        <v>160000</v>
      </c>
      <c r="E8" s="10">
        <v>80000</v>
      </c>
      <c r="F8" s="9" t="s">
        <v>14</v>
      </c>
      <c r="H8" t="s">
        <v>60</v>
      </c>
      <c r="J8" t="s">
        <v>61</v>
      </c>
      <c r="L8" t="s">
        <v>26</v>
      </c>
    </row>
    <row r="9" spans="1:17" x14ac:dyDescent="0.35">
      <c r="D9" t="s">
        <v>47</v>
      </c>
      <c r="E9">
        <v>160000</v>
      </c>
      <c r="F9">
        <f>E9/10</f>
        <v>16000</v>
      </c>
      <c r="H9">
        <f>E9-5*16000</f>
        <v>80000</v>
      </c>
      <c r="L9" t="s">
        <v>27</v>
      </c>
    </row>
    <row r="10" spans="1:17" x14ac:dyDescent="0.35">
      <c r="B10" t="s">
        <v>51</v>
      </c>
      <c r="C10" s="12">
        <v>0.16800000000000001</v>
      </c>
      <c r="D10" t="s">
        <v>46</v>
      </c>
      <c r="E10">
        <f>30000*4</f>
        <v>120000</v>
      </c>
      <c r="F10">
        <f>E10/5</f>
        <v>24000</v>
      </c>
      <c r="H10">
        <f>E10-5*24000</f>
        <v>0</v>
      </c>
      <c r="J10">
        <f>SUM(F9:F11)</f>
        <v>60000</v>
      </c>
      <c r="L10" t="s">
        <v>28</v>
      </c>
    </row>
    <row r="11" spans="1:17" x14ac:dyDescent="0.35">
      <c r="D11" t="s">
        <v>45</v>
      </c>
      <c r="E11">
        <f>25000*4</f>
        <v>100000</v>
      </c>
      <c r="F11">
        <f>E11/5</f>
        <v>20000</v>
      </c>
      <c r="H11">
        <f>E11-20000*5</f>
        <v>0</v>
      </c>
      <c r="L11" t="s">
        <v>19</v>
      </c>
    </row>
    <row r="12" spans="1:17" x14ac:dyDescent="0.35">
      <c r="D12" t="s">
        <v>43</v>
      </c>
      <c r="E12">
        <v>30</v>
      </c>
      <c r="L12" t="s">
        <v>20</v>
      </c>
    </row>
    <row r="13" spans="1:17" x14ac:dyDescent="0.35">
      <c r="D13" t="s">
        <v>39</v>
      </c>
      <c r="E13">
        <v>1000</v>
      </c>
      <c r="L13" t="s">
        <v>21</v>
      </c>
    </row>
    <row r="14" spans="1:17" x14ac:dyDescent="0.35">
      <c r="D14" t="s">
        <v>40</v>
      </c>
      <c r="E14">
        <v>4200</v>
      </c>
      <c r="L14" t="s">
        <v>22</v>
      </c>
    </row>
    <row r="15" spans="1:17" x14ac:dyDescent="0.35">
      <c r="D15" t="s">
        <v>29</v>
      </c>
      <c r="E15">
        <f>21000/4200</f>
        <v>5</v>
      </c>
    </row>
    <row r="16" spans="1:17" x14ac:dyDescent="0.35">
      <c r="D16" t="s">
        <v>41</v>
      </c>
      <c r="E16">
        <f>4200*290</f>
        <v>1218000</v>
      </c>
      <c r="I16" t="s">
        <v>66</v>
      </c>
      <c r="J16" t="s">
        <v>67</v>
      </c>
    </row>
    <row r="17" spans="4:18" x14ac:dyDescent="0.35">
      <c r="D17" t="s">
        <v>42</v>
      </c>
      <c r="E17">
        <f>35000*12</f>
        <v>420000</v>
      </c>
      <c r="I17" s="16" t="s">
        <v>10</v>
      </c>
      <c r="J17" s="16"/>
      <c r="M17" t="s">
        <v>73</v>
      </c>
    </row>
    <row r="18" spans="4:18" x14ac:dyDescent="0.35">
      <c r="D18" t="s">
        <v>42</v>
      </c>
      <c r="E18">
        <f>(30*1.75)*4200</f>
        <v>220500</v>
      </c>
      <c r="I18" s="14" t="s">
        <v>69</v>
      </c>
      <c r="J18" s="15">
        <f>25000*4</f>
        <v>100000</v>
      </c>
      <c r="M18">
        <v>0</v>
      </c>
      <c r="N18">
        <v>16</v>
      </c>
      <c r="O18">
        <v>30</v>
      </c>
      <c r="P18">
        <v>46</v>
      </c>
      <c r="Q18">
        <v>60</v>
      </c>
      <c r="R18">
        <v>76</v>
      </c>
    </row>
    <row r="19" spans="4:18" x14ac:dyDescent="0.35">
      <c r="D19" t="s">
        <v>44</v>
      </c>
      <c r="E19">
        <f>50000*12</f>
        <v>600000</v>
      </c>
      <c r="I19" s="14" t="s">
        <v>70</v>
      </c>
      <c r="J19" s="15">
        <f>-+F11*5</f>
        <v>-100000</v>
      </c>
      <c r="L19" t="s">
        <v>64</v>
      </c>
      <c r="N19">
        <v>0</v>
      </c>
      <c r="O19">
        <f>+F30/12</f>
        <v>-101500</v>
      </c>
      <c r="P19">
        <v>0</v>
      </c>
      <c r="Q19">
        <f>+O19</f>
        <v>-101500</v>
      </c>
      <c r="R19">
        <v>0</v>
      </c>
    </row>
    <row r="20" spans="4:18" x14ac:dyDescent="0.35">
      <c r="D20" t="s">
        <v>7</v>
      </c>
      <c r="E20">
        <f>300000*(1+16.8%)</f>
        <v>350400</v>
      </c>
      <c r="F20" t="s">
        <v>34</v>
      </c>
      <c r="I20" s="14" t="s">
        <v>68</v>
      </c>
      <c r="J20" s="15">
        <f>SUM(J18:J19)</f>
        <v>0</v>
      </c>
      <c r="L20" t="s">
        <v>74</v>
      </c>
      <c r="N20">
        <v>0</v>
      </c>
      <c r="O20">
        <f>+F32/12</f>
        <v>-18375</v>
      </c>
      <c r="P20">
        <v>0</v>
      </c>
      <c r="Q20">
        <f>+O20</f>
        <v>-18375</v>
      </c>
      <c r="R20">
        <v>0</v>
      </c>
    </row>
    <row r="21" spans="4:18" x14ac:dyDescent="0.35">
      <c r="D21" t="s">
        <v>46</v>
      </c>
      <c r="E21">
        <f>30000*(1+16.8%)^0.5</f>
        <v>32422.214606655107</v>
      </c>
      <c r="F21">
        <f>E21*4</f>
        <v>129688.85842662043</v>
      </c>
      <c r="L21" t="s">
        <v>75</v>
      </c>
      <c r="N21">
        <v>0</v>
      </c>
      <c r="O21">
        <v>-35000</v>
      </c>
      <c r="P21">
        <v>0</v>
      </c>
      <c r="Q21">
        <f>+O21</f>
        <v>-35000</v>
      </c>
      <c r="R21">
        <v>0</v>
      </c>
    </row>
    <row r="22" spans="4:18" x14ac:dyDescent="0.35">
      <c r="D22" t="s">
        <v>47</v>
      </c>
      <c r="E22">
        <f>160000*(1+16.8%)^0.25</f>
        <v>166333.87046643777</v>
      </c>
      <c r="L22" t="s">
        <v>76</v>
      </c>
      <c r="M22">
        <v>-50000</v>
      </c>
      <c r="N22">
        <v>0</v>
      </c>
      <c r="O22">
        <v>50000</v>
      </c>
      <c r="P22">
        <v>0</v>
      </c>
      <c r="Q22">
        <f>+O22</f>
        <v>50000</v>
      </c>
      <c r="R22">
        <v>0</v>
      </c>
    </row>
    <row r="23" spans="4:18" x14ac:dyDescent="0.35">
      <c r="L23" s="22" t="s">
        <v>77</v>
      </c>
      <c r="M23" s="21">
        <f>SUM(M19:M22)</f>
        <v>-50000</v>
      </c>
      <c r="N23" s="21">
        <v>0</v>
      </c>
      <c r="O23" s="21">
        <f>SUM(O19:O22)</f>
        <v>-104875</v>
      </c>
      <c r="P23" s="21">
        <v>0</v>
      </c>
      <c r="Q23" s="21">
        <f>SUM(Q19:Q22)</f>
        <v>-104875</v>
      </c>
      <c r="R23" s="21">
        <v>0</v>
      </c>
    </row>
    <row r="24" spans="4:18" x14ac:dyDescent="0.35">
      <c r="D24" t="s">
        <v>63</v>
      </c>
      <c r="F24">
        <v>1000</v>
      </c>
      <c r="G24">
        <f>+F24</f>
        <v>1000</v>
      </c>
      <c r="H24">
        <f t="shared" ref="H24:I24" si="0">+G24</f>
        <v>1000</v>
      </c>
      <c r="I24">
        <f t="shared" si="0"/>
        <v>1000</v>
      </c>
      <c r="J24">
        <f>1.2*I24</f>
        <v>1200</v>
      </c>
      <c r="L24" s="13" t="s">
        <v>78</v>
      </c>
      <c r="P24">
        <f>+H29/12</f>
        <v>350000</v>
      </c>
      <c r="R24">
        <f>+P24</f>
        <v>350000</v>
      </c>
    </row>
    <row r="25" spans="4:18" x14ac:dyDescent="0.35">
      <c r="D25" t="s">
        <v>2</v>
      </c>
      <c r="F25">
        <v>4200</v>
      </c>
      <c r="G25">
        <f>+F25</f>
        <v>4200</v>
      </c>
      <c r="H25">
        <f t="shared" ref="H25:J25" si="1">+G25</f>
        <v>4200</v>
      </c>
      <c r="I25">
        <f t="shared" si="1"/>
        <v>4200</v>
      </c>
      <c r="J25">
        <f t="shared" si="1"/>
        <v>4200</v>
      </c>
      <c r="L25" t="s">
        <v>80</v>
      </c>
      <c r="M25">
        <v>154875</v>
      </c>
      <c r="N25">
        <f>+M26</f>
        <v>104875</v>
      </c>
      <c r="O25">
        <f>+N26</f>
        <v>104875</v>
      </c>
      <c r="P25">
        <f t="shared" ref="P25:R25" si="2">+O26</f>
        <v>0</v>
      </c>
      <c r="Q25">
        <f t="shared" si="2"/>
        <v>350000</v>
      </c>
      <c r="R25">
        <f t="shared" si="2"/>
        <v>245125</v>
      </c>
    </row>
    <row r="26" spans="4:18" x14ac:dyDescent="0.35">
      <c r="D26" t="s">
        <v>64</v>
      </c>
      <c r="F26">
        <v>-290</v>
      </c>
      <c r="G26">
        <f>+F26</f>
        <v>-290</v>
      </c>
      <c r="H26">
        <f t="shared" ref="H26:J26" si="3">+G26</f>
        <v>-290</v>
      </c>
      <c r="I26">
        <f t="shared" si="3"/>
        <v>-290</v>
      </c>
      <c r="J26">
        <f t="shared" si="3"/>
        <v>-290</v>
      </c>
      <c r="L26" s="21" t="s">
        <v>79</v>
      </c>
      <c r="M26" s="21">
        <f>SUM(M23:M25)</f>
        <v>104875</v>
      </c>
      <c r="N26" s="21">
        <f t="shared" ref="N26:P26" si="4">SUM(N23:N25)</f>
        <v>104875</v>
      </c>
      <c r="O26" s="21">
        <f t="shared" si="4"/>
        <v>0</v>
      </c>
      <c r="P26" s="21">
        <f t="shared" si="4"/>
        <v>350000</v>
      </c>
      <c r="Q26" s="21">
        <f t="shared" ref="P26:R26" si="5">+Q25+Q23</f>
        <v>245125</v>
      </c>
      <c r="R26" s="21">
        <f t="shared" si="5"/>
        <v>245125</v>
      </c>
    </row>
    <row r="28" spans="4:18" x14ac:dyDescent="0.35">
      <c r="D28" t="s">
        <v>29</v>
      </c>
      <c r="E28">
        <v>0</v>
      </c>
      <c r="F28">
        <v>1</v>
      </c>
      <c r="G28">
        <f>F28+1</f>
        <v>2</v>
      </c>
      <c r="H28">
        <f t="shared" ref="H28:J28" si="6">G28+1</f>
        <v>3</v>
      </c>
      <c r="I28">
        <f t="shared" si="6"/>
        <v>4</v>
      </c>
      <c r="J28">
        <f t="shared" si="6"/>
        <v>5</v>
      </c>
      <c r="K28" t="s">
        <v>34</v>
      </c>
      <c r="L28" t="s">
        <v>34</v>
      </c>
    </row>
    <row r="29" spans="4:18" x14ac:dyDescent="0.35">
      <c r="D29" t="s">
        <v>30</v>
      </c>
      <c r="F29">
        <f>+F25*F24</f>
        <v>4200000</v>
      </c>
      <c r="G29">
        <f>+G25*G24</f>
        <v>4200000</v>
      </c>
      <c r="H29">
        <f t="shared" ref="G29:J29" si="7">+H25*H24</f>
        <v>4200000</v>
      </c>
      <c r="I29">
        <f t="shared" si="7"/>
        <v>4200000</v>
      </c>
      <c r="J29">
        <f t="shared" si="7"/>
        <v>5040000</v>
      </c>
      <c r="K29" t="s">
        <v>34</v>
      </c>
      <c r="L29" t="s">
        <v>34</v>
      </c>
    </row>
    <row r="30" spans="4:18" x14ac:dyDescent="0.35">
      <c r="D30" t="s">
        <v>35</v>
      </c>
      <c r="F30">
        <f>+F26*F25</f>
        <v>-1218000</v>
      </c>
      <c r="G30">
        <f>+G26*G25</f>
        <v>-1218000</v>
      </c>
      <c r="H30">
        <f t="shared" ref="G30:J30" si="8">+H26*H25</f>
        <v>-1218000</v>
      </c>
      <c r="I30">
        <f t="shared" si="8"/>
        <v>-1218000</v>
      </c>
      <c r="J30">
        <f t="shared" si="8"/>
        <v>-1218000</v>
      </c>
    </row>
    <row r="31" spans="4:18" x14ac:dyDescent="0.35">
      <c r="D31" t="s">
        <v>36</v>
      </c>
      <c r="F31">
        <f>-35000*12</f>
        <v>-420000</v>
      </c>
      <c r="G31">
        <f>+F31</f>
        <v>-420000</v>
      </c>
      <c r="H31">
        <f t="shared" ref="H31:J31" si="9">+G31</f>
        <v>-420000</v>
      </c>
      <c r="I31">
        <f t="shared" si="9"/>
        <v>-420000</v>
      </c>
      <c r="J31">
        <f t="shared" si="9"/>
        <v>-420000</v>
      </c>
    </row>
    <row r="32" spans="4:18" x14ac:dyDescent="0.35">
      <c r="D32" t="s">
        <v>37</v>
      </c>
      <c r="F32">
        <f>-(30*1.75)*F25</f>
        <v>-220500</v>
      </c>
      <c r="G32">
        <f t="shared" ref="G32:J33" si="10">+F32</f>
        <v>-220500</v>
      </c>
      <c r="H32">
        <f t="shared" si="10"/>
        <v>-220500</v>
      </c>
      <c r="I32">
        <f t="shared" si="10"/>
        <v>-220500</v>
      </c>
      <c r="J32">
        <f t="shared" si="10"/>
        <v>-220500</v>
      </c>
    </row>
    <row r="33" spans="4:10" x14ac:dyDescent="0.35">
      <c r="D33" t="s">
        <v>38</v>
      </c>
      <c r="F33">
        <f>-50000*12</f>
        <v>-600000</v>
      </c>
      <c r="G33">
        <f t="shared" si="10"/>
        <v>-600000</v>
      </c>
      <c r="H33">
        <f t="shared" si="10"/>
        <v>-600000</v>
      </c>
      <c r="I33">
        <f t="shared" si="10"/>
        <v>-600000</v>
      </c>
      <c r="J33">
        <f t="shared" si="10"/>
        <v>-600000</v>
      </c>
    </row>
    <row r="34" spans="4:10" x14ac:dyDescent="0.35">
      <c r="D34" t="s">
        <v>31</v>
      </c>
      <c r="F34">
        <f>-(F10+F9+F11)</f>
        <v>-60000</v>
      </c>
      <c r="G34">
        <f>+F34</f>
        <v>-60000</v>
      </c>
      <c r="H34">
        <f t="shared" ref="H34:J34" si="11">+G34</f>
        <v>-60000</v>
      </c>
      <c r="I34">
        <f t="shared" si="11"/>
        <v>-60000</v>
      </c>
      <c r="J34">
        <f t="shared" si="11"/>
        <v>-60000</v>
      </c>
    </row>
    <row r="35" spans="4:10" x14ac:dyDescent="0.35">
      <c r="D35" t="s">
        <v>52</v>
      </c>
      <c r="J35">
        <f>300000*0.2</f>
        <v>60000</v>
      </c>
    </row>
    <row r="36" spans="4:10" x14ac:dyDescent="0.35">
      <c r="D36" t="s">
        <v>53</v>
      </c>
      <c r="J36">
        <f>10000*4</f>
        <v>40000</v>
      </c>
    </row>
    <row r="37" spans="4:10" x14ac:dyDescent="0.35">
      <c r="D37" t="s">
        <v>54</v>
      </c>
      <c r="J37">
        <f>5000*4</f>
        <v>20000</v>
      </c>
    </row>
    <row r="38" spans="4:10" x14ac:dyDescent="0.35">
      <c r="D38" t="s">
        <v>55</v>
      </c>
      <c r="J38">
        <v>80000</v>
      </c>
    </row>
    <row r="39" spans="4:10" x14ac:dyDescent="0.35">
      <c r="D39" t="s">
        <v>56</v>
      </c>
      <c r="J39">
        <f>-300000</f>
        <v>-300000</v>
      </c>
    </row>
    <row r="40" spans="4:10" x14ac:dyDescent="0.35">
      <c r="D40" t="s">
        <v>57</v>
      </c>
      <c r="J40">
        <v>0</v>
      </c>
    </row>
    <row r="41" spans="4:10" x14ac:dyDescent="0.35">
      <c r="D41" t="s">
        <v>58</v>
      </c>
      <c r="J41">
        <v>0</v>
      </c>
    </row>
    <row r="42" spans="4:10" x14ac:dyDescent="0.35">
      <c r="D42" s="20" t="s">
        <v>59</v>
      </c>
      <c r="E42" s="20"/>
      <c r="F42" s="20"/>
      <c r="G42" s="20"/>
      <c r="H42" s="20"/>
      <c r="I42" s="20"/>
      <c r="J42" s="20">
        <v>-80000</v>
      </c>
    </row>
    <row r="43" spans="4:10" x14ac:dyDescent="0.35">
      <c r="D43" s="17" t="s">
        <v>65</v>
      </c>
      <c r="E43" s="17"/>
      <c r="F43" s="17">
        <f>SUM(F29:F34)</f>
        <v>1681500</v>
      </c>
      <c r="G43" s="17">
        <f t="shared" ref="G43:I43" si="12">SUM(G29:G34)</f>
        <v>1681500</v>
      </c>
      <c r="H43" s="17">
        <f t="shared" si="12"/>
        <v>1681500</v>
      </c>
      <c r="I43" s="17">
        <f t="shared" si="12"/>
        <v>1681500</v>
      </c>
      <c r="J43" s="17">
        <f>SUM(J29:J42)</f>
        <v>2341500</v>
      </c>
    </row>
    <row r="44" spans="4:10" x14ac:dyDescent="0.35">
      <c r="D44" s="20" t="s">
        <v>32</v>
      </c>
      <c r="E44" s="20"/>
      <c r="F44" s="20">
        <f>F43*-0.15</f>
        <v>-252225</v>
      </c>
      <c r="G44" s="20">
        <f t="shared" ref="G44:I44" si="13">G43*-0.15</f>
        <v>-252225</v>
      </c>
      <c r="H44" s="20">
        <f t="shared" si="13"/>
        <v>-252225</v>
      </c>
      <c r="I44" s="20">
        <f t="shared" si="13"/>
        <v>-252225</v>
      </c>
      <c r="J44" s="20">
        <f>J43*-0.15</f>
        <v>-351225</v>
      </c>
    </row>
    <row r="45" spans="4:10" x14ac:dyDescent="0.35">
      <c r="D45" s="17" t="s">
        <v>71</v>
      </c>
      <c r="E45" s="17"/>
      <c r="F45" s="17">
        <f>F43+F44</f>
        <v>1429275</v>
      </c>
      <c r="G45" s="17">
        <f t="shared" ref="G45:J45" si="14">G43+G44</f>
        <v>1429275</v>
      </c>
      <c r="H45" s="17">
        <f t="shared" si="14"/>
        <v>1429275</v>
      </c>
      <c r="I45" s="17">
        <f t="shared" si="14"/>
        <v>1429275</v>
      </c>
      <c r="J45" s="17">
        <f t="shared" si="14"/>
        <v>1990275</v>
      </c>
    </row>
    <row r="46" spans="4:10" x14ac:dyDescent="0.35">
      <c r="D46" t="s">
        <v>31</v>
      </c>
      <c r="F46">
        <f>-F34</f>
        <v>60000</v>
      </c>
      <c r="G46">
        <f t="shared" ref="G46:J46" si="15">-G34</f>
        <v>60000</v>
      </c>
      <c r="H46">
        <f t="shared" si="15"/>
        <v>60000</v>
      </c>
      <c r="I46">
        <f t="shared" si="15"/>
        <v>60000</v>
      </c>
      <c r="J46">
        <f t="shared" si="15"/>
        <v>60000</v>
      </c>
    </row>
    <row r="47" spans="4:10" x14ac:dyDescent="0.35">
      <c r="D47" t="s">
        <v>33</v>
      </c>
      <c r="E47">
        <f>-300000*(1+16.8%)</f>
        <v>-350400</v>
      </c>
    </row>
    <row r="48" spans="4:10" x14ac:dyDescent="0.35">
      <c r="D48" t="s">
        <v>48</v>
      </c>
      <c r="E48" s="18">
        <f>-+B7*D7*(1.168)^(6/12)</f>
        <v>-129688.85842662043</v>
      </c>
    </row>
    <row r="49" spans="4:14" x14ac:dyDescent="0.35">
      <c r="D49" t="s">
        <v>49</v>
      </c>
      <c r="E49">
        <f>-100000</f>
        <v>-100000</v>
      </c>
    </row>
    <row r="50" spans="4:14" x14ac:dyDescent="0.35">
      <c r="D50" t="s">
        <v>50</v>
      </c>
      <c r="E50">
        <f>-D8*(1.168)^(3/12)</f>
        <v>-166333.87046643777</v>
      </c>
    </row>
    <row r="51" spans="4:14" x14ac:dyDescent="0.35">
      <c r="D51" t="s">
        <v>56</v>
      </c>
      <c r="J51">
        <f>-J39</f>
        <v>300000</v>
      </c>
    </row>
    <row r="52" spans="4:14" x14ac:dyDescent="0.35">
      <c r="D52" t="s">
        <v>57</v>
      </c>
      <c r="J52">
        <f>-J40</f>
        <v>0</v>
      </c>
    </row>
    <row r="53" spans="4:14" x14ac:dyDescent="0.35">
      <c r="D53" t="s">
        <v>58</v>
      </c>
      <c r="J53">
        <f>J41</f>
        <v>0</v>
      </c>
    </row>
    <row r="54" spans="4:14" x14ac:dyDescent="0.35">
      <c r="D54" s="19" t="s">
        <v>59</v>
      </c>
      <c r="E54" s="19"/>
      <c r="F54" s="19"/>
      <c r="G54" s="19"/>
      <c r="H54" s="19"/>
      <c r="I54" s="19"/>
      <c r="J54" s="19">
        <f>-J42</f>
        <v>80000</v>
      </c>
    </row>
    <row r="55" spans="4:14" x14ac:dyDescent="0.35">
      <c r="D55" s="20" t="s">
        <v>72</v>
      </c>
      <c r="E55" s="20">
        <f>-M25</f>
        <v>-154875</v>
      </c>
      <c r="F55" s="20"/>
      <c r="G55" s="20"/>
      <c r="H55" s="20"/>
      <c r="I55" s="20"/>
      <c r="J55" s="20">
        <f>-E55</f>
        <v>154875</v>
      </c>
    </row>
    <row r="56" spans="4:14" x14ac:dyDescent="0.35">
      <c r="D56" s="17" t="s">
        <v>62</v>
      </c>
      <c r="E56" s="23">
        <f>SUM(E45:E55)</f>
        <v>-901297.72889305826</v>
      </c>
      <c r="F56" s="23">
        <f>SUM(F45:F54)</f>
        <v>1489275</v>
      </c>
      <c r="G56" s="23">
        <f t="shared" ref="G56:J56" si="16">SUM(G45:G54)</f>
        <v>1489275</v>
      </c>
      <c r="H56" s="23">
        <f t="shared" si="16"/>
        <v>1489275</v>
      </c>
      <c r="I56" s="23">
        <f t="shared" si="16"/>
        <v>1489275</v>
      </c>
      <c r="J56" s="23">
        <f t="shared" si="16"/>
        <v>2430275</v>
      </c>
    </row>
    <row r="57" spans="4:14" x14ac:dyDescent="0.35">
      <c r="L57" t="s">
        <v>81</v>
      </c>
    </row>
    <row r="58" spans="4:14" ht="15" thickBot="1" x14ac:dyDescent="0.4">
      <c r="L58" t="s">
        <v>21</v>
      </c>
    </row>
    <row r="59" spans="4:14" ht="15" thickBot="1" x14ac:dyDescent="0.4">
      <c r="D59" s="28" t="s">
        <v>91</v>
      </c>
      <c r="E59" s="39">
        <f>+NPV(16.8%,F56:J56)+E56</f>
        <v>4318283.0066313259</v>
      </c>
      <c r="L59" t="s">
        <v>22</v>
      </c>
    </row>
    <row r="60" spans="4:14" ht="15" thickBot="1" x14ac:dyDescent="0.4">
      <c r="D60" s="40" t="s">
        <v>94</v>
      </c>
      <c r="E60" s="41"/>
    </row>
    <row r="61" spans="4:14" ht="15" thickBot="1" x14ac:dyDescent="0.4">
      <c r="D61" s="28" t="s">
        <v>92</v>
      </c>
      <c r="E61" s="39">
        <f>+E75</f>
        <v>12312.096615938586</v>
      </c>
      <c r="L61" t="s">
        <v>82</v>
      </c>
      <c r="M61">
        <f>5*12</f>
        <v>60</v>
      </c>
    </row>
    <row r="62" spans="4:14" ht="15" thickBot="1" x14ac:dyDescent="0.4">
      <c r="D62" s="40" t="s">
        <v>95</v>
      </c>
      <c r="E62" s="41"/>
      <c r="L62" t="s">
        <v>83</v>
      </c>
      <c r="M62" s="24">
        <v>6656.1643000000004</v>
      </c>
    </row>
    <row r="63" spans="4:14" ht="15" thickBot="1" x14ac:dyDescent="0.4">
      <c r="D63" s="28" t="s">
        <v>93</v>
      </c>
      <c r="E63" s="39">
        <f>+E59+E61</f>
        <v>4330595.1032472644</v>
      </c>
      <c r="L63" t="s">
        <v>84</v>
      </c>
      <c r="M63" s="12">
        <v>1.2E-2</v>
      </c>
      <c r="N63" t="s">
        <v>85</v>
      </c>
    </row>
    <row r="64" spans="4:14" x14ac:dyDescent="0.35">
      <c r="L64" t="s">
        <v>86</v>
      </c>
      <c r="M64" s="25">
        <f>-FV(M63,M61,M62)</f>
        <v>580000.0013405144</v>
      </c>
    </row>
    <row r="66" spans="3:16" x14ac:dyDescent="0.35">
      <c r="D66" t="s">
        <v>96</v>
      </c>
      <c r="L66" t="s">
        <v>87</v>
      </c>
      <c r="N66" t="s">
        <v>88</v>
      </c>
      <c r="O66" s="26">
        <f>-E56</f>
        <v>901297.72889305826</v>
      </c>
    </row>
    <row r="67" spans="3:16" x14ac:dyDescent="0.35">
      <c r="E67" s="29">
        <v>0</v>
      </c>
      <c r="F67" s="29">
        <v>1</v>
      </c>
      <c r="G67" s="29">
        <v>2</v>
      </c>
      <c r="H67" s="29">
        <v>3</v>
      </c>
      <c r="I67" s="29">
        <v>4</v>
      </c>
      <c r="J67" s="29">
        <v>5</v>
      </c>
      <c r="N67" t="s">
        <v>89</v>
      </c>
      <c r="O67" s="25">
        <f>-M64</f>
        <v>-580000.0013405144</v>
      </c>
    </row>
    <row r="68" spans="3:16" x14ac:dyDescent="0.35">
      <c r="D68" t="s">
        <v>97</v>
      </c>
      <c r="E68" s="29"/>
      <c r="F68" s="24">
        <v>-32129.772755254387</v>
      </c>
      <c r="G68" s="24">
        <v>-26866.996919436075</v>
      </c>
      <c r="H68" s="24">
        <v>-21077.943500035926</v>
      </c>
      <c r="I68" s="24">
        <v>-14709.984738695764</v>
      </c>
      <c r="J68" s="24">
        <v>-7705.2301012215876</v>
      </c>
      <c r="N68" s="21" t="s">
        <v>90</v>
      </c>
      <c r="O68" s="27">
        <f>SUM(O66:O67)</f>
        <v>321297.72755254386</v>
      </c>
    </row>
    <row r="69" spans="3:16" x14ac:dyDescent="0.35">
      <c r="C69" t="s">
        <v>94</v>
      </c>
      <c r="D69" s="20" t="s">
        <v>99</v>
      </c>
      <c r="E69" s="32"/>
      <c r="F69" s="35">
        <f>-0.15*F68</f>
        <v>4819.4659132881579</v>
      </c>
      <c r="G69" s="35">
        <f t="shared" ref="G69:J69" si="17">-0.15*G68</f>
        <v>4030.0495379154108</v>
      </c>
      <c r="H69" s="35">
        <f t="shared" si="17"/>
        <v>3161.6915250053889</v>
      </c>
      <c r="I69" s="35">
        <f t="shared" si="17"/>
        <v>2206.4977108043645</v>
      </c>
      <c r="J69" s="35">
        <f t="shared" si="17"/>
        <v>1155.784515183238</v>
      </c>
    </row>
    <row r="70" spans="3:16" x14ac:dyDescent="0.35">
      <c r="D70" t="s">
        <v>100</v>
      </c>
      <c r="E70" s="29"/>
      <c r="F70" s="36">
        <f>+F68+F69</f>
        <v>-27310.30684196623</v>
      </c>
      <c r="G70" s="36">
        <f t="shared" ref="G70:J70" si="18">+G68+G69</f>
        <v>-22836.947381520666</v>
      </c>
      <c r="H70" s="36">
        <f t="shared" si="18"/>
        <v>-17916.251975030536</v>
      </c>
      <c r="I70" s="36">
        <f t="shared" si="18"/>
        <v>-12503.4870278914</v>
      </c>
      <c r="J70" s="36">
        <f t="shared" si="18"/>
        <v>-6549.4455860383496</v>
      </c>
      <c r="L70" t="s">
        <v>102</v>
      </c>
      <c r="M70" s="26">
        <f>+O68</f>
        <v>321297.72755254386</v>
      </c>
    </row>
    <row r="71" spans="3:16" x14ac:dyDescent="0.35">
      <c r="D71" s="19" t="s">
        <v>98</v>
      </c>
      <c r="E71" s="29"/>
      <c r="F71" s="24">
        <v>-52627.75835818315</v>
      </c>
      <c r="G71" s="24">
        <v>-57890.534194001462</v>
      </c>
      <c r="H71" s="24">
        <v>-63679.587613401614</v>
      </c>
      <c r="I71" s="24">
        <v>-70047.546374741767</v>
      </c>
      <c r="J71" s="24">
        <v>-77052.301012215947</v>
      </c>
      <c r="L71" t="s">
        <v>103</v>
      </c>
      <c r="M71">
        <v>5</v>
      </c>
    </row>
    <row r="72" spans="3:16" x14ac:dyDescent="0.35">
      <c r="D72" s="31" t="s">
        <v>101</v>
      </c>
      <c r="E72" s="37">
        <f>+O68</f>
        <v>321297.72755254386</v>
      </c>
      <c r="F72" s="32"/>
      <c r="G72" s="32"/>
      <c r="H72" s="32"/>
      <c r="I72" s="32"/>
      <c r="J72" s="32"/>
      <c r="L72" t="s">
        <v>84</v>
      </c>
      <c r="M72" s="33">
        <v>0.1</v>
      </c>
      <c r="O72" s="29" t="s">
        <v>105</v>
      </c>
    </row>
    <row r="73" spans="3:16" x14ac:dyDescent="0.35">
      <c r="D73" s="30" t="s">
        <v>96</v>
      </c>
      <c r="E73" s="38">
        <f>SUM(E70:E72)</f>
        <v>321297.72755254386</v>
      </c>
      <c r="F73" s="36">
        <f>SUM(F70:F72)</f>
        <v>-79938.065200149373</v>
      </c>
      <c r="G73" s="36">
        <f t="shared" ref="G73:J73" si="19">SUM(G70:G72)</f>
        <v>-80727.481575522135</v>
      </c>
      <c r="H73" s="36">
        <f t="shared" si="19"/>
        <v>-81595.839588432151</v>
      </c>
      <c r="I73" s="36">
        <f t="shared" si="19"/>
        <v>-82551.033402633169</v>
      </c>
      <c r="J73" s="36">
        <f t="shared" si="19"/>
        <v>-83601.746598254293</v>
      </c>
      <c r="L73" s="21" t="s">
        <v>104</v>
      </c>
      <c r="M73" s="18">
        <f>+PMT(M72,M71,M70)</f>
        <v>-84757.531113437537</v>
      </c>
      <c r="O73" s="29" t="s">
        <v>94</v>
      </c>
    </row>
    <row r="74" spans="3:16" x14ac:dyDescent="0.35">
      <c r="E74" s="29"/>
      <c r="F74" s="29"/>
      <c r="G74" s="29"/>
      <c r="H74" s="29"/>
      <c r="I74" s="29"/>
      <c r="J74" s="29"/>
      <c r="O74" s="32" t="s">
        <v>106</v>
      </c>
    </row>
    <row r="75" spans="3:16" x14ac:dyDescent="0.35">
      <c r="D75" t="s">
        <v>111</v>
      </c>
      <c r="E75" s="18">
        <f>+NPV(10%,F73:J73)+E73</f>
        <v>12312.096615938586</v>
      </c>
      <c r="O75" s="29" t="s">
        <v>95</v>
      </c>
    </row>
    <row r="76" spans="3:16" x14ac:dyDescent="0.35">
      <c r="O76" s="29" t="s">
        <v>107</v>
      </c>
    </row>
    <row r="79" spans="3:16" x14ac:dyDescent="0.35">
      <c r="L79" t="s">
        <v>90</v>
      </c>
      <c r="M79" t="s">
        <v>108</v>
      </c>
      <c r="N79" t="s">
        <v>106</v>
      </c>
      <c r="O79" s="29" t="s">
        <v>109</v>
      </c>
      <c r="P79" t="s">
        <v>110</v>
      </c>
    </row>
    <row r="80" spans="3:16" x14ac:dyDescent="0.35">
      <c r="K80">
        <v>1</v>
      </c>
      <c r="L80" s="24">
        <f>+M70</f>
        <v>321297.72755254386</v>
      </c>
      <c r="M80" s="18">
        <f>+M73</f>
        <v>-84757.531113437537</v>
      </c>
      <c r="N80" s="34">
        <f>-10%*L80</f>
        <v>-32129.772755254387</v>
      </c>
      <c r="O80" s="34">
        <f>+M80-N80</f>
        <v>-52627.75835818315</v>
      </c>
      <c r="P80" s="34">
        <f>+L80+O80</f>
        <v>268669.96919436072</v>
      </c>
    </row>
    <row r="81" spans="11:16" x14ac:dyDescent="0.35">
      <c r="K81">
        <v>2</v>
      </c>
      <c r="L81" s="24">
        <f>+P80</f>
        <v>268669.96919436072</v>
      </c>
      <c r="M81" s="18">
        <f>+M80</f>
        <v>-84757.531113437537</v>
      </c>
      <c r="N81" s="34">
        <f t="shared" ref="N81:N84" si="20">-10%*L81</f>
        <v>-26866.996919436075</v>
      </c>
      <c r="O81" s="34">
        <f t="shared" ref="O81:O84" si="21">+M81-N81</f>
        <v>-57890.534194001462</v>
      </c>
      <c r="P81" s="34">
        <f t="shared" ref="P81:P84" si="22">+L81+O81</f>
        <v>210779.43500035926</v>
      </c>
    </row>
    <row r="82" spans="11:16" x14ac:dyDescent="0.35">
      <c r="K82">
        <v>3</v>
      </c>
      <c r="L82" s="24">
        <f t="shared" ref="L82:L84" si="23">+P81</f>
        <v>210779.43500035926</v>
      </c>
      <c r="M82" s="18">
        <f t="shared" ref="M82:M84" si="24">+M81</f>
        <v>-84757.531113437537</v>
      </c>
      <c r="N82" s="34">
        <f t="shared" si="20"/>
        <v>-21077.943500035926</v>
      </c>
      <c r="O82" s="34">
        <f t="shared" si="21"/>
        <v>-63679.587613401614</v>
      </c>
      <c r="P82" s="34">
        <f t="shared" si="22"/>
        <v>147099.84738695764</v>
      </c>
    </row>
    <row r="83" spans="11:16" x14ac:dyDescent="0.35">
      <c r="K83">
        <v>4</v>
      </c>
      <c r="L83" s="24">
        <f t="shared" si="23"/>
        <v>147099.84738695764</v>
      </c>
      <c r="M83" s="18">
        <f t="shared" si="24"/>
        <v>-84757.531113437537</v>
      </c>
      <c r="N83" s="34">
        <f t="shared" si="20"/>
        <v>-14709.984738695764</v>
      </c>
      <c r="O83" s="34">
        <f t="shared" si="21"/>
        <v>-70047.546374741767</v>
      </c>
      <c r="P83" s="34">
        <f t="shared" si="22"/>
        <v>77052.301012215874</v>
      </c>
    </row>
    <row r="84" spans="11:16" x14ac:dyDescent="0.35">
      <c r="K84">
        <v>5</v>
      </c>
      <c r="L84" s="24">
        <f t="shared" si="23"/>
        <v>77052.301012215874</v>
      </c>
      <c r="M84" s="18">
        <f t="shared" si="24"/>
        <v>-84757.531113437537</v>
      </c>
      <c r="N84" s="34">
        <f t="shared" si="20"/>
        <v>-7705.2301012215876</v>
      </c>
      <c r="O84" s="34">
        <f t="shared" si="21"/>
        <v>-77052.301012215947</v>
      </c>
      <c r="P84" s="34">
        <f t="shared" si="22"/>
        <v>0</v>
      </c>
    </row>
  </sheetData>
  <mergeCells count="3">
    <mergeCell ref="I17:J17"/>
    <mergeCell ref="D60:E60"/>
    <mergeCell ref="D62:E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osorio</dc:creator>
  <cp:lastModifiedBy>A K</cp:lastModifiedBy>
  <dcterms:created xsi:type="dcterms:W3CDTF">2021-07-19T19:58:10Z</dcterms:created>
  <dcterms:modified xsi:type="dcterms:W3CDTF">2021-07-20T23:04:50Z</dcterms:modified>
</cp:coreProperties>
</file>