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aking\Downloads\"/>
    </mc:Choice>
  </mc:AlternateContent>
  <xr:revisionPtr revIDLastSave="0" documentId="8_{5C3C6937-C7EE-4AFA-84F2-E29B15366939}" xr6:coauthVersionLast="47" xr6:coauthVersionMax="47" xr10:uidLastSave="{00000000-0000-0000-0000-000000000000}"/>
  <bookViews>
    <workbookView xWindow="-110" yWindow="-110" windowWidth="19420" windowHeight="10420" activeTab="1" xr2:uid="{89A4A53F-F223-4F35-BE16-610457884789}"/>
  </bookViews>
  <sheets>
    <sheet name="Hoja1" sheetId="1" r:id="rId1"/>
    <sheet name="Hoja2" sheetId="2" r:id="rId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81" i="2" l="1"/>
  <c r="M79" i="2"/>
  <c r="Q75" i="2"/>
  <c r="Q76" i="2" s="1"/>
  <c r="Q79" i="2" s="1"/>
  <c r="P75" i="2"/>
  <c r="P76" i="2" s="1"/>
  <c r="P79" i="2" s="1"/>
  <c r="O75" i="2"/>
  <c r="O76" i="2" s="1"/>
  <c r="O79" i="2" s="1"/>
  <c r="N75" i="2"/>
  <c r="N76" i="2" s="1"/>
  <c r="N79" i="2" s="1"/>
  <c r="M75" i="2"/>
  <c r="M76" i="2" s="1"/>
  <c r="N62" i="2"/>
  <c r="N63" i="2" s="1"/>
  <c r="N66" i="2" s="1"/>
  <c r="O62" i="2"/>
  <c r="O63" i="2" s="1"/>
  <c r="O66" i="2" s="1"/>
  <c r="P62" i="2"/>
  <c r="P63" i="2" s="1"/>
  <c r="P66" i="2" s="1"/>
  <c r="Q62" i="2"/>
  <c r="Q63" i="2" s="1"/>
  <c r="Q66" i="2" s="1"/>
  <c r="M62" i="2"/>
  <c r="M63" i="2" s="1"/>
  <c r="M66" i="2" s="1"/>
  <c r="S23" i="2"/>
  <c r="S24" i="2" s="1"/>
  <c r="J41" i="2"/>
  <c r="J42" i="2" s="1"/>
  <c r="D44" i="2"/>
  <c r="E44" i="2" s="1"/>
  <c r="G45" i="2"/>
  <c r="D43" i="2"/>
  <c r="F43" i="2" s="1"/>
  <c r="D28" i="2"/>
  <c r="D29" i="2"/>
  <c r="D27" i="2"/>
  <c r="S11" i="2"/>
  <c r="I19" i="2" s="1"/>
  <c r="R13" i="2"/>
  <c r="I18" i="2" s="1"/>
  <c r="R12" i="2"/>
  <c r="I17" i="2" s="1"/>
  <c r="R11" i="2"/>
  <c r="I16" i="2" s="1"/>
  <c r="E25" i="2"/>
  <c r="F13" i="2"/>
  <c r="G13" i="2" s="1"/>
  <c r="H13" i="2" s="1"/>
  <c r="I13" i="2" s="1"/>
  <c r="F14" i="2"/>
  <c r="G14" i="2" s="1"/>
  <c r="H14" i="2" s="1"/>
  <c r="I14" i="2" s="1"/>
  <c r="F15" i="2"/>
  <c r="F25" i="2" s="1"/>
  <c r="Q13" i="2"/>
  <c r="S13" i="2" s="1"/>
  <c r="I21" i="2" s="1"/>
  <c r="Q12" i="2"/>
  <c r="S12" i="2" s="1"/>
  <c r="I20" i="2" s="1"/>
  <c r="O20" i="2"/>
  <c r="O19" i="2"/>
  <c r="P27" i="2"/>
  <c r="E12" i="2" s="1"/>
  <c r="G40" i="2" s="1"/>
  <c r="D46" i="2" l="1"/>
  <c r="D48" i="2" s="1"/>
  <c r="D49" i="2" s="1"/>
  <c r="F44" i="2"/>
  <c r="G44" i="2" s="1"/>
  <c r="G46" i="2" s="1"/>
  <c r="G48" i="2" s="1"/>
  <c r="E46" i="2"/>
  <c r="E48" i="2" s="1"/>
  <c r="O21" i="2"/>
  <c r="I26" i="2"/>
  <c r="Q14" i="2"/>
  <c r="G15" i="2"/>
  <c r="F12" i="2"/>
  <c r="G12" i="2" s="1"/>
  <c r="H12" i="2" s="1"/>
  <c r="I12" i="2" s="1"/>
  <c r="E22" i="2"/>
  <c r="S25" i="2"/>
  <c r="F46" i="2" l="1"/>
  <c r="F48" i="2" s="1"/>
  <c r="E49" i="2"/>
  <c r="G25" i="2"/>
  <c r="H15" i="2"/>
  <c r="E23" i="2"/>
  <c r="E24" i="2" s="1"/>
  <c r="E31" i="2" s="1"/>
  <c r="F22" i="2"/>
  <c r="L27" i="1"/>
  <c r="R21" i="1"/>
  <c r="Q21" i="1"/>
  <c r="P21" i="1"/>
  <c r="O21" i="1"/>
  <c r="N21" i="1"/>
  <c r="M21" i="1"/>
  <c r="H21" i="1"/>
  <c r="G21" i="1"/>
  <c r="F21" i="1"/>
  <c r="E21" i="1"/>
  <c r="D21" i="1"/>
  <c r="C21" i="1"/>
  <c r="M20" i="1"/>
  <c r="N20" i="1" s="1"/>
  <c r="O20" i="1" s="1"/>
  <c r="P20" i="1" s="1"/>
  <c r="Q20" i="1" s="1"/>
  <c r="R20" i="1" s="1"/>
  <c r="C20" i="1"/>
  <c r="D20" i="1" s="1"/>
  <c r="E20" i="1" s="1"/>
  <c r="F20" i="1" s="1"/>
  <c r="G20" i="1" s="1"/>
  <c r="H20" i="1" s="1"/>
  <c r="M19" i="1"/>
  <c r="C19" i="1"/>
  <c r="D19" i="1" s="1"/>
  <c r="E19" i="1" s="1"/>
  <c r="R6" i="1"/>
  <c r="B27" i="1" s="1"/>
  <c r="F49" i="2" l="1"/>
  <c r="D30" i="2" s="1"/>
  <c r="I30" i="2" s="1"/>
  <c r="D31" i="2"/>
  <c r="G56" i="2" s="1"/>
  <c r="C57" i="2" s="1"/>
  <c r="C61" i="2" s="1"/>
  <c r="C74" i="2" s="1"/>
  <c r="G49" i="2"/>
  <c r="I15" i="2"/>
  <c r="H25" i="2"/>
  <c r="G22" i="2"/>
  <c r="F23" i="2"/>
  <c r="F24" i="2" s="1"/>
  <c r="F31" i="2" s="1"/>
  <c r="O22" i="1"/>
  <c r="O26" i="1" s="1"/>
  <c r="G22" i="1"/>
  <c r="G26" i="1" s="1"/>
  <c r="C22" i="1"/>
  <c r="C26" i="1" s="1"/>
  <c r="Q22" i="1"/>
  <c r="Q26" i="1" s="1"/>
  <c r="H22" i="1"/>
  <c r="H26" i="1" s="1"/>
  <c r="R22" i="1"/>
  <c r="R26" i="1" s="1"/>
  <c r="N22" i="1"/>
  <c r="N26" i="1" s="1"/>
  <c r="F22" i="1"/>
  <c r="F26" i="1" s="1"/>
  <c r="M22" i="1"/>
  <c r="M26" i="1" s="1"/>
  <c r="E22" i="1"/>
  <c r="E26" i="1" s="1"/>
  <c r="P22" i="1"/>
  <c r="P26" i="1" s="1"/>
  <c r="D22" i="1"/>
  <c r="D26" i="1" s="1"/>
  <c r="F19" i="1"/>
  <c r="N19" i="1"/>
  <c r="E75" i="2" l="1"/>
  <c r="C77" i="2"/>
  <c r="F77" i="2" s="1"/>
  <c r="F78" i="2" s="1"/>
  <c r="F79" i="2" s="1"/>
  <c r="C64" i="2"/>
  <c r="F62" i="2" s="1"/>
  <c r="F63" i="2" s="1"/>
  <c r="F64" i="2" s="1"/>
  <c r="F65" i="2" s="1"/>
  <c r="F66" i="2" s="1"/>
  <c r="E62" i="2"/>
  <c r="E23" i="1"/>
  <c r="D23" i="1"/>
  <c r="I25" i="2"/>
  <c r="I22" i="2"/>
  <c r="G23" i="2"/>
  <c r="G24" i="2" s="1"/>
  <c r="G31" i="2" s="1"/>
  <c r="H22" i="2"/>
  <c r="E24" i="1"/>
  <c r="E25" i="1" s="1"/>
  <c r="E28" i="1" s="1"/>
  <c r="G19" i="1"/>
  <c r="F23" i="1"/>
  <c r="D24" i="1"/>
  <c r="D25" i="1" s="1"/>
  <c r="D28" i="1" s="1"/>
  <c r="M23" i="1"/>
  <c r="O19" i="1"/>
  <c r="N23" i="1"/>
  <c r="C23" i="1"/>
  <c r="G75" i="2" l="1"/>
  <c r="L78" i="2"/>
  <c r="L79" i="2" s="1"/>
  <c r="L80" i="2" s="1"/>
  <c r="E76" i="2"/>
  <c r="G76" i="2" s="1"/>
  <c r="E77" i="2" s="1"/>
  <c r="G77" i="2" s="1"/>
  <c r="H77" i="2" s="1"/>
  <c r="E78" i="2" s="1"/>
  <c r="G78" i="2" s="1"/>
  <c r="H78" i="2" s="1"/>
  <c r="E79" i="2" s="1"/>
  <c r="G79" i="2" s="1"/>
  <c r="H79" i="2" s="1"/>
  <c r="E80" i="2" s="1"/>
  <c r="G62" i="2"/>
  <c r="H62" i="2" s="1"/>
  <c r="E63" i="2" s="1"/>
  <c r="L65" i="2"/>
  <c r="L66" i="2" s="1"/>
  <c r="L67" i="2" s="1"/>
  <c r="L68" i="2" s="1"/>
  <c r="I23" i="2"/>
  <c r="I24" i="2" s="1"/>
  <c r="I31" i="2" s="1"/>
  <c r="H23" i="2"/>
  <c r="H24" i="2" s="1"/>
  <c r="H31" i="2" s="1"/>
  <c r="K31" i="2" s="1"/>
  <c r="M24" i="1"/>
  <c r="M25" i="1" s="1"/>
  <c r="M28" i="1" s="1"/>
  <c r="G23" i="1"/>
  <c r="H19" i="1"/>
  <c r="H23" i="1" s="1"/>
  <c r="N24" i="1"/>
  <c r="N25" i="1" s="1"/>
  <c r="N28" i="1" s="1"/>
  <c r="O23" i="1"/>
  <c r="P19" i="1"/>
  <c r="F24" i="1"/>
  <c r="F25" i="1" s="1"/>
  <c r="F28" i="1" s="1"/>
  <c r="C24" i="1"/>
  <c r="C25" i="1" s="1"/>
  <c r="C28" i="1" s="1"/>
  <c r="G63" i="2" l="1"/>
  <c r="H63" i="2" s="1"/>
  <c r="E64" i="2" s="1"/>
  <c r="G64" i="2" s="1"/>
  <c r="H64" i="2" s="1"/>
  <c r="E65" i="2" s="1"/>
  <c r="O24" i="1"/>
  <c r="O25" i="1" s="1"/>
  <c r="O28" i="1" s="1"/>
  <c r="P23" i="1"/>
  <c r="Q19" i="1"/>
  <c r="H24" i="1"/>
  <c r="H25" i="1" s="1"/>
  <c r="H28" i="1" s="1"/>
  <c r="G24" i="1"/>
  <c r="G25" i="1" s="1"/>
  <c r="G28" i="1" s="1"/>
  <c r="G65" i="2" l="1"/>
  <c r="H65" i="2" s="1"/>
  <c r="E66" i="2" s="1"/>
  <c r="R19" i="1"/>
  <c r="R23" i="1" s="1"/>
  <c r="Q23" i="1"/>
  <c r="P24" i="1"/>
  <c r="P25" i="1" s="1"/>
  <c r="P28" i="1" s="1"/>
  <c r="G66" i="2" l="1"/>
  <c r="H66" i="2" s="1"/>
  <c r="E67" i="2"/>
  <c r="Q24" i="1"/>
  <c r="Q25" i="1" s="1"/>
  <c r="Q28" i="1" s="1"/>
  <c r="R24" i="1"/>
  <c r="R25" i="1" s="1"/>
  <c r="R28" i="1" s="1"/>
</calcChain>
</file>

<file path=xl/sharedStrings.xml><?xml version="1.0" encoding="utf-8"?>
<sst xmlns="http://schemas.openxmlformats.org/spreadsheetml/2006/main" count="184" uniqueCount="136">
  <si>
    <r>
      <t>Se sabe que actualmente la empresa vende 200 m</t>
    </r>
    <r>
      <rPr>
        <vertAlign val="superscript"/>
        <sz val="11"/>
        <color theme="1"/>
        <rFont val="Calibri"/>
        <family val="2"/>
        <scheme val="minor"/>
      </rPr>
      <t>3</t>
    </r>
    <r>
      <rPr>
        <sz val="11"/>
        <color theme="1"/>
        <rFont val="Calibri"/>
        <family val="2"/>
        <scheme val="minor"/>
      </rPr>
      <t xml:space="preserve"> de su producto anualmente a un precio de $35.000/m</t>
    </r>
    <r>
      <rPr>
        <vertAlign val="superscript"/>
        <sz val="11"/>
        <color theme="1"/>
        <rFont val="Calibri"/>
        <family val="2"/>
        <scheme val="minor"/>
      </rPr>
      <t>3</t>
    </r>
  </si>
  <si>
    <t>Dimension (m3)</t>
  </si>
  <si>
    <t>Los costos operacionales actuales son de $14.500/m3 producido y $2.000.000 en costos indirectos de fabricación</t>
  </si>
  <si>
    <t>Valor anual prod</t>
  </si>
  <si>
    <t>La maquinaria que tiene la empresa actualmente se compró hace 3 años en $6.000.000 y hoy vale el 45% de su valor de compra</t>
  </si>
  <si>
    <t>fijo</t>
  </si>
  <si>
    <t>Costos indirectos</t>
  </si>
  <si>
    <t>Sin embargo, podría seguir funcionando por 5 años más. Si eso hiciera la empresa, al término de este período se vendería en un 10% de su valor de compra.</t>
  </si>
  <si>
    <t>variable</t>
  </si>
  <si>
    <t>Costos operacionales</t>
  </si>
  <si>
    <t>Todos los equipos se deprecian en 5 años.</t>
  </si>
  <si>
    <t>inversion</t>
  </si>
  <si>
    <t>Maquinaria</t>
  </si>
  <si>
    <t>Alternativa 1</t>
  </si>
  <si>
    <t>Alternativa 2</t>
  </si>
  <si>
    <t>Inversiones</t>
  </si>
  <si>
    <t xml:space="preserve">Tecnología </t>
  </si>
  <si>
    <t>Tecnología</t>
  </si>
  <si>
    <t>Vida útil (años)</t>
  </si>
  <si>
    <t>Valor venta año 5</t>
  </si>
  <si>
    <t>Costos y gastos</t>
  </si>
  <si>
    <t>Costo operación x m3</t>
  </si>
  <si>
    <t>Costo operación</t>
  </si>
  <si>
    <t>Mantenimiento red energía anual</t>
  </si>
  <si>
    <t>Aumento costos fijos</t>
  </si>
  <si>
    <t>Costos fijos</t>
  </si>
  <si>
    <t>Ingresos por venta</t>
  </si>
  <si>
    <t>Costos Variables</t>
  </si>
  <si>
    <t>depreciación</t>
  </si>
  <si>
    <t>utilidad antes de impuestos</t>
  </si>
  <si>
    <t>impuestos</t>
  </si>
  <si>
    <t>utilidad después de impuestos</t>
  </si>
  <si>
    <t>inversión</t>
  </si>
  <si>
    <t>Flujo</t>
  </si>
  <si>
    <t>VAN(13%)</t>
  </si>
  <si>
    <t>VNA(13%;c28:h28)</t>
  </si>
  <si>
    <t xml:space="preserve"> </t>
  </si>
  <si>
    <t>Ejercicio</t>
  </si>
  <si>
    <r>
      <t>·</t>
    </r>
    <r>
      <rPr>
        <sz val="7"/>
        <color rgb="FF000000"/>
        <rFont val="Times New Roman"/>
        <family val="1"/>
      </rPr>
      <t xml:space="preserve">         </t>
    </r>
    <r>
      <rPr>
        <sz val="11"/>
        <color rgb="FF000000"/>
        <rFont val="Calibri"/>
        <family val="2"/>
        <scheme val="minor"/>
      </rPr>
      <t xml:space="preserve">Empresa de jarabe de frutos rojos, utilizado para saborizar el agua.  </t>
    </r>
  </si>
  <si>
    <r>
      <t>·</t>
    </r>
    <r>
      <rPr>
        <sz val="7"/>
        <color rgb="FF000000"/>
        <rFont val="Times New Roman"/>
        <family val="1"/>
      </rPr>
      <t xml:space="preserve">         </t>
    </r>
    <r>
      <rPr>
        <sz val="11"/>
        <color rgb="FF000000"/>
        <rFont val="Calibri"/>
        <family val="2"/>
        <scheme val="minor"/>
      </rPr>
      <t>El producto se vende por litro</t>
    </r>
  </si>
  <si>
    <r>
      <t>·</t>
    </r>
    <r>
      <rPr>
        <sz val="7"/>
        <color rgb="FF000000"/>
        <rFont val="Times New Roman"/>
        <family val="1"/>
      </rPr>
      <t xml:space="preserve">         </t>
    </r>
    <r>
      <rPr>
        <sz val="11"/>
        <color rgb="FF000000"/>
        <rFont val="Calibri"/>
        <family val="2"/>
        <scheme val="minor"/>
      </rPr>
      <t>Inversiones</t>
    </r>
  </si>
  <si>
    <t>ítem</t>
  </si>
  <si>
    <t>Valor</t>
  </si>
  <si>
    <t>Vida útil</t>
  </si>
  <si>
    <t>Valor de rescate</t>
  </si>
  <si>
    <t>Terreno</t>
  </si>
  <si>
    <t>-</t>
  </si>
  <si>
    <t>Obras Civiles</t>
  </si>
  <si>
    <t>Línea de producción</t>
  </si>
  <si>
    <r>
      <t>·</t>
    </r>
    <r>
      <rPr>
        <sz val="7"/>
        <color rgb="FF000000"/>
        <rFont val="Times New Roman"/>
        <family val="1"/>
      </rPr>
      <t xml:space="preserve">         </t>
    </r>
    <r>
      <rPr>
        <sz val="11"/>
        <color rgb="FF000000"/>
        <rFont val="Calibri"/>
        <family val="2"/>
        <scheme val="minor"/>
      </rPr>
      <t>Costos variables</t>
    </r>
  </si>
  <si>
    <t>Materia prima</t>
  </si>
  <si>
    <t>Costo unitario</t>
  </si>
  <si>
    <t>Frambuesas</t>
  </si>
  <si>
    <t>Frutillas</t>
  </si>
  <si>
    <t>Energía</t>
  </si>
  <si>
    <t>Mano de obra</t>
  </si>
  <si>
    <r>
      <t>·</t>
    </r>
    <r>
      <rPr>
        <sz val="7"/>
        <color rgb="FF000000"/>
        <rFont val="Times New Roman"/>
        <family val="1"/>
      </rPr>
      <t xml:space="preserve">         </t>
    </r>
    <r>
      <rPr>
        <sz val="11"/>
        <color rgb="FF000000"/>
        <rFont val="Calibri"/>
        <family val="2"/>
        <scheme val="minor"/>
      </rPr>
      <t>Costos fijos</t>
    </r>
  </si>
  <si>
    <t>Ítem</t>
  </si>
  <si>
    <t>Costo mensual</t>
  </si>
  <si>
    <t>Remuneraciones</t>
  </si>
  <si>
    <t>Seguros</t>
  </si>
  <si>
    <r>
      <t>·</t>
    </r>
    <r>
      <rPr>
        <sz val="7"/>
        <color rgb="FF000000"/>
        <rFont val="Times New Roman"/>
        <family val="1"/>
      </rPr>
      <t xml:space="preserve">         </t>
    </r>
    <r>
      <rPr>
        <sz val="11"/>
        <color rgb="FF000000"/>
        <rFont val="Calibri"/>
        <family val="2"/>
        <scheme val="minor"/>
      </rPr>
      <t>Las remuneraciones se pagan a final de mes, mientras que los seguros se pagan a inicio de mes. Los costos variables se pagan al final de cada quincena.</t>
    </r>
  </si>
  <si>
    <r>
      <t>·</t>
    </r>
    <r>
      <rPr>
        <sz val="7"/>
        <color rgb="FF000000"/>
        <rFont val="Times New Roman"/>
        <family val="1"/>
      </rPr>
      <t xml:space="preserve">         </t>
    </r>
    <r>
      <rPr>
        <sz val="11"/>
        <color rgb="FF000000"/>
        <rFont val="Calibri"/>
        <family val="2"/>
        <scheme val="minor"/>
      </rPr>
      <t>El dueño cuenta con $63000 para iniciar el proyecto.</t>
    </r>
  </si>
  <si>
    <r>
      <t>·</t>
    </r>
    <r>
      <rPr>
        <sz val="7"/>
        <color rgb="FF000000"/>
        <rFont val="Times New Roman"/>
        <family val="1"/>
      </rPr>
      <t xml:space="preserve">         </t>
    </r>
    <r>
      <rPr>
        <sz val="11"/>
        <color rgb="FF000000"/>
        <rFont val="Calibri"/>
        <family val="2"/>
        <scheme val="minor"/>
      </rPr>
      <t>Financiamiento. Existen dos alternativas para financiar el proyecto.</t>
    </r>
  </si>
  <si>
    <r>
      <t>o</t>
    </r>
    <r>
      <rPr>
        <sz val="7"/>
        <color rgb="FF000000"/>
        <rFont val="Times New Roman"/>
        <family val="1"/>
      </rPr>
      <t xml:space="preserve">   </t>
    </r>
    <r>
      <rPr>
        <sz val="11"/>
        <color rgb="FF000000"/>
        <rFont val="Calibri"/>
        <family val="2"/>
        <scheme val="minor"/>
      </rPr>
      <t>Alternativa 1: crédito al 12% anual, pagando la primera cuota a finales del primer año. Se pagaría en 5 cuotas iguales</t>
    </r>
  </si>
  <si>
    <r>
      <t>o</t>
    </r>
    <r>
      <rPr>
        <sz val="7"/>
        <color rgb="FF000000"/>
        <rFont val="Times New Roman"/>
        <family val="1"/>
      </rPr>
      <t xml:space="preserve">   </t>
    </r>
    <r>
      <rPr>
        <sz val="11"/>
        <color rgb="FF000000"/>
        <rFont val="Calibri"/>
        <family val="2"/>
        <scheme val="minor"/>
      </rPr>
      <t>Alternativa 2: Pedir un crédito a 5 años, al 13% anual, pero con dos años de gracia (los dos primeros años se paga sólo el interés).</t>
    </r>
  </si>
  <si>
    <r>
      <t>·</t>
    </r>
    <r>
      <rPr>
        <sz val="7"/>
        <color rgb="FF000000"/>
        <rFont val="Times New Roman"/>
        <family val="1"/>
      </rPr>
      <t xml:space="preserve">         </t>
    </r>
    <r>
      <rPr>
        <sz val="11"/>
        <color rgb="FF000000"/>
        <rFont val="Calibri"/>
        <family val="2"/>
        <scheme val="minor"/>
      </rPr>
      <t>El proyecto requiere de una tasa de  rentabilidad de 16,34% anual.</t>
    </r>
  </si>
  <si>
    <t>ltrs / mes</t>
  </si>
  <si>
    <r>
      <t>·</t>
    </r>
    <r>
      <rPr>
        <sz val="7"/>
        <color rgb="FF000000"/>
        <rFont val="Times New Roman"/>
        <family val="1"/>
      </rPr>
      <t xml:space="preserve">         </t>
    </r>
    <r>
      <rPr>
        <sz val="11"/>
        <color rgb="FF000000"/>
        <rFont val="Calibri"/>
        <family val="2"/>
        <scheme val="minor"/>
      </rPr>
      <t xml:space="preserve">Ventas estimadas: 600 litros mensuales a un precio de $225/litro. </t>
    </r>
  </si>
  <si>
    <t>ltrs $</t>
  </si>
  <si>
    <t>Se hacen las entregas al comprador una vez al mes, y éste paga 16 días después de efectuada la venta.</t>
  </si>
  <si>
    <t>nos pagan</t>
  </si>
  <si>
    <t>capital/inicial</t>
  </si>
  <si>
    <t>anual=</t>
  </si>
  <si>
    <t>Costo anual</t>
  </si>
  <si>
    <t>total anual</t>
  </si>
  <si>
    <t>f/MES</t>
  </si>
  <si>
    <t>i/MES</t>
  </si>
  <si>
    <r>
      <t>·</t>
    </r>
    <r>
      <rPr>
        <sz val="11"/>
        <color rgb="FF000000"/>
        <rFont val="Times New Roman"/>
        <family val="1"/>
      </rPr>
      <t>       Tasa de impuesto de un 10%</t>
    </r>
  </si>
  <si>
    <t>Se paga</t>
  </si>
  <si>
    <t>ltr</t>
  </si>
  <si>
    <t>mensual</t>
  </si>
  <si>
    <t>Anual</t>
  </si>
  <si>
    <t>Depreciacion</t>
  </si>
  <si>
    <t>INGRESO-GASTOS</t>
  </si>
  <si>
    <t>UTILIDAD*0,1</t>
  </si>
  <si>
    <t>UTILIDAD - IMPUESTO</t>
  </si>
  <si>
    <t>Valor recuperable</t>
  </si>
  <si>
    <t xml:space="preserve">Valor libro </t>
  </si>
  <si>
    <t>valor compra-depreciacion acumulada</t>
  </si>
  <si>
    <t>Vlrrsct-Vlrrebl</t>
  </si>
  <si>
    <t>Vlr/Terreno</t>
  </si>
  <si>
    <t>Vlr/Obr. Fisc</t>
  </si>
  <si>
    <t>Vlr/Linea prod</t>
  </si>
  <si>
    <t>Vlr / libro / obr fisc</t>
  </si>
  <si>
    <t>Vlr / libro / T</t>
  </si>
  <si>
    <t>Vlr / libro / linea prod</t>
  </si>
  <si>
    <t>Valor libro activos</t>
  </si>
  <si>
    <t>Inversion / T</t>
  </si>
  <si>
    <t>Inversion / Obra fisc</t>
  </si>
  <si>
    <t>Inversion /  Linea prod</t>
  </si>
  <si>
    <t>Inver/Capital trbj</t>
  </si>
  <si>
    <t>Cálculo del capital de trabajo</t>
  </si>
  <si>
    <t>Entradas</t>
  </si>
  <si>
    <t>quincena 1</t>
  </si>
  <si>
    <t>quincena 2</t>
  </si>
  <si>
    <t>quincena 3</t>
  </si>
  <si>
    <t>quincena 4</t>
  </si>
  <si>
    <t>Salidas</t>
  </si>
  <si>
    <t>ventas</t>
  </si>
  <si>
    <t>seguro</t>
  </si>
  <si>
    <t>costos variables</t>
  </si>
  <si>
    <t>remuneraciones</t>
  </si>
  <si>
    <t>Total</t>
  </si>
  <si>
    <t>Entradas - salidas</t>
  </si>
  <si>
    <t>Déficit acumulado</t>
  </si>
  <si>
    <t>Financiamiento</t>
  </si>
  <si>
    <t>VAN</t>
  </si>
  <si>
    <t>Se cuenta con $63000 para invertir, per la inversión es de</t>
  </si>
  <si>
    <t>Faltan</t>
  </si>
  <si>
    <r>
      <rPr>
        <b/>
        <sz val="11"/>
        <color rgb="FF000000"/>
        <rFont val="Calibri"/>
        <family val="2"/>
        <scheme val="minor"/>
      </rPr>
      <t xml:space="preserve">Alternativa 1: </t>
    </r>
    <r>
      <rPr>
        <sz val="11"/>
        <color rgb="FF000000"/>
        <rFont val="Calibri"/>
        <family val="2"/>
        <scheme val="minor"/>
      </rPr>
      <t>crédito al 12% anual, pagando la primera cuota a finales del primer año. Se pagaría en 5 cuotas iguales</t>
    </r>
  </si>
  <si>
    <r>
      <rPr>
        <b/>
        <sz val="11"/>
        <color rgb="FF000000"/>
        <rFont val="Calibri"/>
        <family val="2"/>
        <scheme val="minor"/>
      </rPr>
      <t xml:space="preserve">Alternativa 2: </t>
    </r>
    <r>
      <rPr>
        <sz val="11"/>
        <color rgb="FF000000"/>
        <rFont val="Calibri"/>
        <family val="2"/>
        <scheme val="minor"/>
      </rPr>
      <t>Pedir un crédito a 5 años, al 13% anual, pero con dos años de gracia (los dos primeros años se paga sólo el interés).</t>
    </r>
  </si>
  <si>
    <t>Cuota</t>
  </si>
  <si>
    <t>Préstamo</t>
  </si>
  <si>
    <t>N</t>
  </si>
  <si>
    <t>interés</t>
  </si>
  <si>
    <t>Interés</t>
  </si>
  <si>
    <t>amortización</t>
  </si>
  <si>
    <t>ahorro de impuestos</t>
  </si>
  <si>
    <t>interés después de impuestos</t>
  </si>
  <si>
    <t>préstamo</t>
  </si>
  <si>
    <t>Flujo deuda</t>
  </si>
  <si>
    <t>VAN deuda</t>
  </si>
  <si>
    <t>VAN propyecto con deuda</t>
  </si>
  <si>
    <t>Por lo tanto, el proyecto es bueno porque tiene VAN positivo. Pero la mejor alternativa de financiamiento es la 2, porque hace aumentar más el VAN del proyecto financiado fina</t>
  </si>
  <si>
    <t>Conclusión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</si>
</sst>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8" formatCode="&quot;$&quot;#,##0.00;[Red]&quot;$&quot;\-#,##0.00"/>
    <numFmt numFmtId="42" formatCode="_ &quot;$&quot;* #,##0_ ;_ &quot;$&quot;* \-#,##0_ ;_ &quot;$&quot;* &quot;-&quot;_ ;_ @_ "/>
    <numFmt numFmtId="164" formatCode="0.0"/>
  </numFmts>
  <fonts count="13" x14ac:knownFonts="1">
    <font>
      <sz val="11"/>
      <color theme="1"/>
      <name val="Calibri"/>
      <family val="2"/>
      <scheme val="minor"/>
    </font>
    <font>
      <sz val="11"/>
      <color theme="1"/>
      <name val="Calibri"/>
      <family val="2"/>
      <scheme val="minor"/>
    </font>
    <font>
      <vertAlign val="superscript"/>
      <sz val="11"/>
      <color theme="1"/>
      <name val="Calibri"/>
      <family val="2"/>
      <scheme val="minor"/>
    </font>
    <font>
      <sz val="10"/>
      <color theme="1"/>
      <name val="Calibri"/>
      <family val="2"/>
      <scheme val="minor"/>
    </font>
    <font>
      <b/>
      <sz val="11"/>
      <color rgb="FF000000"/>
      <name val="Calibri"/>
      <family val="2"/>
      <scheme val="minor"/>
    </font>
    <font>
      <sz val="11"/>
      <color rgb="FF000000"/>
      <name val="Calibri"/>
      <family val="2"/>
      <scheme val="minor"/>
    </font>
    <font>
      <sz val="11"/>
      <color rgb="FF000000"/>
      <name val="Symbol"/>
      <family val="1"/>
      <charset val="2"/>
    </font>
    <font>
      <sz val="7"/>
      <color rgb="FF000000"/>
      <name val="Times New Roman"/>
      <family val="1"/>
    </font>
    <font>
      <sz val="11"/>
      <color rgb="FF000000"/>
      <name val="Courier New"/>
      <family val="3"/>
    </font>
    <font>
      <sz val="11"/>
      <color rgb="FF000000"/>
      <name val="Times New Roman"/>
      <family val="1"/>
    </font>
    <font>
      <b/>
      <sz val="11"/>
      <color theme="1"/>
      <name val="Calibri"/>
      <family val="2"/>
      <scheme val="minor"/>
    </font>
    <font>
      <sz val="8"/>
      <name val="Calibri"/>
      <family val="2"/>
      <scheme val="minor"/>
    </font>
    <font>
      <b/>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s>
  <borders count="6">
    <border>
      <left/>
      <right/>
      <top/>
      <bottom/>
      <diagonal/>
    </border>
    <border>
      <left/>
      <right/>
      <top style="medium">
        <color rgb="FF00B0F0"/>
      </top>
      <bottom style="medium">
        <color rgb="FF00B0F0"/>
      </bottom>
      <diagonal/>
    </border>
    <border>
      <left/>
      <right/>
      <top style="medium">
        <color rgb="FF00B0F0"/>
      </top>
      <bottom/>
      <diagonal/>
    </border>
    <border>
      <left/>
      <right/>
      <top/>
      <bottom style="medium">
        <color rgb="FF00B0F0"/>
      </bottom>
      <diagonal/>
    </border>
    <border>
      <left/>
      <right/>
      <top/>
      <bottom style="thin">
        <color indexed="64"/>
      </bottom>
      <diagonal/>
    </border>
    <border>
      <left/>
      <right/>
      <top/>
      <bottom style="medium">
        <color indexed="64"/>
      </bottom>
      <diagonal/>
    </border>
  </borders>
  <cellStyleXfs count="2">
    <xf numFmtId="0" fontId="0" fillId="0" borderId="0"/>
    <xf numFmtId="42" fontId="1" fillId="0" borderId="0" applyFont="0" applyFill="0" applyBorder="0" applyAlignment="0" applyProtection="0"/>
  </cellStyleXfs>
  <cellXfs count="56">
    <xf numFmtId="0" fontId="0" fillId="0" borderId="0" xfId="0"/>
    <xf numFmtId="0" fontId="0" fillId="0" borderId="0" xfId="1" applyNumberFormat="1" applyFont="1"/>
    <xf numFmtId="42" fontId="0" fillId="0" borderId="0" xfId="1" applyFont="1"/>
    <xf numFmtId="0" fontId="3" fillId="0" borderId="1" xfId="0" applyFont="1" applyBorder="1" applyAlignment="1">
      <alignment vertical="center" wrapText="1"/>
    </xf>
    <xf numFmtId="0" fontId="3" fillId="0" borderId="0" xfId="0" applyFont="1" applyAlignment="1">
      <alignment vertical="center" wrapText="1"/>
    </xf>
    <xf numFmtId="6" fontId="3" fillId="0" borderId="0" xfId="0" applyNumberFormat="1" applyFont="1" applyAlignment="1">
      <alignment horizontal="center" vertical="center" wrapText="1"/>
    </xf>
    <xf numFmtId="0" fontId="3" fillId="0" borderId="0" xfId="0" applyFont="1" applyAlignment="1">
      <alignment horizontal="center" vertical="center" wrapText="1"/>
    </xf>
    <xf numFmtId="9" fontId="3" fillId="0" borderId="0" xfId="0" applyNumberFormat="1" applyFont="1" applyAlignment="1">
      <alignment horizontal="center" vertical="center" wrapText="1"/>
    </xf>
    <xf numFmtId="0" fontId="3" fillId="0" borderId="3" xfId="0" applyFont="1" applyBorder="1" applyAlignment="1">
      <alignment vertical="center" wrapText="1"/>
    </xf>
    <xf numFmtId="0" fontId="3" fillId="0" borderId="3" xfId="0" applyFont="1" applyBorder="1" applyAlignment="1">
      <alignment horizontal="center" vertical="center" wrapText="1"/>
    </xf>
    <xf numFmtId="9" fontId="3" fillId="0" borderId="3" xfId="0" applyNumberFormat="1" applyFont="1" applyBorder="1" applyAlignment="1">
      <alignment horizontal="center" vertical="center" wrapText="1"/>
    </xf>
    <xf numFmtId="6" fontId="3" fillId="0" borderId="3" xfId="0" applyNumberFormat="1" applyFont="1" applyBorder="1" applyAlignment="1">
      <alignment horizontal="center" vertical="center" wrapText="1"/>
    </xf>
    <xf numFmtId="0" fontId="0" fillId="0" borderId="0" xfId="0" applyAlignment="1">
      <alignment horizontal="right"/>
    </xf>
    <xf numFmtId="0" fontId="0" fillId="0" borderId="4" xfId="0" applyBorder="1" applyAlignment="1">
      <alignment horizontal="right"/>
    </xf>
    <xf numFmtId="42" fontId="0" fillId="0" borderId="0" xfId="0" applyNumberFormat="1"/>
    <xf numFmtId="0" fontId="4" fillId="0" borderId="0" xfId="0" applyFont="1" applyAlignment="1">
      <alignment vertical="center"/>
    </xf>
    <xf numFmtId="0" fontId="6" fillId="0" borderId="0" xfId="0" applyFont="1" applyAlignment="1">
      <alignment horizontal="left" vertical="center" indent="5"/>
    </xf>
    <xf numFmtId="0" fontId="4" fillId="0" borderId="5" xfId="0" applyFont="1" applyBorder="1" applyAlignment="1">
      <alignment horizontal="center" vertical="center" wrapText="1"/>
    </xf>
    <xf numFmtId="0" fontId="5" fillId="0" borderId="0" xfId="0" applyFont="1" applyAlignment="1">
      <alignment vertical="center" wrapText="1"/>
    </xf>
    <xf numFmtId="6" fontId="0" fillId="0" borderId="0" xfId="0" applyNumberFormat="1"/>
    <xf numFmtId="6" fontId="5" fillId="0" borderId="0" xfId="0" applyNumberFormat="1" applyFont="1" applyAlignment="1">
      <alignment horizontal="center" vertical="center" wrapText="1"/>
    </xf>
    <xf numFmtId="0" fontId="5" fillId="0" borderId="0" xfId="0" applyFont="1" applyAlignment="1">
      <alignment horizontal="center" vertical="center" wrapText="1"/>
    </xf>
    <xf numFmtId="9" fontId="5" fillId="0" borderId="0" xfId="0" applyNumberFormat="1" applyFont="1" applyAlignment="1">
      <alignment horizontal="center" vertical="center" wrapText="1"/>
    </xf>
    <xf numFmtId="0" fontId="4" fillId="0" borderId="0" xfId="0" applyFont="1" applyAlignment="1">
      <alignment horizontal="center" vertical="center" wrapText="1"/>
    </xf>
    <xf numFmtId="0" fontId="8" fillId="0" borderId="0" xfId="0" applyFont="1" applyAlignment="1">
      <alignment horizontal="left" vertical="center" indent="10"/>
    </xf>
    <xf numFmtId="0" fontId="0" fillId="2" borderId="0" xfId="0" applyFill="1"/>
    <xf numFmtId="6" fontId="0" fillId="2" borderId="0" xfId="0" applyNumberFormat="1" applyFill="1"/>
    <xf numFmtId="0" fontId="4" fillId="0" borderId="0" xfId="0" applyFont="1" applyFill="1" applyBorder="1" applyAlignment="1">
      <alignment horizontal="center" vertical="center" wrapText="1"/>
    </xf>
    <xf numFmtId="9" fontId="0" fillId="0" borderId="0" xfId="0" applyNumberFormat="1" applyAlignment="1">
      <alignment horizontal="center"/>
    </xf>
    <xf numFmtId="42" fontId="0" fillId="0" borderId="0" xfId="0" applyNumberFormat="1" applyAlignment="1">
      <alignment horizontal="right"/>
    </xf>
    <xf numFmtId="0" fontId="3" fillId="0" borderId="2" xfId="0" applyFont="1" applyBorder="1" applyAlignment="1">
      <alignment vertical="center" textRotation="90" wrapText="1"/>
    </xf>
    <xf numFmtId="0" fontId="3" fillId="0" borderId="0" xfId="0" applyFont="1" applyAlignment="1">
      <alignment vertical="center" textRotation="90" wrapText="1"/>
    </xf>
    <xf numFmtId="0" fontId="3" fillId="0" borderId="3" xfId="0" applyFont="1" applyBorder="1" applyAlignment="1">
      <alignment vertical="center" textRotation="90" wrapText="1"/>
    </xf>
    <xf numFmtId="0" fontId="3" fillId="0" borderId="1" xfId="0" applyFont="1" applyBorder="1" applyAlignment="1">
      <alignment vertical="center" wrapText="1"/>
    </xf>
    <xf numFmtId="0" fontId="10" fillId="0" borderId="0" xfId="0" applyFont="1"/>
    <xf numFmtId="0" fontId="10" fillId="0" borderId="0" xfId="0" applyFont="1" applyAlignment="1">
      <alignment horizontal="right"/>
    </xf>
    <xf numFmtId="0" fontId="10" fillId="0" borderId="0" xfId="0" applyFont="1" applyAlignment="1">
      <alignment horizontal="left"/>
    </xf>
    <xf numFmtId="8" fontId="0" fillId="0" borderId="0" xfId="0" applyNumberFormat="1"/>
    <xf numFmtId="0" fontId="0" fillId="3" borderId="0" xfId="0" applyFill="1"/>
    <xf numFmtId="0" fontId="0" fillId="3" borderId="0" xfId="0" applyFill="1" applyAlignment="1">
      <alignment horizontal="right"/>
    </xf>
    <xf numFmtId="42" fontId="0" fillId="3" borderId="0" xfId="1" applyFont="1" applyFill="1"/>
    <xf numFmtId="0" fontId="10" fillId="3" borderId="0" xfId="0" applyFont="1" applyFill="1"/>
    <xf numFmtId="8" fontId="10" fillId="3" borderId="0" xfId="0" applyNumberFormat="1" applyFont="1" applyFill="1"/>
    <xf numFmtId="0" fontId="10" fillId="3" borderId="0" xfId="0" applyFont="1" applyFill="1" applyAlignment="1">
      <alignment horizontal="center"/>
    </xf>
    <xf numFmtId="8" fontId="10" fillId="3" borderId="0" xfId="0" applyNumberFormat="1" applyFont="1" applyFill="1" applyAlignment="1">
      <alignment horizontal="center"/>
    </xf>
    <xf numFmtId="0" fontId="5" fillId="0" borderId="0" xfId="0" applyFont="1" applyAlignment="1">
      <alignment horizontal="left" vertical="center" indent="10"/>
    </xf>
    <xf numFmtId="0" fontId="5" fillId="0" borderId="0" xfId="0" applyFont="1" applyAlignment="1">
      <alignment vertical="center"/>
    </xf>
    <xf numFmtId="0" fontId="0" fillId="0" borderId="0" xfId="0" applyAlignment="1">
      <alignment horizontal="left"/>
    </xf>
    <xf numFmtId="9" fontId="0" fillId="0" borderId="0" xfId="0" applyNumberFormat="1"/>
    <xf numFmtId="8" fontId="10" fillId="0" borderId="0" xfId="0" applyNumberFormat="1" applyFont="1"/>
    <xf numFmtId="164" fontId="0" fillId="0" borderId="0" xfId="0" applyNumberFormat="1"/>
    <xf numFmtId="164" fontId="10" fillId="0" borderId="0" xfId="0" applyNumberFormat="1" applyFont="1"/>
    <xf numFmtId="0" fontId="10" fillId="3" borderId="0" xfId="0" applyFont="1" applyFill="1" applyAlignment="1">
      <alignment horizontal="right"/>
    </xf>
    <xf numFmtId="0" fontId="12" fillId="3" borderId="0" xfId="0" applyFont="1" applyFill="1" applyAlignment="1">
      <alignment horizontal="right"/>
    </xf>
    <xf numFmtId="2" fontId="10" fillId="3" borderId="0" xfId="0" applyNumberFormat="1" applyFont="1" applyFill="1"/>
    <xf numFmtId="164" fontId="10" fillId="3" borderId="0" xfId="0" applyNumberFormat="1" applyFont="1" applyFill="1"/>
  </cellXfs>
  <cellStyles count="2">
    <cellStyle name="Moneda [0]" xfId="1" builtinId="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482600</xdr:colOff>
      <xdr:row>31</xdr:row>
      <xdr:rowOff>171450</xdr:rowOff>
    </xdr:from>
    <xdr:to>
      <xdr:col>5</xdr:col>
      <xdr:colOff>476250</xdr:colOff>
      <xdr:row>35</xdr:row>
      <xdr:rowOff>101600</xdr:rowOff>
    </xdr:to>
    <xdr:sp macro="" textlink="">
      <xdr:nvSpPr>
        <xdr:cNvPr id="2" name="Bocadillo nube: nube 1">
          <a:extLst>
            <a:ext uri="{FF2B5EF4-FFF2-40B4-BE49-F238E27FC236}">
              <a16:creationId xmlns:a16="http://schemas.microsoft.com/office/drawing/2014/main" id="{0832F26C-AFCD-4E43-841A-226666550FCA}"/>
            </a:ext>
          </a:extLst>
        </xdr:cNvPr>
        <xdr:cNvSpPr/>
      </xdr:nvSpPr>
      <xdr:spPr>
        <a:xfrm>
          <a:off x="1244600" y="6991350"/>
          <a:ext cx="3041650" cy="666750"/>
        </a:xfrm>
        <a:prstGeom prst="cloudCallout">
          <a:avLst>
            <a:gd name="adj1" fmla="val -14752"/>
            <a:gd name="adj2" fmla="val 6545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L" sz="700"/>
            <a:t>Esto se calculo porque existe un desfase</a:t>
          </a:r>
          <a:r>
            <a:rPr lang="es-CL" sz="700" baseline="0"/>
            <a:t> entre las entradas provenientes de las ventas y lo pagos que deben hacerse (gastos y costos)</a:t>
          </a:r>
        </a:p>
        <a:p>
          <a:pPr algn="l"/>
          <a:endParaRPr lang="es-CL" sz="1100"/>
        </a:p>
      </xdr:txBody>
    </xdr:sp>
    <xdr:clientData/>
  </xdr:twoCellAnchor>
  <xdr:twoCellAnchor>
    <xdr:from>
      <xdr:col>7</xdr:col>
      <xdr:colOff>469900</xdr:colOff>
      <xdr:row>33</xdr:row>
      <xdr:rowOff>171450</xdr:rowOff>
    </xdr:from>
    <xdr:to>
      <xdr:col>11</xdr:col>
      <xdr:colOff>463550</xdr:colOff>
      <xdr:row>38</xdr:row>
      <xdr:rowOff>57150</xdr:rowOff>
    </xdr:to>
    <xdr:sp macro="" textlink="">
      <xdr:nvSpPr>
        <xdr:cNvPr id="3" name="Bocadillo nube: nube 2">
          <a:extLst>
            <a:ext uri="{FF2B5EF4-FFF2-40B4-BE49-F238E27FC236}">
              <a16:creationId xmlns:a16="http://schemas.microsoft.com/office/drawing/2014/main" id="{F5C06156-63E6-4F01-830D-496C77B511B5}"/>
            </a:ext>
          </a:extLst>
        </xdr:cNvPr>
        <xdr:cNvSpPr/>
      </xdr:nvSpPr>
      <xdr:spPr>
        <a:xfrm>
          <a:off x="5803900" y="7359650"/>
          <a:ext cx="3041650" cy="806450"/>
        </a:xfrm>
        <a:prstGeom prst="cloudCallout">
          <a:avLst>
            <a:gd name="adj1" fmla="val -59011"/>
            <a:gd name="adj2" fmla="val 6081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L" sz="700" baseline="0"/>
            <a:t>Primer mes produzco, y vendo el último día, de ahi pasan 16 días hasta que me pagan. es decir, en la cuarta quincena  pagan. Las entradas son mensuales, es decir, ingreso por venta/12</a:t>
          </a:r>
        </a:p>
        <a:p>
          <a:pPr algn="l"/>
          <a:endParaRPr lang="es-CL" sz="700" baseline="0"/>
        </a:p>
        <a:p>
          <a:pPr algn="l"/>
          <a:endParaRPr lang="es-CL" sz="1100"/>
        </a:p>
      </xdr:txBody>
    </xdr:sp>
    <xdr:clientData/>
  </xdr:twoCellAnchor>
  <xdr:twoCellAnchor>
    <xdr:from>
      <xdr:col>6</xdr:col>
      <xdr:colOff>69850</xdr:colOff>
      <xdr:row>49</xdr:row>
      <xdr:rowOff>127000</xdr:rowOff>
    </xdr:from>
    <xdr:to>
      <xdr:col>10</xdr:col>
      <xdr:colOff>63500</xdr:colOff>
      <xdr:row>55</xdr:row>
      <xdr:rowOff>152400</xdr:rowOff>
    </xdr:to>
    <xdr:sp macro="" textlink="">
      <xdr:nvSpPr>
        <xdr:cNvPr id="4" name="Bocadillo nube: nube 3">
          <a:extLst>
            <a:ext uri="{FF2B5EF4-FFF2-40B4-BE49-F238E27FC236}">
              <a16:creationId xmlns:a16="http://schemas.microsoft.com/office/drawing/2014/main" id="{0292D6ED-5C4B-4B5A-9F16-D397118CB69A}"/>
            </a:ext>
          </a:extLst>
        </xdr:cNvPr>
        <xdr:cNvSpPr/>
      </xdr:nvSpPr>
      <xdr:spPr>
        <a:xfrm>
          <a:off x="4641850" y="10261600"/>
          <a:ext cx="3041650" cy="1130300"/>
        </a:xfrm>
        <a:prstGeom prst="cloudCallout">
          <a:avLst>
            <a:gd name="adj1" fmla="val -59220"/>
            <a:gd name="adj2" fmla="val -5571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L" sz="700" baseline="0"/>
            <a:t>Máximo déficit acumulado. Si invierto en ese monto en el momento 0, al pasar los meses no tendré faltante de caja, cuando llegue el dinero de entrada por ventas, mi caja estará en $0, pero entrarán 135000, que me permitirá ir pagando de ahi en adelante</a:t>
          </a:r>
        </a:p>
        <a:p>
          <a:pPr algn="l"/>
          <a:endParaRPr lang="es-CL" sz="700" baseline="0"/>
        </a:p>
        <a:p>
          <a:pPr algn="l"/>
          <a:endParaRPr lang="es-CL" sz="1100"/>
        </a:p>
      </xdr:txBody>
    </xdr:sp>
    <xdr:clientData/>
  </xdr:twoCellAnchor>
  <xdr:twoCellAnchor>
    <xdr:from>
      <xdr:col>10</xdr:col>
      <xdr:colOff>844550</xdr:colOff>
      <xdr:row>30</xdr:row>
      <xdr:rowOff>101600</xdr:rowOff>
    </xdr:from>
    <xdr:to>
      <xdr:col>14</xdr:col>
      <xdr:colOff>679450</xdr:colOff>
      <xdr:row>34</xdr:row>
      <xdr:rowOff>31750</xdr:rowOff>
    </xdr:to>
    <xdr:sp macro="" textlink="">
      <xdr:nvSpPr>
        <xdr:cNvPr id="5" name="Bocadillo nube: nube 4">
          <a:extLst>
            <a:ext uri="{FF2B5EF4-FFF2-40B4-BE49-F238E27FC236}">
              <a16:creationId xmlns:a16="http://schemas.microsoft.com/office/drawing/2014/main" id="{3EF4CCD3-78C6-4FB8-9B3D-5AD47E7BBFD9}"/>
            </a:ext>
          </a:extLst>
        </xdr:cNvPr>
        <xdr:cNvSpPr/>
      </xdr:nvSpPr>
      <xdr:spPr>
        <a:xfrm>
          <a:off x="8464550" y="6737350"/>
          <a:ext cx="3041650" cy="666750"/>
        </a:xfrm>
        <a:prstGeom prst="cloudCallout">
          <a:avLst>
            <a:gd name="adj1" fmla="val -48154"/>
            <a:gd name="adj2" fmla="val -4501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L" sz="700"/>
            <a:t>VAN 0, buen proyecto. Pero esto evaluó el proyecto puro, es decir, sni financiamiento. Abajo</a:t>
          </a:r>
          <a:r>
            <a:rPr lang="es-CL" sz="700" baseline="0"/>
            <a:t> estánlas evaluaciones de las alternativas de financiamiento, y cómo se agrega este efecto</a:t>
          </a:r>
        </a:p>
        <a:p>
          <a:pPr algn="l"/>
          <a:endParaRPr lang="es-CL"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F578E-336B-4C73-866D-C9B8B0EE0E76}">
  <dimension ref="A2:R30"/>
  <sheetViews>
    <sheetView topLeftCell="A10" workbookViewId="0">
      <selection activeCell="B18" sqref="B18:B29"/>
    </sheetView>
  </sheetViews>
  <sheetFormatPr baseColWidth="10" defaultRowHeight="14.5" x14ac:dyDescent="0.35"/>
  <cols>
    <col min="2" max="2" width="15.54296875" customWidth="1"/>
    <col min="3" max="3" width="15.26953125" customWidth="1"/>
    <col min="4" max="4" width="19.26953125" customWidth="1"/>
    <col min="5" max="5" width="13.453125" customWidth="1"/>
    <col min="6" max="6" width="14.81640625" customWidth="1"/>
    <col min="7" max="7" width="14" customWidth="1"/>
    <col min="8" max="8" width="19.7265625" customWidth="1"/>
  </cols>
  <sheetData>
    <row r="2" spans="2:18" ht="16.5" x14ac:dyDescent="0.35">
      <c r="B2" t="s">
        <v>0</v>
      </c>
      <c r="P2" t="s">
        <v>1</v>
      </c>
      <c r="Q2" s="1">
        <v>200</v>
      </c>
    </row>
    <row r="3" spans="2:18" x14ac:dyDescent="0.35">
      <c r="B3" t="s">
        <v>2</v>
      </c>
      <c r="P3" t="s">
        <v>3</v>
      </c>
      <c r="Q3" s="2">
        <v>35000</v>
      </c>
    </row>
    <row r="4" spans="2:18" x14ac:dyDescent="0.35">
      <c r="B4" t="s">
        <v>4</v>
      </c>
      <c r="O4" t="s">
        <v>5</v>
      </c>
      <c r="P4" t="s">
        <v>6</v>
      </c>
      <c r="Q4" s="2">
        <v>2000000</v>
      </c>
    </row>
    <row r="5" spans="2:18" x14ac:dyDescent="0.35">
      <c r="B5" t="s">
        <v>7</v>
      </c>
      <c r="O5" t="s">
        <v>8</v>
      </c>
      <c r="P5" t="s">
        <v>9</v>
      </c>
      <c r="Q5">
        <v>14500</v>
      </c>
    </row>
    <row r="6" spans="2:18" x14ac:dyDescent="0.35">
      <c r="B6" t="s">
        <v>10</v>
      </c>
      <c r="O6" t="s">
        <v>11</v>
      </c>
      <c r="P6" t="s">
        <v>12</v>
      </c>
      <c r="Q6">
        <v>6000000</v>
      </c>
      <c r="R6" s="2">
        <f>Q6*0.45</f>
        <v>2700000</v>
      </c>
    </row>
    <row r="7" spans="2:18" ht="15" thickBot="1" x14ac:dyDescent="0.4"/>
    <row r="8" spans="2:18" ht="15" thickBot="1" x14ac:dyDescent="0.4">
      <c r="B8" s="3"/>
      <c r="C8" s="33" t="s">
        <v>13</v>
      </c>
      <c r="D8" s="33"/>
      <c r="E8" s="33" t="s">
        <v>14</v>
      </c>
      <c r="F8" s="33"/>
    </row>
    <row r="9" spans="2:18" x14ac:dyDescent="0.35">
      <c r="B9" s="30" t="s">
        <v>15</v>
      </c>
      <c r="C9" s="4" t="s">
        <v>16</v>
      </c>
      <c r="D9" s="5">
        <v>8000000</v>
      </c>
      <c r="E9" s="4" t="s">
        <v>17</v>
      </c>
      <c r="F9" s="5">
        <v>13000000</v>
      </c>
    </row>
    <row r="10" spans="2:18" x14ac:dyDescent="0.35">
      <c r="B10" s="31"/>
      <c r="C10" s="4" t="s">
        <v>18</v>
      </c>
      <c r="D10" s="6">
        <v>5</v>
      </c>
      <c r="E10" s="4" t="s">
        <v>18</v>
      </c>
      <c r="F10" s="6">
        <v>5</v>
      </c>
    </row>
    <row r="11" spans="2:18" ht="26" x14ac:dyDescent="0.35">
      <c r="B11" s="31"/>
      <c r="C11" s="4" t="s">
        <v>19</v>
      </c>
      <c r="D11" s="7">
        <v>0.3</v>
      </c>
      <c r="E11" s="4" t="s">
        <v>19</v>
      </c>
      <c r="F11" s="7">
        <v>0.4</v>
      </c>
    </row>
    <row r="12" spans="2:18" ht="15" thickBot="1" x14ac:dyDescent="0.4">
      <c r="B12" s="32"/>
      <c r="C12" s="8"/>
      <c r="D12" s="9"/>
      <c r="E12" s="8"/>
      <c r="F12" s="9"/>
    </row>
    <row r="13" spans="2:18" ht="26" x14ac:dyDescent="0.35">
      <c r="B13" s="30" t="s">
        <v>20</v>
      </c>
      <c r="C13" s="4" t="s">
        <v>21</v>
      </c>
      <c r="D13" s="5">
        <v>12000</v>
      </c>
      <c r="E13" s="4" t="s">
        <v>22</v>
      </c>
      <c r="F13" s="5">
        <v>11000</v>
      </c>
    </row>
    <row r="14" spans="2:18" ht="26" x14ac:dyDescent="0.35">
      <c r="B14" s="31"/>
      <c r="C14" s="4" t="s">
        <v>23</v>
      </c>
      <c r="D14" s="5">
        <v>700</v>
      </c>
      <c r="E14" s="4"/>
      <c r="F14" s="6"/>
    </row>
    <row r="15" spans="2:18" ht="26.5" thickBot="1" x14ac:dyDescent="0.4">
      <c r="B15" s="32"/>
      <c r="C15" s="8" t="s">
        <v>24</v>
      </c>
      <c r="D15" s="10">
        <v>0.2</v>
      </c>
      <c r="E15" s="8" t="s">
        <v>25</v>
      </c>
      <c r="F15" s="11">
        <v>1800000</v>
      </c>
    </row>
    <row r="18" spans="1:18" x14ac:dyDescent="0.35">
      <c r="B18" t="s">
        <v>13</v>
      </c>
      <c r="C18">
        <v>0</v>
      </c>
      <c r="D18">
        <v>1</v>
      </c>
      <c r="E18">
        <v>2</v>
      </c>
      <c r="F18">
        <v>3</v>
      </c>
      <c r="G18">
        <v>4</v>
      </c>
      <c r="H18">
        <v>5</v>
      </c>
      <c r="L18" t="s">
        <v>14</v>
      </c>
      <c r="M18">
        <v>0</v>
      </c>
      <c r="N18">
        <v>1</v>
      </c>
      <c r="O18">
        <v>2</v>
      </c>
      <c r="P18">
        <v>3</v>
      </c>
      <c r="Q18">
        <v>4</v>
      </c>
      <c r="R18">
        <v>5</v>
      </c>
    </row>
    <row r="19" spans="1:18" x14ac:dyDescent="0.35">
      <c r="B19" s="12" t="s">
        <v>26</v>
      </c>
      <c r="C19" s="2">
        <f>-Q2*Q3</f>
        <v>-7000000</v>
      </c>
      <c r="D19" s="2">
        <f>C19*2</f>
        <v>-14000000</v>
      </c>
      <c r="E19" s="2">
        <f>D19*2</f>
        <v>-28000000</v>
      </c>
      <c r="F19" s="2">
        <f t="shared" ref="F19:G19" si="0">E19*2</f>
        <v>-56000000</v>
      </c>
      <c r="G19" s="2">
        <f t="shared" si="0"/>
        <v>-112000000</v>
      </c>
      <c r="H19" s="2">
        <f>G19*2</f>
        <v>-224000000</v>
      </c>
      <c r="L19" s="12" t="s">
        <v>26</v>
      </c>
      <c r="M19" s="2">
        <f>-AA2*AA3</f>
        <v>0</v>
      </c>
      <c r="N19" s="2">
        <f>M19*2</f>
        <v>0</v>
      </c>
      <c r="O19" s="2">
        <f>N19*2</f>
        <v>0</v>
      </c>
      <c r="P19" s="2">
        <f t="shared" ref="P19:Q19" si="1">O19*2</f>
        <v>0</v>
      </c>
      <c r="Q19" s="2">
        <f t="shared" si="1"/>
        <v>0</v>
      </c>
      <c r="R19" s="2">
        <f>Q19*2</f>
        <v>0</v>
      </c>
    </row>
    <row r="20" spans="1:18" x14ac:dyDescent="0.35">
      <c r="B20" s="12" t="s">
        <v>25</v>
      </c>
      <c r="C20" s="2">
        <f>-(D14+Q4)</f>
        <v>-2000700</v>
      </c>
      <c r="D20" s="2">
        <f>C20+(C20*0.2)</f>
        <v>-2400840</v>
      </c>
      <c r="E20" s="2">
        <f>D20+(D20*0.2)</f>
        <v>-2881008</v>
      </c>
      <c r="F20" s="2">
        <f t="shared" ref="F20:H20" si="2">E20+(E20*0.2)</f>
        <v>-3457209.6</v>
      </c>
      <c r="G20" s="2">
        <f t="shared" si="2"/>
        <v>-4148651.52</v>
      </c>
      <c r="H20" s="2">
        <f t="shared" si="2"/>
        <v>-4978381.824</v>
      </c>
      <c r="L20" s="12" t="s">
        <v>25</v>
      </c>
      <c r="M20" s="2">
        <f>-(N14+AA4)</f>
        <v>0</v>
      </c>
      <c r="N20" s="2">
        <f>M20+(M20*0.2)</f>
        <v>0</v>
      </c>
      <c r="O20" s="2">
        <f>N20+(N20*0.2)</f>
        <v>0</v>
      </c>
      <c r="P20" s="2">
        <f t="shared" ref="P20:R20" si="3">O20+(O20*0.2)</f>
        <v>0</v>
      </c>
      <c r="Q20" s="2">
        <f t="shared" si="3"/>
        <v>0</v>
      </c>
      <c r="R20" s="2">
        <f t="shared" si="3"/>
        <v>0</v>
      </c>
    </row>
    <row r="21" spans="1:18" x14ac:dyDescent="0.35">
      <c r="B21" s="12" t="s">
        <v>27</v>
      </c>
      <c r="C21" s="2">
        <f>-(Q5*Q2)</f>
        <v>-2900000</v>
      </c>
      <c r="D21" s="2">
        <f>-Q2*D13</f>
        <v>-2400000</v>
      </c>
      <c r="E21" s="2">
        <f>-Q2*D13</f>
        <v>-2400000</v>
      </c>
      <c r="F21" s="2">
        <f>-Q2*D13</f>
        <v>-2400000</v>
      </c>
      <c r="G21" s="2">
        <f>-Q2*D13</f>
        <v>-2400000</v>
      </c>
      <c r="H21" s="2">
        <f>-Q2*D13</f>
        <v>-2400000</v>
      </c>
      <c r="L21" s="12" t="s">
        <v>27</v>
      </c>
      <c r="M21" s="2">
        <f>-(AA5*AA2)</f>
        <v>0</v>
      </c>
      <c r="N21" s="2">
        <f>-AA2*N13</f>
        <v>0</v>
      </c>
      <c r="O21" s="2">
        <f>-AA2*N13</f>
        <v>0</v>
      </c>
      <c r="P21" s="2">
        <f>-AA2*N13</f>
        <v>0</v>
      </c>
      <c r="Q21" s="2">
        <f>-AA2*N13</f>
        <v>0</v>
      </c>
      <c r="R21" s="2">
        <f>-AA2*N13</f>
        <v>0</v>
      </c>
    </row>
    <row r="22" spans="1:18" x14ac:dyDescent="0.35">
      <c r="B22" s="12" t="s">
        <v>28</v>
      </c>
      <c r="C22" s="2">
        <f>-$B27/5</f>
        <v>-2140000</v>
      </c>
      <c r="D22" s="2">
        <f t="shared" ref="D22:H22" si="4">-$B27/5</f>
        <v>-2140000</v>
      </c>
      <c r="E22" s="2">
        <f t="shared" si="4"/>
        <v>-2140000</v>
      </c>
      <c r="F22" s="2">
        <f t="shared" si="4"/>
        <v>-2140000</v>
      </c>
      <c r="G22" s="2">
        <f t="shared" si="4"/>
        <v>-2140000</v>
      </c>
      <c r="H22" s="2">
        <f t="shared" si="4"/>
        <v>-2140000</v>
      </c>
      <c r="L22" s="12" t="s">
        <v>28</v>
      </c>
      <c r="M22" s="2">
        <f>-$B27/5</f>
        <v>-2140000</v>
      </c>
      <c r="N22" s="2">
        <f t="shared" ref="N22:R22" si="5">-$B27/5</f>
        <v>-2140000</v>
      </c>
      <c r="O22" s="2">
        <f t="shared" si="5"/>
        <v>-2140000</v>
      </c>
      <c r="P22" s="2">
        <f t="shared" si="5"/>
        <v>-2140000</v>
      </c>
      <c r="Q22" s="2">
        <f t="shared" si="5"/>
        <v>-2140000</v>
      </c>
      <c r="R22" s="2">
        <f t="shared" si="5"/>
        <v>-2140000</v>
      </c>
    </row>
    <row r="23" spans="1:18" x14ac:dyDescent="0.35">
      <c r="B23" s="12" t="s">
        <v>29</v>
      </c>
      <c r="C23" s="2">
        <f>SUM(C19:C22)</f>
        <v>-14040700</v>
      </c>
      <c r="D23" s="2">
        <f>SUM(D19:D22)</f>
        <v>-20940840</v>
      </c>
      <c r="E23" s="2">
        <f t="shared" ref="E23:H23" si="6">SUM(E19:E22)</f>
        <v>-35421008</v>
      </c>
      <c r="F23" s="2">
        <f t="shared" si="6"/>
        <v>-63997209.600000001</v>
      </c>
      <c r="G23" s="2">
        <f t="shared" si="6"/>
        <v>-120688651.52</v>
      </c>
      <c r="H23" s="2">
        <f t="shared" si="6"/>
        <v>-233518381.824</v>
      </c>
      <c r="L23" s="12" t="s">
        <v>29</v>
      </c>
      <c r="M23" s="2">
        <f>SUM(M19:M22)</f>
        <v>-2140000</v>
      </c>
      <c r="N23" s="2">
        <f>SUM(N19:N22)</f>
        <v>-2140000</v>
      </c>
      <c r="O23" s="2">
        <f t="shared" ref="O23:R23" si="7">SUM(O19:O22)</f>
        <v>-2140000</v>
      </c>
      <c r="P23" s="2">
        <f t="shared" si="7"/>
        <v>-2140000</v>
      </c>
      <c r="Q23" s="2">
        <f t="shared" si="7"/>
        <v>-2140000</v>
      </c>
      <c r="R23" s="2">
        <f t="shared" si="7"/>
        <v>-2140000</v>
      </c>
    </row>
    <row r="24" spans="1:18" x14ac:dyDescent="0.35">
      <c r="B24" s="12" t="s">
        <v>30</v>
      </c>
      <c r="C24" s="2">
        <f>C23*0.15</f>
        <v>-2106105</v>
      </c>
      <c r="D24" s="2">
        <f>D23*0.15</f>
        <v>-3141126</v>
      </c>
      <c r="E24" s="2">
        <f t="shared" ref="E24:H24" si="8">E23*0.15</f>
        <v>-5313151.2</v>
      </c>
      <c r="F24" s="2">
        <f t="shared" si="8"/>
        <v>-9599581.4399999995</v>
      </c>
      <c r="G24" s="2">
        <f t="shared" si="8"/>
        <v>-18103297.728</v>
      </c>
      <c r="H24" s="2">
        <f t="shared" si="8"/>
        <v>-35027757.273599997</v>
      </c>
      <c r="L24" s="12" t="s">
        <v>30</v>
      </c>
      <c r="M24" s="2">
        <f>M23*0.15</f>
        <v>-321000</v>
      </c>
      <c r="N24" s="2">
        <f>N23*0.15</f>
        <v>-321000</v>
      </c>
      <c r="O24" s="2">
        <f t="shared" ref="O24:R24" si="9">O23*0.15</f>
        <v>-321000</v>
      </c>
      <c r="P24" s="2">
        <f t="shared" si="9"/>
        <v>-321000</v>
      </c>
      <c r="Q24" s="2">
        <f t="shared" si="9"/>
        <v>-321000</v>
      </c>
      <c r="R24" s="2">
        <f t="shared" si="9"/>
        <v>-321000</v>
      </c>
    </row>
    <row r="25" spans="1:18" x14ac:dyDescent="0.35">
      <c r="B25" s="12" t="s">
        <v>31</v>
      </c>
      <c r="C25" s="2">
        <f>C23+C24</f>
        <v>-16146805</v>
      </c>
      <c r="D25" s="2">
        <f>D23+D24</f>
        <v>-24081966</v>
      </c>
      <c r="E25" s="2">
        <f t="shared" ref="E25:H25" si="10">E23+E24</f>
        <v>-40734159.200000003</v>
      </c>
      <c r="F25" s="2">
        <f t="shared" si="10"/>
        <v>-73596791.040000007</v>
      </c>
      <c r="G25" s="2">
        <f t="shared" si="10"/>
        <v>-138791949.248</v>
      </c>
      <c r="H25" s="2">
        <f t="shared" si="10"/>
        <v>-268546139.09759998</v>
      </c>
      <c r="L25" s="12" t="s">
        <v>31</v>
      </c>
      <c r="M25" s="2">
        <f>M23+M24</f>
        <v>-2461000</v>
      </c>
      <c r="N25" s="2">
        <f>N23+N24</f>
        <v>-2461000</v>
      </c>
      <c r="O25" s="2">
        <f t="shared" ref="O25:R25" si="11">O23+O24</f>
        <v>-2461000</v>
      </c>
      <c r="P25" s="2">
        <f t="shared" si="11"/>
        <v>-2461000</v>
      </c>
      <c r="Q25" s="2">
        <f t="shared" si="11"/>
        <v>-2461000</v>
      </c>
      <c r="R25" s="2">
        <f t="shared" si="11"/>
        <v>-2461000</v>
      </c>
    </row>
    <row r="26" spans="1:18" x14ac:dyDescent="0.35">
      <c r="B26" s="12" t="s">
        <v>28</v>
      </c>
      <c r="C26" s="2">
        <f>-C22</f>
        <v>2140000</v>
      </c>
      <c r="D26" s="2">
        <f>-D22</f>
        <v>2140000</v>
      </c>
      <c r="E26" s="2">
        <f t="shared" ref="E26:H26" si="12">-E22</f>
        <v>2140000</v>
      </c>
      <c r="F26" s="2">
        <f t="shared" si="12"/>
        <v>2140000</v>
      </c>
      <c r="G26" s="2">
        <f t="shared" si="12"/>
        <v>2140000</v>
      </c>
      <c r="H26" s="2">
        <f t="shared" si="12"/>
        <v>2140000</v>
      </c>
      <c r="L26" s="12" t="s">
        <v>28</v>
      </c>
      <c r="M26" s="2">
        <f>-M22</f>
        <v>2140000</v>
      </c>
      <c r="N26" s="2">
        <f>-N22</f>
        <v>2140000</v>
      </c>
      <c r="O26" s="2">
        <f t="shared" ref="O26:R26" si="13">-O22</f>
        <v>2140000</v>
      </c>
      <c r="P26" s="2">
        <f t="shared" si="13"/>
        <v>2140000</v>
      </c>
      <c r="Q26" s="2">
        <f t="shared" si="13"/>
        <v>2140000</v>
      </c>
      <c r="R26" s="2">
        <f t="shared" si="13"/>
        <v>2140000</v>
      </c>
    </row>
    <row r="27" spans="1:18" x14ac:dyDescent="0.35">
      <c r="A27" s="13" t="s">
        <v>32</v>
      </c>
      <c r="B27" s="14">
        <f>R6+D9</f>
        <v>10700000</v>
      </c>
      <c r="C27" s="2"/>
      <c r="D27" s="2"/>
      <c r="E27" s="2"/>
      <c r="F27" s="2"/>
      <c r="G27" s="2"/>
      <c r="H27" s="2"/>
      <c r="L27" s="14">
        <f>AB6+N9</f>
        <v>0</v>
      </c>
      <c r="M27" s="2"/>
      <c r="N27" s="2"/>
      <c r="O27" s="2"/>
      <c r="P27" s="2"/>
      <c r="Q27" s="2"/>
      <c r="R27" s="2"/>
    </row>
    <row r="28" spans="1:18" x14ac:dyDescent="0.35">
      <c r="B28" s="12" t="s">
        <v>33</v>
      </c>
      <c r="C28" s="2">
        <f>C25+C26</f>
        <v>-14006805</v>
      </c>
      <c r="D28" s="2">
        <f>SUM(D25:D27)</f>
        <v>-21941966</v>
      </c>
      <c r="E28" s="2">
        <f t="shared" ref="E28:H28" si="14">SUM(E25:E27)</f>
        <v>-38594159.200000003</v>
      </c>
      <c r="F28" s="2">
        <f t="shared" si="14"/>
        <v>-71456791.040000007</v>
      </c>
      <c r="G28" s="2">
        <f t="shared" si="14"/>
        <v>-136651949.248</v>
      </c>
      <c r="H28" s="2">
        <f t="shared" si="14"/>
        <v>-266406139.09759998</v>
      </c>
      <c r="L28" s="12" t="s">
        <v>33</v>
      </c>
      <c r="M28" s="2">
        <f>M25+M26</f>
        <v>-321000</v>
      </c>
      <c r="N28" s="2">
        <f>SUM(N25:N27)</f>
        <v>-321000</v>
      </c>
      <c r="O28" s="2">
        <f t="shared" ref="O28:R28" si="15">SUM(O25:O27)</f>
        <v>-321000</v>
      </c>
      <c r="P28" s="2">
        <f t="shared" si="15"/>
        <v>-321000</v>
      </c>
      <c r="Q28" s="2">
        <f t="shared" si="15"/>
        <v>-321000</v>
      </c>
      <c r="R28" s="2">
        <f t="shared" si="15"/>
        <v>-321000</v>
      </c>
    </row>
    <row r="30" spans="1:18" x14ac:dyDescent="0.35">
      <c r="A30" t="s">
        <v>34</v>
      </c>
      <c r="B30" s="12" t="s">
        <v>35</v>
      </c>
    </row>
  </sheetData>
  <mergeCells count="4">
    <mergeCell ref="B9:B12"/>
    <mergeCell ref="B13:B15"/>
    <mergeCell ref="C8:D8"/>
    <mergeCell ref="E8:F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0A7F5-5F31-426A-B40E-2735B7831064}">
  <dimension ref="A2:Z83"/>
  <sheetViews>
    <sheetView tabSelected="1" topLeftCell="D67" workbookViewId="0">
      <selection activeCell="J83" sqref="J83"/>
    </sheetView>
  </sheetViews>
  <sheetFormatPr baseColWidth="10" defaultRowHeight="14.5" x14ac:dyDescent="0.35"/>
  <cols>
    <col min="11" max="11" width="17.08984375" bestFit="1" customWidth="1"/>
    <col min="12" max="12" width="15.26953125" customWidth="1"/>
  </cols>
  <sheetData>
    <row r="2" spans="2:19" x14ac:dyDescent="0.35">
      <c r="B2" s="15" t="s">
        <v>37</v>
      </c>
      <c r="H2" s="16" t="s">
        <v>61</v>
      </c>
    </row>
    <row r="3" spans="2:19" x14ac:dyDescent="0.35">
      <c r="B3" s="16" t="s">
        <v>38</v>
      </c>
      <c r="H3" s="16" t="s">
        <v>62</v>
      </c>
    </row>
    <row r="4" spans="2:19" x14ac:dyDescent="0.35">
      <c r="B4" s="16" t="s">
        <v>39</v>
      </c>
      <c r="H4" s="16" t="s">
        <v>63</v>
      </c>
    </row>
    <row r="5" spans="2:19" x14ac:dyDescent="0.35">
      <c r="B5" s="16" t="s">
        <v>68</v>
      </c>
      <c r="H5" s="24" t="s">
        <v>64</v>
      </c>
    </row>
    <row r="6" spans="2:19" x14ac:dyDescent="0.35">
      <c r="B6" t="s">
        <v>70</v>
      </c>
      <c r="H6" s="24" t="s">
        <v>65</v>
      </c>
    </row>
    <row r="7" spans="2:19" x14ac:dyDescent="0.35">
      <c r="H7" s="16" t="s">
        <v>66</v>
      </c>
    </row>
    <row r="8" spans="2:19" x14ac:dyDescent="0.35">
      <c r="H8" s="16" t="s">
        <v>78</v>
      </c>
    </row>
    <row r="9" spans="2:19" x14ac:dyDescent="0.35">
      <c r="M9" s="16" t="s">
        <v>40</v>
      </c>
      <c r="R9" t="s">
        <v>90</v>
      </c>
    </row>
    <row r="10" spans="2:19" ht="29.5" thickBot="1" x14ac:dyDescent="0.4">
      <c r="M10" s="17" t="s">
        <v>41</v>
      </c>
      <c r="N10" s="17" t="s">
        <v>42</v>
      </c>
      <c r="O10" s="17" t="s">
        <v>43</v>
      </c>
      <c r="P10" s="17" t="s">
        <v>44</v>
      </c>
      <c r="Q10" s="27" t="s">
        <v>83</v>
      </c>
      <c r="R10" s="27" t="s">
        <v>87</v>
      </c>
      <c r="S10" s="27" t="s">
        <v>88</v>
      </c>
    </row>
    <row r="11" spans="2:19" x14ac:dyDescent="0.35">
      <c r="C11" t="s">
        <v>36</v>
      </c>
      <c r="E11">
        <v>1</v>
      </c>
      <c r="F11">
        <v>2</v>
      </c>
      <c r="G11">
        <v>3</v>
      </c>
      <c r="H11">
        <v>4</v>
      </c>
      <c r="I11">
        <v>5</v>
      </c>
      <c r="M11" s="18" t="s">
        <v>45</v>
      </c>
      <c r="N11" s="20">
        <v>20000</v>
      </c>
      <c r="O11" s="21" t="s">
        <v>46</v>
      </c>
      <c r="P11" s="22">
        <v>1</v>
      </c>
      <c r="Q11">
        <v>0</v>
      </c>
      <c r="R11" s="19">
        <f>N11*1</f>
        <v>20000</v>
      </c>
      <c r="S11" s="19">
        <f>N11-Q11</f>
        <v>20000</v>
      </c>
    </row>
    <row r="12" spans="2:19" ht="29" x14ac:dyDescent="0.35">
      <c r="C12" s="12" t="s">
        <v>26</v>
      </c>
      <c r="D12" s="2"/>
      <c r="E12" s="2">
        <f>(M28*P27)</f>
        <v>1620000</v>
      </c>
      <c r="F12" s="2">
        <f>E12</f>
        <v>1620000</v>
      </c>
      <c r="G12" s="2">
        <f t="shared" ref="G12:I12" si="0">F12</f>
        <v>1620000</v>
      </c>
      <c r="H12" s="2">
        <f t="shared" si="0"/>
        <v>1620000</v>
      </c>
      <c r="I12" s="2">
        <f t="shared" si="0"/>
        <v>1620000</v>
      </c>
      <c r="M12" s="18" t="s">
        <v>47</v>
      </c>
      <c r="N12" s="20">
        <v>40000</v>
      </c>
      <c r="O12" s="21">
        <v>20</v>
      </c>
      <c r="P12" s="22">
        <v>0.3</v>
      </c>
      <c r="Q12" s="19">
        <f>N12/O12</f>
        <v>2000</v>
      </c>
      <c r="R12" s="19">
        <f>N12*P12</f>
        <v>12000</v>
      </c>
      <c r="S12" s="19">
        <f>N12-Q12*5</f>
        <v>30000</v>
      </c>
    </row>
    <row r="13" spans="2:19" ht="29" x14ac:dyDescent="0.35">
      <c r="C13" s="12" t="s">
        <v>25</v>
      </c>
      <c r="D13" s="2"/>
      <c r="E13" s="2">
        <v>-48000</v>
      </c>
      <c r="F13" s="2">
        <f t="shared" ref="F13:I15" si="1">E13</f>
        <v>-48000</v>
      </c>
      <c r="G13" s="2">
        <f t="shared" si="1"/>
        <v>-48000</v>
      </c>
      <c r="H13" s="2">
        <f t="shared" si="1"/>
        <v>-48000</v>
      </c>
      <c r="I13" s="2">
        <f t="shared" si="1"/>
        <v>-48000</v>
      </c>
      <c r="M13" s="18" t="s">
        <v>48</v>
      </c>
      <c r="N13" s="20">
        <v>30000</v>
      </c>
      <c r="O13" s="21">
        <v>10</v>
      </c>
      <c r="P13" s="22">
        <v>0.2</v>
      </c>
      <c r="Q13" s="19">
        <f>N13/O13</f>
        <v>3000</v>
      </c>
      <c r="R13" s="19">
        <f>N13*P13</f>
        <v>6000</v>
      </c>
      <c r="S13" s="19">
        <f>N13-Q13*5</f>
        <v>15000</v>
      </c>
    </row>
    <row r="14" spans="2:19" x14ac:dyDescent="0.35">
      <c r="C14" s="12" t="s">
        <v>27</v>
      </c>
      <c r="D14" s="2"/>
      <c r="E14" s="2">
        <v>-676800</v>
      </c>
      <c r="F14" s="2">
        <f t="shared" si="1"/>
        <v>-676800</v>
      </c>
      <c r="G14" s="2">
        <f t="shared" si="1"/>
        <v>-676800</v>
      </c>
      <c r="H14" s="2">
        <f t="shared" si="1"/>
        <v>-676800</v>
      </c>
      <c r="I14" s="2">
        <f t="shared" si="1"/>
        <v>-676800</v>
      </c>
      <c r="J14" t="s">
        <v>84</v>
      </c>
      <c r="Q14" s="26">
        <f>SUM(Q12:Q13)</f>
        <v>5000</v>
      </c>
      <c r="S14" t="s">
        <v>89</v>
      </c>
    </row>
    <row r="15" spans="2:19" x14ac:dyDescent="0.35">
      <c r="C15" s="12" t="s">
        <v>28</v>
      </c>
      <c r="D15" s="2"/>
      <c r="E15" s="2">
        <v>-5000</v>
      </c>
      <c r="F15" s="2">
        <f t="shared" si="1"/>
        <v>-5000</v>
      </c>
      <c r="G15" s="2">
        <f t="shared" si="1"/>
        <v>-5000</v>
      </c>
      <c r="H15" s="2">
        <f t="shared" si="1"/>
        <v>-5000</v>
      </c>
      <c r="I15" s="2">
        <f t="shared" si="1"/>
        <v>-5000</v>
      </c>
      <c r="J15" t="s">
        <v>85</v>
      </c>
      <c r="K15" s="28">
        <v>0.1</v>
      </c>
    </row>
    <row r="16" spans="2:19" x14ac:dyDescent="0.35">
      <c r="C16" s="12" t="s">
        <v>91</v>
      </c>
      <c r="D16" s="2"/>
      <c r="E16" s="2"/>
      <c r="F16" s="2"/>
      <c r="G16" s="2"/>
      <c r="H16" s="2"/>
      <c r="I16" s="2">
        <f>R11</f>
        <v>20000</v>
      </c>
    </row>
    <row r="17" spans="3:20" x14ac:dyDescent="0.35">
      <c r="C17" s="12" t="s">
        <v>92</v>
      </c>
      <c r="D17" s="2"/>
      <c r="E17" s="2"/>
      <c r="F17" s="2"/>
      <c r="G17" s="2"/>
      <c r="H17" s="2"/>
      <c r="I17" s="2">
        <f t="shared" ref="I17:I18" si="2">R12</f>
        <v>12000</v>
      </c>
      <c r="M17" s="16" t="s">
        <v>56</v>
      </c>
      <c r="R17" s="16" t="s">
        <v>49</v>
      </c>
    </row>
    <row r="18" spans="3:20" ht="29" x14ac:dyDescent="0.35">
      <c r="C18" s="12" t="s">
        <v>93</v>
      </c>
      <c r="D18" s="2"/>
      <c r="E18" s="2"/>
      <c r="F18" s="2"/>
      <c r="G18" s="2"/>
      <c r="H18" s="2"/>
      <c r="I18" s="2">
        <f t="shared" si="2"/>
        <v>6000</v>
      </c>
      <c r="M18" s="23" t="s">
        <v>57</v>
      </c>
      <c r="N18" s="23" t="s">
        <v>58</v>
      </c>
      <c r="O18" s="23" t="s">
        <v>74</v>
      </c>
      <c r="P18" s="23" t="s">
        <v>79</v>
      </c>
      <c r="R18" s="23" t="s">
        <v>50</v>
      </c>
      <c r="S18" s="23" t="s">
        <v>51</v>
      </c>
    </row>
    <row r="19" spans="3:20" ht="29" x14ac:dyDescent="0.35">
      <c r="C19" s="12" t="s">
        <v>95</v>
      </c>
      <c r="D19" s="2"/>
      <c r="E19" s="2"/>
      <c r="F19" s="2"/>
      <c r="G19" s="2"/>
      <c r="H19" s="2"/>
      <c r="I19" s="2">
        <f>-S11</f>
        <v>-20000</v>
      </c>
      <c r="M19" s="18" t="s">
        <v>59</v>
      </c>
      <c r="N19" s="20">
        <v>3000</v>
      </c>
      <c r="O19" s="19">
        <f>N19*12</f>
        <v>36000</v>
      </c>
      <c r="P19" t="s">
        <v>76</v>
      </c>
      <c r="R19" s="18" t="s">
        <v>52</v>
      </c>
      <c r="S19" s="21">
        <v>40.5</v>
      </c>
    </row>
    <row r="20" spans="3:20" x14ac:dyDescent="0.35">
      <c r="C20" s="12" t="s">
        <v>94</v>
      </c>
      <c r="D20" s="2"/>
      <c r="E20" s="2"/>
      <c r="F20" s="2"/>
      <c r="G20" s="2"/>
      <c r="H20" s="2"/>
      <c r="I20" s="2">
        <f t="shared" ref="I20:I21" si="3">-S12</f>
        <v>-30000</v>
      </c>
      <c r="M20" s="18" t="s">
        <v>60</v>
      </c>
      <c r="N20" s="20">
        <v>1000</v>
      </c>
      <c r="O20" s="19">
        <f>N20*12</f>
        <v>12000</v>
      </c>
      <c r="P20" t="s">
        <v>77</v>
      </c>
      <c r="R20" s="18" t="s">
        <v>53</v>
      </c>
      <c r="S20" s="21">
        <v>25.4</v>
      </c>
    </row>
    <row r="21" spans="3:20" x14ac:dyDescent="0.35">
      <c r="C21" s="12" t="s">
        <v>96</v>
      </c>
      <c r="D21" s="2"/>
      <c r="E21" s="2"/>
      <c r="F21" s="2"/>
      <c r="G21" s="2"/>
      <c r="H21" s="2"/>
      <c r="I21" s="2">
        <f t="shared" si="3"/>
        <v>-15000</v>
      </c>
      <c r="N21" s="25" t="s">
        <v>75</v>
      </c>
      <c r="O21" s="26">
        <f>O20+O19</f>
        <v>48000</v>
      </c>
      <c r="R21" s="18" t="s">
        <v>54</v>
      </c>
      <c r="S21" s="21">
        <v>7.6</v>
      </c>
    </row>
    <row r="22" spans="3:20" ht="29" x14ac:dyDescent="0.35">
      <c r="C22" s="12" t="s">
        <v>29</v>
      </c>
      <c r="D22" s="2"/>
      <c r="E22" s="2">
        <f>SUM(E12:E15)</f>
        <v>890200</v>
      </c>
      <c r="F22" s="2">
        <f>E22</f>
        <v>890200</v>
      </c>
      <c r="G22" s="2">
        <f>F22</f>
        <v>890200</v>
      </c>
      <c r="H22" s="2">
        <f>G22</f>
        <v>890200</v>
      </c>
      <c r="I22" s="2">
        <f>SUM(I12:I21)</f>
        <v>863200</v>
      </c>
      <c r="J22" t="s">
        <v>86</v>
      </c>
      <c r="R22" s="18" t="s">
        <v>55</v>
      </c>
      <c r="S22" s="21">
        <v>20.5</v>
      </c>
    </row>
    <row r="23" spans="3:20" x14ac:dyDescent="0.35">
      <c r="C23" s="12" t="s">
        <v>30</v>
      </c>
      <c r="D23" s="2"/>
      <c r="E23" s="2">
        <f>E22*0.1</f>
        <v>89020</v>
      </c>
      <c r="F23" s="2">
        <f t="shared" ref="F23:I23" si="4">F22*0.1</f>
        <v>89020</v>
      </c>
      <c r="G23" s="2">
        <f t="shared" si="4"/>
        <v>89020</v>
      </c>
      <c r="H23" s="2">
        <f t="shared" si="4"/>
        <v>89020</v>
      </c>
      <c r="I23" s="2">
        <f t="shared" si="4"/>
        <v>86320</v>
      </c>
      <c r="S23" s="25">
        <f>SUM(S19:S22)</f>
        <v>94</v>
      </c>
      <c r="T23" s="25" t="s">
        <v>80</v>
      </c>
    </row>
    <row r="24" spans="3:20" x14ac:dyDescent="0.35">
      <c r="C24" s="12" t="s">
        <v>31</v>
      </c>
      <c r="D24" s="2"/>
      <c r="E24" s="2">
        <f>E22-E23</f>
        <v>801180</v>
      </c>
      <c r="F24" s="2">
        <f t="shared" ref="F24:I24" si="5">F22-F23</f>
        <v>801180</v>
      </c>
      <c r="G24" s="2">
        <f t="shared" si="5"/>
        <v>801180</v>
      </c>
      <c r="H24" s="2">
        <f t="shared" si="5"/>
        <v>801180</v>
      </c>
      <c r="I24" s="2">
        <f t="shared" si="5"/>
        <v>776880</v>
      </c>
      <c r="S24" s="25">
        <f>S23*M27</f>
        <v>56400</v>
      </c>
      <c r="T24" s="25" t="s">
        <v>81</v>
      </c>
    </row>
    <row r="25" spans="3:20" x14ac:dyDescent="0.35">
      <c r="C25" s="12" t="s">
        <v>28</v>
      </c>
      <c r="D25" s="2"/>
      <c r="E25" s="2">
        <f>-E15</f>
        <v>5000</v>
      </c>
      <c r="F25" s="2">
        <f>-F15</f>
        <v>5000</v>
      </c>
      <c r="G25" s="2">
        <f>-G15</f>
        <v>5000</v>
      </c>
      <c r="H25" s="2">
        <f>-H15</f>
        <v>5000</v>
      </c>
      <c r="I25" s="2">
        <f>-I15</f>
        <v>5000</v>
      </c>
      <c r="S25" s="25">
        <f>S23*P27</f>
        <v>676800</v>
      </c>
      <c r="T25" s="25" t="s">
        <v>82</v>
      </c>
    </row>
    <row r="26" spans="3:20" x14ac:dyDescent="0.35">
      <c r="C26" s="29" t="s">
        <v>97</v>
      </c>
      <c r="D26" s="2"/>
      <c r="E26" s="2"/>
      <c r="F26" s="2"/>
      <c r="G26" s="2"/>
      <c r="H26" s="2"/>
      <c r="I26" s="2">
        <f>-SUM(I19:I21)</f>
        <v>65000</v>
      </c>
    </row>
    <row r="27" spans="3:20" x14ac:dyDescent="0.35">
      <c r="C27" s="12" t="s">
        <v>98</v>
      </c>
      <c r="D27" s="2">
        <f>-N11</f>
        <v>-20000</v>
      </c>
      <c r="E27" s="2"/>
      <c r="F27" s="2"/>
      <c r="G27" s="2"/>
      <c r="H27" s="2"/>
      <c r="I27" s="2"/>
      <c r="M27">
        <v>600</v>
      </c>
      <c r="N27" t="s">
        <v>67</v>
      </c>
      <c r="O27" t="s">
        <v>73</v>
      </c>
      <c r="P27">
        <f>M27*12</f>
        <v>7200</v>
      </c>
    </row>
    <row r="28" spans="3:20" x14ac:dyDescent="0.35">
      <c r="C28" s="12" t="s">
        <v>99</v>
      </c>
      <c r="D28" s="2">
        <f t="shared" ref="D28:D29" si="6">-N12</f>
        <v>-40000</v>
      </c>
      <c r="E28" s="2"/>
      <c r="F28" s="2"/>
      <c r="G28" s="2"/>
      <c r="H28" s="2"/>
      <c r="I28" s="2"/>
      <c r="M28">
        <v>225</v>
      </c>
      <c r="N28" t="s">
        <v>69</v>
      </c>
    </row>
    <row r="29" spans="3:20" x14ac:dyDescent="0.35">
      <c r="C29" s="12" t="s">
        <v>100</v>
      </c>
      <c r="D29" s="2">
        <f t="shared" si="6"/>
        <v>-30000</v>
      </c>
      <c r="E29" s="2"/>
      <c r="F29" s="2"/>
      <c r="G29" s="2"/>
      <c r="H29" s="2"/>
      <c r="I29" s="2"/>
      <c r="M29">
        <v>16</v>
      </c>
      <c r="N29" t="s">
        <v>71</v>
      </c>
    </row>
    <row r="30" spans="3:20" x14ac:dyDescent="0.35">
      <c r="C30" s="12" t="s">
        <v>101</v>
      </c>
      <c r="D30" s="2">
        <f>+F49</f>
        <v>-89600</v>
      </c>
      <c r="E30" s="2"/>
      <c r="F30" s="2"/>
      <c r="G30" s="2"/>
      <c r="H30" s="2"/>
      <c r="I30" s="2">
        <f>-D30</f>
        <v>89600</v>
      </c>
      <c r="K30" s="43" t="s">
        <v>117</v>
      </c>
      <c r="M30">
        <v>63000</v>
      </c>
      <c r="N30" t="s">
        <v>72</v>
      </c>
    </row>
    <row r="31" spans="3:20" x14ac:dyDescent="0.35">
      <c r="C31" s="39" t="s">
        <v>33</v>
      </c>
      <c r="D31" s="40">
        <f t="shared" ref="D31:H31" si="7">SUM(D24:D30)</f>
        <v>-179600</v>
      </c>
      <c r="E31" s="40">
        <f t="shared" si="7"/>
        <v>806180</v>
      </c>
      <c r="F31" s="40">
        <f t="shared" si="7"/>
        <v>806180</v>
      </c>
      <c r="G31" s="40">
        <f t="shared" si="7"/>
        <v>806180</v>
      </c>
      <c r="H31" s="40">
        <f t="shared" si="7"/>
        <v>806180</v>
      </c>
      <c r="I31" s="40">
        <f>SUM(I24:I30)</f>
        <v>936480</v>
      </c>
      <c r="K31" s="44">
        <f>+NPV(16.34%,E31:I31)+D31</f>
        <v>2500405.4438435487</v>
      </c>
    </row>
    <row r="37" spans="2:10" x14ac:dyDescent="0.35">
      <c r="B37" s="34" t="s">
        <v>102</v>
      </c>
    </row>
    <row r="39" spans="2:10" x14ac:dyDescent="0.35">
      <c r="C39" s="34" t="s">
        <v>103</v>
      </c>
      <c r="D39" s="34" t="s">
        <v>104</v>
      </c>
      <c r="E39" s="34" t="s">
        <v>105</v>
      </c>
      <c r="F39" s="34" t="s">
        <v>106</v>
      </c>
      <c r="G39" s="34" t="s">
        <v>107</v>
      </c>
    </row>
    <row r="40" spans="2:10" x14ac:dyDescent="0.35">
      <c r="C40" t="s">
        <v>109</v>
      </c>
      <c r="G40">
        <f>+E12/12</f>
        <v>135000</v>
      </c>
    </row>
    <row r="41" spans="2:10" x14ac:dyDescent="0.35">
      <c r="J41">
        <f>2350/2</f>
        <v>1175</v>
      </c>
    </row>
    <row r="42" spans="2:10" x14ac:dyDescent="0.35">
      <c r="C42" s="36" t="s">
        <v>108</v>
      </c>
      <c r="D42" s="34" t="s">
        <v>104</v>
      </c>
      <c r="E42" s="34" t="s">
        <v>105</v>
      </c>
      <c r="F42" s="34" t="s">
        <v>106</v>
      </c>
      <c r="G42" s="34" t="s">
        <v>107</v>
      </c>
      <c r="J42">
        <f>+J41/600</f>
        <v>1.9583333333333333</v>
      </c>
    </row>
    <row r="43" spans="2:10" x14ac:dyDescent="0.35">
      <c r="C43" s="12" t="s">
        <v>110</v>
      </c>
      <c r="D43" s="19">
        <f>+N20</f>
        <v>1000</v>
      </c>
      <c r="F43" s="19">
        <f>+D43</f>
        <v>1000</v>
      </c>
    </row>
    <row r="44" spans="2:10" x14ac:dyDescent="0.35">
      <c r="C44" s="12" t="s">
        <v>111</v>
      </c>
      <c r="D44">
        <f>+SUM(S19:S22)*600/2</f>
        <v>28200</v>
      </c>
      <c r="E44">
        <f>+D44</f>
        <v>28200</v>
      </c>
      <c r="F44">
        <f t="shared" ref="F44:G44" si="8">+E44</f>
        <v>28200</v>
      </c>
      <c r="G44">
        <f t="shared" si="8"/>
        <v>28200</v>
      </c>
    </row>
    <row r="45" spans="2:10" x14ac:dyDescent="0.35">
      <c r="C45" s="12" t="s">
        <v>112</v>
      </c>
      <c r="E45">
        <v>3000</v>
      </c>
      <c r="G45">
        <f>+E45</f>
        <v>3000</v>
      </c>
    </row>
    <row r="46" spans="2:10" x14ac:dyDescent="0.35">
      <c r="C46" s="12" t="s">
        <v>113</v>
      </c>
      <c r="D46" s="19">
        <f>SUM(D43:D45)</f>
        <v>29200</v>
      </c>
      <c r="E46" s="19">
        <f t="shared" ref="E46:G46" si="9">SUM(E43:E45)</f>
        <v>31200</v>
      </c>
      <c r="F46" s="19">
        <f t="shared" si="9"/>
        <v>29200</v>
      </c>
      <c r="G46" s="19">
        <f t="shared" si="9"/>
        <v>31200</v>
      </c>
    </row>
    <row r="48" spans="2:10" x14ac:dyDescent="0.35">
      <c r="C48" s="12" t="s">
        <v>114</v>
      </c>
      <c r="D48" s="19">
        <f>+D40-D46</f>
        <v>-29200</v>
      </c>
      <c r="E48" s="19">
        <f>+E40-E46</f>
        <v>-31200</v>
      </c>
      <c r="F48" s="19">
        <f>+F40-F46</f>
        <v>-29200</v>
      </c>
      <c r="G48" s="19">
        <f>+G40-G46</f>
        <v>103800</v>
      </c>
    </row>
    <row r="49" spans="2:17" x14ac:dyDescent="0.35">
      <c r="C49" s="12" t="s">
        <v>115</v>
      </c>
      <c r="D49" s="19">
        <f>+D48</f>
        <v>-29200</v>
      </c>
      <c r="E49" s="19">
        <f>+E48+D49</f>
        <v>-60400</v>
      </c>
      <c r="F49" s="19">
        <f>+F48+E49</f>
        <v>-89600</v>
      </c>
      <c r="G49" s="19">
        <f>+G48+F49</f>
        <v>14200</v>
      </c>
    </row>
    <row r="55" spans="2:17" x14ac:dyDescent="0.35">
      <c r="B55" s="34" t="s">
        <v>116</v>
      </c>
    </row>
    <row r="56" spans="2:17" x14ac:dyDescent="0.35">
      <c r="B56" t="s">
        <v>118</v>
      </c>
      <c r="G56" s="14">
        <f>+D31</f>
        <v>-179600</v>
      </c>
    </row>
    <row r="57" spans="2:17" x14ac:dyDescent="0.35">
      <c r="B57" t="s">
        <v>119</v>
      </c>
      <c r="C57" s="14">
        <f>+G56+63000</f>
        <v>-116600</v>
      </c>
    </row>
    <row r="59" spans="2:17" x14ac:dyDescent="0.35">
      <c r="B59" s="46" t="s">
        <v>120</v>
      </c>
    </row>
    <row r="61" spans="2:17" x14ac:dyDescent="0.35">
      <c r="B61" t="s">
        <v>123</v>
      </c>
      <c r="C61" s="14">
        <f>+-C57</f>
        <v>116600</v>
      </c>
      <c r="E61" t="s">
        <v>123</v>
      </c>
      <c r="F61" t="s">
        <v>122</v>
      </c>
      <c r="G61" t="s">
        <v>126</v>
      </c>
      <c r="H61" t="s">
        <v>127</v>
      </c>
      <c r="K61" s="12" t="s">
        <v>126</v>
      </c>
      <c r="M61" s="50">
        <v>-13992</v>
      </c>
      <c r="N61" s="50">
        <v>-11789.523030680843</v>
      </c>
      <c r="O61" s="50">
        <v>-9322.7488250433871</v>
      </c>
      <c r="P61" s="50">
        <v>-6559.9617147294375</v>
      </c>
      <c r="Q61" s="50">
        <v>-3465.6401511778136</v>
      </c>
    </row>
    <row r="62" spans="2:17" x14ac:dyDescent="0.35">
      <c r="B62" t="s">
        <v>124</v>
      </c>
      <c r="C62">
        <v>5</v>
      </c>
      <c r="E62" s="14">
        <f>+C61</f>
        <v>116600</v>
      </c>
      <c r="F62" s="37">
        <f>+C64</f>
        <v>-32345.974744326304</v>
      </c>
      <c r="G62">
        <f>+-E62*0.12</f>
        <v>-13992</v>
      </c>
      <c r="H62" s="37">
        <f>+F62-G62</f>
        <v>-18353.974744326304</v>
      </c>
      <c r="I62" s="37"/>
      <c r="K62" s="12" t="s">
        <v>128</v>
      </c>
      <c r="M62">
        <f>-0.1*M61</f>
        <v>1399.2</v>
      </c>
      <c r="N62">
        <f t="shared" ref="N62:Q62" si="10">-0.1*N61</f>
        <v>1178.9523030680843</v>
      </c>
      <c r="O62">
        <f t="shared" si="10"/>
        <v>932.27488250433873</v>
      </c>
      <c r="P62">
        <f t="shared" si="10"/>
        <v>655.99617147294384</v>
      </c>
      <c r="Q62">
        <f t="shared" si="10"/>
        <v>346.56401511778137</v>
      </c>
    </row>
    <row r="63" spans="2:17" x14ac:dyDescent="0.35">
      <c r="B63" t="s">
        <v>125</v>
      </c>
      <c r="C63" s="48">
        <v>0.12</v>
      </c>
      <c r="E63" s="14">
        <f>+E62+H62</f>
        <v>98246.025255673696</v>
      </c>
      <c r="F63" s="37">
        <f>+F62</f>
        <v>-32345.974744326304</v>
      </c>
      <c r="G63">
        <f t="shared" ref="G63:G66" si="11">+-E63*0.12</f>
        <v>-11789.523030680843</v>
      </c>
      <c r="H63" s="37">
        <f t="shared" ref="H63:H66" si="12">+F63-G63</f>
        <v>-20556.45171364546</v>
      </c>
      <c r="I63" s="37"/>
      <c r="K63" s="35" t="s">
        <v>129</v>
      </c>
      <c r="M63" s="50">
        <f>+M61+M62</f>
        <v>-12592.8</v>
      </c>
      <c r="N63" s="50">
        <f t="shared" ref="N63:Q63" si="13">+N61+N62</f>
        <v>-10610.570727612758</v>
      </c>
      <c r="O63" s="50">
        <f t="shared" si="13"/>
        <v>-8390.4739425390489</v>
      </c>
      <c r="P63" s="50">
        <f t="shared" si="13"/>
        <v>-5903.9655432564941</v>
      </c>
      <c r="Q63" s="50">
        <f t="shared" si="13"/>
        <v>-3119.0761360600322</v>
      </c>
    </row>
    <row r="64" spans="2:17" x14ac:dyDescent="0.35">
      <c r="B64" s="34" t="s">
        <v>122</v>
      </c>
      <c r="C64" s="49">
        <f>+PMT(C63,C62,C61)</f>
        <v>-32345.974744326304</v>
      </c>
      <c r="E64" s="14">
        <f t="shared" ref="E64:E67" si="14">+E63+H63</f>
        <v>77689.573542028229</v>
      </c>
      <c r="F64" s="37">
        <f t="shared" ref="F64:F66" si="15">+F63</f>
        <v>-32345.974744326304</v>
      </c>
      <c r="G64">
        <f t="shared" si="11"/>
        <v>-9322.7488250433871</v>
      </c>
      <c r="H64" s="37">
        <f t="shared" si="12"/>
        <v>-23023.225919282915</v>
      </c>
      <c r="I64" s="37"/>
      <c r="K64" s="12" t="s">
        <v>127</v>
      </c>
      <c r="M64">
        <v>-18353.974744326304</v>
      </c>
      <c r="N64">
        <v>-20556.45171364546</v>
      </c>
      <c r="O64">
        <v>-23023.225919282915</v>
      </c>
      <c r="P64">
        <v>-25786.013029596867</v>
      </c>
      <c r="Q64">
        <v>-28880.334593148491</v>
      </c>
    </row>
    <row r="65" spans="1:18" x14ac:dyDescent="0.35">
      <c r="E65" s="14">
        <f t="shared" si="14"/>
        <v>54666.347622745314</v>
      </c>
      <c r="F65" s="37">
        <f t="shared" si="15"/>
        <v>-32345.974744326304</v>
      </c>
      <c r="G65">
        <f t="shared" si="11"/>
        <v>-6559.9617147294375</v>
      </c>
      <c r="H65" s="37">
        <f t="shared" si="12"/>
        <v>-25786.013029596867</v>
      </c>
      <c r="I65" s="37"/>
      <c r="K65" s="12" t="s">
        <v>130</v>
      </c>
      <c r="L65" s="14">
        <f>+E62</f>
        <v>116600</v>
      </c>
    </row>
    <row r="66" spans="1:18" x14ac:dyDescent="0.35">
      <c r="E66" s="14">
        <f t="shared" si="14"/>
        <v>28880.334593148447</v>
      </c>
      <c r="F66" s="37">
        <f t="shared" si="15"/>
        <v>-32345.974744326304</v>
      </c>
      <c r="G66">
        <f t="shared" si="11"/>
        <v>-3465.6401511778136</v>
      </c>
      <c r="H66" s="37">
        <f t="shared" si="12"/>
        <v>-28880.334593148491</v>
      </c>
      <c r="I66" s="37"/>
      <c r="K66" s="35" t="s">
        <v>131</v>
      </c>
      <c r="L66" s="51">
        <f t="shared" ref="L66" si="16">SUM(L61:L65)</f>
        <v>116600</v>
      </c>
      <c r="M66" s="51">
        <f t="shared" ref="M66:P66" si="17">SUM(M63:M65)</f>
        <v>-30946.774744326303</v>
      </c>
      <c r="N66" s="51">
        <f t="shared" si="17"/>
        <v>-31167.022441258217</v>
      </c>
      <c r="O66" s="51">
        <f t="shared" si="17"/>
        <v>-31413.699861821966</v>
      </c>
      <c r="P66" s="51">
        <f t="shared" si="17"/>
        <v>-31689.978572853361</v>
      </c>
      <c r="Q66" s="51">
        <f>SUM(Q63:Q65)</f>
        <v>-31999.410729208525</v>
      </c>
      <c r="R66" s="34"/>
    </row>
    <row r="67" spans="1:18" x14ac:dyDescent="0.35">
      <c r="E67" s="14">
        <f t="shared" si="14"/>
        <v>-4.3655745685100555E-11</v>
      </c>
      <c r="J67" s="38"/>
      <c r="K67" s="52" t="s">
        <v>132</v>
      </c>
      <c r="L67" s="55">
        <f>+NPV(12%,M66:Q66)+L66</f>
        <v>3466.261274854347</v>
      </c>
    </row>
    <row r="68" spans="1:18" x14ac:dyDescent="0.35">
      <c r="J68" s="38"/>
      <c r="K68" s="53" t="s">
        <v>133</v>
      </c>
      <c r="L68" s="42">
        <f>+L67+K31</f>
        <v>2503871.7051184028</v>
      </c>
    </row>
    <row r="72" spans="1:18" x14ac:dyDescent="0.35">
      <c r="A72" s="45" t="s">
        <v>121</v>
      </c>
      <c r="C72" s="47"/>
    </row>
    <row r="74" spans="1:18" x14ac:dyDescent="0.35">
      <c r="B74" t="s">
        <v>123</v>
      </c>
      <c r="C74" s="14">
        <f>+C61</f>
        <v>116600</v>
      </c>
      <c r="E74" t="s">
        <v>123</v>
      </c>
      <c r="F74" t="s">
        <v>122</v>
      </c>
      <c r="G74" t="s">
        <v>126</v>
      </c>
      <c r="H74" t="s">
        <v>127</v>
      </c>
      <c r="K74" s="12" t="s">
        <v>126</v>
      </c>
      <c r="M74">
        <v>-13992</v>
      </c>
      <c r="N74">
        <v>-13992</v>
      </c>
      <c r="O74">
        <v>-13992</v>
      </c>
      <c r="P74">
        <v>-9845.48506401138</v>
      </c>
      <c r="Q74">
        <v>-5201.3883357041259</v>
      </c>
    </row>
    <row r="75" spans="1:18" x14ac:dyDescent="0.35">
      <c r="B75" t="s">
        <v>124</v>
      </c>
      <c r="C75">
        <v>3</v>
      </c>
      <c r="E75" s="14">
        <f>+C74</f>
        <v>116600</v>
      </c>
      <c r="F75" s="37">
        <v>0</v>
      </c>
      <c r="G75">
        <f>+-E75*0.12</f>
        <v>-13992</v>
      </c>
      <c r="H75" s="37">
        <v>0</v>
      </c>
      <c r="I75" s="37"/>
      <c r="K75" s="12" t="s">
        <v>128</v>
      </c>
      <c r="M75">
        <f>-0.1*M74</f>
        <v>1399.2</v>
      </c>
      <c r="N75">
        <f t="shared" ref="N75" si="18">-0.1*N74</f>
        <v>1399.2</v>
      </c>
      <c r="O75">
        <f t="shared" ref="O75" si="19">-0.1*O74</f>
        <v>1399.2</v>
      </c>
      <c r="P75">
        <f t="shared" ref="P75" si="20">-0.1*P74</f>
        <v>984.54850640113807</v>
      </c>
      <c r="Q75">
        <f t="shared" ref="Q75" si="21">-0.1*Q74</f>
        <v>520.13883357041266</v>
      </c>
    </row>
    <row r="76" spans="1:18" x14ac:dyDescent="0.35">
      <c r="B76" t="s">
        <v>125</v>
      </c>
      <c r="C76" s="48">
        <v>0.12</v>
      </c>
      <c r="E76" s="14">
        <f>+E75+H75</f>
        <v>116600</v>
      </c>
      <c r="F76" s="37">
        <v>0</v>
      </c>
      <c r="G76">
        <f t="shared" ref="G76:G79" si="22">+-E76*0.12</f>
        <v>-13992</v>
      </c>
      <c r="H76" s="37">
        <v>0</v>
      </c>
      <c r="I76" s="37"/>
      <c r="K76" s="35" t="s">
        <v>129</v>
      </c>
      <c r="M76" s="50">
        <f>+M74+M75</f>
        <v>-12592.8</v>
      </c>
      <c r="N76" s="50">
        <f t="shared" ref="N76" si="23">+N74+N75</f>
        <v>-12592.8</v>
      </c>
      <c r="O76" s="50">
        <f t="shared" ref="O76" si="24">+O74+O75</f>
        <v>-12592.8</v>
      </c>
      <c r="P76" s="50">
        <f t="shared" ref="P76" si="25">+P74+P75</f>
        <v>-8860.9365576102427</v>
      </c>
      <c r="Q76" s="50">
        <f t="shared" ref="Q76" si="26">+Q74+Q75</f>
        <v>-4681.2495021337136</v>
      </c>
    </row>
    <row r="77" spans="1:18" x14ac:dyDescent="0.35">
      <c r="B77" s="34" t="s">
        <v>122</v>
      </c>
      <c r="C77" s="49">
        <f>+PMT(C76,C75,C74)</f>
        <v>-48546.291133238497</v>
      </c>
      <c r="E77" s="14">
        <f t="shared" ref="E77:E80" si="27">+E76+H76</f>
        <v>116600</v>
      </c>
      <c r="F77" s="37">
        <f>+C77</f>
        <v>-48546.291133238497</v>
      </c>
      <c r="G77">
        <f t="shared" si="22"/>
        <v>-13992</v>
      </c>
      <c r="H77" s="37">
        <f t="shared" ref="H77:H79" si="28">+F77-G77</f>
        <v>-34554.291133238497</v>
      </c>
      <c r="I77" s="37"/>
      <c r="K77" s="12" t="s">
        <v>127</v>
      </c>
      <c r="M77">
        <v>0</v>
      </c>
      <c r="N77">
        <v>0</v>
      </c>
      <c r="O77">
        <v>-34554.291133238497</v>
      </c>
      <c r="P77">
        <v>-38700.806069227117</v>
      </c>
      <c r="Q77">
        <v>-43344.902797534371</v>
      </c>
    </row>
    <row r="78" spans="1:18" x14ac:dyDescent="0.35">
      <c r="E78" s="14">
        <f t="shared" si="27"/>
        <v>82045.708866761503</v>
      </c>
      <c r="F78" s="37">
        <f t="shared" ref="F78:F79" si="29">+F77</f>
        <v>-48546.291133238497</v>
      </c>
      <c r="G78">
        <f t="shared" si="22"/>
        <v>-9845.48506401138</v>
      </c>
      <c r="H78" s="37">
        <f t="shared" si="28"/>
        <v>-38700.806069227117</v>
      </c>
      <c r="I78" s="37"/>
      <c r="K78" s="12" t="s">
        <v>130</v>
      </c>
      <c r="L78" s="14">
        <f>+E75</f>
        <v>116600</v>
      </c>
    </row>
    <row r="79" spans="1:18" x14ac:dyDescent="0.35">
      <c r="E79" s="14">
        <f t="shared" si="27"/>
        <v>43344.902797534385</v>
      </c>
      <c r="F79" s="37">
        <f t="shared" si="29"/>
        <v>-48546.291133238497</v>
      </c>
      <c r="G79">
        <f t="shared" si="22"/>
        <v>-5201.3883357041259</v>
      </c>
      <c r="H79" s="37">
        <f t="shared" si="28"/>
        <v>-43344.902797534371</v>
      </c>
      <c r="I79" s="37"/>
      <c r="K79" s="35" t="s">
        <v>131</v>
      </c>
      <c r="L79" s="51">
        <f t="shared" ref="L79" si="30">SUM(L74:L78)</f>
        <v>116600</v>
      </c>
      <c r="M79" s="51">
        <f t="shared" ref="M79" si="31">SUM(M76:M78)</f>
        <v>-12592.8</v>
      </c>
      <c r="N79" s="51">
        <f t="shared" ref="N79" si="32">SUM(N76:N78)</f>
        <v>-12592.8</v>
      </c>
      <c r="O79" s="51">
        <f t="shared" ref="O79" si="33">SUM(O76:O78)</f>
        <v>-47147.0911332385</v>
      </c>
      <c r="P79" s="51">
        <f t="shared" ref="P79" si="34">SUM(P76:P78)</f>
        <v>-47561.74262683736</v>
      </c>
      <c r="Q79" s="51">
        <f>SUM(Q76:Q78)</f>
        <v>-48026.152299668087</v>
      </c>
      <c r="R79" s="34"/>
    </row>
    <row r="80" spans="1:18" x14ac:dyDescent="0.35">
      <c r="E80" s="14">
        <f t="shared" si="27"/>
        <v>0</v>
      </c>
      <c r="J80" s="38"/>
      <c r="K80" s="52" t="s">
        <v>132</v>
      </c>
      <c r="L80" s="54">
        <f>+NPV(12%,M79:Q79)+L79</f>
        <v>4281.4814282500738</v>
      </c>
    </row>
    <row r="81" spans="10:26" x14ac:dyDescent="0.35">
      <c r="J81" s="38"/>
      <c r="K81" s="53" t="s">
        <v>133</v>
      </c>
      <c r="L81" s="42">
        <f>+L80+K31</f>
        <v>2504686.9252717989</v>
      </c>
    </row>
    <row r="83" spans="10:26" x14ac:dyDescent="0.35">
      <c r="J83" s="41" t="s">
        <v>135</v>
      </c>
      <c r="K83" s="41" t="s">
        <v>134</v>
      </c>
      <c r="L83" s="38"/>
      <c r="M83" s="38"/>
      <c r="N83" s="38"/>
      <c r="O83" s="38"/>
      <c r="P83" s="38"/>
      <c r="Q83" s="38"/>
      <c r="R83" s="38"/>
      <c r="S83" s="38"/>
      <c r="T83" s="38"/>
      <c r="U83" s="38"/>
      <c r="V83" s="38"/>
      <c r="W83" s="38"/>
      <c r="X83" s="38"/>
      <c r="Y83" s="38"/>
      <c r="Z83" s="38"/>
    </row>
  </sheetData>
  <phoneticPr fontId="11"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Lucho</dc:creator>
  <cp:lastModifiedBy>A K</cp:lastModifiedBy>
  <dcterms:created xsi:type="dcterms:W3CDTF">2021-06-16T01:02:00Z</dcterms:created>
  <dcterms:modified xsi:type="dcterms:W3CDTF">2021-07-26T22:12:07Z</dcterms:modified>
</cp:coreProperties>
</file>