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25F8A690-B7DE-4D52-AE52-F59247CB4002}" xr6:coauthVersionLast="47" xr6:coauthVersionMax="47" xr10:uidLastSave="{00000000-0000-0000-0000-000000000000}"/>
  <bookViews>
    <workbookView xWindow="-110" yWindow="-110" windowWidth="19420" windowHeight="9180" xr2:uid="{D6DE73A4-B076-41B2-B4D6-6EB87F1DA1B3}"/>
  </bookViews>
  <sheets>
    <sheet name="Hoja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23" i="1" l="1"/>
  <c r="N23" i="1"/>
  <c r="N22" i="1"/>
  <c r="O24" i="1"/>
  <c r="R24" i="1"/>
  <c r="O25" i="1"/>
  <c r="P25" i="1"/>
  <c r="Q25" i="1"/>
  <c r="R25" i="1"/>
  <c r="N25" i="1"/>
  <c r="M40" i="1"/>
  <c r="M38" i="1"/>
  <c r="N26" i="1"/>
  <c r="O26" i="1" s="1"/>
  <c r="O35" i="1" s="1"/>
  <c r="N27" i="1"/>
  <c r="N36" i="1" s="1"/>
  <c r="O9" i="1"/>
  <c r="P9" i="1"/>
  <c r="Q9" i="1"/>
  <c r="R9" i="1"/>
  <c r="O8" i="1"/>
  <c r="P8" i="1"/>
  <c r="P24" i="1" s="1"/>
  <c r="Q8" i="1"/>
  <c r="Q24" i="1" s="1"/>
  <c r="R8" i="1"/>
  <c r="R6" i="1"/>
  <c r="P14" i="1"/>
  <c r="Q14" i="1"/>
  <c r="R14" i="1"/>
  <c r="N9" i="1"/>
  <c r="N8" i="1"/>
  <c r="N24" i="1" s="1"/>
  <c r="N7" i="1"/>
  <c r="G8" i="1"/>
  <c r="R7" i="1" s="1"/>
  <c r="F8" i="1"/>
  <c r="Q7" i="1" s="1"/>
  <c r="E8" i="1"/>
  <c r="P7" i="1" s="1"/>
  <c r="D8" i="1"/>
  <c r="O6" i="1" s="1"/>
  <c r="C8" i="1"/>
  <c r="N6" i="1" s="1"/>
  <c r="N14" i="1"/>
  <c r="O10" i="1"/>
  <c r="O14" i="1" s="1"/>
  <c r="N10" i="1"/>
  <c r="M31" i="1"/>
  <c r="M41" i="1"/>
  <c r="M28" i="1"/>
  <c r="M32" i="1" s="1"/>
  <c r="M33" i="1" s="1"/>
  <c r="D55" i="1"/>
  <c r="B25" i="1"/>
  <c r="G29" i="1"/>
  <c r="I24" i="1"/>
  <c r="I23" i="1"/>
  <c r="M37" i="1" s="1"/>
  <c r="P23" i="1" l="1"/>
  <c r="O23" i="1"/>
  <c r="O7" i="1"/>
  <c r="O11" i="1" s="1"/>
  <c r="O12" i="1" s="1"/>
  <c r="O13" i="1" s="1"/>
  <c r="O15" i="1" s="1"/>
  <c r="R22" i="1"/>
  <c r="Q22" i="1"/>
  <c r="P22" i="1"/>
  <c r="O22" i="1"/>
  <c r="R23" i="1"/>
  <c r="N32" i="1"/>
  <c r="N33" i="1" s="1"/>
  <c r="N34" i="1" s="1"/>
  <c r="N42" i="1" s="1"/>
  <c r="C25" i="1"/>
  <c r="D25" i="1" s="1"/>
  <c r="E25" i="1" s="1"/>
  <c r="F25" i="1" s="1"/>
  <c r="G25" i="1" s="1"/>
  <c r="Q6" i="1"/>
  <c r="Q11" i="1" s="1"/>
  <c r="Q12" i="1" s="1"/>
  <c r="Q13" i="1" s="1"/>
  <c r="Q15" i="1" s="1"/>
  <c r="M34" i="1"/>
  <c r="P6" i="1"/>
  <c r="O27" i="1"/>
  <c r="P11" i="1"/>
  <c r="P12" i="1" s="1"/>
  <c r="P13" i="1" s="1"/>
  <c r="P15" i="1" s="1"/>
  <c r="N35" i="1"/>
  <c r="R11" i="1"/>
  <c r="R12" i="1" s="1"/>
  <c r="R13" i="1" s="1"/>
  <c r="R15" i="1" s="1"/>
  <c r="P26" i="1"/>
  <c r="N11" i="1"/>
  <c r="N12" i="1" s="1"/>
  <c r="N13" i="1" s="1"/>
  <c r="N15" i="1" s="1"/>
  <c r="I25" i="1" l="1"/>
  <c r="N16" i="1"/>
  <c r="P27" i="1"/>
  <c r="P32" i="1" s="1"/>
  <c r="P33" i="1" s="1"/>
  <c r="P34" i="1" s="1"/>
  <c r="O36" i="1"/>
  <c r="Q26" i="1"/>
  <c r="P35" i="1"/>
  <c r="O32" i="1"/>
  <c r="O33" i="1" s="1"/>
  <c r="O34" i="1" s="1"/>
  <c r="O42" i="1" s="1"/>
  <c r="J24" i="1"/>
  <c r="P42" i="1" l="1"/>
  <c r="I27" i="1"/>
  <c r="M39" i="1"/>
  <c r="M42" i="1" s="1"/>
  <c r="R26" i="1"/>
  <c r="Q35" i="1"/>
  <c r="Q27" i="1"/>
  <c r="P36" i="1"/>
  <c r="R27" i="1" l="1"/>
  <c r="R36" i="1" s="1"/>
  <c r="Q36" i="1"/>
  <c r="Q32" i="1"/>
  <c r="Q33" i="1" s="1"/>
  <c r="Q34" i="1" s="1"/>
  <c r="Q42" i="1" s="1"/>
  <c r="R32" i="1"/>
  <c r="R33" i="1" s="1"/>
  <c r="R34" i="1" s="1"/>
  <c r="R35" i="1"/>
  <c r="R42" i="1" l="1"/>
  <c r="N44" i="1" s="1"/>
  <c r="P44" i="1" s="1"/>
</calcChain>
</file>

<file path=xl/sharedStrings.xml><?xml version="1.0" encoding="utf-8"?>
<sst xmlns="http://schemas.openxmlformats.org/spreadsheetml/2006/main" count="105" uniqueCount="78">
  <si>
    <t>Año 0</t>
  </si>
  <si>
    <t>Año 1</t>
  </si>
  <si>
    <t>Año 2</t>
  </si>
  <si>
    <t>Año 3</t>
  </si>
  <si>
    <t>Año 4</t>
  </si>
  <si>
    <t>Año 5</t>
  </si>
  <si>
    <t>Stgo</t>
  </si>
  <si>
    <t>Viña</t>
  </si>
  <si>
    <t>Norte</t>
  </si>
  <si>
    <t>Sur</t>
  </si>
  <si>
    <t xml:space="preserve">Traslado a Casablanca: </t>
  </si>
  <si>
    <t>Inversiones</t>
  </si>
  <si>
    <t>Monto</t>
  </si>
  <si>
    <t>Tiempo</t>
  </si>
  <si>
    <t>Depreciación</t>
  </si>
  <si>
    <t>Terreno</t>
  </si>
  <si>
    <t>7 meses</t>
  </si>
  <si>
    <t>Obras físicas</t>
  </si>
  <si>
    <t>30 años</t>
  </si>
  <si>
    <t>Remodelación (linealmente)</t>
  </si>
  <si>
    <t>6 meses</t>
  </si>
  <si>
    <t>Traslado</t>
  </si>
  <si>
    <t>1 mes</t>
  </si>
  <si>
    <t>5 años</t>
  </si>
  <si>
    <t>Remodelación</t>
  </si>
  <si>
    <t>Gasto e ingresos año 0</t>
  </si>
  <si>
    <t>Costos otros años</t>
  </si>
  <si>
    <t xml:space="preserve">Esta localización permitiría reducir a la mitad la distancia de transporte de los productos terminados desde la fábrica hasta el principal centro de distribución y acopio nacional, ubicado en Santiago. </t>
  </si>
  <si>
    <t>Proceso productivo y de comercialización De acuerdo con el diagrama operativo de la empresa, los productos terminados deben ser enviados en su totalidad a la bodega de Santiago, manteniendo un stock capaz de satisfacer las necesidades locales. Esta situación es producto de la escasa capacidad de las bodegas en la planta productora de Viña del Mar. Luego que los productos son descargados y almacenados en la bodega de Santiago, éstos son nuevamente cargados para ser despachados hacia el sur y el norte del país.</t>
  </si>
  <si>
    <t>Por otra parte, dado que los productos que van hacia el sur y el norte del país ya no serían descargados y cargados nuevamente en la bodega de Santiago, existiría otro ahorro por este concepto. Se estima que el costo de carga o descarga es de US$ 10 por tonelada transportada. Respecto del costo de transporte, los actuales contratistas señalaron que mantendrían el precio por tonelada transportada, tanto de productos terminados como de materias primas, equivalente a U$ 5, independientemente de si optan por quedarse en la localización actual o trasladarse a Casablanca.</t>
  </si>
  <si>
    <t>Tasa de descuento: 17,6% anual</t>
  </si>
  <si>
    <t>Tasa de impuestos: 15%</t>
  </si>
  <si>
    <t>Periodo evaluación: 5 años</t>
  </si>
  <si>
    <t xml:space="preserve">Política de evaluación de inversiones </t>
  </si>
  <si>
    <t>Capital de trabajo: 2 meses de costos directos de fabricación.</t>
  </si>
  <si>
    <t>Venta hoy terrenos viña: $255*28000</t>
  </si>
  <si>
    <t xml:space="preserve">Valor libro terrenos viña: 250.000 </t>
  </si>
  <si>
    <t>Valor libro obras físicas: $ 28.500 con una vida útil contable restante de dos años.</t>
  </si>
  <si>
    <t>·       Utilidad actual: $1.000.000</t>
  </si>
  <si>
    <t xml:space="preserve">·       Producción actual: 300 toneladas, vendidas en </t>
  </si>
  <si>
    <t>o   Santiago: 60%</t>
  </si>
  <si>
    <t>o   Viña del Mar: 20%</t>
  </si>
  <si>
    <t>o   Norte: 10%</t>
  </si>
  <si>
    <t>o   Sur: 10%</t>
  </si>
  <si>
    <t>·       Traslado de personal: $12.000*12</t>
  </si>
  <si>
    <t>·       Materia prima: 70% importada (llega al puerto, distante de 75 km de Casablanca, 25 de Viña)</t>
  </si>
  <si>
    <t>·       Costo de arriendo bodega SI cambio: 1800*12/2</t>
  </si>
  <si>
    <t>·       Costo de arriendo bodega NO cambio: 1800*12</t>
  </si>
  <si>
    <t>·       Costo operarios Casablanca: 500*12*8</t>
  </si>
  <si>
    <t>·       Costo operarios Viña: 500*12*20</t>
  </si>
  <si>
    <t>Situación de quedarse en Viña</t>
  </si>
  <si>
    <t>Situación: irse a casablanca</t>
  </si>
  <si>
    <t>depreciación</t>
  </si>
  <si>
    <t>utilidad antes impuestos</t>
  </si>
  <si>
    <t>impuestos</t>
  </si>
  <si>
    <t>utilidad después impuestos</t>
  </si>
  <si>
    <t>Compra obras físicas</t>
  </si>
  <si>
    <t>Compra terreno</t>
  </si>
  <si>
    <t>tasa mensual de descuento:</t>
  </si>
  <si>
    <t>inversión terreno</t>
  </si>
  <si>
    <t>inversión obras físicas</t>
  </si>
  <si>
    <t>remodelación</t>
  </si>
  <si>
    <t>·       Indemnización: (100000+1000)*12</t>
  </si>
  <si>
    <t>indemnización</t>
  </si>
  <si>
    <t>Valor venta terreno Viña</t>
  </si>
  <si>
    <t>Valor libro terreno viña</t>
  </si>
  <si>
    <t>-Valor libro terreno viña</t>
  </si>
  <si>
    <t>-Valor libro obras fisicas viña</t>
  </si>
  <si>
    <t>Valor libro obras fisicas viña</t>
  </si>
  <si>
    <t>Costo de mano de obra</t>
  </si>
  <si>
    <t>Costo de arriendo bodega</t>
  </si>
  <si>
    <t>Costos de descarga</t>
  </si>
  <si>
    <t>Costo de transporte</t>
  </si>
  <si>
    <t>Flujo</t>
  </si>
  <si>
    <t>VAC (valor actual de costos)</t>
  </si>
  <si>
    <t>Valor a depreciar</t>
  </si>
  <si>
    <t>depreciación obras físicas remodeladas</t>
  </si>
  <si>
    <t>amortización traslado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</si>
</sst>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42" formatCode="_ &quot;$&quot;* #,##0_ ;_ &quot;$&quot;* \-#,##0_ ;_ &quot;$&quot;* &quot;-&quot;_ ;_ @_ "/>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2" fontId="1" fillId="0" borderId="0" applyFont="0" applyFill="0" applyBorder="0" applyAlignment="0" applyProtection="0"/>
  </cellStyleXfs>
  <cellXfs count="15">
    <xf numFmtId="0" fontId="0" fillId="0" borderId="0" xfId="0"/>
    <xf numFmtId="8" fontId="0" fillId="0" borderId="0" xfId="0" applyNumberFormat="1"/>
    <xf numFmtId="9" fontId="0" fillId="0" borderId="0" xfId="0" applyNumberFormat="1"/>
    <xf numFmtId="0" fontId="0" fillId="2" borderId="0" xfId="0" applyFill="1"/>
    <xf numFmtId="0" fontId="2" fillId="0" borderId="0" xfId="0" applyFont="1"/>
    <xf numFmtId="42" fontId="0" fillId="0" borderId="0" xfId="1" applyFont="1"/>
    <xf numFmtId="49" fontId="0" fillId="0" borderId="0" xfId="0" applyNumberFormat="1" applyAlignment="1">
      <alignment horizontal="right"/>
    </xf>
    <xf numFmtId="0" fontId="0" fillId="0" borderId="0" xfId="0" applyAlignment="1">
      <alignment horizontal="center"/>
    </xf>
    <xf numFmtId="0" fontId="2" fillId="0" borderId="0" xfId="0"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6" fontId="0" fillId="0" borderId="0" xfId="0" applyNumberFormat="1" applyAlignment="1">
      <alignment horizontal="center"/>
    </xf>
    <xf numFmtId="42" fontId="0" fillId="0" borderId="0" xfId="1" applyFont="1" applyAlignment="1">
      <alignment horizontal="center"/>
    </xf>
    <xf numFmtId="49" fontId="2" fillId="0" borderId="0" xfId="0" applyNumberFormat="1" applyFont="1" applyAlignment="1">
      <alignment horizontal="right"/>
    </xf>
    <xf numFmtId="42" fontId="2" fillId="0" borderId="0" xfId="1" applyFont="1" applyAlignment="1">
      <alignment horizontal="center"/>
    </xf>
  </cellXfs>
  <cellStyles count="2">
    <cellStyle name="Moneda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22</xdr:row>
      <xdr:rowOff>95250</xdr:rowOff>
    </xdr:from>
    <xdr:to>
      <xdr:col>8</xdr:col>
      <xdr:colOff>19050</xdr:colOff>
      <xdr:row>22</xdr:row>
      <xdr:rowOff>101600</xdr:rowOff>
    </xdr:to>
    <xdr:cxnSp macro="">
      <xdr:nvCxnSpPr>
        <xdr:cNvPr id="3" name="Conector recto de flecha 2">
          <a:extLst>
            <a:ext uri="{FF2B5EF4-FFF2-40B4-BE49-F238E27FC236}">
              <a16:creationId xmlns:a16="http://schemas.microsoft.com/office/drawing/2014/main" id="{3D237A73-261A-4D11-BFCA-5E9496EB0065}"/>
            </a:ext>
          </a:extLst>
        </xdr:cNvPr>
        <xdr:cNvCxnSpPr/>
      </xdr:nvCxnSpPr>
      <xdr:spPr>
        <a:xfrm flipV="1">
          <a:off x="1524000" y="4146550"/>
          <a:ext cx="46291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23</xdr:row>
      <xdr:rowOff>82550</xdr:rowOff>
    </xdr:from>
    <xdr:to>
      <xdr:col>8</xdr:col>
      <xdr:colOff>19050</xdr:colOff>
      <xdr:row>23</xdr:row>
      <xdr:rowOff>88900</xdr:rowOff>
    </xdr:to>
    <xdr:cxnSp macro="">
      <xdr:nvCxnSpPr>
        <xdr:cNvPr id="4" name="Conector recto de flecha 3">
          <a:extLst>
            <a:ext uri="{FF2B5EF4-FFF2-40B4-BE49-F238E27FC236}">
              <a16:creationId xmlns:a16="http://schemas.microsoft.com/office/drawing/2014/main" id="{28EDD505-AC7F-4DAD-B2E0-2E4C34C9A2DB}"/>
            </a:ext>
          </a:extLst>
        </xdr:cNvPr>
        <xdr:cNvCxnSpPr/>
      </xdr:nvCxnSpPr>
      <xdr:spPr>
        <a:xfrm flipV="1">
          <a:off x="1524000" y="4318000"/>
          <a:ext cx="46291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48581-8D00-4D72-83DC-1A04F6765BBF}">
  <dimension ref="A1:S57"/>
  <sheetViews>
    <sheetView tabSelected="1" topLeftCell="D20" workbookViewId="0">
      <selection activeCell="G22" sqref="G22"/>
    </sheetView>
  </sheetViews>
  <sheetFormatPr baseColWidth="10" defaultRowHeight="14.5" x14ac:dyDescent="0.35"/>
  <cols>
    <col min="4" max="4" width="11.453125" bestFit="1" customWidth="1"/>
    <col min="12" max="12" width="28.26953125" style="6" customWidth="1"/>
    <col min="13" max="13" width="11.26953125" style="7" bestFit="1" customWidth="1"/>
    <col min="14" max="18" width="10.90625" style="7"/>
  </cols>
  <sheetData>
    <row r="1" spans="1:19" x14ac:dyDescent="0.35">
      <c r="A1" t="s">
        <v>38</v>
      </c>
    </row>
    <row r="2" spans="1:19" x14ac:dyDescent="0.35">
      <c r="A2" t="s">
        <v>39</v>
      </c>
    </row>
    <row r="3" spans="1:19" x14ac:dyDescent="0.35">
      <c r="A3" t="s">
        <v>40</v>
      </c>
      <c r="L3" s="6" t="s">
        <v>50</v>
      </c>
    </row>
    <row r="4" spans="1:19" x14ac:dyDescent="0.35">
      <c r="A4" t="s">
        <v>41</v>
      </c>
      <c r="D4" s="1"/>
    </row>
    <row r="5" spans="1:19" x14ac:dyDescent="0.35">
      <c r="A5" t="s">
        <v>42</v>
      </c>
      <c r="M5" s="8" t="s">
        <v>0</v>
      </c>
      <c r="N5" s="8" t="s">
        <v>1</v>
      </c>
      <c r="O5" s="8" t="s">
        <v>2</v>
      </c>
      <c r="P5" s="8" t="s">
        <v>3</v>
      </c>
      <c r="Q5" s="8" t="s">
        <v>4</v>
      </c>
      <c r="R5" s="8" t="s">
        <v>5</v>
      </c>
      <c r="S5" s="7"/>
    </row>
    <row r="6" spans="1:19" x14ac:dyDescent="0.35">
      <c r="A6" t="s">
        <v>43</v>
      </c>
      <c r="L6" s="6" t="s">
        <v>72</v>
      </c>
      <c r="N6" s="9">
        <f>+-C8*70%*5*25</f>
        <v>-27562.5</v>
      </c>
      <c r="O6" s="9">
        <f>+-D8*70%*5*25</f>
        <v>-28940.625</v>
      </c>
      <c r="P6" s="9">
        <f>+-E8*70%*5*25</f>
        <v>-30387.656249999996</v>
      </c>
      <c r="Q6" s="9">
        <f>+-F8*70%*5*25</f>
        <v>-31907.0390625</v>
      </c>
      <c r="R6" s="9">
        <f>+-G8*70%*5*25</f>
        <v>-33502.391015624999</v>
      </c>
      <c r="S6" s="7"/>
    </row>
    <row r="7" spans="1:19" x14ac:dyDescent="0.35">
      <c r="B7" t="s">
        <v>0</v>
      </c>
      <c r="C7" t="s">
        <v>1</v>
      </c>
      <c r="D7" t="s">
        <v>2</v>
      </c>
      <c r="E7" t="s">
        <v>3</v>
      </c>
      <c r="F7" t="s">
        <v>4</v>
      </c>
      <c r="G7" t="s">
        <v>5</v>
      </c>
      <c r="L7" s="6" t="s">
        <v>71</v>
      </c>
      <c r="N7" s="9">
        <f>-10*C8</f>
        <v>-3150</v>
      </c>
      <c r="O7" s="9">
        <f>-10*D8</f>
        <v>-3307.5</v>
      </c>
      <c r="P7" s="9">
        <f>-10*E8</f>
        <v>-3472.875</v>
      </c>
      <c r="Q7" s="9">
        <f>-10*F8</f>
        <v>-3646.5187500000002</v>
      </c>
      <c r="R7" s="9">
        <f>-10*G8</f>
        <v>-3828.8446875000004</v>
      </c>
      <c r="S7" s="7"/>
    </row>
    <row r="8" spans="1:19" x14ac:dyDescent="0.35">
      <c r="B8">
        <v>300</v>
      </c>
      <c r="C8">
        <f>300*1.05</f>
        <v>315</v>
      </c>
      <c r="D8">
        <f>300*1.05^2</f>
        <v>330.75</v>
      </c>
      <c r="E8">
        <f>300*1.05^3</f>
        <v>347.28750000000002</v>
      </c>
      <c r="F8">
        <f>300*1.05^4</f>
        <v>364.65187500000002</v>
      </c>
      <c r="G8">
        <f>300*1.05^5</f>
        <v>382.88446875000005</v>
      </c>
      <c r="L8" s="6" t="s">
        <v>70</v>
      </c>
      <c r="N8" s="9">
        <f>-1800*12</f>
        <v>-21600</v>
      </c>
      <c r="O8" s="9">
        <f t="shared" ref="O8:R8" si="0">-1800*12</f>
        <v>-21600</v>
      </c>
      <c r="P8" s="9">
        <f t="shared" si="0"/>
        <v>-21600</v>
      </c>
      <c r="Q8" s="9">
        <f t="shared" si="0"/>
        <v>-21600</v>
      </c>
      <c r="R8" s="9">
        <f t="shared" si="0"/>
        <v>-21600</v>
      </c>
      <c r="S8" s="7"/>
    </row>
    <row r="9" spans="1:19" x14ac:dyDescent="0.35">
      <c r="A9" t="s">
        <v>6</v>
      </c>
      <c r="B9" s="2">
        <v>0.6</v>
      </c>
      <c r="C9" s="2">
        <v>0.57999999999999996</v>
      </c>
      <c r="D9" s="2">
        <v>0.56000000000000005</v>
      </c>
      <c r="E9" s="2">
        <v>0.54</v>
      </c>
      <c r="F9" s="2">
        <v>0.52</v>
      </c>
      <c r="G9" s="2">
        <v>0.5</v>
      </c>
      <c r="L9" s="6" t="s">
        <v>69</v>
      </c>
      <c r="N9" s="9">
        <f>-20*500*12</f>
        <v>-120000</v>
      </c>
      <c r="O9" s="9">
        <f t="shared" ref="O9:R9" si="1">-20*500*12</f>
        <v>-120000</v>
      </c>
      <c r="P9" s="9">
        <f t="shared" si="1"/>
        <v>-120000</v>
      </c>
      <c r="Q9" s="9">
        <f t="shared" si="1"/>
        <v>-120000</v>
      </c>
      <c r="R9" s="9">
        <f t="shared" si="1"/>
        <v>-120000</v>
      </c>
      <c r="S9" s="7"/>
    </row>
    <row r="10" spans="1:19" x14ac:dyDescent="0.35">
      <c r="A10" t="s">
        <v>7</v>
      </c>
      <c r="B10" s="2">
        <v>0.2</v>
      </c>
      <c r="C10" s="2">
        <v>0.2</v>
      </c>
      <c r="D10" s="2">
        <v>0.2</v>
      </c>
      <c r="E10" s="2">
        <v>0.2</v>
      </c>
      <c r="F10" s="2">
        <v>0.2</v>
      </c>
      <c r="G10" s="2">
        <v>0.2</v>
      </c>
      <c r="L10" s="6" t="s">
        <v>52</v>
      </c>
      <c r="N10" s="7">
        <f>-28500/2</f>
        <v>-14250</v>
      </c>
      <c r="O10" s="7">
        <f>-28500/2</f>
        <v>-14250</v>
      </c>
      <c r="S10" s="7"/>
    </row>
    <row r="11" spans="1:19" x14ac:dyDescent="0.35">
      <c r="A11" t="s">
        <v>8</v>
      </c>
      <c r="B11" s="2">
        <v>0.1</v>
      </c>
      <c r="C11" s="2">
        <v>0.1</v>
      </c>
      <c r="D11" s="2">
        <v>0.1</v>
      </c>
      <c r="E11" s="2">
        <v>0.1</v>
      </c>
      <c r="F11" s="2">
        <v>0.1</v>
      </c>
      <c r="G11" s="2">
        <v>0.1</v>
      </c>
      <c r="L11" s="6" t="s">
        <v>53</v>
      </c>
      <c r="N11" s="10">
        <f>SUM(N6:N10)</f>
        <v>-186562.5</v>
      </c>
      <c r="O11" s="10">
        <f t="shared" ref="O11:R11" si="2">SUM(O6:O10)</f>
        <v>-188098.125</v>
      </c>
      <c r="P11" s="10">
        <f t="shared" si="2"/>
        <v>-175460.53125</v>
      </c>
      <c r="Q11" s="10">
        <f t="shared" si="2"/>
        <v>-177153.55781249999</v>
      </c>
      <c r="R11" s="10">
        <f t="shared" si="2"/>
        <v>-178931.23570312501</v>
      </c>
      <c r="S11" s="7"/>
    </row>
    <row r="12" spans="1:19" x14ac:dyDescent="0.35">
      <c r="A12" t="s">
        <v>9</v>
      </c>
      <c r="B12" s="2">
        <v>0.1</v>
      </c>
      <c r="C12" s="2">
        <v>0.12</v>
      </c>
      <c r="D12" s="2">
        <v>0.14000000000000001</v>
      </c>
      <c r="E12" s="2">
        <v>0.16</v>
      </c>
      <c r="F12" s="2">
        <v>0.18</v>
      </c>
      <c r="G12" s="2">
        <v>0.2</v>
      </c>
      <c r="L12" s="6" t="s">
        <v>54</v>
      </c>
      <c r="N12" s="9">
        <f>-0.15*N11</f>
        <v>27984.375</v>
      </c>
      <c r="O12" s="9">
        <f t="shared" ref="O12:R12" si="3">-0.15*O11</f>
        <v>28214.71875</v>
      </c>
      <c r="P12" s="9">
        <f t="shared" si="3"/>
        <v>26319.079687499998</v>
      </c>
      <c r="Q12" s="9">
        <f t="shared" si="3"/>
        <v>26573.033671874997</v>
      </c>
      <c r="R12" s="9">
        <f t="shared" si="3"/>
        <v>26839.685355468751</v>
      </c>
      <c r="S12" s="7"/>
    </row>
    <row r="13" spans="1:19" x14ac:dyDescent="0.35">
      <c r="L13" s="6" t="s">
        <v>55</v>
      </c>
      <c r="N13" s="10">
        <f>+N12+N11</f>
        <v>-158578.125</v>
      </c>
      <c r="O13" s="10">
        <f t="shared" ref="O13:R13" si="4">+O12+O11</f>
        <v>-159883.40625</v>
      </c>
      <c r="P13" s="10">
        <f t="shared" si="4"/>
        <v>-149141.45156250001</v>
      </c>
      <c r="Q13" s="10">
        <f t="shared" si="4"/>
        <v>-150580.524140625</v>
      </c>
      <c r="R13" s="10">
        <f t="shared" si="4"/>
        <v>-152091.55034765627</v>
      </c>
      <c r="S13" s="7"/>
    </row>
    <row r="14" spans="1:19" x14ac:dyDescent="0.35">
      <c r="A14" t="s">
        <v>10</v>
      </c>
      <c r="L14" s="6" t="s">
        <v>52</v>
      </c>
      <c r="N14" s="7">
        <f>-N10</f>
        <v>14250</v>
      </c>
      <c r="O14" s="7">
        <f t="shared" ref="O14:R14" si="5">-O10</f>
        <v>14250</v>
      </c>
      <c r="P14" s="7">
        <f t="shared" si="5"/>
        <v>0</v>
      </c>
      <c r="Q14" s="7">
        <f t="shared" si="5"/>
        <v>0</v>
      </c>
      <c r="R14" s="7">
        <f t="shared" si="5"/>
        <v>0</v>
      </c>
      <c r="S14" s="7"/>
    </row>
    <row r="15" spans="1:19" x14ac:dyDescent="0.35">
      <c r="A15" t="s">
        <v>11</v>
      </c>
      <c r="B15" t="s">
        <v>12</v>
      </c>
      <c r="C15" t="s">
        <v>13</v>
      </c>
      <c r="D15" t="s">
        <v>14</v>
      </c>
      <c r="L15" s="6" t="s">
        <v>73</v>
      </c>
      <c r="N15" s="10">
        <f>+N13+N14</f>
        <v>-144328.125</v>
      </c>
      <c r="O15" s="10">
        <f t="shared" ref="O15:R15" si="6">+O13+O14</f>
        <v>-145633.40625</v>
      </c>
      <c r="P15" s="10">
        <f t="shared" si="6"/>
        <v>-149141.45156250001</v>
      </c>
      <c r="Q15" s="10">
        <f t="shared" si="6"/>
        <v>-150580.524140625</v>
      </c>
      <c r="R15" s="10">
        <f t="shared" si="6"/>
        <v>-152091.55034765627</v>
      </c>
    </row>
    <row r="16" spans="1:19" x14ac:dyDescent="0.35">
      <c r="A16" t="s">
        <v>15</v>
      </c>
      <c r="B16">
        <v>200000</v>
      </c>
      <c r="C16" t="s">
        <v>16</v>
      </c>
      <c r="L16" s="6" t="s">
        <v>74</v>
      </c>
      <c r="N16" s="11">
        <f>+NPV(17.6%,N15:R15)</f>
        <v>-466082.67742820387</v>
      </c>
    </row>
    <row r="17" spans="1:18" x14ac:dyDescent="0.35">
      <c r="A17" t="s">
        <v>17</v>
      </c>
      <c r="B17">
        <v>600000</v>
      </c>
      <c r="C17" t="s">
        <v>16</v>
      </c>
      <c r="D17" t="s">
        <v>18</v>
      </c>
    </row>
    <row r="18" spans="1:18" x14ac:dyDescent="0.35">
      <c r="A18" t="s">
        <v>19</v>
      </c>
      <c r="B18">
        <v>350000</v>
      </c>
      <c r="C18" t="s">
        <v>20</v>
      </c>
      <c r="D18" t="s">
        <v>18</v>
      </c>
      <c r="L18" s="6" t="s">
        <v>51</v>
      </c>
    </row>
    <row r="19" spans="1:18" x14ac:dyDescent="0.35">
      <c r="A19" t="s">
        <v>21</v>
      </c>
      <c r="B19">
        <v>200000</v>
      </c>
      <c r="C19" t="s">
        <v>22</v>
      </c>
      <c r="D19" t="s">
        <v>23</v>
      </c>
    </row>
    <row r="21" spans="1:18" x14ac:dyDescent="0.35">
      <c r="M21" s="7" t="s">
        <v>0</v>
      </c>
      <c r="N21" s="7" t="s">
        <v>1</v>
      </c>
      <c r="O21" s="7" t="s">
        <v>2</v>
      </c>
      <c r="P21" s="7" t="s">
        <v>3</v>
      </c>
      <c r="Q21" s="7" t="s">
        <v>4</v>
      </c>
      <c r="R21" s="7" t="s">
        <v>5</v>
      </c>
    </row>
    <row r="22" spans="1:18" x14ac:dyDescent="0.35">
      <c r="B22">
        <v>-7</v>
      </c>
      <c r="C22">
        <v>-6</v>
      </c>
      <c r="D22">
        <v>-5</v>
      </c>
      <c r="E22">
        <v>-4</v>
      </c>
      <c r="F22">
        <v>-3</v>
      </c>
      <c r="G22">
        <v>-2</v>
      </c>
      <c r="H22">
        <v>-1</v>
      </c>
      <c r="I22">
        <v>0</v>
      </c>
      <c r="J22" t="s">
        <v>75</v>
      </c>
      <c r="L22" s="6" t="s">
        <v>72</v>
      </c>
      <c r="N22" s="7">
        <f>-5*75*C8</f>
        <v>-118125</v>
      </c>
      <c r="O22" s="7">
        <f>-5*75*D8</f>
        <v>-124031.25</v>
      </c>
      <c r="P22" s="7">
        <f>-5*75*E8</f>
        <v>-130232.81250000001</v>
      </c>
      <c r="Q22" s="7">
        <f>-5*75*F8</f>
        <v>-136744.453125</v>
      </c>
      <c r="R22" s="7">
        <f>-5*75*G8</f>
        <v>-143581.67578125003</v>
      </c>
    </row>
    <row r="23" spans="1:18" x14ac:dyDescent="0.35">
      <c r="A23" t="s">
        <v>57</v>
      </c>
      <c r="B23" s="3">
        <v>200000</v>
      </c>
      <c r="I23">
        <f>+B23*1.176^(1/12*7)</f>
        <v>219837.07315223079</v>
      </c>
      <c r="L23" s="6" t="s">
        <v>71</v>
      </c>
      <c r="N23" s="7">
        <f>-10*(C8-(C11*C12)*C8)</f>
        <v>-3112.2000000000003</v>
      </c>
      <c r="O23" s="7">
        <f>-10*(D8-(D11*D12)*D8)</f>
        <v>-3261.1950000000002</v>
      </c>
      <c r="P23" s="7">
        <f>-10*(E8-(E11*E12)*E8)</f>
        <v>-3417.3090000000002</v>
      </c>
      <c r="Q23" s="7">
        <f>-10*(F8-(F11*F12)*F8)</f>
        <v>-3580.8814125000004</v>
      </c>
      <c r="R23" s="7">
        <f>-10*(G8-(G11*G12)*G8)</f>
        <v>-3752.2677937500002</v>
      </c>
    </row>
    <row r="24" spans="1:18" x14ac:dyDescent="0.35">
      <c r="A24" t="s">
        <v>56</v>
      </c>
      <c r="B24" s="3">
        <v>600000</v>
      </c>
      <c r="I24">
        <f>+B24*1.176^(1/12*7)</f>
        <v>659511.21945669234</v>
      </c>
      <c r="J24">
        <f>+B24+SUM(B25:G25)</f>
        <v>950000</v>
      </c>
      <c r="L24" s="6" t="s">
        <v>70</v>
      </c>
      <c r="N24" s="7">
        <f>0.5*N8</f>
        <v>-10800</v>
      </c>
      <c r="O24" s="7">
        <f t="shared" ref="O24:R24" si="7">0.5*O8</f>
        <v>-10800</v>
      </c>
      <c r="P24" s="7">
        <f t="shared" si="7"/>
        <v>-10800</v>
      </c>
      <c r="Q24" s="7">
        <f t="shared" si="7"/>
        <v>-10800</v>
      </c>
      <c r="R24" s="7">
        <f t="shared" si="7"/>
        <v>-10800</v>
      </c>
    </row>
    <row r="25" spans="1:18" x14ac:dyDescent="0.35">
      <c r="A25" t="s">
        <v>24</v>
      </c>
      <c r="B25" s="3">
        <f>350000/6</f>
        <v>58333.333333333336</v>
      </c>
      <c r="C25" s="3">
        <f>+B25</f>
        <v>58333.333333333336</v>
      </c>
      <c r="D25" s="3">
        <f t="shared" ref="D25:G25" si="8">+C25</f>
        <v>58333.333333333336</v>
      </c>
      <c r="E25" s="3">
        <f t="shared" si="8"/>
        <v>58333.333333333336</v>
      </c>
      <c r="F25" s="3">
        <f t="shared" si="8"/>
        <v>58333.333333333336</v>
      </c>
      <c r="G25" s="3">
        <f t="shared" si="8"/>
        <v>58333.333333333336</v>
      </c>
      <c r="I25" s="3">
        <f>+NPV(G29,B25:G25)*(1+G29)^7</f>
        <v>367044.8234377217</v>
      </c>
      <c r="L25" s="6" t="s">
        <v>69</v>
      </c>
      <c r="N25" s="7">
        <f>-500*12*8</f>
        <v>-48000</v>
      </c>
      <c r="O25" s="7">
        <f t="shared" ref="O25:R25" si="9">-500*12*8</f>
        <v>-48000</v>
      </c>
      <c r="P25" s="7">
        <f t="shared" si="9"/>
        <v>-48000</v>
      </c>
      <c r="Q25" s="7">
        <f t="shared" si="9"/>
        <v>-48000</v>
      </c>
      <c r="R25" s="7">
        <f t="shared" si="9"/>
        <v>-48000</v>
      </c>
    </row>
    <row r="26" spans="1:18" x14ac:dyDescent="0.35">
      <c r="A26" t="s">
        <v>21</v>
      </c>
      <c r="H26" s="3">
        <v>200000</v>
      </c>
      <c r="I26">
        <v>200000</v>
      </c>
      <c r="L26" s="6" t="s">
        <v>77</v>
      </c>
      <c r="N26" s="7">
        <f>-I26/5</f>
        <v>-40000</v>
      </c>
      <c r="O26" s="7">
        <f>+N26</f>
        <v>-40000</v>
      </c>
      <c r="P26" s="7">
        <f t="shared" ref="P26:R26" si="10">+O26</f>
        <v>-40000</v>
      </c>
      <c r="Q26" s="7">
        <f t="shared" si="10"/>
        <v>-40000</v>
      </c>
      <c r="R26" s="7">
        <f t="shared" si="10"/>
        <v>-40000</v>
      </c>
    </row>
    <row r="27" spans="1:18" x14ac:dyDescent="0.35">
      <c r="I27">
        <f>SUM(I23:I26)</f>
        <v>1446393.1160466447</v>
      </c>
      <c r="L27" s="6" t="s">
        <v>76</v>
      </c>
      <c r="N27" s="9">
        <f>-950000/30</f>
        <v>-31666.666666666668</v>
      </c>
      <c r="O27" s="9">
        <f>+N27</f>
        <v>-31666.666666666668</v>
      </c>
      <c r="P27" s="9">
        <f t="shared" ref="P27:R27" si="11">+O27</f>
        <v>-31666.666666666668</v>
      </c>
      <c r="Q27" s="9">
        <f t="shared" si="11"/>
        <v>-31666.666666666668</v>
      </c>
      <c r="R27" s="9">
        <f t="shared" si="11"/>
        <v>-31666.666666666668</v>
      </c>
    </row>
    <row r="28" spans="1:18" x14ac:dyDescent="0.35">
      <c r="A28" s="4" t="s">
        <v>25</v>
      </c>
      <c r="L28" s="6" t="s">
        <v>64</v>
      </c>
      <c r="M28" s="12">
        <f>28000*255</f>
        <v>7140000</v>
      </c>
    </row>
    <row r="29" spans="1:18" x14ac:dyDescent="0.35">
      <c r="A29" t="s">
        <v>62</v>
      </c>
      <c r="E29" t="s">
        <v>58</v>
      </c>
      <c r="G29">
        <f>1.176^(1/12)-1</f>
        <v>1.3601575235204111E-2</v>
      </c>
      <c r="L29" s="6" t="s">
        <v>66</v>
      </c>
      <c r="M29" s="12">
        <v>-250000</v>
      </c>
    </row>
    <row r="30" spans="1:18" x14ac:dyDescent="0.35">
      <c r="L30" s="6" t="s">
        <v>67</v>
      </c>
      <c r="M30" s="12">
        <v>-28500</v>
      </c>
    </row>
    <row r="31" spans="1:18" x14ac:dyDescent="0.35">
      <c r="A31" t="s">
        <v>26</v>
      </c>
      <c r="L31" s="6" t="s">
        <v>63</v>
      </c>
      <c r="M31" s="12">
        <f>-(100000+1000)*12</f>
        <v>-1212000</v>
      </c>
    </row>
    <row r="32" spans="1:18" x14ac:dyDescent="0.35">
      <c r="A32" t="s">
        <v>44</v>
      </c>
      <c r="L32" s="13" t="s">
        <v>53</v>
      </c>
      <c r="M32" s="14">
        <f>SUM(M28:M31)</f>
        <v>5649500</v>
      </c>
      <c r="N32" s="10">
        <f>SUM(N22:N31)</f>
        <v>-251703.86666666667</v>
      </c>
      <c r="O32" s="10">
        <f t="shared" ref="O32:R32" si="12">SUM(O22:O31)</f>
        <v>-257759.11166666666</v>
      </c>
      <c r="P32" s="10">
        <f t="shared" si="12"/>
        <v>-264116.78816666669</v>
      </c>
      <c r="Q32" s="10">
        <f t="shared" si="12"/>
        <v>-270792.00120416668</v>
      </c>
      <c r="R32" s="10">
        <f t="shared" si="12"/>
        <v>-277800.61024166673</v>
      </c>
    </row>
    <row r="33" spans="1:18" x14ac:dyDescent="0.35">
      <c r="A33" t="s">
        <v>45</v>
      </c>
      <c r="L33" s="6" t="s">
        <v>54</v>
      </c>
      <c r="M33" s="12">
        <f>-0.15*M32</f>
        <v>-847425</v>
      </c>
      <c r="N33" s="9">
        <f t="shared" ref="N33:R33" si="13">-0.15*N32</f>
        <v>37755.58</v>
      </c>
      <c r="O33" s="9">
        <f t="shared" si="13"/>
        <v>38663.866750000001</v>
      </c>
      <c r="P33" s="9">
        <f t="shared" si="13"/>
        <v>39617.518225</v>
      </c>
      <c r="Q33" s="9">
        <f t="shared" si="13"/>
        <v>40618.800180625003</v>
      </c>
      <c r="R33" s="9">
        <f t="shared" si="13"/>
        <v>41670.091536250009</v>
      </c>
    </row>
    <row r="34" spans="1:18" x14ac:dyDescent="0.35">
      <c r="A34" t="s">
        <v>46</v>
      </c>
      <c r="L34" s="13" t="s">
        <v>55</v>
      </c>
      <c r="M34" s="14">
        <f>+M32+M33</f>
        <v>4802075</v>
      </c>
      <c r="N34" s="10">
        <f t="shared" ref="N34:R34" si="14">+N32+N33</f>
        <v>-213948.28666666668</v>
      </c>
      <c r="O34" s="10">
        <f t="shared" si="14"/>
        <v>-219095.24491666665</v>
      </c>
      <c r="P34" s="10">
        <f t="shared" si="14"/>
        <v>-224499.26994166669</v>
      </c>
      <c r="Q34" s="10">
        <f t="shared" si="14"/>
        <v>-230173.20102354168</v>
      </c>
      <c r="R34" s="10">
        <f t="shared" si="14"/>
        <v>-236130.5187054167</v>
      </c>
    </row>
    <row r="35" spans="1:18" x14ac:dyDescent="0.35">
      <c r="A35" t="s">
        <v>47</v>
      </c>
      <c r="L35" s="6" t="s">
        <v>52</v>
      </c>
      <c r="M35" s="12"/>
      <c r="N35" s="7">
        <f>-N26</f>
        <v>40000</v>
      </c>
      <c r="O35" s="7">
        <f t="shared" ref="O35:R35" si="15">-O26</f>
        <v>40000</v>
      </c>
      <c r="P35" s="7">
        <f t="shared" si="15"/>
        <v>40000</v>
      </c>
      <c r="Q35" s="7">
        <f t="shared" si="15"/>
        <v>40000</v>
      </c>
      <c r="R35" s="7">
        <f t="shared" si="15"/>
        <v>40000</v>
      </c>
    </row>
    <row r="36" spans="1:18" x14ac:dyDescent="0.35">
      <c r="A36" t="s">
        <v>48</v>
      </c>
      <c r="L36" s="6" t="s">
        <v>77</v>
      </c>
      <c r="M36" s="12"/>
      <c r="N36" s="9">
        <f>-N27</f>
        <v>31666.666666666668</v>
      </c>
      <c r="O36" s="9">
        <f t="shared" ref="O36:R36" si="16">-O27</f>
        <v>31666.666666666668</v>
      </c>
      <c r="P36" s="9">
        <f t="shared" si="16"/>
        <v>31666.666666666668</v>
      </c>
      <c r="Q36" s="9">
        <f t="shared" si="16"/>
        <v>31666.666666666668</v>
      </c>
      <c r="R36" s="9">
        <f t="shared" si="16"/>
        <v>31666.666666666668</v>
      </c>
    </row>
    <row r="37" spans="1:18" x14ac:dyDescent="0.35">
      <c r="A37" t="s">
        <v>49</v>
      </c>
      <c r="L37" s="6" t="s">
        <v>59</v>
      </c>
      <c r="M37" s="12">
        <f>-I23</f>
        <v>-219837.07315223079</v>
      </c>
    </row>
    <row r="38" spans="1:18" x14ac:dyDescent="0.35">
      <c r="L38" s="6" t="s">
        <v>60</v>
      </c>
      <c r="M38" s="12">
        <f>-I24</f>
        <v>-659511.21945669234</v>
      </c>
    </row>
    <row r="39" spans="1:18" x14ac:dyDescent="0.35">
      <c r="L39" s="6" t="s">
        <v>61</v>
      </c>
      <c r="M39" s="12">
        <f>-I25</f>
        <v>-367044.8234377217</v>
      </c>
    </row>
    <row r="40" spans="1:18" x14ac:dyDescent="0.35">
      <c r="L40" s="6" t="s">
        <v>65</v>
      </c>
      <c r="M40" s="12">
        <f>-M29</f>
        <v>250000</v>
      </c>
    </row>
    <row r="41" spans="1:18" x14ac:dyDescent="0.35">
      <c r="L41" s="6" t="s">
        <v>68</v>
      </c>
      <c r="M41" s="9">
        <f>-M30</f>
        <v>28500</v>
      </c>
    </row>
    <row r="42" spans="1:18" x14ac:dyDescent="0.35">
      <c r="L42" s="6" t="s">
        <v>73</v>
      </c>
      <c r="M42" s="12">
        <f>SUM(M34:M41)</f>
        <v>3834181.8839533553</v>
      </c>
      <c r="N42" s="7">
        <f>SUM(N34:N41)</f>
        <v>-142281.62000000002</v>
      </c>
      <c r="O42" s="7">
        <f t="shared" ref="O42:R42" si="17">SUM(O34:O41)</f>
        <v>-147428.57824999999</v>
      </c>
      <c r="P42" s="7">
        <f t="shared" si="17"/>
        <v>-152832.60327500003</v>
      </c>
      <c r="Q42" s="7">
        <f t="shared" si="17"/>
        <v>-158506.53435687502</v>
      </c>
      <c r="R42" s="7">
        <f t="shared" si="17"/>
        <v>-164463.85203875005</v>
      </c>
    </row>
    <row r="44" spans="1:18" x14ac:dyDescent="0.35">
      <c r="L44" s="6" t="s">
        <v>74</v>
      </c>
      <c r="N44" s="11">
        <f>+NPV(17.6%,N42:R42)+M42</f>
        <v>3356627.1290794029</v>
      </c>
      <c r="P44" s="11">
        <f>+N44-N16</f>
        <v>3822709.806507607</v>
      </c>
    </row>
    <row r="46" spans="1:18" x14ac:dyDescent="0.35">
      <c r="A46" t="s">
        <v>27</v>
      </c>
    </row>
    <row r="47" spans="1:18" x14ac:dyDescent="0.35">
      <c r="A47" t="s">
        <v>28</v>
      </c>
    </row>
    <row r="48" spans="1:18" x14ac:dyDescent="0.35">
      <c r="A48" t="s">
        <v>29</v>
      </c>
    </row>
    <row r="49" spans="1:4" x14ac:dyDescent="0.35">
      <c r="A49" t="s">
        <v>30</v>
      </c>
    </row>
    <row r="50" spans="1:4" x14ac:dyDescent="0.35">
      <c r="A50" t="s">
        <v>31</v>
      </c>
    </row>
    <row r="51" spans="1:4" x14ac:dyDescent="0.35">
      <c r="A51" t="s">
        <v>32</v>
      </c>
    </row>
    <row r="52" spans="1:4" x14ac:dyDescent="0.35">
      <c r="A52" t="s">
        <v>33</v>
      </c>
    </row>
    <row r="53" spans="1:4" x14ac:dyDescent="0.35">
      <c r="A53" t="s">
        <v>34</v>
      </c>
    </row>
    <row r="55" spans="1:4" x14ac:dyDescent="0.35">
      <c r="A55" t="s">
        <v>35</v>
      </c>
      <c r="D55" s="5">
        <f>255*28000</f>
        <v>7140000</v>
      </c>
    </row>
    <row r="56" spans="1:4" x14ac:dyDescent="0.35">
      <c r="A56" t="s">
        <v>36</v>
      </c>
      <c r="D56" s="5">
        <v>250000</v>
      </c>
    </row>
    <row r="57" spans="1:4" x14ac:dyDescent="0.35">
      <c r="A57" t="s">
        <v>37</v>
      </c>
    </row>
  </sheetData>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K</dc:creator>
  <cp:lastModifiedBy>A K</cp:lastModifiedBy>
  <dcterms:created xsi:type="dcterms:W3CDTF">2021-07-13T21:27:09Z</dcterms:created>
  <dcterms:modified xsi:type="dcterms:W3CDTF">2021-07-14T00:44:30Z</dcterms:modified>
</cp:coreProperties>
</file>