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<sst xmlns="http://schemas.openxmlformats.org/spreadsheetml/2006/main" count="73" uniqueCount="65">
  <si>
    <t>Cost</t>
  </si>
  <si>
    <t>Length</t>
  </si>
  <si>
    <t>Width</t>
  </si>
  <si>
    <t>Conversion L</t>
  </si>
  <si>
    <t>Conversion W</t>
  </si>
  <si>
    <t>Area</t>
  </si>
  <si>
    <t>Amount needed</t>
  </si>
  <si>
    <t>Board Length</t>
  </si>
  <si>
    <t>Board Width</t>
  </si>
  <si>
    <t>Board Area</t>
  </si>
  <si>
    <t>W/ Excess</t>
  </si>
  <si>
    <t>Trucks</t>
  </si>
  <si>
    <t>Total Trucks</t>
  </si>
  <si>
    <t>Foam Board</t>
  </si>
  <si>
    <t>Total board area</t>
  </si>
  <si>
    <t>Rounded</t>
  </si>
  <si>
    <t>Weight</t>
  </si>
  <si>
    <t>Area M</t>
  </si>
  <si>
    <t>T-weight</t>
  </si>
  <si>
    <t>Weight Oz</t>
  </si>
  <si>
    <t>Gallons</t>
  </si>
  <si>
    <t>Part 1</t>
  </si>
  <si>
    <t>Part 2</t>
  </si>
  <si>
    <t>Rounded 1</t>
  </si>
  <si>
    <t>Rounded 2</t>
  </si>
  <si>
    <t>Average Cost</t>
  </si>
  <si>
    <t>Total Cost</t>
  </si>
  <si>
    <t>Wheels</t>
  </si>
  <si>
    <t>Total Wheels</t>
  </si>
  <si>
    <t>Area used</t>
  </si>
  <si>
    <t># of boards</t>
  </si>
  <si>
    <t>Board Length (inches)</t>
  </si>
  <si>
    <t>Board Width (inches)</t>
  </si>
  <si>
    <t>Total Cost Completes</t>
  </si>
  <si>
    <t>Total Cost Decks</t>
  </si>
  <si>
    <t>Using CF 1300 6K 370GSM 2x2 Twill from fabric development at $14/yard</t>
  </si>
  <si>
    <t>Best places to save money on cost would be bulk costs of fabric, resin, trucks, and wheels. Trucks and Wheels are going to be probably the biggest increase in cost</t>
  </si>
  <si>
    <t>100% Reinvestment</t>
  </si>
  <si>
    <t>Using 3:1 Epoxy Resin from US Composites - Medium</t>
  </si>
  <si>
    <t>TOTAL INCOME</t>
  </si>
  <si>
    <t>TOTAL COST</t>
  </si>
  <si>
    <t>TOTAL PROFIT</t>
  </si>
  <si>
    <t>% Profit</t>
  </si>
  <si>
    <t># OF DECKS POSSIBLE</t>
  </si>
  <si>
    <t># OF COMPLETES POSSIBLE</t>
  </si>
  <si>
    <t>POTENTIAL FUTURES DECKS ONLY</t>
  </si>
  <si>
    <t>POTENTIAL FUTURES COMPLETES ONLY</t>
  </si>
  <si>
    <t>Cost Per Complete</t>
  </si>
  <si>
    <t>Selling Price</t>
  </si>
  <si>
    <t>Profit</t>
  </si>
  <si>
    <t># Sold</t>
  </si>
  <si>
    <t>Per Person</t>
  </si>
  <si>
    <t>%Invesment</t>
  </si>
  <si>
    <t>Profit Per Person</t>
  </si>
  <si>
    <t>Investment Amount</t>
  </si>
  <si>
    <t># OF POSSIBLE DECKS</t>
  </si>
  <si>
    <t># OF POSSIBLE COMPLETES</t>
  </si>
  <si>
    <t>Potential Futures Decks Only</t>
  </si>
  <si>
    <t>Potential Futures Completes Only</t>
  </si>
  <si>
    <t>% POTENTIAL GROWTH</t>
  </si>
  <si>
    <t>POTENTIAL PERSONAL PROFITS</t>
  </si>
  <si>
    <t>Cost Per Deck</t>
  </si>
  <si>
    <t xml:space="preserve">ZERO GROWTH    </t>
  </si>
  <si>
    <t>20% Reinvestment</t>
  </si>
  <si>
    <t>40% Reinvestment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</si>
</sst>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rgb="FF000000"/>
      <name val="Calibri"/>
    </font>
    <font>
      <sz val="11.0"/>
      <color rgb="FFFFFFFF"/>
      <name val="Calibri"/>
    </font>
    <font>
      <sz val="9.0"/>
      <color rgb="FF000000"/>
      <name val="Calibri"/>
    </font>
    <font>
      <sz val="24.0"/>
      <color rgb="FF000000"/>
      <name val="Calibri"/>
    </font>
    <font/>
    <font>
      <sz val="11.0"/>
      <name val="Calibri"/>
    </font>
    <font>
      <sz val="16.0"/>
      <color rgb="FFFFFFFF"/>
      <name val="Calibri"/>
    </font>
    <font>
      <sz val="16.0"/>
      <name val="Calibri"/>
    </font>
    <font>
      <sz val="18.0"/>
      <color rgb="FF000000"/>
      <name val="Calibri"/>
    </font>
    <font>
      <sz val="14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57070"/>
        <bgColor rgb="FF757070"/>
      </patternFill>
    </fill>
    <fill>
      <patternFill patternType="solid">
        <fgColor rgb="FF7030A0"/>
        <bgColor rgb="FF7030A0"/>
      </patternFill>
    </fill>
    <fill>
      <patternFill patternType="solid">
        <fgColor rgb="FF548135"/>
        <bgColor rgb="FF548135"/>
      </patternFill>
    </fill>
    <fill>
      <patternFill patternType="solid">
        <fgColor rgb="FF92D050"/>
        <bgColor rgb="FF92D050"/>
      </patternFill>
    </fill>
  </fills>
  <borders count="17">
    <border>
      <left/>
      <right/>
      <top/>
      <bottom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000000"/>
      </right>
      <top style="thin">
        <color rgb="FFFFFFFF"/>
      </top>
      <bottom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164" xfId="0" applyBorder="1" applyFont="1" applyNumberFormat="1"/>
    <xf borderId="5" fillId="2" fontId="1" numFmtId="0" xfId="0" applyBorder="1" applyFont="1"/>
    <xf borderId="5" fillId="2" fontId="1" numFmtId="164" xfId="0" applyBorder="1" applyFont="1" applyNumberFormat="1"/>
    <xf borderId="6" fillId="2" fontId="1" numFmtId="164" xfId="0" applyBorder="1" applyFont="1" applyNumberFormat="1"/>
    <xf borderId="6" fillId="2" fontId="1" numFmtId="0" xfId="0" applyBorder="1" applyFont="1"/>
    <xf borderId="4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8" fillId="2" fontId="1" numFmtId="164" xfId="0" applyBorder="1" applyFont="1" applyNumberFormat="1"/>
    <xf borderId="9" fillId="2" fontId="1" numFmtId="164" xfId="0" applyBorder="1" applyFont="1" applyNumberFormat="1"/>
    <xf borderId="10" fillId="2" fontId="1" numFmtId="0" xfId="0" applyBorder="1" applyFont="1"/>
    <xf borderId="11" fillId="2" fontId="1" numFmtId="0" xfId="0" applyBorder="1" applyFont="1"/>
    <xf borderId="12" fillId="3" fontId="1" numFmtId="0" xfId="0" applyAlignment="1" applyBorder="1" applyFill="1" applyFont="1">
      <alignment horizontal="center" vertical="center"/>
    </xf>
    <xf borderId="12" fillId="4" fontId="0" numFmtId="0" xfId="0" applyAlignment="1" applyBorder="1" applyFill="1" applyFont="1">
      <alignment horizontal="center" vertical="center" wrapText="1"/>
    </xf>
    <xf borderId="12" fillId="5" fontId="1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0" numFmtId="0" xfId="0" applyFont="1"/>
    <xf borderId="13" fillId="6" fontId="3" numFmtId="0" xfId="0" applyAlignment="1" applyBorder="1" applyFill="1" applyFont="1">
      <alignment horizontal="center" vertical="center"/>
    </xf>
    <xf borderId="0" fillId="0" fontId="4" numFmtId="0" xfId="0" applyBorder="1" applyFont="1"/>
    <xf borderId="0" fillId="0" fontId="4" numFmtId="0" xfId="0" applyBorder="1" applyFont="1"/>
    <xf borderId="14" fillId="3" fontId="1" numFmtId="0" xfId="0" applyAlignment="1" applyBorder="1" applyFont="1">
      <alignment horizontal="center" vertical="center"/>
    </xf>
    <xf borderId="14" fillId="4" fontId="0" numFmtId="164" xfId="0" applyAlignment="1" applyBorder="1" applyFont="1" applyNumberFormat="1">
      <alignment horizontal="center" vertical="center"/>
    </xf>
    <xf borderId="14" fillId="5" fontId="1" numFmtId="0" xfId="0" applyAlignment="1" applyBorder="1" applyFont="1">
      <alignment horizontal="center" vertical="center" wrapText="1"/>
    </xf>
    <xf borderId="15" fillId="7" fontId="1" numFmtId="164" xfId="0" applyAlignment="1" applyBorder="1" applyFill="1" applyFont="1" applyNumberFormat="1">
      <alignment horizontal="center" vertical="center"/>
    </xf>
    <xf borderId="15" fillId="4" fontId="1" numFmtId="164" xfId="0" applyAlignment="1" applyBorder="1" applyFont="1" applyNumberFormat="1">
      <alignment horizontal="center" vertical="center"/>
    </xf>
    <xf borderId="15" fillId="8" fontId="1" numFmtId="0" xfId="0" applyAlignment="1" applyBorder="1" applyFill="1" applyFont="1">
      <alignment horizontal="center" vertical="center"/>
    </xf>
    <xf borderId="15" fillId="6" fontId="5" numFmtId="0" xfId="0" applyAlignment="1" applyBorder="1" applyFont="1">
      <alignment horizontal="center" vertical="center" wrapText="1"/>
    </xf>
    <xf borderId="12" fillId="9" fontId="1" numFmtId="0" xfId="0" applyAlignment="1" applyBorder="1" applyFill="1" applyFont="1">
      <alignment horizontal="center" vertical="center"/>
    </xf>
    <xf borderId="15" fillId="7" fontId="6" numFmtId="164" xfId="0" applyAlignment="1" applyBorder="1" applyFont="1" applyNumberFormat="1">
      <alignment horizontal="center" vertical="center"/>
    </xf>
    <xf borderId="15" fillId="4" fontId="6" numFmtId="164" xfId="0" applyAlignment="1" applyBorder="1" applyFont="1" applyNumberFormat="1">
      <alignment horizontal="center" vertical="center"/>
    </xf>
    <xf borderId="15" fillId="8" fontId="6" numFmtId="164" xfId="0" applyAlignment="1" applyBorder="1" applyFont="1" applyNumberFormat="1">
      <alignment horizontal="center" vertical="center"/>
    </xf>
    <xf borderId="15" fillId="8" fontId="6" numFmtId="10" xfId="0" applyAlignment="1" applyBorder="1" applyFont="1" applyNumberFormat="1">
      <alignment horizontal="center" vertical="center"/>
    </xf>
    <xf borderId="15" fillId="6" fontId="7" numFmtId="0" xfId="0" applyAlignment="1" applyBorder="1" applyFont="1">
      <alignment horizontal="center" vertical="center"/>
    </xf>
    <xf borderId="15" fillId="6" fontId="7" numFmtId="164" xfId="0" applyAlignment="1" applyBorder="1" applyFont="1" applyNumberFormat="1">
      <alignment horizontal="center" vertical="center"/>
    </xf>
    <xf borderId="12" fillId="9" fontId="1" numFmtId="164" xfId="0" applyAlignment="1" applyBorder="1" applyFont="1" applyNumberFormat="1">
      <alignment horizontal="center" vertical="center"/>
    </xf>
    <xf borderId="15" fillId="10" fontId="0" numFmtId="0" xfId="0" applyAlignment="1" applyBorder="1" applyFill="1" applyFont="1">
      <alignment horizontal="center" vertical="center" wrapText="1"/>
    </xf>
    <xf borderId="16" fillId="10" fontId="0" numFmtId="0" xfId="0" applyAlignment="1" applyBorder="1" applyFont="1">
      <alignment horizontal="center" vertical="center" wrapText="1"/>
    </xf>
    <xf borderId="12" fillId="11" fontId="1" numFmtId="0" xfId="0" applyAlignment="1" applyBorder="1" applyFill="1" applyFont="1">
      <alignment horizontal="center" vertical="center"/>
    </xf>
    <xf borderId="0" fillId="0" fontId="0" numFmtId="164" xfId="0" applyFont="1" applyNumberFormat="1"/>
    <xf borderId="15" fillId="12" fontId="8" numFmtId="164" xfId="0" applyAlignment="1" applyBorder="1" applyFill="1" applyFont="1" applyNumberFormat="1">
      <alignment horizontal="center" vertical="center"/>
    </xf>
    <xf borderId="15" fillId="12" fontId="8" numFmtId="0" xfId="0" applyAlignment="1" applyBorder="1" applyFont="1">
      <alignment horizontal="center" vertical="center" wrapText="1"/>
    </xf>
    <xf borderId="15" fillId="12" fontId="8" numFmtId="10" xfId="0" applyAlignment="1" applyBorder="1" applyFont="1" applyNumberFormat="1">
      <alignment horizontal="center" vertical="center"/>
    </xf>
    <xf borderId="12" fillId="11" fontId="1" numFmtId="164" xfId="0" applyAlignment="1" applyBorder="1" applyFont="1" applyNumberFormat="1">
      <alignment horizontal="center" vertical="center"/>
    </xf>
    <xf borderId="15" fillId="10" fontId="9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63"/>
    <col customWidth="1" min="2" max="2" width="22.25"/>
    <col customWidth="1" min="3" max="3" width="18.38"/>
    <col customWidth="1" min="4" max="4" width="16.38"/>
    <col customWidth="1" min="5" max="5" width="15.13"/>
    <col customWidth="1" min="6" max="6" width="16.88"/>
    <col customWidth="1" min="7" max="7" width="18.63"/>
    <col customWidth="1" min="8" max="8" width="17.63"/>
    <col customWidth="1" min="9" max="9" width="19.13"/>
    <col customWidth="1" min="10" max="10" width="20.88"/>
    <col customWidth="1" min="11" max="11" width="16.38"/>
    <col customWidth="1" min="12" max="12" width="17.0"/>
    <col customWidth="1" min="13" max="13" width="22.5"/>
    <col customWidth="1" min="14" max="14" width="17.25"/>
    <col customWidth="1" min="15" max="15" width="17.5"/>
    <col customWidth="1" min="16" max="16" width="18.63"/>
    <col customWidth="1" min="17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</row>
    <row r="2">
      <c r="A2" s="4">
        <v>14.0</v>
      </c>
      <c r="B2" s="5">
        <f>D2/3</f>
        <v>254.1646333</v>
      </c>
      <c r="C2" s="5">
        <v>1.3889</v>
      </c>
      <c r="D2" s="5">
        <f>(F2/E2)</f>
        <v>762.4939</v>
      </c>
      <c r="E2" s="5">
        <f>C2*3</f>
        <v>4.1667</v>
      </c>
      <c r="F2" s="5">
        <f>G2*A7</f>
        <v>3177.083333</v>
      </c>
      <c r="G2" s="5">
        <f>K2*10</f>
        <v>31.77083333</v>
      </c>
      <c r="H2" s="5">
        <f t="shared" ref="H2:I2" si="1">B7</f>
        <v>33</v>
      </c>
      <c r="I2" s="5">
        <f t="shared" si="1"/>
        <v>9.5</v>
      </c>
      <c r="J2" s="5">
        <f>H3*I3</f>
        <v>2.177083333</v>
      </c>
      <c r="K2" s="5">
        <f>J2+1</f>
        <v>3.177083333</v>
      </c>
      <c r="L2" s="6">
        <v>50.0</v>
      </c>
      <c r="M2" s="5">
        <f>L2*A7</f>
        <v>5000</v>
      </c>
      <c r="N2" s="7">
        <v>11.68</v>
      </c>
      <c r="O2" s="5">
        <f>J2*A7</f>
        <v>217.7083333</v>
      </c>
      <c r="P2" s="8">
        <f>ROUNDUP(O5,0)</f>
        <v>7</v>
      </c>
    </row>
    <row r="3">
      <c r="A3" s="9"/>
      <c r="B3" s="5"/>
      <c r="C3" s="5"/>
      <c r="D3" s="5"/>
      <c r="E3" s="5"/>
      <c r="F3" s="5"/>
      <c r="G3" s="5"/>
      <c r="H3" s="5">
        <f t="shared" ref="H3:I3" si="2">H2/12</f>
        <v>2.75</v>
      </c>
      <c r="I3" s="5">
        <f t="shared" si="2"/>
        <v>0.7916666667</v>
      </c>
      <c r="J3" s="5"/>
      <c r="K3" s="5"/>
      <c r="L3" s="5"/>
      <c r="M3" s="5"/>
      <c r="N3" s="8"/>
      <c r="O3" s="5"/>
      <c r="P3" s="8"/>
    </row>
    <row r="4">
      <c r="A4" s="9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  <c r="N4" s="8" t="s">
        <v>5</v>
      </c>
      <c r="O4" s="5" t="s">
        <v>29</v>
      </c>
      <c r="P4" s="8" t="s">
        <v>0</v>
      </c>
    </row>
    <row r="5">
      <c r="A5" s="10">
        <v>370.0</v>
      </c>
      <c r="B5" s="11">
        <f>F2*0.3048</f>
        <v>968.375</v>
      </c>
      <c r="C5" s="11">
        <f>A5*B5</f>
        <v>358298.75</v>
      </c>
      <c r="D5" s="11">
        <f>C5*0.035274</f>
        <v>12638.63011</v>
      </c>
      <c r="E5" s="11">
        <f>D5/128</f>
        <v>98.73929771</v>
      </c>
      <c r="F5" s="11">
        <f>G5*3</f>
        <v>74.05447329</v>
      </c>
      <c r="G5" s="11">
        <f>E5/4</f>
        <v>24.68482443</v>
      </c>
      <c r="H5" s="11">
        <f t="shared" ref="H5:I5" si="3">ROUNDUP(F5,1)</f>
        <v>74.1</v>
      </c>
      <c r="I5" s="11">
        <f t="shared" si="3"/>
        <v>24.7</v>
      </c>
      <c r="J5" s="12">
        <v>41.65147717779297</v>
      </c>
      <c r="K5" s="12">
        <f>J5*E5</f>
        <v>4112.637605</v>
      </c>
      <c r="L5" s="13">
        <v>50.0</v>
      </c>
      <c r="M5" s="13">
        <f>L5*A7</f>
        <v>5000</v>
      </c>
      <c r="N5" s="14">
        <f>4*8</f>
        <v>32</v>
      </c>
      <c r="O5" s="11">
        <f>O2/N5</f>
        <v>6.803385417</v>
      </c>
      <c r="P5" s="15">
        <f>P2*N2</f>
        <v>81.76</v>
      </c>
    </row>
    <row r="6" ht="96.0" customHeight="1">
      <c r="A6" s="16" t="s">
        <v>30</v>
      </c>
      <c r="B6" s="16" t="s">
        <v>31</v>
      </c>
      <c r="C6" s="16" t="s">
        <v>32</v>
      </c>
      <c r="D6" s="17" t="s">
        <v>33</v>
      </c>
      <c r="E6" s="17" t="s">
        <v>34</v>
      </c>
      <c r="F6" s="18" t="s">
        <v>35</v>
      </c>
      <c r="G6" s="19" t="s">
        <v>36</v>
      </c>
      <c r="H6" s="20"/>
      <c r="I6" s="20"/>
      <c r="J6" s="20"/>
      <c r="K6" s="20"/>
      <c r="L6" s="21" t="s">
        <v>37</v>
      </c>
      <c r="M6" s="22"/>
      <c r="N6" s="22"/>
      <c r="O6" s="23"/>
      <c r="P6" s="20"/>
    </row>
    <row r="7" ht="78.75" customHeight="1">
      <c r="A7" s="24">
        <v>100.0</v>
      </c>
      <c r="B7" s="24">
        <v>33.0</v>
      </c>
      <c r="C7" s="24">
        <v>9.5</v>
      </c>
      <c r="D7" s="25">
        <f>(A2*B2)+K5+M2+M5+P5</f>
        <v>17752.70247</v>
      </c>
      <c r="E7" s="25">
        <f>(A2*B2)+K5+P5</f>
        <v>7752.702472</v>
      </c>
      <c r="F7" s="26" t="s">
        <v>38</v>
      </c>
      <c r="G7" s="20"/>
      <c r="H7" s="27" t="s">
        <v>39</v>
      </c>
      <c r="I7" s="28" t="s">
        <v>40</v>
      </c>
      <c r="J7" s="29" t="s">
        <v>41</v>
      </c>
      <c r="K7" s="29" t="s">
        <v>42</v>
      </c>
      <c r="L7" s="30" t="s">
        <v>43</v>
      </c>
      <c r="M7" s="30" t="s">
        <v>44</v>
      </c>
      <c r="N7" s="30" t="s">
        <v>45</v>
      </c>
      <c r="O7" s="30" t="s">
        <v>46</v>
      </c>
      <c r="P7" s="20"/>
    </row>
    <row r="8" ht="136.5" customHeight="1">
      <c r="A8" s="31" t="s">
        <v>47</v>
      </c>
      <c r="B8" s="31" t="s">
        <v>48</v>
      </c>
      <c r="C8" s="31" t="s">
        <v>49</v>
      </c>
      <c r="D8" s="31" t="s">
        <v>50</v>
      </c>
      <c r="E8" s="31" t="s">
        <v>41</v>
      </c>
      <c r="F8" s="31" t="s">
        <v>51</v>
      </c>
      <c r="G8" s="20"/>
      <c r="H8" s="32">
        <f>(D9*B9)+(D11*B11)</f>
        <v>27500</v>
      </c>
      <c r="I8" s="33">
        <f>(D9*A9)+(D11*A11)</f>
        <v>10252.70247</v>
      </c>
      <c r="J8" s="34">
        <f>E9+E11</f>
        <v>17247.29753</v>
      </c>
      <c r="K8" s="35">
        <f>(J8/H8)</f>
        <v>0.6271744556</v>
      </c>
      <c r="L8" s="36">
        <f>ROUNDDOWN(H8/A11,0)</f>
        <v>354</v>
      </c>
      <c r="M8" s="36">
        <f>ROUNDDOWN(H8/A9,0)</f>
        <v>154</v>
      </c>
      <c r="N8" s="37">
        <f>L8*B11</f>
        <v>88500</v>
      </c>
      <c r="O8" s="37">
        <f>M8*B9</f>
        <v>53900</v>
      </c>
      <c r="P8" s="20"/>
    </row>
    <row r="9" ht="91.5" customHeight="1">
      <c r="A9" s="38">
        <f>D7/A7</f>
        <v>177.5270247</v>
      </c>
      <c r="B9" s="38">
        <v>350.0</v>
      </c>
      <c r="C9" s="38">
        <f>B9-A9</f>
        <v>172.4729753</v>
      </c>
      <c r="D9" s="31">
        <v>25.0</v>
      </c>
      <c r="E9" s="38">
        <f>C9*D9</f>
        <v>4311.824382</v>
      </c>
      <c r="F9" s="38">
        <f>E9/3</f>
        <v>1437.274794</v>
      </c>
      <c r="G9" s="20"/>
      <c r="H9" s="39" t="s">
        <v>52</v>
      </c>
      <c r="I9" s="39" t="s">
        <v>53</v>
      </c>
      <c r="J9" s="39" t="s">
        <v>54</v>
      </c>
      <c r="K9" s="39" t="s">
        <v>55</v>
      </c>
      <c r="L9" s="39" t="s">
        <v>56</v>
      </c>
      <c r="M9" s="40" t="s">
        <v>57</v>
      </c>
      <c r="N9" s="40" t="s">
        <v>58</v>
      </c>
      <c r="O9" s="40" t="s">
        <v>59</v>
      </c>
      <c r="P9" s="40" t="s">
        <v>60</v>
      </c>
    </row>
    <row r="10" ht="95.25" customHeight="1">
      <c r="A10" s="41" t="s">
        <v>61</v>
      </c>
      <c r="B10" s="41" t="s">
        <v>48</v>
      </c>
      <c r="C10" s="41" t="s">
        <v>49</v>
      </c>
      <c r="D10" s="41" t="s">
        <v>50</v>
      </c>
      <c r="E10" s="41" t="s">
        <v>41</v>
      </c>
      <c r="F10" s="41" t="s">
        <v>51</v>
      </c>
      <c r="G10" s="42"/>
      <c r="H10" s="39" t="s">
        <v>62</v>
      </c>
      <c r="I10" s="43">
        <f>F9+F11</f>
        <v>5749.099176</v>
      </c>
      <c r="J10" s="43">
        <f>I8</f>
        <v>10252.70247</v>
      </c>
      <c r="K10" s="44">
        <f>ROUNDDOWN(J10/A11,0)</f>
        <v>132</v>
      </c>
      <c r="L10" s="44">
        <f>ROUNDDOWN(J10/A9,0)</f>
        <v>57</v>
      </c>
      <c r="M10" s="43">
        <f>K10*B11</f>
        <v>33000</v>
      </c>
      <c r="N10" s="43">
        <f>L10*B9</f>
        <v>19950</v>
      </c>
      <c r="O10" s="45">
        <v>0.0</v>
      </c>
      <c r="P10" s="43">
        <f>I10</f>
        <v>5749.099176</v>
      </c>
    </row>
    <row r="11" ht="157.5" customHeight="1">
      <c r="A11" s="46">
        <f>E7/A7</f>
        <v>77.52702472</v>
      </c>
      <c r="B11" s="46">
        <v>250.0</v>
      </c>
      <c r="C11" s="46">
        <f>B11-A11</f>
        <v>172.4729753</v>
      </c>
      <c r="D11" s="41">
        <v>75.0</v>
      </c>
      <c r="E11" s="46">
        <f>C11*D11</f>
        <v>12935.47315</v>
      </c>
      <c r="F11" s="46">
        <f>E11/3</f>
        <v>4311.824382</v>
      </c>
      <c r="G11" s="20"/>
      <c r="H11" s="47" t="s">
        <v>63</v>
      </c>
      <c r="I11" s="43">
        <f>(J8*0.8)/3</f>
        <v>4599.279341</v>
      </c>
      <c r="J11" s="43">
        <f>(I8+(J8*0.2))</f>
        <v>13702.16198</v>
      </c>
      <c r="K11" s="44">
        <f>ROUNDDOWN(J11/A11,0)</f>
        <v>176</v>
      </c>
      <c r="L11" s="44">
        <f>ROUNDDOWN(J11/A9,0)</f>
        <v>77</v>
      </c>
      <c r="M11" s="43">
        <f>K11*B11</f>
        <v>44000</v>
      </c>
      <c r="N11" s="43">
        <f>L11*B9</f>
        <v>26950</v>
      </c>
      <c r="O11" s="45">
        <f>(((AVERAGE(M11,N11))-H8)/H8)</f>
        <v>0.29</v>
      </c>
      <c r="P11" s="43">
        <f t="shared" ref="P11:P12" si="4">(((AVERAGE(M11,N11))-J11)*0.8)/3</f>
        <v>5806.090139</v>
      </c>
    </row>
    <row r="12" ht="120.0" customHeight="1">
      <c r="A12" s="20"/>
      <c r="B12" s="20"/>
      <c r="C12" s="20"/>
      <c r="D12" s="20"/>
      <c r="E12" s="20"/>
      <c r="F12" s="20"/>
      <c r="G12" s="20"/>
      <c r="H12" s="47" t="s">
        <v>64</v>
      </c>
      <c r="I12" s="43">
        <f>(J8*0.6)/3</f>
        <v>3449.459506</v>
      </c>
      <c r="J12" s="43">
        <f>I8+(J8*0.4)</f>
        <v>17151.62148</v>
      </c>
      <c r="K12" s="44">
        <f>ROUNDDOWN(J12/A11,0)</f>
        <v>221</v>
      </c>
      <c r="L12" s="44">
        <f>ROUNDDOWN(J12/A9,0)</f>
        <v>96</v>
      </c>
      <c r="M12" s="43">
        <f>K12*B11</f>
        <v>55250</v>
      </c>
      <c r="N12" s="43">
        <f>L12*B9</f>
        <v>33600</v>
      </c>
      <c r="O12" s="45">
        <f>(((AVERAGE(M12,N12))-H8)/H8)</f>
        <v>0.6154545455</v>
      </c>
      <c r="P12" s="43">
        <f t="shared" si="4"/>
        <v>7272.900938</v>
      </c>
    </row>
    <row r="13" ht="130.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1">
    <mergeCell ref="L6:O6"/>
  </mergeCells>
  <drawing r:id="rId1"/>
</worksheet>
</file>