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/>
  <xr:revisionPtr revIDLastSave="0" documentId="13_ncr:1_{068C908B-7837-4880-A353-F8FCCF2324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1" l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G26" i="1"/>
  <c r="H26" i="1"/>
  <c r="I26" i="1"/>
  <c r="J26" i="1"/>
  <c r="F26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G18" i="1"/>
  <c r="H18" i="1"/>
  <c r="I18" i="1"/>
  <c r="J18" i="1"/>
  <c r="F18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G10" i="1"/>
  <c r="H10" i="1"/>
  <c r="I10" i="1"/>
  <c r="J10" i="1"/>
  <c r="F10" i="1"/>
  <c r="F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G2" i="1"/>
  <c r="H2" i="1"/>
  <c r="I2" i="1"/>
  <c r="J2" i="1"/>
  <c r="M28" i="1"/>
  <c r="M20" i="1"/>
  <c r="M12" i="1"/>
  <c r="M5" i="1"/>
  <c r="M2" i="1"/>
  <c r="M18" i="1"/>
  <c r="E11" i="1"/>
  <c r="O26" i="1" l="1"/>
  <c r="P26" i="1"/>
  <c r="Q26" i="1"/>
  <c r="N26" i="1"/>
  <c r="M26" i="1"/>
  <c r="E33" i="1"/>
  <c r="E32" i="1"/>
  <c r="E31" i="1"/>
  <c r="E30" i="1"/>
  <c r="E29" i="1"/>
  <c r="E28" i="1"/>
  <c r="E27" i="1"/>
  <c r="E26" i="1"/>
  <c r="D33" i="1"/>
  <c r="D32" i="1"/>
  <c r="D31" i="1"/>
  <c r="D30" i="1"/>
  <c r="D29" i="1"/>
  <c r="D28" i="1"/>
  <c r="D27" i="1"/>
  <c r="D26" i="1"/>
  <c r="C33" i="1"/>
  <c r="C32" i="1"/>
  <c r="C31" i="1"/>
  <c r="C30" i="1"/>
  <c r="C29" i="1"/>
  <c r="C28" i="1"/>
  <c r="C27" i="1"/>
  <c r="C26" i="1"/>
  <c r="B33" i="1"/>
  <c r="B32" i="1"/>
  <c r="B31" i="1"/>
  <c r="B30" i="1"/>
  <c r="B29" i="1"/>
  <c r="B28" i="1"/>
  <c r="B27" i="1"/>
  <c r="B26" i="1"/>
  <c r="A33" i="1"/>
  <c r="A32" i="1"/>
  <c r="A31" i="1"/>
  <c r="A30" i="1"/>
  <c r="A29" i="1"/>
  <c r="A28" i="1"/>
  <c r="A27" i="1"/>
  <c r="A26" i="1"/>
  <c r="E25" i="1"/>
  <c r="E24" i="1"/>
  <c r="E23" i="1"/>
  <c r="E22" i="1"/>
  <c r="E21" i="1"/>
  <c r="E20" i="1"/>
  <c r="E19" i="1"/>
  <c r="E18" i="1"/>
  <c r="Q18" i="1" s="1"/>
  <c r="D25" i="1"/>
  <c r="D24" i="1"/>
  <c r="D23" i="1"/>
  <c r="D22" i="1"/>
  <c r="D21" i="1"/>
  <c r="D20" i="1"/>
  <c r="D19" i="1"/>
  <c r="D18" i="1"/>
  <c r="P18" i="1" s="1"/>
  <c r="C25" i="1"/>
  <c r="C24" i="1"/>
  <c r="C23" i="1"/>
  <c r="C22" i="1"/>
  <c r="C21" i="1"/>
  <c r="C20" i="1"/>
  <c r="C19" i="1"/>
  <c r="C18" i="1"/>
  <c r="O18" i="1" s="1"/>
  <c r="B25" i="1"/>
  <c r="B24" i="1"/>
  <c r="B23" i="1"/>
  <c r="B22" i="1"/>
  <c r="B21" i="1"/>
  <c r="B20" i="1"/>
  <c r="B19" i="1"/>
  <c r="B18" i="1"/>
  <c r="A25" i="1"/>
  <c r="A24" i="1"/>
  <c r="A23" i="1"/>
  <c r="A22" i="1"/>
  <c r="A21" i="1"/>
  <c r="A20" i="1"/>
  <c r="A19" i="1"/>
  <c r="A18" i="1"/>
  <c r="E17" i="1"/>
  <c r="E16" i="1"/>
  <c r="E15" i="1"/>
  <c r="E14" i="1"/>
  <c r="E13" i="1"/>
  <c r="E12" i="1"/>
  <c r="E10" i="1"/>
  <c r="D17" i="1"/>
  <c r="D16" i="1"/>
  <c r="D15" i="1"/>
  <c r="D14" i="1"/>
  <c r="D13" i="1"/>
  <c r="D12" i="1"/>
  <c r="D11" i="1"/>
  <c r="D10" i="1"/>
  <c r="P11" i="1" s="1"/>
  <c r="C17" i="1"/>
  <c r="C16" i="1"/>
  <c r="C15" i="1"/>
  <c r="C14" i="1"/>
  <c r="C13" i="1"/>
  <c r="C12" i="1"/>
  <c r="C11" i="1"/>
  <c r="C10" i="1"/>
  <c r="B17" i="1"/>
  <c r="B16" i="1"/>
  <c r="B15" i="1"/>
  <c r="B14" i="1"/>
  <c r="B13" i="1"/>
  <c r="B12" i="1"/>
  <c r="B11" i="1"/>
  <c r="B10" i="1"/>
  <c r="A17" i="1"/>
  <c r="A16" i="1"/>
  <c r="A15" i="1"/>
  <c r="A14" i="1"/>
  <c r="A13" i="1"/>
  <c r="A12" i="1"/>
  <c r="A11" i="1"/>
  <c r="A10" i="1"/>
  <c r="E9" i="1"/>
  <c r="E8" i="1"/>
  <c r="E7" i="1"/>
  <c r="E6" i="1"/>
  <c r="E5" i="1"/>
  <c r="E4" i="1"/>
  <c r="E3" i="1"/>
  <c r="E2" i="1"/>
  <c r="D9" i="1"/>
  <c r="D8" i="1"/>
  <c r="D7" i="1"/>
  <c r="D6" i="1"/>
  <c r="S10" i="1" l="1"/>
  <c r="U13" i="1"/>
  <c r="R22" i="1"/>
  <c r="V22" i="1"/>
  <c r="S30" i="1"/>
  <c r="U30" i="1"/>
  <c r="S31" i="1"/>
  <c r="U31" i="1"/>
  <c r="S26" i="1"/>
  <c r="S28" i="1"/>
  <c r="U15" i="1"/>
  <c r="R17" i="1"/>
  <c r="R20" i="1"/>
  <c r="T21" i="1"/>
  <c r="V24" i="1"/>
  <c r="R25" i="1"/>
  <c r="R18" i="1"/>
  <c r="U27" i="1"/>
  <c r="V21" i="1"/>
  <c r="O11" i="1"/>
  <c r="S16" i="1"/>
  <c r="N11" i="1"/>
  <c r="R26" i="1"/>
  <c r="M10" i="1"/>
  <c r="M11" i="1"/>
  <c r="R10" i="1"/>
  <c r="R27" i="1"/>
  <c r="T27" i="1"/>
  <c r="V27" i="1"/>
  <c r="Q19" i="1"/>
  <c r="U11" i="1"/>
  <c r="S33" i="1"/>
  <c r="S17" i="1"/>
  <c r="T10" i="1"/>
  <c r="T11" i="1"/>
  <c r="V12" i="1"/>
  <c r="S20" i="1"/>
  <c r="U20" i="1"/>
  <c r="R28" i="1"/>
  <c r="T28" i="1"/>
  <c r="V28" i="1"/>
  <c r="R23" i="1"/>
  <c r="P19" i="1"/>
  <c r="U10" i="1"/>
  <c r="S11" i="1"/>
  <c r="S29" i="1"/>
  <c r="T24" i="1"/>
  <c r="U33" i="1"/>
  <c r="S18" i="1"/>
  <c r="S19" i="1"/>
  <c r="R12" i="1"/>
  <c r="T12" i="1"/>
  <c r="U21" i="1"/>
  <c r="R29" i="1"/>
  <c r="T29" i="1"/>
  <c r="V29" i="1"/>
  <c r="O19" i="1"/>
  <c r="V18" i="1"/>
  <c r="U28" i="1"/>
  <c r="S15" i="1"/>
  <c r="U16" i="1"/>
  <c r="M19" i="1"/>
  <c r="R13" i="1"/>
  <c r="T13" i="1"/>
  <c r="S22" i="1"/>
  <c r="U22" i="1"/>
  <c r="R30" i="1"/>
  <c r="T30" i="1"/>
  <c r="V30" i="1"/>
  <c r="N19" i="1"/>
  <c r="U26" i="1"/>
  <c r="T20" i="1"/>
  <c r="U12" i="1"/>
  <c r="R24" i="1"/>
  <c r="V25" i="1"/>
  <c r="V26" i="1"/>
  <c r="R11" i="1"/>
  <c r="R14" i="1"/>
  <c r="T14" i="1"/>
  <c r="V15" i="1"/>
  <c r="S23" i="1"/>
  <c r="U23" i="1"/>
  <c r="R31" i="1"/>
  <c r="T31" i="1"/>
  <c r="V31" i="1"/>
  <c r="M27" i="1"/>
  <c r="V19" i="1"/>
  <c r="U29" i="1"/>
  <c r="S32" i="1"/>
  <c r="T25" i="1"/>
  <c r="U18" i="1"/>
  <c r="V10" i="1"/>
  <c r="R15" i="1"/>
  <c r="S24" i="1"/>
  <c r="R32" i="1"/>
  <c r="T32" i="1"/>
  <c r="V32" i="1"/>
  <c r="N18" i="1"/>
  <c r="Q27" i="1"/>
  <c r="T18" i="1"/>
  <c r="S27" i="1"/>
  <c r="S12" i="1"/>
  <c r="U32" i="1"/>
  <c r="Q2" i="1"/>
  <c r="T26" i="1"/>
  <c r="U19" i="1"/>
  <c r="T15" i="1"/>
  <c r="V16" i="1"/>
  <c r="U24" i="1"/>
  <c r="R16" i="1"/>
  <c r="T16" i="1"/>
  <c r="V17" i="1"/>
  <c r="S25" i="1"/>
  <c r="U25" i="1"/>
  <c r="R33" i="1"/>
  <c r="T33" i="1"/>
  <c r="V33" i="1"/>
  <c r="Q10" i="1"/>
  <c r="P27" i="1"/>
  <c r="P10" i="1"/>
  <c r="O27" i="1"/>
  <c r="O10" i="1"/>
  <c r="N27" i="1"/>
  <c r="N10" i="1"/>
  <c r="Q4" i="1"/>
  <c r="Q11" i="1"/>
  <c r="D5" i="1"/>
  <c r="D4" i="1"/>
  <c r="D3" i="1"/>
  <c r="D2" i="1"/>
  <c r="C9" i="1"/>
  <c r="C8" i="1"/>
  <c r="C7" i="1"/>
  <c r="C6" i="1"/>
  <c r="C5" i="1"/>
  <c r="C4" i="1"/>
  <c r="C3" i="1"/>
  <c r="C2" i="1"/>
  <c r="B9" i="1"/>
  <c r="B8" i="1"/>
  <c r="B7" i="1"/>
  <c r="B6" i="1"/>
  <c r="B5" i="1"/>
  <c r="B4" i="1"/>
  <c r="B3" i="1"/>
  <c r="B2" i="1"/>
  <c r="A9" i="1"/>
  <c r="A8" i="1"/>
  <c r="A7" i="1"/>
  <c r="A6" i="1"/>
  <c r="A5" i="1"/>
  <c r="A4" i="1"/>
  <c r="A3" i="1"/>
  <c r="A2" i="1"/>
  <c r="M4" i="1" l="1"/>
  <c r="R5" i="1"/>
  <c r="T8" i="1"/>
  <c r="P4" i="1"/>
  <c r="P2" i="1"/>
  <c r="V11" i="1"/>
  <c r="T17" i="1"/>
  <c r="V23" i="1"/>
  <c r="N4" i="1"/>
  <c r="N2" i="1"/>
  <c r="V14" i="1"/>
  <c r="R21" i="1"/>
  <c r="T23" i="1"/>
  <c r="T22" i="1"/>
  <c r="U5" i="1"/>
  <c r="R19" i="1"/>
  <c r="U17" i="1"/>
  <c r="S13" i="1"/>
  <c r="U14" i="1"/>
  <c r="O4" i="1"/>
  <c r="O2" i="1"/>
  <c r="T3" i="1"/>
  <c r="S21" i="1"/>
  <c r="V20" i="1"/>
  <c r="S14" i="1"/>
  <c r="R6" i="1"/>
  <c r="S6" i="1"/>
  <c r="V13" i="1"/>
  <c r="T19" i="1"/>
  <c r="V6" i="1" l="1"/>
  <c r="U9" i="1"/>
  <c r="V7" i="1"/>
  <c r="V8" i="1"/>
  <c r="V2" i="1"/>
  <c r="V9" i="1"/>
  <c r="V3" i="1"/>
  <c r="U6" i="1"/>
  <c r="V4" i="1"/>
  <c r="U7" i="1"/>
  <c r="V5" i="1"/>
  <c r="U8" i="1"/>
  <c r="R2" i="1"/>
  <c r="S4" i="1"/>
  <c r="U4" i="1"/>
  <c r="T6" i="1"/>
  <c r="R7" i="1"/>
  <c r="R3" i="1"/>
  <c r="T9" i="1"/>
  <c r="T2" i="1"/>
  <c r="R4" i="1"/>
  <c r="S3" i="1"/>
  <c r="R8" i="1"/>
  <c r="T7" i="1"/>
  <c r="S5" i="1"/>
  <c r="S2" i="1"/>
  <c r="T4" i="1"/>
  <c r="U3" i="1"/>
  <c r="S7" i="1"/>
  <c r="S8" i="1"/>
  <c r="R9" i="1"/>
  <c r="T5" i="1"/>
  <c r="U2" i="1"/>
  <c r="S9" i="1"/>
</calcChain>
</file>

<file path=xl/sharedStrings.xml><?xml version="1.0" encoding="utf-8"?>
<sst xmlns="http://schemas.openxmlformats.org/spreadsheetml/2006/main" count="24" uniqueCount="24">
  <si>
    <t>control</t>
  </si>
  <si>
    <t>nicotine</t>
  </si>
  <si>
    <t>laf3tb</t>
  </si>
  <si>
    <t>Group</t>
  </si>
  <si>
    <t>Date</t>
  </si>
  <si>
    <t>rubi_wo_light</t>
  </si>
  <si>
    <t>rubi_5s_light</t>
  </si>
  <si>
    <t>A</t>
  </si>
  <si>
    <t>B</t>
  </si>
  <si>
    <t>C</t>
  </si>
  <si>
    <t>D</t>
  </si>
  <si>
    <t>E</t>
  </si>
  <si>
    <t>control_average</t>
  </si>
  <si>
    <t>nicotine_average</t>
  </si>
  <si>
    <t>rubi_wo_light_average</t>
  </si>
  <si>
    <t>rubi_5s_light_average</t>
  </si>
  <si>
    <t>laf3tb_average</t>
  </si>
  <si>
    <t>Std.dev</t>
  </si>
  <si>
    <t>RuBi_wo_light</t>
  </si>
  <si>
    <t>Nicotine</t>
  </si>
  <si>
    <t>Control</t>
  </si>
  <si>
    <t>RuBi_5s_light</t>
  </si>
  <si>
    <t>LaF3Tb</t>
  </si>
  <si>
    <t>Партія клітин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</si>
</sst>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5" xfId="0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2" xfId="0" applyNumberFormat="1" applyBorder="1"/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8" xfId="0" applyFill="1" applyBorder="1"/>
    <xf numFmtId="0" fontId="0" fillId="0" borderId="0" xfId="0" applyFill="1" applyBorder="1"/>
    <xf numFmtId="0" fontId="0" fillId="0" borderId="9" xfId="0" applyFill="1" applyBorder="1"/>
    <xf numFmtId="0" fontId="0" fillId="0" borderId="5" xfId="0" applyFill="1" applyBorder="1"/>
    <xf numFmtId="164" fontId="0" fillId="0" borderId="7" xfId="0" applyNumberFormat="1" applyFill="1" applyBorder="1"/>
    <xf numFmtId="0" fontId="0" fillId="0" borderId="6" xfId="0" applyFill="1" applyBorder="1"/>
    <xf numFmtId="0" fontId="0" fillId="0" borderId="7" xfId="0" applyFill="1" applyBorder="1"/>
    <xf numFmtId="164" fontId="0" fillId="0" borderId="0" xfId="0" applyNumberFormat="1" applyFill="1" applyBorder="1"/>
    <xf numFmtId="14" fontId="0" fillId="0" borderId="0" xfId="0" applyNumberFormat="1" applyFill="1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"/>
  <sheetViews>
    <sheetView tabSelected="1" zoomScale="85" zoomScaleNormal="85" workbookViewId="0">
      <selection activeCell="Y34" sqref="Y34"/>
    </sheetView>
  </sheetViews>
  <sheetFormatPr defaultRowHeight="14.4" x14ac:dyDescent="0.3"/>
  <cols>
    <col min="12" max="12" width="10.109375" bestFit="1" customWidth="1"/>
  </cols>
  <sheetData>
    <row r="1" spans="1:23" ht="15" thickBot="1" x14ac:dyDescent="0.35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3</v>
      </c>
      <c r="L1" t="s">
        <v>4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20</v>
      </c>
      <c r="S1" t="s">
        <v>19</v>
      </c>
      <c r="T1" t="s">
        <v>18</v>
      </c>
      <c r="U1" t="s">
        <v>21</v>
      </c>
      <c r="V1" t="s">
        <v>22</v>
      </c>
      <c r="W1" t="s">
        <v>23</v>
      </c>
    </row>
    <row r="2" spans="1:23" ht="15" thickBot="1" x14ac:dyDescent="0.35">
      <c r="A2" s="13">
        <f>32*1.5/5*10^4</f>
        <v>96000</v>
      </c>
      <c r="B2" s="14">
        <f>21*1.5*10^4/5</f>
        <v>63000</v>
      </c>
      <c r="C2" s="14">
        <f>9*1.5*10^4/5</f>
        <v>27000</v>
      </c>
      <c r="D2" s="14">
        <f>26*1.5*10^4/5</f>
        <v>78000</v>
      </c>
      <c r="E2" s="15">
        <f>25*1.5*10^4/5</f>
        <v>75000</v>
      </c>
      <c r="F2" s="18">
        <f>(A2-$M$2)/$M$5</f>
        <v>1.6694894686511319</v>
      </c>
      <c r="G2" s="18">
        <f t="shared" ref="G2:J2" si="0">(B2-$M$2)/$M$5</f>
        <v>0</v>
      </c>
      <c r="H2" s="18">
        <f t="shared" si="0"/>
        <v>-1.8212612385285076</v>
      </c>
      <c r="I2" s="18">
        <f t="shared" si="0"/>
        <v>0.7588588493868782</v>
      </c>
      <c r="J2" s="18">
        <f t="shared" si="0"/>
        <v>0.60708707950950258</v>
      </c>
      <c r="K2" s="18">
        <v>1</v>
      </c>
      <c r="L2" s="19">
        <v>44351</v>
      </c>
      <c r="M2" s="18">
        <f>AVERAGE(A2:A9)</f>
        <v>63000</v>
      </c>
      <c r="N2" s="5">
        <f>AVERAGE(B2:B9)</f>
        <v>73500</v>
      </c>
      <c r="O2" s="5">
        <f t="shared" ref="O2:Q2" si="1">AVERAGE(C2:C9)</f>
        <v>55875</v>
      </c>
      <c r="P2" s="5">
        <f t="shared" si="1"/>
        <v>90375</v>
      </c>
      <c r="Q2" s="6">
        <f t="shared" si="1"/>
        <v>57000</v>
      </c>
      <c r="R2" s="18">
        <f>A2/$M$2*100</f>
        <v>152.38095238095238</v>
      </c>
      <c r="S2" s="5">
        <f t="shared" ref="S2:V2" si="2">B2/$M$2*100</f>
        <v>100</v>
      </c>
      <c r="T2" s="5">
        <f>C2/$M$2*100</f>
        <v>42.857142857142854</v>
      </c>
      <c r="U2" s="5">
        <f t="shared" si="2"/>
        <v>123.80952380952381</v>
      </c>
      <c r="V2" s="6">
        <f t="shared" si="2"/>
        <v>119.04761904761905</v>
      </c>
      <c r="W2" s="22">
        <v>1</v>
      </c>
    </row>
    <row r="3" spans="1:23" ht="15" thickBot="1" x14ac:dyDescent="0.35">
      <c r="A3" s="1">
        <f>21*1.5*10^4/5</f>
        <v>63000</v>
      </c>
      <c r="B3" s="3">
        <f>23*1.5*10^4/5</f>
        <v>69000</v>
      </c>
      <c r="C3" s="3">
        <f>17*1.5*10^4/5</f>
        <v>51000</v>
      </c>
      <c r="D3" s="3">
        <f>36*1.5*10^4/5</f>
        <v>108000</v>
      </c>
      <c r="E3" s="16">
        <f>13*1.5*10^4/5</f>
        <v>39000</v>
      </c>
      <c r="F3" s="18">
        <f t="shared" ref="F3:F9" si="3">(A3-$M$2)/$M$5</f>
        <v>0</v>
      </c>
      <c r="G3" s="18">
        <f t="shared" ref="G3:G9" si="4">(B3-$M$2)/$M$5</f>
        <v>0.30354353975475129</v>
      </c>
      <c r="H3" s="18">
        <f t="shared" ref="H3:H9" si="5">(C3-$M$2)/$M$5</f>
        <v>-0.60708707950950258</v>
      </c>
      <c r="I3" s="18">
        <f t="shared" ref="I3:I9" si="6">(D3-$M$2)/$M$5</f>
        <v>2.2765765481606346</v>
      </c>
      <c r="J3" s="18">
        <f t="shared" ref="J3:J9" si="7">(E3-$M$2)/$M$5</f>
        <v>-1.2141741590190052</v>
      </c>
      <c r="K3" s="7">
        <v>1</v>
      </c>
      <c r="L3" s="20">
        <v>44351</v>
      </c>
      <c r="M3" s="7" t="s">
        <v>17</v>
      </c>
      <c r="N3" s="8"/>
      <c r="O3" s="8"/>
      <c r="P3" s="8"/>
      <c r="Q3" s="9"/>
      <c r="R3" s="7">
        <f t="shared" ref="R3:R9" si="8">A3/$M$2*100</f>
        <v>100</v>
      </c>
      <c r="S3" s="8">
        <f t="shared" ref="S3:S9" si="9">B3/$M$2*100</f>
        <v>109.52380952380953</v>
      </c>
      <c r="T3" s="8">
        <f t="shared" ref="T3:T9" si="10">C3/$M$2*100</f>
        <v>80.952380952380949</v>
      </c>
      <c r="U3" s="8">
        <f t="shared" ref="U3:U9" si="11">D3/$M$2*100</f>
        <v>171.42857142857142</v>
      </c>
      <c r="V3" s="9">
        <f t="shared" ref="V3:V9" si="12">E3/$M$2*100</f>
        <v>61.904761904761905</v>
      </c>
      <c r="W3" s="22"/>
    </row>
    <row r="4" spans="1:23" ht="15" thickBot="1" x14ac:dyDescent="0.35">
      <c r="A4" s="1">
        <f>12*1.5*10^4/5</f>
        <v>36000</v>
      </c>
      <c r="B4" s="3">
        <f>25*1.5*10^4/5</f>
        <v>75000</v>
      </c>
      <c r="C4" s="3">
        <f>20*1.5*10^4/5</f>
        <v>60000</v>
      </c>
      <c r="D4" s="3">
        <f>37*1.5*10^4/5</f>
        <v>111000</v>
      </c>
      <c r="E4" s="16">
        <f>20*1.5*10^4/5</f>
        <v>60000</v>
      </c>
      <c r="F4" s="18">
        <f t="shared" si="3"/>
        <v>-1.3659459288963807</v>
      </c>
      <c r="G4" s="18">
        <f t="shared" si="4"/>
        <v>0.60708707950950258</v>
      </c>
      <c r="H4" s="18">
        <f t="shared" si="5"/>
        <v>-0.15177176987737565</v>
      </c>
      <c r="I4" s="18">
        <f t="shared" si="6"/>
        <v>2.4283483180380103</v>
      </c>
      <c r="J4" s="18">
        <f t="shared" si="7"/>
        <v>-0.15177176987737565</v>
      </c>
      <c r="K4" s="7">
        <v>1</v>
      </c>
      <c r="L4" s="20">
        <v>44351</v>
      </c>
      <c r="M4" s="7">
        <f>_xlfn.STDEV.P(A2:A9)</f>
        <v>19786.358937409379</v>
      </c>
      <c r="N4" s="8">
        <f>_xlfn.STDEV.P(B2:B9)</f>
        <v>8485.2813742385697</v>
      </c>
      <c r="O4" s="8">
        <f t="shared" ref="O4:Q4" si="13">_xlfn.STDEV.P(C2:C9)</f>
        <v>13986.042149228637</v>
      </c>
      <c r="P4" s="8">
        <f t="shared" si="13"/>
        <v>15329.200076977271</v>
      </c>
      <c r="Q4" s="9">
        <f t="shared" si="13"/>
        <v>13665.650368716448</v>
      </c>
      <c r="R4" s="7">
        <f t="shared" si="8"/>
        <v>57.142857142857139</v>
      </c>
      <c r="S4" s="8">
        <f t="shared" si="9"/>
        <v>119.04761904761905</v>
      </c>
      <c r="T4" s="8">
        <f t="shared" si="10"/>
        <v>95.238095238095227</v>
      </c>
      <c r="U4" s="8">
        <f t="shared" si="11"/>
        <v>176.19047619047618</v>
      </c>
      <c r="V4" s="9">
        <f t="shared" si="12"/>
        <v>95.238095238095227</v>
      </c>
      <c r="W4" s="22"/>
    </row>
    <row r="5" spans="1:23" ht="15" thickBot="1" x14ac:dyDescent="0.35">
      <c r="A5" s="2">
        <f>27*1.5*10^4/5</f>
        <v>81000</v>
      </c>
      <c r="B5" s="4">
        <f>20*1.5*10^4/5</f>
        <v>60000</v>
      </c>
      <c r="C5" s="4">
        <f>18*1.5*10^4/5</f>
        <v>54000</v>
      </c>
      <c r="D5" s="4">
        <f>27*1.5*10^4/5</f>
        <v>81000</v>
      </c>
      <c r="E5" s="17">
        <f>15*1.5*10^4/5</f>
        <v>45000</v>
      </c>
      <c r="F5" s="18">
        <f t="shared" si="3"/>
        <v>0.91063061926425382</v>
      </c>
      <c r="G5" s="18">
        <f t="shared" si="4"/>
        <v>-0.15177176987737565</v>
      </c>
      <c r="H5" s="18">
        <f t="shared" si="5"/>
        <v>-0.45531530963212691</v>
      </c>
      <c r="I5" s="18">
        <f t="shared" si="6"/>
        <v>0.91063061926425382</v>
      </c>
      <c r="J5" s="18">
        <f t="shared" si="7"/>
        <v>-0.91063061926425382</v>
      </c>
      <c r="K5" s="7">
        <v>1</v>
      </c>
      <c r="L5" s="20">
        <v>44351</v>
      </c>
      <c r="M5" s="7">
        <f>STDEV(A2:E9)</f>
        <v>19766.521813798819</v>
      </c>
      <c r="N5" s="8"/>
      <c r="O5" s="8"/>
      <c r="P5" s="8"/>
      <c r="Q5" s="9"/>
      <c r="R5" s="7">
        <f t="shared" si="8"/>
        <v>128.57142857142858</v>
      </c>
      <c r="S5" s="8">
        <f t="shared" si="9"/>
        <v>95.238095238095227</v>
      </c>
      <c r="T5" s="8">
        <f t="shared" si="10"/>
        <v>85.714285714285708</v>
      </c>
      <c r="U5" s="8">
        <f t="shared" si="11"/>
        <v>128.57142857142858</v>
      </c>
      <c r="V5" s="9">
        <f t="shared" si="12"/>
        <v>71.428571428571431</v>
      </c>
      <c r="W5" s="22"/>
    </row>
    <row r="6" spans="1:23" ht="15" thickBot="1" x14ac:dyDescent="0.35">
      <c r="A6" s="1">
        <f>27*1.5*10^4/5</f>
        <v>81000</v>
      </c>
      <c r="B6" s="3">
        <f>25*1.5*10^4/5</f>
        <v>75000</v>
      </c>
      <c r="C6" s="3">
        <f>19*1.5*10^4/5</f>
        <v>57000</v>
      </c>
      <c r="D6" s="3">
        <f>25*1.5*10^4/5</f>
        <v>75000</v>
      </c>
      <c r="E6" s="16">
        <f>13*1.5*10^4/5</f>
        <v>39000</v>
      </c>
      <c r="F6" s="18">
        <f t="shared" si="3"/>
        <v>0.91063061926425382</v>
      </c>
      <c r="G6" s="18">
        <f t="shared" si="4"/>
        <v>0.60708707950950258</v>
      </c>
      <c r="H6" s="18">
        <f t="shared" si="5"/>
        <v>-0.30354353975475129</v>
      </c>
      <c r="I6" s="18">
        <f t="shared" si="6"/>
        <v>0.60708707950950258</v>
      </c>
      <c r="J6" s="18">
        <f t="shared" si="7"/>
        <v>-1.2141741590190052</v>
      </c>
      <c r="K6" s="7">
        <v>1</v>
      </c>
      <c r="L6" s="20">
        <v>44351</v>
      </c>
      <c r="M6" s="7"/>
      <c r="N6" s="8"/>
      <c r="O6" s="8"/>
      <c r="P6" s="8"/>
      <c r="Q6" s="9"/>
      <c r="R6" s="7">
        <f t="shared" si="8"/>
        <v>128.57142857142858</v>
      </c>
      <c r="S6" s="8">
        <f t="shared" si="9"/>
        <v>119.04761904761905</v>
      </c>
      <c r="T6" s="8">
        <f t="shared" si="10"/>
        <v>90.476190476190482</v>
      </c>
      <c r="U6" s="8">
        <f t="shared" si="11"/>
        <v>119.04761904761905</v>
      </c>
      <c r="V6" s="9">
        <f t="shared" si="12"/>
        <v>61.904761904761905</v>
      </c>
      <c r="W6" s="22"/>
    </row>
    <row r="7" spans="1:23" ht="15" thickBot="1" x14ac:dyDescent="0.35">
      <c r="A7" s="1">
        <f>14*1.5*10^4/5</f>
        <v>42000</v>
      </c>
      <c r="B7" s="3">
        <f>26*1.5*10^4/5</f>
        <v>78000</v>
      </c>
      <c r="C7" s="3">
        <f>18*1.5*10^4/5</f>
        <v>54000</v>
      </c>
      <c r="D7" s="3">
        <f>33*1.5*10^4/5</f>
        <v>99000</v>
      </c>
      <c r="E7" s="16">
        <f>25*1.5*10^4/5</f>
        <v>75000</v>
      </c>
      <c r="F7" s="18">
        <f t="shared" si="3"/>
        <v>-1.0624023891416294</v>
      </c>
      <c r="G7" s="18">
        <f t="shared" si="4"/>
        <v>0.7588588493868782</v>
      </c>
      <c r="H7" s="18">
        <f t="shared" si="5"/>
        <v>-0.45531530963212691</v>
      </c>
      <c r="I7" s="18">
        <f t="shared" si="6"/>
        <v>1.8212612385285076</v>
      </c>
      <c r="J7" s="18">
        <f t="shared" si="7"/>
        <v>0.60708707950950258</v>
      </c>
      <c r="K7" s="7">
        <v>1</v>
      </c>
      <c r="L7" s="20">
        <v>44351</v>
      </c>
      <c r="M7" s="7"/>
      <c r="N7" s="8"/>
      <c r="O7" s="8"/>
      <c r="P7" s="8"/>
      <c r="Q7" s="9"/>
      <c r="R7" s="7">
        <f t="shared" si="8"/>
        <v>66.666666666666657</v>
      </c>
      <c r="S7" s="8">
        <f t="shared" si="9"/>
        <v>123.80952380952381</v>
      </c>
      <c r="T7" s="8">
        <f t="shared" si="10"/>
        <v>85.714285714285708</v>
      </c>
      <c r="U7" s="8">
        <f t="shared" si="11"/>
        <v>157.14285714285714</v>
      </c>
      <c r="V7" s="9">
        <f t="shared" si="12"/>
        <v>119.04761904761905</v>
      </c>
      <c r="W7" s="22"/>
    </row>
    <row r="8" spans="1:23" ht="15" thickBot="1" x14ac:dyDescent="0.35">
      <c r="A8" s="1">
        <f>18*1.5*10^4/5</f>
        <v>54000</v>
      </c>
      <c r="B8" s="3">
        <f>29*1.5*10^4/5</f>
        <v>87000</v>
      </c>
      <c r="C8" s="3">
        <f>21*1.5*10^4/5</f>
        <v>63000</v>
      </c>
      <c r="D8" s="3">
        <f>23*1.5*10^4/5</f>
        <v>69000</v>
      </c>
      <c r="E8" s="16">
        <f>21*1.5*10^4/5</f>
        <v>63000</v>
      </c>
      <c r="F8" s="18">
        <f t="shared" si="3"/>
        <v>-0.45531530963212691</v>
      </c>
      <c r="G8" s="18">
        <f t="shared" si="4"/>
        <v>1.2141741590190052</v>
      </c>
      <c r="H8" s="18">
        <f t="shared" si="5"/>
        <v>0</v>
      </c>
      <c r="I8" s="18">
        <f t="shared" si="6"/>
        <v>0.30354353975475129</v>
      </c>
      <c r="J8" s="18">
        <f t="shared" si="7"/>
        <v>0</v>
      </c>
      <c r="K8" s="7">
        <v>1</v>
      </c>
      <c r="L8" s="20">
        <v>44351</v>
      </c>
      <c r="M8" s="7"/>
      <c r="N8" s="8"/>
      <c r="O8" s="8"/>
      <c r="P8" s="8"/>
      <c r="Q8" s="9"/>
      <c r="R8" s="7">
        <f t="shared" si="8"/>
        <v>85.714285714285708</v>
      </c>
      <c r="S8" s="8">
        <f t="shared" si="9"/>
        <v>138.0952380952381</v>
      </c>
      <c r="T8" s="8">
        <f t="shared" si="10"/>
        <v>100</v>
      </c>
      <c r="U8" s="8">
        <f t="shared" si="11"/>
        <v>109.52380952380953</v>
      </c>
      <c r="V8" s="9">
        <f t="shared" si="12"/>
        <v>100</v>
      </c>
      <c r="W8" s="22"/>
    </row>
    <row r="9" spans="1:23" ht="15" thickBot="1" x14ac:dyDescent="0.35">
      <c r="A9" s="2">
        <f>17*1.5*10^4/5</f>
        <v>51000</v>
      </c>
      <c r="B9" s="4">
        <f>27*1.5*10^4/5</f>
        <v>81000</v>
      </c>
      <c r="C9" s="4">
        <f>27*1.5*10^4/5</f>
        <v>81000</v>
      </c>
      <c r="D9" s="4">
        <f>34*1.5*10^4/5</f>
        <v>102000</v>
      </c>
      <c r="E9" s="17">
        <f>20*1.5*10^4/5</f>
        <v>60000</v>
      </c>
      <c r="F9" s="18">
        <f t="shared" si="3"/>
        <v>-0.60708707950950258</v>
      </c>
      <c r="G9" s="18">
        <f t="shared" si="4"/>
        <v>0.91063061926425382</v>
      </c>
      <c r="H9" s="18">
        <f t="shared" si="5"/>
        <v>0.91063061926425382</v>
      </c>
      <c r="I9" s="18">
        <f t="shared" si="6"/>
        <v>1.9730330084058831</v>
      </c>
      <c r="J9" s="18">
        <f t="shared" si="7"/>
        <v>-0.15177176987737565</v>
      </c>
      <c r="K9" s="7">
        <v>1</v>
      </c>
      <c r="L9" s="20">
        <v>44351</v>
      </c>
      <c r="M9" s="10"/>
      <c r="N9" s="11"/>
      <c r="O9" s="11"/>
      <c r="P9" s="11"/>
      <c r="Q9" s="12"/>
      <c r="R9" s="7">
        <f t="shared" si="8"/>
        <v>80.952380952380949</v>
      </c>
      <c r="S9" s="8">
        <f t="shared" si="9"/>
        <v>128.57142857142858</v>
      </c>
      <c r="T9" s="8">
        <f t="shared" si="10"/>
        <v>128.57142857142858</v>
      </c>
      <c r="U9" s="8">
        <f t="shared" si="11"/>
        <v>161.9047619047619</v>
      </c>
      <c r="V9" s="9">
        <f t="shared" si="12"/>
        <v>95.238095238095227</v>
      </c>
      <c r="W9" s="22"/>
    </row>
    <row r="10" spans="1:23" ht="15" thickBot="1" x14ac:dyDescent="0.35">
      <c r="A10" s="1">
        <f>12*1.5/5*10^4</f>
        <v>36000</v>
      </c>
      <c r="B10" s="3">
        <f>21*1.5*10^4/5</f>
        <v>63000</v>
      </c>
      <c r="C10" s="3">
        <f>19*1.5*10^4/5</f>
        <v>57000</v>
      </c>
      <c r="D10" s="3">
        <f>10*1.5*10^4/5</f>
        <v>30000</v>
      </c>
      <c r="E10" s="16">
        <f>17*1.5*10^4/5</f>
        <v>51000</v>
      </c>
      <c r="F10" s="18">
        <f>(A10-$M$10)/$M$12</f>
        <v>-1.0176277783010494</v>
      </c>
      <c r="G10" s="18">
        <f t="shared" ref="G10:J10" si="14">(B10-$M$10)/$M$12</f>
        <v>5.9860457547120556E-2</v>
      </c>
      <c r="H10" s="18">
        <f t="shared" si="14"/>
        <v>-0.17958137264136168</v>
      </c>
      <c r="I10" s="18">
        <f t="shared" si="14"/>
        <v>-1.2570696084895316</v>
      </c>
      <c r="J10" s="18">
        <f t="shared" si="14"/>
        <v>-0.4190232028298439</v>
      </c>
      <c r="K10" s="18">
        <v>2</v>
      </c>
      <c r="L10" s="19">
        <v>44344</v>
      </c>
      <c r="M10" s="18">
        <f>AVERAGE(A10:A17)</f>
        <v>61500</v>
      </c>
      <c r="N10" s="5">
        <f t="shared" ref="N10:Q10" si="15">AVERAGE(B10:B17)</f>
        <v>60750</v>
      </c>
      <c r="O10" s="5">
        <f t="shared" si="15"/>
        <v>48750</v>
      </c>
      <c r="P10" s="5">
        <f t="shared" si="15"/>
        <v>44250</v>
      </c>
      <c r="Q10" s="6">
        <f t="shared" si="15"/>
        <v>55125</v>
      </c>
      <c r="R10" s="18">
        <f>A10/$M$10*100</f>
        <v>58.536585365853654</v>
      </c>
      <c r="S10" s="5">
        <f t="shared" ref="S10:V10" si="16">B10/$M$10*100</f>
        <v>102.4390243902439</v>
      </c>
      <c r="T10" s="5">
        <f t="shared" si="16"/>
        <v>92.682926829268297</v>
      </c>
      <c r="U10" s="5">
        <f>D10/$M$10*100</f>
        <v>48.780487804878049</v>
      </c>
      <c r="V10" s="6">
        <f t="shared" si="16"/>
        <v>82.926829268292678</v>
      </c>
      <c r="W10" s="22"/>
    </row>
    <row r="11" spans="1:23" ht="15" thickBot="1" x14ac:dyDescent="0.35">
      <c r="A11" s="1">
        <f>46*1.5*10^4/5</f>
        <v>138000</v>
      </c>
      <c r="B11" s="3">
        <f>15*1.5*10^4/5</f>
        <v>45000</v>
      </c>
      <c r="C11" s="3">
        <f>32*1.5*10^4/5</f>
        <v>96000</v>
      </c>
      <c r="D11" s="3">
        <f>12*1.5*10^4/5</f>
        <v>36000</v>
      </c>
      <c r="E11" s="16">
        <f>26*1.5*10^4/5</f>
        <v>78000</v>
      </c>
      <c r="F11" s="18">
        <f t="shared" ref="F11:F17" si="17">(A11-$M$10)/$M$12</f>
        <v>3.0528833349031483</v>
      </c>
      <c r="G11" s="18">
        <f t="shared" ref="G11:G17" si="18">(B11-$M$10)/$M$12</f>
        <v>-0.65846503301832615</v>
      </c>
      <c r="H11" s="18">
        <f t="shared" ref="H11:H17" si="19">(C11-$M$10)/$M$12</f>
        <v>1.3767905235837727</v>
      </c>
      <c r="I11" s="18">
        <f t="shared" ref="I11:I17" si="20">(D11-$M$10)/$M$12</f>
        <v>-1.0176277783010494</v>
      </c>
      <c r="J11" s="18">
        <f t="shared" ref="J11:J17" si="21">(E11-$M$10)/$M$12</f>
        <v>0.65846503301832615</v>
      </c>
      <c r="K11" s="7">
        <v>2</v>
      </c>
      <c r="L11" s="20">
        <v>44344</v>
      </c>
      <c r="M11" s="7">
        <f>_xlfn.STDEV.P(A10:A17)</f>
        <v>40081.167647662165</v>
      </c>
      <c r="N11" s="8">
        <f t="shared" ref="N11:Q11" si="22">_xlfn.STDEV.P(B10:B17)</f>
        <v>13970.952007647868</v>
      </c>
      <c r="O11" s="8">
        <f t="shared" si="22"/>
        <v>24035.130538443096</v>
      </c>
      <c r="P11" s="8">
        <f t="shared" si="22"/>
        <v>14600.941750448839</v>
      </c>
      <c r="Q11" s="9">
        <f t="shared" si="22"/>
        <v>15583.946066385111</v>
      </c>
      <c r="R11" s="7">
        <f t="shared" ref="R11:R17" si="23">A11/$M$10*100</f>
        <v>224.39024390243904</v>
      </c>
      <c r="S11" s="8">
        <f t="shared" ref="S11:S17" si="24">B11/$M$10*100</f>
        <v>73.170731707317074</v>
      </c>
      <c r="T11" s="8">
        <f t="shared" ref="T11:T17" si="25">C11/$M$10*100</f>
        <v>156.09756097560975</v>
      </c>
      <c r="U11" s="8">
        <f t="shared" ref="U11:U17" si="26">D11/$M$10*100</f>
        <v>58.536585365853654</v>
      </c>
      <c r="V11" s="9">
        <f t="shared" ref="V11:V17" si="27">E11/$M$10*100</f>
        <v>126.82926829268293</v>
      </c>
      <c r="W11" s="22"/>
    </row>
    <row r="12" spans="1:23" ht="15" thickBot="1" x14ac:dyDescent="0.35">
      <c r="A12" s="1">
        <f>10*1.5*10^4/5</f>
        <v>30000</v>
      </c>
      <c r="B12" s="3">
        <f>28*1.5*10^4/5</f>
        <v>84000</v>
      </c>
      <c r="C12" s="3">
        <f>9*1.5*10^4/5</f>
        <v>27000</v>
      </c>
      <c r="D12" s="3">
        <f>16*1.5*10^4/5</f>
        <v>48000</v>
      </c>
      <c r="E12" s="16">
        <f>17*1.5*10^4/5</f>
        <v>51000</v>
      </c>
      <c r="F12" s="18">
        <f t="shared" si="17"/>
        <v>-1.2570696084895316</v>
      </c>
      <c r="G12" s="18">
        <f t="shared" si="18"/>
        <v>0.89790686320680835</v>
      </c>
      <c r="H12" s="18">
        <f t="shared" si="19"/>
        <v>-1.3767905235837727</v>
      </c>
      <c r="I12" s="18">
        <f t="shared" si="20"/>
        <v>-0.53874411792408505</v>
      </c>
      <c r="J12" s="18">
        <f t="shared" si="21"/>
        <v>-0.4190232028298439</v>
      </c>
      <c r="K12" s="7">
        <v>2</v>
      </c>
      <c r="L12" s="20">
        <v>44344</v>
      </c>
      <c r="M12" s="7">
        <f>STDEV(A10:E17)</f>
        <v>25058.278226811748</v>
      </c>
      <c r="N12" s="8"/>
      <c r="O12" s="8"/>
      <c r="P12" s="8"/>
      <c r="Q12" s="9"/>
      <c r="R12" s="7">
        <f t="shared" si="23"/>
        <v>48.780487804878049</v>
      </c>
      <c r="S12" s="8">
        <f t="shared" si="24"/>
        <v>136.58536585365854</v>
      </c>
      <c r="T12" s="8">
        <f t="shared" si="25"/>
        <v>43.902439024390247</v>
      </c>
      <c r="U12" s="8">
        <f t="shared" si="26"/>
        <v>78.048780487804876</v>
      </c>
      <c r="V12" s="9">
        <f t="shared" si="27"/>
        <v>82.926829268292678</v>
      </c>
      <c r="W12" s="22"/>
    </row>
    <row r="13" spans="1:23" ht="15" thickBot="1" x14ac:dyDescent="0.35">
      <c r="A13" s="2">
        <f>15*1.5*10^4/5</f>
        <v>45000</v>
      </c>
      <c r="B13" s="4">
        <f>15*1.5*10^4/5</f>
        <v>45000</v>
      </c>
      <c r="C13" s="4">
        <f>13*1.5*10^4/5</f>
        <v>39000</v>
      </c>
      <c r="D13" s="4">
        <f>22*1.5*10^4/5</f>
        <v>66000</v>
      </c>
      <c r="E13" s="17">
        <f>11*1.5*10^4/5</f>
        <v>33000</v>
      </c>
      <c r="F13" s="18">
        <f t="shared" si="17"/>
        <v>-0.65846503301832615</v>
      </c>
      <c r="G13" s="18">
        <f t="shared" si="18"/>
        <v>-0.65846503301832615</v>
      </c>
      <c r="H13" s="18">
        <f t="shared" si="19"/>
        <v>-0.89790686320680835</v>
      </c>
      <c r="I13" s="18">
        <f t="shared" si="20"/>
        <v>0.17958137264136168</v>
      </c>
      <c r="J13" s="18">
        <f t="shared" si="21"/>
        <v>-1.1373486933952905</v>
      </c>
      <c r="K13" s="7">
        <v>2</v>
      </c>
      <c r="L13" s="20">
        <v>44344</v>
      </c>
      <c r="M13" s="7"/>
      <c r="N13" s="8"/>
      <c r="O13" s="8"/>
      <c r="P13" s="8"/>
      <c r="Q13" s="9"/>
      <c r="R13" s="7">
        <f t="shared" si="23"/>
        <v>73.170731707317074</v>
      </c>
      <c r="S13" s="8">
        <f t="shared" si="24"/>
        <v>73.170731707317074</v>
      </c>
      <c r="T13" s="8">
        <f t="shared" si="25"/>
        <v>63.414634146341463</v>
      </c>
      <c r="U13" s="8">
        <f t="shared" si="26"/>
        <v>107.31707317073172</v>
      </c>
      <c r="V13" s="9">
        <f t="shared" si="27"/>
        <v>53.658536585365859</v>
      </c>
      <c r="W13" s="22"/>
    </row>
    <row r="14" spans="1:23" ht="15" thickBot="1" x14ac:dyDescent="0.35">
      <c r="A14" s="1">
        <f>19*1.5*10^4/5</f>
        <v>57000</v>
      </c>
      <c r="B14" s="3">
        <f>24*1.5*10^4/5</f>
        <v>72000</v>
      </c>
      <c r="C14" s="3">
        <f>19*1.5*10^4/5</f>
        <v>57000</v>
      </c>
      <c r="D14" s="3">
        <f>11*1.5*10^4/5</f>
        <v>33000</v>
      </c>
      <c r="E14" s="16">
        <f>27*1.5*10^4/5</f>
        <v>81000</v>
      </c>
      <c r="F14" s="18">
        <f t="shared" si="17"/>
        <v>-0.17958137264136168</v>
      </c>
      <c r="G14" s="18">
        <f t="shared" si="18"/>
        <v>0.4190232028298439</v>
      </c>
      <c r="H14" s="18">
        <f t="shared" si="19"/>
        <v>-0.17958137264136168</v>
      </c>
      <c r="I14" s="18">
        <f t="shared" si="20"/>
        <v>-1.1373486933952905</v>
      </c>
      <c r="J14" s="18">
        <f t="shared" si="21"/>
        <v>0.77818594811256725</v>
      </c>
      <c r="K14" s="7">
        <v>2</v>
      </c>
      <c r="L14" s="20">
        <v>44344</v>
      </c>
      <c r="M14" s="7"/>
      <c r="N14" s="8"/>
      <c r="O14" s="8"/>
      <c r="P14" s="8"/>
      <c r="Q14" s="9"/>
      <c r="R14" s="7">
        <f t="shared" si="23"/>
        <v>92.682926829268297</v>
      </c>
      <c r="S14" s="8">
        <f t="shared" si="24"/>
        <v>117.07317073170731</v>
      </c>
      <c r="T14" s="8">
        <f t="shared" si="25"/>
        <v>92.682926829268297</v>
      </c>
      <c r="U14" s="8">
        <f t="shared" si="26"/>
        <v>53.658536585365859</v>
      </c>
      <c r="V14" s="9">
        <f t="shared" si="27"/>
        <v>131.70731707317074</v>
      </c>
      <c r="W14" s="22"/>
    </row>
    <row r="15" spans="1:23" ht="15" thickBot="1" x14ac:dyDescent="0.35">
      <c r="A15" s="1">
        <f>40*1.5*10^4/5</f>
        <v>120000</v>
      </c>
      <c r="B15" s="3">
        <f>17*1.5*10^4/5</f>
        <v>51000</v>
      </c>
      <c r="C15" s="3">
        <f>22*1.5*10^4/5</f>
        <v>66000</v>
      </c>
      <c r="D15" s="3">
        <f>8*1.5*10^4/5</f>
        <v>24000</v>
      </c>
      <c r="E15" s="16">
        <f>19*1.5*10^4/5</f>
        <v>57000</v>
      </c>
      <c r="F15" s="18">
        <f t="shared" si="17"/>
        <v>2.3345578443377017</v>
      </c>
      <c r="G15" s="18">
        <f t="shared" si="18"/>
        <v>-0.4190232028298439</v>
      </c>
      <c r="H15" s="18">
        <f t="shared" si="19"/>
        <v>0.17958137264136168</v>
      </c>
      <c r="I15" s="18">
        <f t="shared" si="20"/>
        <v>-1.4965114386780138</v>
      </c>
      <c r="J15" s="18">
        <f t="shared" si="21"/>
        <v>-0.17958137264136168</v>
      </c>
      <c r="K15" s="7">
        <v>2</v>
      </c>
      <c r="L15" s="20">
        <v>44344</v>
      </c>
      <c r="M15" s="7"/>
      <c r="N15" s="8"/>
      <c r="O15" s="8"/>
      <c r="P15" s="8"/>
      <c r="Q15" s="9"/>
      <c r="R15" s="7">
        <f t="shared" si="23"/>
        <v>195.1219512195122</v>
      </c>
      <c r="S15" s="8">
        <f t="shared" si="24"/>
        <v>82.926829268292678</v>
      </c>
      <c r="T15" s="8">
        <f t="shared" si="25"/>
        <v>107.31707317073172</v>
      </c>
      <c r="U15" s="8">
        <f t="shared" si="26"/>
        <v>39.024390243902438</v>
      </c>
      <c r="V15" s="9">
        <f t="shared" si="27"/>
        <v>92.682926829268297</v>
      </c>
      <c r="W15" s="22"/>
    </row>
    <row r="16" spans="1:23" ht="15" thickBot="1" x14ac:dyDescent="0.35">
      <c r="A16" s="1">
        <f>12*1.5*10^4/5</f>
        <v>36000</v>
      </c>
      <c r="B16" s="3">
        <f>25*1.5*10^4/5</f>
        <v>75000</v>
      </c>
      <c r="C16" s="3">
        <f>11*1.5*10^4/5</f>
        <v>33000</v>
      </c>
      <c r="D16" s="3">
        <f>19*1.5*10^4/5</f>
        <v>57000</v>
      </c>
      <c r="E16" s="16">
        <f>16*1.5*10^4/5</f>
        <v>48000</v>
      </c>
      <c r="F16" s="18">
        <f t="shared" si="17"/>
        <v>-1.0176277783010494</v>
      </c>
      <c r="G16" s="18">
        <f t="shared" si="18"/>
        <v>0.53874411792408505</v>
      </c>
      <c r="H16" s="18">
        <f t="shared" si="19"/>
        <v>-1.1373486933952905</v>
      </c>
      <c r="I16" s="18">
        <f t="shared" si="20"/>
        <v>-0.17958137264136168</v>
      </c>
      <c r="J16" s="18">
        <f t="shared" si="21"/>
        <v>-0.53874411792408505</v>
      </c>
      <c r="K16" s="7">
        <v>2</v>
      </c>
      <c r="L16" s="20">
        <v>44344</v>
      </c>
      <c r="M16" s="7"/>
      <c r="N16" s="8"/>
      <c r="O16" s="8"/>
      <c r="P16" s="8"/>
      <c r="Q16" s="9"/>
      <c r="R16" s="7">
        <f t="shared" si="23"/>
        <v>58.536585365853654</v>
      </c>
      <c r="S16" s="8">
        <f t="shared" si="24"/>
        <v>121.95121951219512</v>
      </c>
      <c r="T16" s="8">
        <f t="shared" si="25"/>
        <v>53.658536585365859</v>
      </c>
      <c r="U16" s="8">
        <f t="shared" si="26"/>
        <v>92.682926829268297</v>
      </c>
      <c r="V16" s="9">
        <f t="shared" si="27"/>
        <v>78.048780487804876</v>
      </c>
      <c r="W16" s="22"/>
    </row>
    <row r="17" spans="1:23" ht="15" thickBot="1" x14ac:dyDescent="0.35">
      <c r="A17" s="2">
        <f>10*1.5*10^4/5</f>
        <v>30000</v>
      </c>
      <c r="B17" s="4">
        <f>17*1.5*10^4/5</f>
        <v>51000</v>
      </c>
      <c r="C17" s="4">
        <f>5*1.5*10^4/5</f>
        <v>15000</v>
      </c>
      <c r="D17" s="4">
        <f>20*1.5*10^4/5</f>
        <v>60000</v>
      </c>
      <c r="E17" s="17">
        <f>14*1.5*10^4/5</f>
        <v>42000</v>
      </c>
      <c r="F17" s="18">
        <f t="shared" si="17"/>
        <v>-1.2570696084895316</v>
      </c>
      <c r="G17" s="18">
        <f t="shared" si="18"/>
        <v>-0.4190232028298439</v>
      </c>
      <c r="H17" s="18">
        <f t="shared" si="19"/>
        <v>-1.8556741839607371</v>
      </c>
      <c r="I17" s="18">
        <f t="shared" si="20"/>
        <v>-5.9860457547120556E-2</v>
      </c>
      <c r="J17" s="18">
        <f t="shared" si="21"/>
        <v>-0.77818594811256725</v>
      </c>
      <c r="K17" s="10">
        <v>2</v>
      </c>
      <c r="L17" s="21">
        <v>44344</v>
      </c>
      <c r="M17" s="10"/>
      <c r="N17" s="11"/>
      <c r="O17" s="11"/>
      <c r="P17" s="11"/>
      <c r="Q17" s="12"/>
      <c r="R17" s="10">
        <f t="shared" si="23"/>
        <v>48.780487804878049</v>
      </c>
      <c r="S17" s="11">
        <f t="shared" si="24"/>
        <v>82.926829268292678</v>
      </c>
      <c r="T17" s="11">
        <f t="shared" si="25"/>
        <v>24.390243902439025</v>
      </c>
      <c r="U17" s="11">
        <f t="shared" si="26"/>
        <v>97.560975609756099</v>
      </c>
      <c r="V17" s="12">
        <f t="shared" si="27"/>
        <v>68.292682926829272</v>
      </c>
      <c r="W17" s="22"/>
    </row>
    <row r="18" spans="1:23" ht="15" thickBot="1" x14ac:dyDescent="0.35">
      <c r="A18" s="1">
        <f>27*1.5/2*10^4</f>
        <v>202500</v>
      </c>
      <c r="B18" s="3">
        <f>31*1.5*10^4/2</f>
        <v>232500</v>
      </c>
      <c r="C18" s="3">
        <f>30*1.5*10^4/2</f>
        <v>225000</v>
      </c>
      <c r="D18" s="3">
        <f>55*1.5*10^4/2</f>
        <v>412500</v>
      </c>
      <c r="E18" s="16">
        <f>27*1.5*10^4/2</f>
        <v>202500</v>
      </c>
      <c r="F18" s="18">
        <f>(A18-$M$18)/$M$20</f>
        <v>0</v>
      </c>
      <c r="G18" s="18">
        <f t="shared" ref="G18:J18" si="28">(B18-$M$18)/$M$20</f>
        <v>0.38772847648685832</v>
      </c>
      <c r="H18" s="18">
        <f t="shared" si="28"/>
        <v>0.29079635736514375</v>
      </c>
      <c r="I18" s="18">
        <f t="shared" si="28"/>
        <v>2.7140993354080081</v>
      </c>
      <c r="J18" s="18">
        <f t="shared" si="28"/>
        <v>0</v>
      </c>
      <c r="K18" s="18">
        <v>3</v>
      </c>
      <c r="L18" s="19">
        <v>44337</v>
      </c>
      <c r="M18" s="18">
        <f>AVERAGE(A18:A25)</f>
        <v>202500</v>
      </c>
      <c r="N18" s="5">
        <f t="shared" ref="N18" si="29">AVERAGE(B18:B25)</f>
        <v>270937.5</v>
      </c>
      <c r="O18" s="5">
        <f t="shared" ref="O18" si="30">AVERAGE(C18:C25)</f>
        <v>230625</v>
      </c>
      <c r="P18" s="5">
        <f t="shared" ref="P18" si="31">AVERAGE(D18:D25)</f>
        <v>363750</v>
      </c>
      <c r="Q18" s="6">
        <f t="shared" ref="Q18" si="32">AVERAGE(E18:E25)</f>
        <v>195000</v>
      </c>
      <c r="R18" s="18">
        <f>A18/$M$18*100</f>
        <v>100</v>
      </c>
      <c r="S18" s="5">
        <f t="shared" ref="S18:V18" si="33">B18/$M$18*100</f>
        <v>114.81481481481481</v>
      </c>
      <c r="T18" s="5">
        <f t="shared" si="33"/>
        <v>111.11111111111111</v>
      </c>
      <c r="U18" s="5">
        <f t="shared" si="33"/>
        <v>203.70370370370372</v>
      </c>
      <c r="V18" s="6">
        <f t="shared" si="33"/>
        <v>100</v>
      </c>
      <c r="W18" s="22"/>
    </row>
    <row r="19" spans="1:23" ht="15" thickBot="1" x14ac:dyDescent="0.35">
      <c r="A19" s="1">
        <f>23*1.5*10^4/2</f>
        <v>172500</v>
      </c>
      <c r="B19" s="3">
        <f>39*1.5*10^4/2</f>
        <v>292500</v>
      </c>
      <c r="C19" s="3">
        <f>33*1.5*10^4/2</f>
        <v>247500</v>
      </c>
      <c r="D19" s="3">
        <f>38*1.5*10^4/2</f>
        <v>285000</v>
      </c>
      <c r="E19" s="16">
        <f>32*1.5*10^4/2</f>
        <v>240000</v>
      </c>
      <c r="F19" s="18">
        <f t="shared" ref="F19:F25" si="34">(A19-$M$18)/$M$20</f>
        <v>-0.38772847648685832</v>
      </c>
      <c r="G19" s="18">
        <f t="shared" ref="G19:G25" si="35">(B19-$M$18)/$M$20</f>
        <v>1.163185429460575</v>
      </c>
      <c r="H19" s="18">
        <f t="shared" ref="H19:H25" si="36">(C19-$M$18)/$M$20</f>
        <v>0.58159271473028751</v>
      </c>
      <c r="I19" s="18">
        <f t="shared" ref="I19:I25" si="37">(D19-$M$18)/$M$20</f>
        <v>1.0662533103388603</v>
      </c>
      <c r="J19" s="18">
        <f t="shared" ref="J19:J25" si="38">(E19-$M$18)/$M$20</f>
        <v>0.48466059560857289</v>
      </c>
      <c r="K19" s="7">
        <v>3</v>
      </c>
      <c r="L19" s="20">
        <v>44337</v>
      </c>
      <c r="M19" s="7">
        <f>_xlfn.STDEV.P(A18:A25)</f>
        <v>25708.704751503916</v>
      </c>
      <c r="N19" s="8">
        <f t="shared" ref="N19:Q19" si="39">_xlfn.STDEV.P(B18:B25)</f>
        <v>45379.261163553558</v>
      </c>
      <c r="O19" s="8">
        <f t="shared" si="39"/>
        <v>30407.390137925351</v>
      </c>
      <c r="P19" s="8">
        <f t="shared" si="39"/>
        <v>67811.77995009422</v>
      </c>
      <c r="Q19" s="9">
        <f t="shared" si="39"/>
        <v>44052.525466765241</v>
      </c>
      <c r="R19" s="7">
        <f t="shared" ref="R19:R25" si="40">A19/$M$18*100</f>
        <v>85.18518518518519</v>
      </c>
      <c r="S19" s="8">
        <f t="shared" ref="S19:S25" si="41">B19/$M$18*100</f>
        <v>144.44444444444443</v>
      </c>
      <c r="T19" s="8">
        <f t="shared" ref="T19:T25" si="42">C19/$M$18*100</f>
        <v>122.22222222222223</v>
      </c>
      <c r="U19" s="8">
        <f t="shared" ref="U19:U25" si="43">D19/$M$18*100</f>
        <v>140.74074074074073</v>
      </c>
      <c r="V19" s="9">
        <f t="shared" ref="V19:V25" si="44">E19/$M$18*100</f>
        <v>118.5185185185185</v>
      </c>
      <c r="W19" s="22"/>
    </row>
    <row r="20" spans="1:23" ht="15" thickBot="1" x14ac:dyDescent="0.35">
      <c r="A20" s="1">
        <f>25*1.5*10^4/2</f>
        <v>187500</v>
      </c>
      <c r="B20" s="3">
        <f>37*1.5*10^4/2</f>
        <v>277500</v>
      </c>
      <c r="C20" s="3">
        <f>31*1.5*10^4/2</f>
        <v>232500</v>
      </c>
      <c r="D20" s="3">
        <f>38*1.5*10^4/2</f>
        <v>285000</v>
      </c>
      <c r="E20" s="16">
        <f>28*1.5*10^4/2</f>
        <v>210000</v>
      </c>
      <c r="F20" s="18">
        <f t="shared" si="34"/>
        <v>-0.19386423824342916</v>
      </c>
      <c r="G20" s="18">
        <f t="shared" si="35"/>
        <v>0.96932119121714577</v>
      </c>
      <c r="H20" s="18">
        <f t="shared" si="36"/>
        <v>0.38772847648685832</v>
      </c>
      <c r="I20" s="18">
        <f t="shared" si="37"/>
        <v>1.0662533103388603</v>
      </c>
      <c r="J20" s="18">
        <f t="shared" si="38"/>
        <v>9.693211912171458E-2</v>
      </c>
      <c r="K20" s="7">
        <v>3</v>
      </c>
      <c r="L20" s="20">
        <v>44337</v>
      </c>
      <c r="M20" s="7">
        <f>STDEV(A18:E25)</f>
        <v>77373.733989891305</v>
      </c>
      <c r="N20" s="8"/>
      <c r="O20" s="8"/>
      <c r="P20" s="8"/>
      <c r="Q20" s="9"/>
      <c r="R20" s="7">
        <f t="shared" si="40"/>
        <v>92.592592592592595</v>
      </c>
      <c r="S20" s="8">
        <f t="shared" si="41"/>
        <v>137.03703703703704</v>
      </c>
      <c r="T20" s="8">
        <f t="shared" si="42"/>
        <v>114.81481481481481</v>
      </c>
      <c r="U20" s="8">
        <f t="shared" si="43"/>
        <v>140.74074074074073</v>
      </c>
      <c r="V20" s="9">
        <f t="shared" si="44"/>
        <v>103.7037037037037</v>
      </c>
      <c r="W20" s="22"/>
    </row>
    <row r="21" spans="1:23" ht="15" thickBot="1" x14ac:dyDescent="0.35">
      <c r="A21" s="2">
        <f>32*1.5*10^4/2</f>
        <v>240000</v>
      </c>
      <c r="B21" s="4">
        <f>37*1.5*10^4/2</f>
        <v>277500</v>
      </c>
      <c r="C21" s="4">
        <f>26*1.5*10^4/2</f>
        <v>195000</v>
      </c>
      <c r="D21" s="4">
        <f>40*1.5*10^4/2</f>
        <v>300000</v>
      </c>
      <c r="E21" s="17">
        <f>17*1.5*10^4/2</f>
        <v>127500</v>
      </c>
      <c r="F21" s="18">
        <f t="shared" si="34"/>
        <v>0.48466059560857289</v>
      </c>
      <c r="G21" s="18">
        <f t="shared" si="35"/>
        <v>0.96932119121714577</v>
      </c>
      <c r="H21" s="18">
        <f t="shared" si="36"/>
        <v>-9.693211912171458E-2</v>
      </c>
      <c r="I21" s="18">
        <f t="shared" si="37"/>
        <v>1.2601175485822895</v>
      </c>
      <c r="J21" s="18">
        <f t="shared" si="38"/>
        <v>-0.96932119121714577</v>
      </c>
      <c r="K21" s="7">
        <v>3</v>
      </c>
      <c r="L21" s="20">
        <v>44337</v>
      </c>
      <c r="M21" s="7"/>
      <c r="N21" s="8"/>
      <c r="O21" s="8"/>
      <c r="P21" s="8"/>
      <c r="Q21" s="9"/>
      <c r="R21" s="7">
        <f t="shared" si="40"/>
        <v>118.5185185185185</v>
      </c>
      <c r="S21" s="8">
        <f t="shared" si="41"/>
        <v>137.03703703703704</v>
      </c>
      <c r="T21" s="8">
        <f t="shared" si="42"/>
        <v>96.296296296296291</v>
      </c>
      <c r="U21" s="8">
        <f t="shared" si="43"/>
        <v>148.14814814814815</v>
      </c>
      <c r="V21" s="9">
        <f t="shared" si="44"/>
        <v>62.962962962962962</v>
      </c>
      <c r="W21" s="22"/>
    </row>
    <row r="22" spans="1:23" ht="15" thickBot="1" x14ac:dyDescent="0.35">
      <c r="A22" s="1">
        <f>24*1.5*10^4/2</f>
        <v>180000</v>
      </c>
      <c r="B22" s="3">
        <f>32*1.5*10^4/2</f>
        <v>240000</v>
      </c>
      <c r="C22" s="3">
        <f>34*1.5*10^4/2</f>
        <v>255000</v>
      </c>
      <c r="D22" s="3">
        <f>45*1.5*10^4/2</f>
        <v>337500</v>
      </c>
      <c r="E22" s="16">
        <f>33*1.5*10^4/2</f>
        <v>247500</v>
      </c>
      <c r="F22" s="18">
        <f t="shared" si="34"/>
        <v>-0.29079635736514375</v>
      </c>
      <c r="G22" s="18">
        <f t="shared" si="35"/>
        <v>0.48466059560857289</v>
      </c>
      <c r="H22" s="18">
        <f t="shared" si="36"/>
        <v>0.67852483385200202</v>
      </c>
      <c r="I22" s="18">
        <f t="shared" si="37"/>
        <v>1.7447781441908623</v>
      </c>
      <c r="J22" s="18">
        <f t="shared" si="38"/>
        <v>0.58159271473028751</v>
      </c>
      <c r="K22" s="7">
        <v>3</v>
      </c>
      <c r="L22" s="20">
        <v>44337</v>
      </c>
      <c r="M22" s="7"/>
      <c r="N22" s="8"/>
      <c r="O22" s="8"/>
      <c r="P22" s="8"/>
      <c r="Q22" s="9"/>
      <c r="R22" s="7">
        <f t="shared" si="40"/>
        <v>88.888888888888886</v>
      </c>
      <c r="S22" s="8">
        <f t="shared" si="41"/>
        <v>118.5185185185185</v>
      </c>
      <c r="T22" s="8">
        <f t="shared" si="42"/>
        <v>125.92592592592592</v>
      </c>
      <c r="U22" s="8">
        <f t="shared" si="43"/>
        <v>166.66666666666669</v>
      </c>
      <c r="V22" s="9">
        <f t="shared" si="44"/>
        <v>122.22222222222223</v>
      </c>
      <c r="W22" s="22"/>
    </row>
    <row r="23" spans="1:23" ht="15" thickBot="1" x14ac:dyDescent="0.35">
      <c r="A23" s="1">
        <f>25*1.5*10^4/2</f>
        <v>187500</v>
      </c>
      <c r="B23" s="3">
        <f>33*1.5*10^4/2</f>
        <v>247500</v>
      </c>
      <c r="C23" s="3">
        <f>36*1.5*10^4/2</f>
        <v>270000</v>
      </c>
      <c r="D23" s="3">
        <f>51*1.5*10^4/2</f>
        <v>382500</v>
      </c>
      <c r="E23" s="16">
        <f>27*1.5*10^4/2</f>
        <v>202500</v>
      </c>
      <c r="F23" s="18">
        <f t="shared" si="34"/>
        <v>-0.19386423824342916</v>
      </c>
      <c r="G23" s="18">
        <f t="shared" si="35"/>
        <v>0.58159271473028751</v>
      </c>
      <c r="H23" s="18">
        <f t="shared" si="36"/>
        <v>0.87238907209543115</v>
      </c>
      <c r="I23" s="18">
        <f t="shared" si="37"/>
        <v>2.32637085892115</v>
      </c>
      <c r="J23" s="18">
        <f t="shared" si="38"/>
        <v>0</v>
      </c>
      <c r="K23" s="7">
        <v>3</v>
      </c>
      <c r="L23" s="20">
        <v>44337</v>
      </c>
      <c r="M23" s="7"/>
      <c r="N23" s="8"/>
      <c r="O23" s="8"/>
      <c r="P23" s="8"/>
      <c r="Q23" s="9"/>
      <c r="R23" s="7">
        <f t="shared" si="40"/>
        <v>92.592592592592595</v>
      </c>
      <c r="S23" s="8">
        <f t="shared" si="41"/>
        <v>122.22222222222223</v>
      </c>
      <c r="T23" s="8">
        <f t="shared" si="42"/>
        <v>133.33333333333331</v>
      </c>
      <c r="U23" s="8">
        <f t="shared" si="43"/>
        <v>188.88888888888889</v>
      </c>
      <c r="V23" s="9">
        <f t="shared" si="44"/>
        <v>100</v>
      </c>
      <c r="W23" s="22"/>
    </row>
    <row r="24" spans="1:23" ht="15" thickBot="1" x14ac:dyDescent="0.35">
      <c r="A24" s="1">
        <f>33*1.5*10^4/2</f>
        <v>247500</v>
      </c>
      <c r="B24" s="3">
        <f>50*1.5*10^4/2</f>
        <v>375000</v>
      </c>
      <c r="C24" s="3">
        <f>33*1.5*10^4/2</f>
        <v>247500</v>
      </c>
      <c r="D24" s="3">
        <f>63*1.5*10^4/2</f>
        <v>472500</v>
      </c>
      <c r="E24" s="16">
        <f>28*1.5*10^4/2</f>
        <v>210000</v>
      </c>
      <c r="F24" s="18">
        <f t="shared" si="34"/>
        <v>0.58159271473028751</v>
      </c>
      <c r="G24" s="18">
        <f t="shared" si="35"/>
        <v>2.2294387397994351</v>
      </c>
      <c r="H24" s="18">
        <f t="shared" si="36"/>
        <v>0.58159271473028751</v>
      </c>
      <c r="I24" s="18">
        <f t="shared" si="37"/>
        <v>3.4895562883817246</v>
      </c>
      <c r="J24" s="18">
        <f t="shared" si="38"/>
        <v>9.693211912171458E-2</v>
      </c>
      <c r="K24" s="7">
        <v>3</v>
      </c>
      <c r="L24" s="20">
        <v>44337</v>
      </c>
      <c r="M24" s="7"/>
      <c r="N24" s="8"/>
      <c r="O24" s="8"/>
      <c r="P24" s="8"/>
      <c r="Q24" s="9"/>
      <c r="R24" s="7">
        <f t="shared" si="40"/>
        <v>122.22222222222223</v>
      </c>
      <c r="S24" s="8">
        <f t="shared" si="41"/>
        <v>185.18518518518519</v>
      </c>
      <c r="T24" s="8">
        <f t="shared" si="42"/>
        <v>122.22222222222223</v>
      </c>
      <c r="U24" s="8">
        <f t="shared" si="43"/>
        <v>233.33333333333334</v>
      </c>
      <c r="V24" s="9">
        <f t="shared" si="44"/>
        <v>103.7037037037037</v>
      </c>
      <c r="W24" s="22"/>
    </row>
    <row r="25" spans="1:23" ht="15" thickBot="1" x14ac:dyDescent="0.35">
      <c r="A25" s="2">
        <f>27*1.5*10^4/2</f>
        <v>202500</v>
      </c>
      <c r="B25" s="4">
        <f>30*1.5*10^4/2</f>
        <v>225000</v>
      </c>
      <c r="C25" s="4">
        <f>23*1.5*10^4/2</f>
        <v>172500</v>
      </c>
      <c r="D25" s="4">
        <f>58*1.5*10^4/2</f>
        <v>435000</v>
      </c>
      <c r="E25" s="17">
        <f>16*1.5*10^4/2</f>
        <v>120000</v>
      </c>
      <c r="F25" s="18">
        <f t="shared" si="34"/>
        <v>0</v>
      </c>
      <c r="G25" s="18">
        <f t="shared" si="35"/>
        <v>0.29079635736514375</v>
      </c>
      <c r="H25" s="18">
        <f t="shared" si="36"/>
        <v>-0.38772847648685832</v>
      </c>
      <c r="I25" s="18">
        <f t="shared" si="37"/>
        <v>3.004895692773152</v>
      </c>
      <c r="J25" s="18">
        <f t="shared" si="38"/>
        <v>-1.0662533103388603</v>
      </c>
      <c r="K25" s="10">
        <v>3</v>
      </c>
      <c r="L25" s="21">
        <v>44337</v>
      </c>
      <c r="M25" s="10"/>
      <c r="N25" s="11"/>
      <c r="O25" s="11"/>
      <c r="P25" s="11"/>
      <c r="Q25" s="12"/>
      <c r="R25" s="10">
        <f t="shared" si="40"/>
        <v>100</v>
      </c>
      <c r="S25" s="11">
        <f t="shared" si="41"/>
        <v>111.11111111111111</v>
      </c>
      <c r="T25" s="11">
        <f t="shared" si="42"/>
        <v>85.18518518518519</v>
      </c>
      <c r="U25" s="11">
        <f t="shared" si="43"/>
        <v>214.81481481481484</v>
      </c>
      <c r="V25" s="12">
        <f t="shared" si="44"/>
        <v>59.259259259259252</v>
      </c>
      <c r="W25" s="22"/>
    </row>
    <row r="26" spans="1:23" ht="15" thickBot="1" x14ac:dyDescent="0.35">
      <c r="A26" s="1">
        <f>46*1.5/5*10^4</f>
        <v>138000</v>
      </c>
      <c r="B26" s="3">
        <f>71*1.5*10^4/5</f>
        <v>213000</v>
      </c>
      <c r="C26" s="3">
        <f>49*1.5*10^4/5</f>
        <v>147000</v>
      </c>
      <c r="D26" s="3">
        <f>52*1.5*10^4/5</f>
        <v>156000</v>
      </c>
      <c r="E26" s="16">
        <f>50*1.5*10^4/5</f>
        <v>150000</v>
      </c>
      <c r="F26" s="18">
        <f>(A26-$M$26)/$M$28</f>
        <v>0.12451518001418925</v>
      </c>
      <c r="G26" s="18">
        <f t="shared" ref="G26:J26" si="45">(B26-$M$26)/$M$28</f>
        <v>1.680954930191555</v>
      </c>
      <c r="H26" s="18">
        <f t="shared" si="45"/>
        <v>0.3112879500354731</v>
      </c>
      <c r="I26" s="18">
        <f t="shared" si="45"/>
        <v>0.498060720056757</v>
      </c>
      <c r="J26" s="18">
        <f t="shared" si="45"/>
        <v>0.37354554004256774</v>
      </c>
      <c r="K26" s="18">
        <v>4</v>
      </c>
      <c r="L26" s="19">
        <v>44288</v>
      </c>
      <c r="M26" s="18">
        <f>MEDIAN(A26:A33)</f>
        <v>132000</v>
      </c>
      <c r="N26" s="5">
        <f>MEDIAN(B26:B33)</f>
        <v>211500</v>
      </c>
      <c r="O26" s="5">
        <f t="shared" ref="O26:Q26" si="46">MEDIAN(C26:C33)</f>
        <v>159000</v>
      </c>
      <c r="P26" s="5">
        <f t="shared" si="46"/>
        <v>163500</v>
      </c>
      <c r="Q26" s="6">
        <f t="shared" si="46"/>
        <v>141000</v>
      </c>
      <c r="R26" s="18">
        <f>A26/$M$26*100</f>
        <v>104.54545454545455</v>
      </c>
      <c r="S26" s="5">
        <f t="shared" ref="S26:V26" si="47">B26/$M$26*100</f>
        <v>161.36363636363635</v>
      </c>
      <c r="T26" s="5">
        <f t="shared" si="47"/>
        <v>111.36363636363636</v>
      </c>
      <c r="U26" s="5">
        <f t="shared" si="47"/>
        <v>118.18181818181819</v>
      </c>
      <c r="V26" s="6">
        <f t="shared" si="47"/>
        <v>113.63636363636364</v>
      </c>
      <c r="W26" s="22"/>
    </row>
    <row r="27" spans="1:23" ht="15" thickBot="1" x14ac:dyDescent="0.35">
      <c r="A27" s="1">
        <f>39*1.5*10^4/5</f>
        <v>117000</v>
      </c>
      <c r="B27" s="3">
        <f>87*1.5*10^4/5</f>
        <v>261000</v>
      </c>
      <c r="C27" s="3">
        <f>69*1.5*10^4/5</f>
        <v>207000</v>
      </c>
      <c r="D27" s="3">
        <f>71*1.5*10^4/5</f>
        <v>213000</v>
      </c>
      <c r="E27" s="16">
        <f>48*1.5*10^4/5</f>
        <v>144000</v>
      </c>
      <c r="F27" s="18">
        <f t="shared" ref="F27:F33" si="48">(A27-$M$26)/$M$28</f>
        <v>-0.3112879500354731</v>
      </c>
      <c r="G27" s="18">
        <f t="shared" ref="G27:G33" si="49">(B27-$M$26)/$M$28</f>
        <v>2.6770763703050688</v>
      </c>
      <c r="H27" s="18">
        <f t="shared" ref="H27:H33" si="50">(C27-$M$26)/$M$28</f>
        <v>1.5564397501773657</v>
      </c>
      <c r="I27" s="18">
        <f t="shared" ref="I27:I33" si="51">(D27-$M$26)/$M$28</f>
        <v>1.680954930191555</v>
      </c>
      <c r="J27" s="18">
        <f t="shared" ref="J27:J33" si="52">(E27-$M$26)/$M$28</f>
        <v>0.2490303600283785</v>
      </c>
      <c r="K27" s="7">
        <v>4</v>
      </c>
      <c r="L27" s="20">
        <v>44288</v>
      </c>
      <c r="M27" s="7">
        <f>_xlfn.STDEV.P(A26:A33)</f>
        <v>24128.56191321812</v>
      </c>
      <c r="N27" s="8">
        <f t="shared" ref="N27:Q27" si="53">_xlfn.STDEV.P(B26:B33)</f>
        <v>43601.712982404715</v>
      </c>
      <c r="O27" s="8">
        <f t="shared" si="53"/>
        <v>47539.292958562182</v>
      </c>
      <c r="P27" s="8">
        <f t="shared" si="53"/>
        <v>41186.883531046631</v>
      </c>
      <c r="Q27" s="9">
        <f t="shared" si="53"/>
        <v>46012.056843831706</v>
      </c>
      <c r="R27" s="7">
        <f t="shared" ref="R27:R33" si="54">A27/$M$26*100</f>
        <v>88.63636363636364</v>
      </c>
      <c r="S27" s="8">
        <f t="shared" ref="S27:S33" si="55">B27/$M$26*100</f>
        <v>197.72727272727272</v>
      </c>
      <c r="T27" s="8">
        <f t="shared" ref="T27:T33" si="56">C27/$M$26*100</f>
        <v>156.81818181818181</v>
      </c>
      <c r="U27" s="8">
        <f t="shared" ref="U27:U33" si="57">D27/$M$26*100</f>
        <v>161.36363636363635</v>
      </c>
      <c r="V27" s="9">
        <f t="shared" ref="V27:V33" si="58">E27/$M$26*100</f>
        <v>109.09090909090908</v>
      </c>
      <c r="W27" s="22"/>
    </row>
    <row r="28" spans="1:23" ht="15" thickBot="1" x14ac:dyDescent="0.35">
      <c r="A28" s="1">
        <f>44*1.5*10^4/5</f>
        <v>132000</v>
      </c>
      <c r="B28" s="3">
        <f>58*1.5*10^4/5</f>
        <v>174000</v>
      </c>
      <c r="C28" s="3">
        <f>35*1.5*10^4/5</f>
        <v>105000</v>
      </c>
      <c r="D28" s="3">
        <f>42*1.5*10^4/5</f>
        <v>126000</v>
      </c>
      <c r="E28" s="16">
        <f>33*1.5*10^4/5</f>
        <v>99000</v>
      </c>
      <c r="F28" s="18">
        <f t="shared" si="48"/>
        <v>0</v>
      </c>
      <c r="G28" s="18">
        <f t="shared" si="49"/>
        <v>0.87160626009932474</v>
      </c>
      <c r="H28" s="18">
        <f t="shared" si="50"/>
        <v>-0.56031831006385158</v>
      </c>
      <c r="I28" s="18">
        <f t="shared" si="51"/>
        <v>-0.12451518001418925</v>
      </c>
      <c r="J28" s="18">
        <f t="shared" si="52"/>
        <v>-0.68483349007804084</v>
      </c>
      <c r="K28" s="7">
        <v>4</v>
      </c>
      <c r="L28" s="20">
        <v>44288</v>
      </c>
      <c r="M28" s="7">
        <f>STDEV(A26:E33)</f>
        <v>48186.895760952713</v>
      </c>
      <c r="N28" s="8"/>
      <c r="O28" s="8"/>
      <c r="P28" s="8"/>
      <c r="Q28" s="9"/>
      <c r="R28" s="7">
        <f t="shared" si="54"/>
        <v>100</v>
      </c>
      <c r="S28" s="8">
        <f t="shared" si="55"/>
        <v>131.81818181818181</v>
      </c>
      <c r="T28" s="8">
        <f t="shared" si="56"/>
        <v>79.545454545454547</v>
      </c>
      <c r="U28" s="8">
        <f t="shared" si="57"/>
        <v>95.454545454545453</v>
      </c>
      <c r="V28" s="9">
        <f t="shared" si="58"/>
        <v>75</v>
      </c>
      <c r="W28" s="22"/>
    </row>
    <row r="29" spans="1:23" ht="15" thickBot="1" x14ac:dyDescent="0.35">
      <c r="A29" s="2">
        <f>50*1.5*10^4/5</f>
        <v>150000</v>
      </c>
      <c r="B29" s="4">
        <f>82*1.5*10^4/5</f>
        <v>246000</v>
      </c>
      <c r="C29" s="4">
        <f>26*1.5*10^4/5</f>
        <v>78000</v>
      </c>
      <c r="D29" s="4">
        <f>31*1.5*10^4/5</f>
        <v>93000</v>
      </c>
      <c r="E29" s="17">
        <f>48*1.5*10^4/5</f>
        <v>144000</v>
      </c>
      <c r="F29" s="18">
        <f t="shared" si="48"/>
        <v>0.37354554004256774</v>
      </c>
      <c r="G29" s="18">
        <f t="shared" si="49"/>
        <v>2.3657884202695958</v>
      </c>
      <c r="H29" s="18">
        <f t="shared" si="50"/>
        <v>-1.1206366201277032</v>
      </c>
      <c r="I29" s="18">
        <f t="shared" si="51"/>
        <v>-0.8093486700922301</v>
      </c>
      <c r="J29" s="18">
        <f t="shared" si="52"/>
        <v>0.2490303600283785</v>
      </c>
      <c r="K29" s="7">
        <v>4</v>
      </c>
      <c r="L29" s="20">
        <v>44288</v>
      </c>
      <c r="M29" s="7"/>
      <c r="N29" s="8"/>
      <c r="O29" s="8"/>
      <c r="P29" s="8"/>
      <c r="Q29" s="9"/>
      <c r="R29" s="7">
        <f t="shared" si="54"/>
        <v>113.63636363636364</v>
      </c>
      <c r="S29" s="8">
        <f t="shared" si="55"/>
        <v>186.36363636363635</v>
      </c>
      <c r="T29" s="8">
        <f t="shared" si="56"/>
        <v>59.090909090909093</v>
      </c>
      <c r="U29" s="8">
        <f t="shared" si="57"/>
        <v>70.454545454545453</v>
      </c>
      <c r="V29" s="9">
        <f t="shared" si="58"/>
        <v>109.09090909090908</v>
      </c>
      <c r="W29" s="22"/>
    </row>
    <row r="30" spans="1:23" ht="15" thickBot="1" x14ac:dyDescent="0.35">
      <c r="A30" s="1">
        <f>63*1.5*10^4/5</f>
        <v>189000</v>
      </c>
      <c r="B30" s="3">
        <f>79*1.5*10^4/5</f>
        <v>237000</v>
      </c>
      <c r="C30" s="3">
        <f>76*1.5*10^4/5</f>
        <v>228000</v>
      </c>
      <c r="D30" s="3">
        <f>60*1.5*10^4/5</f>
        <v>180000</v>
      </c>
      <c r="E30" s="16">
        <f>84*1.5*10^4/5</f>
        <v>252000</v>
      </c>
      <c r="F30" s="18">
        <f t="shared" si="48"/>
        <v>1.1828942101347979</v>
      </c>
      <c r="G30" s="18">
        <f t="shared" si="49"/>
        <v>2.1790156502483118</v>
      </c>
      <c r="H30" s="18">
        <f t="shared" si="50"/>
        <v>1.992242880227028</v>
      </c>
      <c r="I30" s="18">
        <f t="shared" si="51"/>
        <v>0.996121440113514</v>
      </c>
      <c r="J30" s="18">
        <f t="shared" si="52"/>
        <v>2.4903036002837848</v>
      </c>
      <c r="K30" s="7">
        <v>4</v>
      </c>
      <c r="L30" s="20">
        <v>44288</v>
      </c>
      <c r="M30" s="7"/>
      <c r="N30" s="8"/>
      <c r="O30" s="8"/>
      <c r="P30" s="8"/>
      <c r="Q30" s="9"/>
      <c r="R30" s="7">
        <f t="shared" si="54"/>
        <v>143.18181818181819</v>
      </c>
      <c r="S30" s="8">
        <f t="shared" si="55"/>
        <v>179.54545454545453</v>
      </c>
      <c r="T30" s="8">
        <f t="shared" si="56"/>
        <v>172.72727272727272</v>
      </c>
      <c r="U30" s="8">
        <f t="shared" si="57"/>
        <v>136.36363636363635</v>
      </c>
      <c r="V30" s="9">
        <f t="shared" si="58"/>
        <v>190.90909090909091</v>
      </c>
      <c r="W30" s="22"/>
    </row>
    <row r="31" spans="1:23" ht="15" thickBot="1" x14ac:dyDescent="0.35">
      <c r="A31" s="1">
        <f>34*1.5*10^4/5</f>
        <v>102000</v>
      </c>
      <c r="B31" s="3">
        <f>70*1.5*10^4/5</f>
        <v>210000</v>
      </c>
      <c r="C31" s="3">
        <f>60*1.5*10^4/5</f>
        <v>180000</v>
      </c>
      <c r="D31" s="3">
        <f>57*1.5*10^4/5</f>
        <v>171000</v>
      </c>
      <c r="E31" s="16">
        <f>46*1.5*10^4/5</f>
        <v>138000</v>
      </c>
      <c r="F31" s="18">
        <f t="shared" si="48"/>
        <v>-0.62257590007094621</v>
      </c>
      <c r="G31" s="18">
        <f t="shared" si="49"/>
        <v>1.6186973401844602</v>
      </c>
      <c r="H31" s="18">
        <f t="shared" si="50"/>
        <v>0.996121440113514</v>
      </c>
      <c r="I31" s="18">
        <f t="shared" si="51"/>
        <v>0.8093486700922301</v>
      </c>
      <c r="J31" s="18">
        <f t="shared" si="52"/>
        <v>0.12451518001418925</v>
      </c>
      <c r="K31" s="7">
        <v>4</v>
      </c>
      <c r="L31" s="20">
        <v>44288</v>
      </c>
      <c r="M31" s="7"/>
      <c r="N31" s="8"/>
      <c r="O31" s="8"/>
      <c r="P31" s="8"/>
      <c r="Q31" s="9"/>
      <c r="R31" s="7">
        <f t="shared" si="54"/>
        <v>77.272727272727266</v>
      </c>
      <c r="S31" s="8">
        <f t="shared" si="55"/>
        <v>159.09090909090909</v>
      </c>
      <c r="T31" s="8">
        <f t="shared" si="56"/>
        <v>136.36363636363635</v>
      </c>
      <c r="U31" s="8">
        <f t="shared" si="57"/>
        <v>129.54545454545453</v>
      </c>
      <c r="V31" s="9">
        <f t="shared" si="58"/>
        <v>104.54545454545455</v>
      </c>
      <c r="W31" s="22"/>
    </row>
    <row r="32" spans="1:23" ht="15" thickBot="1" x14ac:dyDescent="0.35">
      <c r="A32" s="1">
        <f>42*1.5*10^4/5</f>
        <v>126000</v>
      </c>
      <c r="B32" s="3">
        <f>44*1.5*10^4/5</f>
        <v>132000</v>
      </c>
      <c r="C32" s="3">
        <f>43*1.5*10^4/5</f>
        <v>129000</v>
      </c>
      <c r="D32" s="3">
        <f>70*1.5*10^4/5</f>
        <v>210000</v>
      </c>
      <c r="E32" s="16">
        <f>32*1.5*10^4/5</f>
        <v>96000</v>
      </c>
      <c r="F32" s="18">
        <f t="shared" si="48"/>
        <v>-0.12451518001418925</v>
      </c>
      <c r="G32" s="18">
        <f t="shared" si="49"/>
        <v>0</v>
      </c>
      <c r="H32" s="18">
        <f t="shared" si="50"/>
        <v>-6.2257590007094625E-2</v>
      </c>
      <c r="I32" s="18">
        <f t="shared" si="51"/>
        <v>1.6186973401844602</v>
      </c>
      <c r="J32" s="18">
        <f t="shared" si="52"/>
        <v>-0.74709108008513547</v>
      </c>
      <c r="K32" s="7">
        <v>4</v>
      </c>
      <c r="L32" s="20">
        <v>44288</v>
      </c>
      <c r="M32" s="7"/>
      <c r="N32" s="8"/>
      <c r="O32" s="8"/>
      <c r="P32" s="8"/>
      <c r="Q32" s="9"/>
      <c r="R32" s="7">
        <f t="shared" si="54"/>
        <v>95.454545454545453</v>
      </c>
      <c r="S32" s="8">
        <f t="shared" si="55"/>
        <v>100</v>
      </c>
      <c r="T32" s="8">
        <f t="shared" si="56"/>
        <v>97.727272727272734</v>
      </c>
      <c r="U32" s="8">
        <f t="shared" si="57"/>
        <v>159.09090909090909</v>
      </c>
      <c r="V32" s="9">
        <f t="shared" si="58"/>
        <v>72.727272727272734</v>
      </c>
      <c r="W32" s="22"/>
    </row>
    <row r="33" spans="1:23" ht="15" thickBot="1" x14ac:dyDescent="0.35">
      <c r="A33" s="2">
        <f>44*1.5*10^4/5</f>
        <v>132000</v>
      </c>
      <c r="B33" s="4">
        <f>50*1.5*10^4/5</f>
        <v>150000</v>
      </c>
      <c r="C33" s="4">
        <f>57*1.5*10^4/5</f>
        <v>171000</v>
      </c>
      <c r="D33" s="4">
        <f>38*1.5*10^4/5</f>
        <v>114000</v>
      </c>
      <c r="E33" s="17">
        <f>38*1.5*10^4/5</f>
        <v>114000</v>
      </c>
      <c r="F33" s="18">
        <f t="shared" si="48"/>
        <v>0</v>
      </c>
      <c r="G33" s="18">
        <f t="shared" si="49"/>
        <v>0.37354554004256774</v>
      </c>
      <c r="H33" s="18">
        <f t="shared" si="50"/>
        <v>0.8093486700922301</v>
      </c>
      <c r="I33" s="18">
        <f t="shared" si="51"/>
        <v>-0.37354554004256774</v>
      </c>
      <c r="J33" s="18">
        <f t="shared" si="52"/>
        <v>-0.37354554004256774</v>
      </c>
      <c r="K33" s="10">
        <v>4</v>
      </c>
      <c r="L33" s="21">
        <v>44288</v>
      </c>
      <c r="M33" s="10"/>
      <c r="N33" s="11"/>
      <c r="O33" s="11"/>
      <c r="P33" s="11"/>
      <c r="Q33" s="12"/>
      <c r="R33" s="10">
        <f t="shared" si="54"/>
        <v>100</v>
      </c>
      <c r="S33" s="11">
        <f t="shared" si="55"/>
        <v>113.63636363636364</v>
      </c>
      <c r="T33" s="11">
        <f t="shared" si="56"/>
        <v>129.54545454545453</v>
      </c>
      <c r="U33" s="11">
        <f t="shared" si="57"/>
        <v>86.36363636363636</v>
      </c>
      <c r="V33" s="12">
        <f t="shared" si="58"/>
        <v>86.36363636363636</v>
      </c>
      <c r="W33" s="22"/>
    </row>
    <row r="34" spans="1:23" x14ac:dyDescent="0.3">
      <c r="A34" s="24"/>
      <c r="B34" s="25"/>
      <c r="C34" s="25"/>
      <c r="D34" s="25"/>
      <c r="E34" s="26"/>
      <c r="F34" s="27"/>
      <c r="G34" s="28"/>
      <c r="H34" s="28"/>
      <c r="I34" s="28"/>
      <c r="J34" s="29"/>
      <c r="K34" s="30"/>
      <c r="L34" s="31"/>
      <c r="M34" s="30"/>
      <c r="N34" s="32"/>
      <c r="O34" s="32"/>
      <c r="P34" s="32"/>
      <c r="Q34" s="33"/>
      <c r="R34" s="30"/>
      <c r="S34" s="32"/>
      <c r="T34" s="32"/>
      <c r="U34" s="32"/>
      <c r="V34" s="33"/>
      <c r="W34" s="22"/>
    </row>
    <row r="35" spans="1:23" x14ac:dyDescent="0.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34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3"/>
    </row>
    <row r="36" spans="1:23" x14ac:dyDescent="0.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4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3"/>
    </row>
    <row r="37" spans="1:23" x14ac:dyDescent="0.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34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3"/>
    </row>
    <row r="38" spans="1:23" x14ac:dyDescent="0.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34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3"/>
    </row>
    <row r="39" spans="1:23" x14ac:dyDescent="0.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34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3"/>
    </row>
    <row r="40" spans="1:23" x14ac:dyDescent="0.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34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3"/>
    </row>
    <row r="41" spans="1:23" x14ac:dyDescent="0.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34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3"/>
    </row>
    <row r="42" spans="1:23" x14ac:dyDescent="0.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35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3" x14ac:dyDescent="0.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3" x14ac:dyDescent="0.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3" x14ac:dyDescent="0.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3" x14ac:dyDescent="0.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3" x14ac:dyDescent="0.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</sheetData>
  <mergeCells count="2">
    <mergeCell ref="W2:W33"/>
    <mergeCell ref="W34:W4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2022-02-23T21:21:21Z</dcterms:modified>
</cp:coreProperties>
</file>