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utilisateur\Documents\MISAM2\STAGE\GENT DOCS\"/>
    </mc:Choice>
  </mc:AlternateContent>
  <bookViews>
    <workbookView xWindow="0" yWindow="0" windowWidth="16815" windowHeight="7905"/>
  </bookViews>
  <sheets>
    <sheet name="Feuil1" sheetId="1" r:id="rId1"/>
  </sheets>
  <externalReferences>
    <externalReference r:id="rId2"/>
  </externalReferences>
  <definedNames>
    <definedName name="pu_agglo10">[1]SDP!$E$430</definedName>
    <definedName name="pu_alu">[1]SDP!$E$1278</definedName>
    <definedName name="pu_carrgr">[1]SDP!$E$550</definedName>
    <definedName name="pu_carrmur">[1]SDP!$E$610</definedName>
    <definedName name="pu_claustra">[1]SDP!$E$462</definedName>
    <definedName name="pu_dalle60">[1]SDP!$E$701</definedName>
    <definedName name="pu_deploy">[1]SDP!$E$1843</definedName>
    <definedName name="pu_gouttière">[1]SDP!$E$850</definedName>
    <definedName name="pu_moellon">[1]SDP!$E$1519</definedName>
    <definedName name="pu_placostd">[1]SDP!$E$673</definedName>
    <definedName name="pu_polyane">[1]SDP!$E$363</definedName>
    <definedName name="pu_toiture">[1]SDP!$E$787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9" i="1" l="1"/>
  <c r="F139" i="1" s="1"/>
  <c r="F138" i="1"/>
  <c r="E138" i="1"/>
  <c r="E137" i="1"/>
  <c r="F137" i="1" s="1"/>
  <c r="F140" i="1" s="1"/>
  <c r="F134" i="1"/>
  <c r="E134" i="1"/>
  <c r="F133" i="1"/>
  <c r="E133" i="1"/>
  <c r="F132" i="1"/>
  <c r="E132" i="1"/>
  <c r="F131" i="1"/>
  <c r="F135" i="1" s="1"/>
  <c r="E131" i="1"/>
  <c r="E128" i="1"/>
  <c r="F128" i="1" s="1"/>
  <c r="F127" i="1"/>
  <c r="E127" i="1"/>
  <c r="E126" i="1"/>
  <c r="F126" i="1" s="1"/>
  <c r="E125" i="1"/>
  <c r="F125" i="1" s="1"/>
  <c r="E124" i="1"/>
  <c r="F124" i="1" s="1"/>
  <c r="E123" i="1"/>
  <c r="F123" i="1" s="1"/>
  <c r="E122" i="1"/>
  <c r="F122" i="1" s="1"/>
  <c r="D119" i="1"/>
  <c r="D118" i="1"/>
  <c r="D117" i="1"/>
  <c r="E116" i="1"/>
  <c r="F116" i="1" s="1"/>
  <c r="D116" i="1"/>
  <c r="D115" i="1"/>
  <c r="D113" i="1"/>
  <c r="D112" i="1"/>
  <c r="D114" i="1" s="1"/>
  <c r="D111" i="1"/>
  <c r="D110" i="1"/>
  <c r="D109" i="1"/>
  <c r="F105" i="1"/>
  <c r="E105" i="1"/>
  <c r="E119" i="1" s="1"/>
  <c r="F119" i="1" s="1"/>
  <c r="D105" i="1"/>
  <c r="E104" i="1"/>
  <c r="F104" i="1" s="1"/>
  <c r="D103" i="1"/>
  <c r="F102" i="1"/>
  <c r="E102" i="1"/>
  <c r="D102" i="1"/>
  <c r="D100" i="1"/>
  <c r="D98" i="1"/>
  <c r="D101" i="1" s="1"/>
  <c r="E97" i="1"/>
  <c r="E111" i="1" s="1"/>
  <c r="F111" i="1" s="1"/>
  <c r="D97" i="1"/>
  <c r="F97" i="1" s="1"/>
  <c r="D96" i="1"/>
  <c r="E94" i="1"/>
  <c r="E95" i="1" s="1"/>
  <c r="F95" i="1" s="1"/>
  <c r="D94" i="1"/>
  <c r="F94" i="1" s="1"/>
  <c r="F91" i="1"/>
  <c r="E91" i="1"/>
  <c r="F90" i="1"/>
  <c r="E90" i="1"/>
  <c r="E81" i="1"/>
  <c r="F81" i="1" s="1"/>
  <c r="E80" i="1"/>
  <c r="F80" i="1" s="1"/>
  <c r="E79" i="1"/>
  <c r="F79" i="1" s="1"/>
  <c r="F76" i="1"/>
  <c r="E76" i="1"/>
  <c r="F74" i="1"/>
  <c r="E74" i="1"/>
  <c r="E75" i="1" s="1"/>
  <c r="F75" i="1" s="1"/>
  <c r="F72" i="1"/>
  <c r="E72" i="1"/>
  <c r="D72" i="1"/>
  <c r="E71" i="1"/>
  <c r="F71" i="1" s="1"/>
  <c r="E70" i="1"/>
  <c r="F70" i="1" s="1"/>
  <c r="E68" i="1"/>
  <c r="F68" i="1" s="1"/>
  <c r="E67" i="1"/>
  <c r="F67" i="1" s="1"/>
  <c r="E66" i="1"/>
  <c r="F66" i="1" s="1"/>
  <c r="F62" i="1"/>
  <c r="E62" i="1"/>
  <c r="F61" i="1"/>
  <c r="E61" i="1"/>
  <c r="F60" i="1"/>
  <c r="E60" i="1"/>
  <c r="F59" i="1"/>
  <c r="E59" i="1"/>
  <c r="F58" i="1"/>
  <c r="F63" i="1" s="1"/>
  <c r="E58" i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F47" i="1"/>
  <c r="E47" i="1"/>
  <c r="E46" i="1"/>
  <c r="F46" i="1" s="1"/>
  <c r="F45" i="1"/>
  <c r="E45" i="1"/>
  <c r="E44" i="1"/>
  <c r="F44" i="1" s="1"/>
  <c r="F43" i="1"/>
  <c r="E43" i="1"/>
  <c r="E39" i="1"/>
  <c r="E103" i="1" s="1"/>
  <c r="F38" i="1"/>
  <c r="E38" i="1"/>
  <c r="E99" i="1" s="1"/>
  <c r="E35" i="1"/>
  <c r="F35" i="1" s="1"/>
  <c r="E34" i="1"/>
  <c r="F34" i="1" s="1"/>
  <c r="E33" i="1"/>
  <c r="E88" i="1" s="1"/>
  <c r="F88" i="1" s="1"/>
  <c r="E25" i="1"/>
  <c r="F25" i="1" s="1"/>
  <c r="E24" i="1"/>
  <c r="E87" i="1" s="1"/>
  <c r="E23" i="1"/>
  <c r="E86" i="1" s="1"/>
  <c r="E22" i="1"/>
  <c r="E85" i="1" s="1"/>
  <c r="E21" i="1"/>
  <c r="F21" i="1" s="1"/>
  <c r="E20" i="1"/>
  <c r="F20" i="1" s="1"/>
  <c r="E19" i="1"/>
  <c r="F19" i="1" s="1"/>
  <c r="E18" i="1"/>
  <c r="E84" i="1" s="1"/>
  <c r="E15" i="1"/>
  <c r="F15" i="1" s="1"/>
  <c r="E14" i="1"/>
  <c r="F14" i="1" s="1"/>
  <c r="E13" i="1"/>
  <c r="F13" i="1" s="1"/>
  <c r="F48" i="1" l="1"/>
  <c r="F129" i="1"/>
  <c r="E96" i="1"/>
  <c r="F84" i="1"/>
  <c r="F85" i="1"/>
  <c r="E98" i="1"/>
  <c r="F16" i="1"/>
  <c r="E100" i="1"/>
  <c r="F86" i="1"/>
  <c r="F103" i="1"/>
  <c r="E117" i="1"/>
  <c r="F117" i="1" s="1"/>
  <c r="F99" i="1"/>
  <c r="E113" i="1"/>
  <c r="F113" i="1" s="1"/>
  <c r="F87" i="1"/>
  <c r="E101" i="1"/>
  <c r="F56" i="1"/>
  <c r="F77" i="1"/>
  <c r="F82" i="1"/>
  <c r="F24" i="1"/>
  <c r="E30" i="1"/>
  <c r="F30" i="1" s="1"/>
  <c r="F18" i="1"/>
  <c r="F22" i="1"/>
  <c r="E28" i="1"/>
  <c r="F28" i="1" s="1"/>
  <c r="F33" i="1"/>
  <c r="F36" i="1" s="1"/>
  <c r="E118" i="1"/>
  <c r="F118" i="1" s="1"/>
  <c r="F39" i="1"/>
  <c r="E106" i="1"/>
  <c r="F106" i="1" s="1"/>
  <c r="E109" i="1"/>
  <c r="F109" i="1" s="1"/>
  <c r="F23" i="1"/>
  <c r="E29" i="1"/>
  <c r="F29" i="1" s="1"/>
  <c r="E40" i="1"/>
  <c r="F26" i="1" l="1"/>
  <c r="F96" i="1"/>
  <c r="E110" i="1"/>
  <c r="F110" i="1" s="1"/>
  <c r="F120" i="1" s="1"/>
  <c r="E112" i="1"/>
  <c r="F112" i="1" s="1"/>
  <c r="F98" i="1"/>
  <c r="F31" i="1"/>
  <c r="F100" i="1"/>
  <c r="E114" i="1"/>
  <c r="F114" i="1" s="1"/>
  <c r="E89" i="1"/>
  <c r="F89" i="1" s="1"/>
  <c r="F40" i="1"/>
  <c r="F41" i="1" s="1"/>
  <c r="E115" i="1"/>
  <c r="F115" i="1" s="1"/>
  <c r="F101" i="1"/>
  <c r="F92" i="1"/>
  <c r="F107" i="1" l="1"/>
  <c r="F141" i="1" s="1"/>
  <c r="F142" i="1" s="1"/>
  <c r="F143" i="1" s="1"/>
</calcChain>
</file>

<file path=xl/sharedStrings.xml><?xml version="1.0" encoding="utf-8"?>
<sst xmlns="http://schemas.openxmlformats.org/spreadsheetml/2006/main" count="334" uniqueCount="223">
  <si>
    <t>12/07/2017</t>
  </si>
  <si>
    <t>GALANA DISTRIBUTION PETROLIERE S.A</t>
  </si>
  <si>
    <r>
      <rPr>
        <b/>
        <u/>
        <sz val="10"/>
        <rFont val="Calibri"/>
        <family val="2"/>
      </rPr>
      <t>Devis:</t>
    </r>
    <r>
      <rPr>
        <sz val="10"/>
        <rFont val="Calibri"/>
        <family val="2"/>
      </rPr>
      <t xml:space="preserve"> 16-17 GALANA DISTRIBUTION PETROLIERE S.A</t>
    </r>
  </si>
  <si>
    <t>BORDEREAU DETAIL ESTIMATIF</t>
  </si>
  <si>
    <t>TRAVAUX DE GENIE CIVIL POUR REHABILITATION DE LA STATION SERVICE "RAMANJAKA" TOLIARA</t>
  </si>
  <si>
    <t>REF</t>
  </si>
  <si>
    <t>DESIGNATION</t>
  </si>
  <si>
    <t>U</t>
  </si>
  <si>
    <t>QTE</t>
  </si>
  <si>
    <t>PU</t>
  </si>
  <si>
    <t>MONTANT</t>
  </si>
  <si>
    <t>I - TRAVAUX PREPARATOIRES :</t>
  </si>
  <si>
    <t>INST</t>
  </si>
  <si>
    <t>- INSTALLATION, BARAQUEMENT ET REPLI DE CHANTIER</t>
  </si>
  <si>
    <t>FFT</t>
  </si>
  <si>
    <t>DEM.1</t>
  </si>
  <si>
    <t>- DEMOLITION MURS</t>
  </si>
  <si>
    <t>DEM.2</t>
  </si>
  <si>
    <t>- DEPOSE BAIE VITREE ET GRILLE DE PROTECTION 4x3m2 et 2,5x1,5 m2</t>
  </si>
  <si>
    <t>TOTAL TRAVAUX PREPARATOIRES :</t>
  </si>
  <si>
    <t>II - TRAVAUX EN INFRASTRUCTURE :</t>
  </si>
  <si>
    <t>INF.1</t>
  </si>
  <si>
    <t xml:space="preserve">- FOUILLE </t>
  </si>
  <si>
    <t>M3</t>
  </si>
  <si>
    <t>INF.2</t>
  </si>
  <si>
    <t>- BETON ORDINAIRE DOSE A 150 KG</t>
  </si>
  <si>
    <t>- HERISSONNAGE ép 20 cm</t>
  </si>
  <si>
    <t>INF.3</t>
  </si>
  <si>
    <t>- BETON DOSE A 250 KG ép 8cm</t>
  </si>
  <si>
    <t>INF.5</t>
  </si>
  <si>
    <t>- BETON DOSE A 350 KG</t>
  </si>
  <si>
    <t>INF.6</t>
  </si>
  <si>
    <t>- ARMATURES EN ACIERS RONDS</t>
  </si>
  <si>
    <t>KG</t>
  </si>
  <si>
    <t>INF.7</t>
  </si>
  <si>
    <t>- COFFRAGE EN BOIS</t>
  </si>
  <si>
    <t>M2</t>
  </si>
  <si>
    <t>INF.8</t>
  </si>
  <si>
    <t>- MASQUE ANTI-CAPILLAIRE</t>
  </si>
  <si>
    <t>TOTAL TRAVAUX EN INFRASTRUCTURE :</t>
  </si>
  <si>
    <t>III - TRAVAUX EN SUPERSTRUCTURE :</t>
  </si>
  <si>
    <t>SUP.1</t>
  </si>
  <si>
    <t>SUP.2</t>
  </si>
  <si>
    <t>SUP.3</t>
  </si>
  <si>
    <t>TOTAL TRAVAUX EN SUPERSTRUCTURE :</t>
  </si>
  <si>
    <t>IV - TRAVAUX DE MACONNERIE :</t>
  </si>
  <si>
    <t>MAC.1</t>
  </si>
  <si>
    <t>- MACONNERIE D'AGGLOMERES D'EPAISSEUR 20CM</t>
  </si>
  <si>
    <t>MAC.2</t>
  </si>
  <si>
    <t>- MACONNERIE D'AGGLOMERES D'EPAISSEUR 10CM</t>
  </si>
  <si>
    <t>MAC.3</t>
  </si>
  <si>
    <t>- MACONNERIE DE CLAUSTRAS</t>
  </si>
  <si>
    <t>TOTAL TRAVAUX DE MACONNERIE :</t>
  </si>
  <si>
    <t>V - ENDUIT ET CHAPE :</t>
  </si>
  <si>
    <t>RAV.1</t>
  </si>
  <si>
    <t>- ENDUIT CIMENT</t>
  </si>
  <si>
    <t>RAV.2</t>
  </si>
  <si>
    <t>- CHAPE BOUCHARDEE</t>
  </si>
  <si>
    <t>RAV.3</t>
  </si>
  <si>
    <t>- CHAPE LISSE</t>
  </si>
  <si>
    <t>TOTAL ENDUIT ET CHAPE :</t>
  </si>
  <si>
    <t>VI - REVETEMENT - PLAFONNAGE :</t>
  </si>
  <si>
    <t>REV.1</t>
  </si>
  <si>
    <t>- CARREAU GRES CERAME</t>
  </si>
  <si>
    <t>REV.2</t>
  </si>
  <si>
    <t>- CARREAU FAIENCE MURALE</t>
  </si>
  <si>
    <t>REV.3</t>
  </si>
  <si>
    <t>- PLINHTE EN GRES CERAME</t>
  </si>
  <si>
    <t>ML</t>
  </si>
  <si>
    <t>REV.4</t>
  </si>
  <si>
    <t>- PLAFOND SUSPENDU EN PLAQUE DE 60X60</t>
  </si>
  <si>
    <t>REV.5</t>
  </si>
  <si>
    <t>- PLAFOND EN PLACOPLATRE</t>
  </si>
  <si>
    <t xml:space="preserve">TOTAL REVETEMENT - PLAFONNAGE : </t>
  </si>
  <si>
    <t>VII - CHARPENTE ET COUVERTURE</t>
  </si>
  <si>
    <t>COV.1</t>
  </si>
  <si>
    <t>- CHARPENTE METALLIQUE: pannes U 80 pour local lub</t>
  </si>
  <si>
    <t>COV.2</t>
  </si>
  <si>
    <t>- CHARPENTE METALLIQUE: pannes U 80 pour locaux pompiste et vulca</t>
  </si>
  <si>
    <t>COV.3</t>
  </si>
  <si>
    <t>- TOITURE EN GALVA BAC 63/100 ème</t>
  </si>
  <si>
    <t>COV.4</t>
  </si>
  <si>
    <t>- SOLIN</t>
  </si>
  <si>
    <t>COV.5</t>
  </si>
  <si>
    <t>- GOUTTIERE EN PVC 100</t>
  </si>
  <si>
    <t>COV.6</t>
  </si>
  <si>
    <t>- DESCENTE D'EAU EN PVC 100</t>
  </si>
  <si>
    <t xml:space="preserve">TOTAL CHARPENTE ET COUVERTURE: </t>
  </si>
  <si>
    <t>VIII - PEINTURE :</t>
  </si>
  <si>
    <t>PEI.1</t>
  </si>
  <si>
    <t>- ENDUIT DE PEINTRE</t>
  </si>
  <si>
    <t>PEI.2</t>
  </si>
  <si>
    <t>- PEINTURE PLASTIQUE POUR INTERIEUR</t>
  </si>
  <si>
    <t>PEI.3</t>
  </si>
  <si>
    <t>- PEINTURE PLASTIQUE EN 2 COUCHES WARM GREY 7C pour extérieur</t>
  </si>
  <si>
    <t>PEI.4</t>
  </si>
  <si>
    <t>- PEINTURE PLASTIQUE EN 2 COUCHES WARM GREY 1C pour extérieur</t>
  </si>
  <si>
    <t>PEI.5</t>
  </si>
  <si>
    <t>- PEINTURE PLASTIQUE EN 2 COUCHES RAL DESIGN 110 70 pour extérieur</t>
  </si>
  <si>
    <t xml:space="preserve">TOTAL PEINTURE : </t>
  </si>
  <si>
    <t>IX - MENUISERIES ALUMINIUM, BOIS ET METALLIQUE :</t>
  </si>
  <si>
    <t>X -1 - MENUISERIES ALUMINIUM :</t>
  </si>
  <si>
    <t>MEA.1</t>
  </si>
  <si>
    <t>- CHASSIS VITRE DE 1700x2500 coulissant filmé (vue extérieure)</t>
  </si>
  <si>
    <t>MEA.2</t>
  </si>
  <si>
    <t xml:space="preserve">- CLOISON VITREE FILMEE (vue extérieure) </t>
  </si>
  <si>
    <t>MEA.3</t>
  </si>
  <si>
    <t>- PORTE VITREE FILMEE (vue extérieure) 90x210 cm</t>
  </si>
  <si>
    <t>X -2 - MENUISERIE METALLIQUE :</t>
  </si>
  <si>
    <t>MEM.1</t>
  </si>
  <si>
    <t>- FOURNITURE ET POSE VOLET ROULANT METALLIQUE ENCASTRE 1700x2500</t>
  </si>
  <si>
    <t>MEM.2</t>
  </si>
  <si>
    <t>- FOURNITURE ET POSE PORTE METALLIQUE 90x210 cm</t>
  </si>
  <si>
    <t>MEM.3</t>
  </si>
  <si>
    <t>- GRILLE DE PROTECTION METALLIQUE 205x150 cm2</t>
  </si>
  <si>
    <t>X -3 - MENUISERIE EN BOIS :</t>
  </si>
  <si>
    <t>MEB.1</t>
  </si>
  <si>
    <t>- FOURNITURE ET POSE PORTE ISOPLANE EN BOIS 800x2100</t>
  </si>
  <si>
    <t>MEB.2</t>
  </si>
  <si>
    <t>- DEPOSE ET REPOSE D'UNE PORTE ISOPLANE EN BOIS</t>
  </si>
  <si>
    <t>MEB.3</t>
  </si>
  <si>
    <t>- BAIE VITREE AVEC OSSATURE EN BOIS 205 x 150 cm</t>
  </si>
  <si>
    <t xml:space="preserve">TOTAL MENUSIERIES  ALUMINIUM,BOIS &amp; METALLQIUE : </t>
  </si>
  <si>
    <t>X- RESEAUX D'ASSAINISSEMENT :</t>
  </si>
  <si>
    <t>ASS.1</t>
  </si>
  <si>
    <t>- CANALISATION EN BUSE 200</t>
  </si>
  <si>
    <t>ASS.2</t>
  </si>
  <si>
    <t>- REGARD A GRILLE EN BETON ARME</t>
  </si>
  <si>
    <t>ASS.3</t>
  </si>
  <si>
    <t>- PLATEAU ABSORBANT selon plan</t>
  </si>
  <si>
    <t xml:space="preserve">TOTAL RESEAUX D'ASSAINISSEMENT : </t>
  </si>
  <si>
    <t>XI- SEPARATEUR D'HYDROCARBURES CIRCULABLE :</t>
  </si>
  <si>
    <t>SEP.1</t>
  </si>
  <si>
    <t>- FOUILLE ET DEGAGEMENT DE PRODUITS DE FOUILLE</t>
  </si>
  <si>
    <t>SEP.2</t>
  </si>
  <si>
    <t>SEP.3</t>
  </si>
  <si>
    <t>SEP.4</t>
  </si>
  <si>
    <t>SEP.5</t>
  </si>
  <si>
    <t>SEP.6</t>
  </si>
  <si>
    <t>- ENDUIT CIMENT ETANCHE</t>
  </si>
  <si>
    <t>SEP.7</t>
  </si>
  <si>
    <t>- POSE ET CONNEXION SEPARATEUR D'HYDROCARBURES</t>
  </si>
  <si>
    <t>SEP.8</t>
  </si>
  <si>
    <t>- MISE EN ŒUVRE TRAPPE METALLIQUE 0,5 X 1 m</t>
  </si>
  <si>
    <t xml:space="preserve">TOTAL SEPARATEUR D'HYDROCARBURES : </t>
  </si>
  <si>
    <t>XII- FOSSE DE GRAISSAGE :</t>
  </si>
  <si>
    <t>FOSS.1</t>
  </si>
  <si>
    <t>- DEMOLITION DALLAGE EN BETON ARME</t>
  </si>
  <si>
    <t>FOSS.2</t>
  </si>
  <si>
    <t>- ENLEVEMENT MASSIF PONT 4 COLONNES</t>
  </si>
  <si>
    <t>FOSS.3</t>
  </si>
  <si>
    <t>- FOUILLE DE TOUTE NATURE</t>
  </si>
  <si>
    <t>FOSS.4</t>
  </si>
  <si>
    <t>- MACONNERIE DE MOELLONS</t>
  </si>
  <si>
    <t>FOSS.5</t>
  </si>
  <si>
    <t>- BETON DOSE A 350 Kg</t>
  </si>
  <si>
    <t>FOSS.6</t>
  </si>
  <si>
    <t>FOSS.7</t>
  </si>
  <si>
    <t>- ARMATURES EN ACIERS RONDS TOR DE TOUTES DIMENSIONS</t>
  </si>
  <si>
    <t>FOSS.8</t>
  </si>
  <si>
    <t>FOSS.9</t>
  </si>
  <si>
    <t>- CARREAU FAIENCE MURAL</t>
  </si>
  <si>
    <t>FOSS.10</t>
  </si>
  <si>
    <t>FOSS.11</t>
  </si>
  <si>
    <t>- FOURNITURE ET POSE GUIDE ROUE EN FER CORNIERE L 60 x 60</t>
  </si>
  <si>
    <t>FOSS.12</t>
  </si>
  <si>
    <t>- MISE EN ŒUVRE DALLAGE ET CHAPE BOUCHARDEE</t>
  </si>
  <si>
    <t>FOSS.13</t>
  </si>
  <si>
    <t>- FOURNITURE ET POSE FEUILLE DE POLYANE</t>
  </si>
  <si>
    <t xml:space="preserve">FOSSE DE GRAISSAGE : </t>
  </si>
  <si>
    <t>XIII- RAMPE DE LAVAGE :</t>
  </si>
  <si>
    <t>RAM.1</t>
  </si>
  <si>
    <t>RAM.2</t>
  </si>
  <si>
    <t>RAM.3</t>
  </si>
  <si>
    <t>RAM.4</t>
  </si>
  <si>
    <t>RAM.5</t>
  </si>
  <si>
    <t>RAM.6</t>
  </si>
  <si>
    <t>RAM.7</t>
  </si>
  <si>
    <t>RAM.8</t>
  </si>
  <si>
    <t>RAM.9</t>
  </si>
  <si>
    <t>RAM.10</t>
  </si>
  <si>
    <t>RAM.12</t>
  </si>
  <si>
    <t xml:space="preserve">RAMPE DE LAVAGE : </t>
  </si>
  <si>
    <t>XIV- ABRI VULCA:</t>
  </si>
  <si>
    <t>VULC.1</t>
  </si>
  <si>
    <t>- MASSIF POUR POTEAU</t>
  </si>
  <si>
    <t>VULC.2</t>
  </si>
  <si>
    <t>- POTEAU EN TUBE NOIR 120</t>
  </si>
  <si>
    <t>VULC.3</t>
  </si>
  <si>
    <t>- MUR GRILLAGE DEMONTABLE 640 X 250 cm (démontable en 7 panneaux)</t>
  </si>
  <si>
    <t>VULC.4</t>
  </si>
  <si>
    <t>- MUR GRILLAGE FIXE 340 x 250 cm</t>
  </si>
  <si>
    <t>VULC.5</t>
  </si>
  <si>
    <t>- MUR GRILLAGE FIXE 140 x 250 cm</t>
  </si>
  <si>
    <t>VULC.6</t>
  </si>
  <si>
    <t>- CHARPENTE METALLIQUE</t>
  </si>
  <si>
    <t>VULC.7</t>
  </si>
  <si>
    <t>- DALLAGE EN BETON DE FORME d'épaisseur 10cm</t>
  </si>
  <si>
    <t xml:space="preserve">TOTAL ABRI VULCA : </t>
  </si>
  <si>
    <t>XI - SANITAIRE :</t>
  </si>
  <si>
    <t>SAN.1</t>
  </si>
  <si>
    <t xml:space="preserve"> - RECEVEUR DE DOUCHE EN PORCELAINE de marque ROCCA</t>
  </si>
  <si>
    <t>SAN.2</t>
  </si>
  <si>
    <t xml:space="preserve"> - LAVABO EN PORCELAINE de marque ROCCA</t>
  </si>
  <si>
    <t>SAN.3</t>
  </si>
  <si>
    <t>- APPROVISIONNEMENT EN EAU DU LOCAL POMPISTE</t>
  </si>
  <si>
    <t>SAN.4</t>
  </si>
  <si>
    <t>- EVACUATION EAU USEE LOCAL POMPISTE</t>
  </si>
  <si>
    <t xml:space="preserve">TOTAL OUVRAGES D'HYDROCARBURES : </t>
  </si>
  <si>
    <t>XII- AMENAGEMENT EXTERIEUR :</t>
  </si>
  <si>
    <t>AMX.1</t>
  </si>
  <si>
    <t>- MISE EN ŒUVRE TRANCHEE ELECTRIQUE sur piste en BA</t>
  </si>
  <si>
    <t>AMX.2</t>
  </si>
  <si>
    <t>- FOURNITURE ET MISE EN ŒUVRE REGARD ELECTRIQUE</t>
  </si>
  <si>
    <t>AMX.3</t>
  </si>
  <si>
    <t>- EMBALLAGE-TRANSPORT ET POSE PLEXI TOTEM (2 faces)</t>
  </si>
  <si>
    <t xml:space="preserve">TOTAL AMENAGEMENT EXTERIEUR : </t>
  </si>
  <si>
    <t>TOTAL HTVA :</t>
  </si>
  <si>
    <t>TVA 20%</t>
  </si>
  <si>
    <t>TOTAL TTC</t>
  </si>
  <si>
    <r>
      <rPr>
        <u/>
        <sz val="10"/>
        <rFont val="Calibri"/>
        <family val="2"/>
      </rPr>
      <t>Délai d'éxecution:</t>
    </r>
    <r>
      <rPr>
        <sz val="10"/>
        <rFont val="Calibri"/>
        <family val="2"/>
      </rPr>
      <t xml:space="preserve"> 10 semaines.</t>
    </r>
  </si>
  <si>
    <r>
      <rPr>
        <u/>
        <sz val="10"/>
        <rFont val="Calibri"/>
        <family val="2"/>
      </rPr>
      <t>Délai de disponibilité:</t>
    </r>
    <r>
      <rPr>
        <sz val="10"/>
        <rFont val="Calibri"/>
        <family val="2"/>
      </rPr>
      <t xml:space="preserve"> 15 jours après réception BC.</t>
    </r>
  </si>
  <si>
    <r>
      <rPr>
        <u/>
        <sz val="10"/>
        <rFont val="Calibri"/>
        <family val="2"/>
      </rPr>
      <t>Validité de l'offre:</t>
    </r>
    <r>
      <rPr>
        <sz val="10"/>
        <rFont val="Calibri"/>
        <family val="2"/>
      </rPr>
      <t xml:space="preserve"> 90 jours.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</si>
</sst>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.00\ _F_-;\-* #,##0.00\ _F_-;_-* &quot;-&quot;??\ _F_-;_-@_-"/>
    <numFmt numFmtId="165" formatCode="#,##0_ ;\-#,##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</font>
    <font>
      <sz val="10"/>
      <name val="Calibri"/>
      <family val="2"/>
    </font>
    <font>
      <b/>
      <u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  <family val="2"/>
    </font>
    <font>
      <u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u/>
      <sz val="10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" fontId="2" fillId="0" borderId="0" xfId="0" applyNumberFormat="1" applyFont="1" applyAlignment="1">
      <alignment horizontal="right"/>
    </xf>
    <xf numFmtId="165" fontId="2" fillId="0" borderId="0" xfId="1" applyNumberFormat="1" applyFont="1"/>
    <xf numFmtId="4" fontId="3" fillId="0" borderId="1" xfId="0" quotePrefix="1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3" fillId="0" borderId="4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4" fontId="3" fillId="0" borderId="9" xfId="0" applyNumberFormat="1" applyFon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4" fontId="3" fillId="0" borderId="1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" fontId="3" fillId="0" borderId="13" xfId="0" applyNumberFormat="1" applyFont="1" applyBorder="1" applyAlignment="1">
      <alignment horizontal="center" vertical="center"/>
    </xf>
    <xf numFmtId="165" fontId="3" fillId="0" borderId="13" xfId="1" applyNumberFormat="1" applyFont="1" applyBorder="1" applyAlignment="1">
      <alignment horizontal="center" vertical="center"/>
    </xf>
    <xf numFmtId="165" fontId="3" fillId="0" borderId="14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2" xfId="0" applyFont="1" applyBorder="1" applyAlignment="1"/>
    <xf numFmtId="0" fontId="3" fillId="0" borderId="13" xfId="0" applyFont="1" applyBorder="1"/>
    <xf numFmtId="0" fontId="3" fillId="0" borderId="13" xfId="0" applyFont="1" applyBorder="1" applyAlignment="1">
      <alignment horizontal="center"/>
    </xf>
    <xf numFmtId="4" fontId="3" fillId="0" borderId="13" xfId="0" applyNumberFormat="1" applyFont="1" applyFill="1" applyBorder="1" applyAlignment="1">
      <alignment horizontal="right"/>
    </xf>
    <xf numFmtId="165" fontId="3" fillId="0" borderId="13" xfId="1" applyNumberFormat="1" applyFont="1" applyBorder="1"/>
    <xf numFmtId="165" fontId="3" fillId="0" borderId="14" xfId="1" applyNumberFormat="1" applyFont="1" applyBorder="1"/>
    <xf numFmtId="0" fontId="2" fillId="0" borderId="15" xfId="0" applyFont="1" applyBorder="1" applyAlignment="1">
      <alignment horizontal="center"/>
    </xf>
    <xf numFmtId="0" fontId="2" fillId="0" borderId="15" xfId="0" quotePrefix="1" applyFont="1" applyBorder="1"/>
    <xf numFmtId="4" fontId="2" fillId="0" borderId="15" xfId="0" applyNumberFormat="1" applyFont="1" applyFill="1" applyBorder="1" applyAlignment="1">
      <alignment horizontal="right"/>
    </xf>
    <xf numFmtId="165" fontId="2" fillId="0" borderId="15" xfId="1" applyNumberFormat="1" applyFont="1" applyBorder="1"/>
    <xf numFmtId="0" fontId="2" fillId="0" borderId="16" xfId="0" applyFont="1" applyFill="1" applyBorder="1" applyAlignment="1">
      <alignment horizontal="center"/>
    </xf>
    <xf numFmtId="0" fontId="2" fillId="0" borderId="16" xfId="0" quotePrefix="1" applyFont="1" applyFill="1" applyBorder="1"/>
    <xf numFmtId="4" fontId="2" fillId="0" borderId="16" xfId="0" applyNumberFormat="1" applyFont="1" applyFill="1" applyBorder="1" applyAlignment="1">
      <alignment horizontal="right"/>
    </xf>
    <xf numFmtId="165" fontId="2" fillId="0" borderId="16" xfId="1" applyNumberFormat="1" applyFont="1" applyFill="1" applyBorder="1"/>
    <xf numFmtId="165" fontId="2" fillId="0" borderId="15" xfId="1" applyNumberFormat="1" applyFont="1" applyFill="1" applyBorder="1"/>
    <xf numFmtId="0" fontId="2" fillId="0" borderId="17" xfId="0" applyFont="1" applyFill="1" applyBorder="1" applyAlignment="1">
      <alignment horizontal="center"/>
    </xf>
    <xf numFmtId="0" fontId="2" fillId="0" borderId="17" xfId="0" quotePrefix="1" applyFont="1" applyFill="1" applyBorder="1"/>
    <xf numFmtId="4" fontId="2" fillId="0" borderId="17" xfId="0" applyNumberFormat="1" applyFont="1" applyFill="1" applyBorder="1" applyAlignment="1">
      <alignment horizontal="right"/>
    </xf>
    <xf numFmtId="165" fontId="2" fillId="0" borderId="17" xfId="1" applyNumberFormat="1" applyFont="1" applyFill="1" applyBorder="1"/>
    <xf numFmtId="0" fontId="3" fillId="0" borderId="12" xfId="0" applyFont="1" applyBorder="1" applyAlignment="1">
      <alignment horizontal="center"/>
    </xf>
    <xf numFmtId="165" fontId="3" fillId="0" borderId="13" xfId="1" applyNumberFormat="1" applyFont="1" applyBorder="1" applyAlignment="1">
      <alignment horizontal="right"/>
    </xf>
    <xf numFmtId="0" fontId="7" fillId="0" borderId="0" xfId="0" applyFont="1"/>
    <xf numFmtId="0" fontId="2" fillId="0" borderId="16" xfId="0" applyFont="1" applyBorder="1" applyAlignment="1">
      <alignment horizontal="center"/>
    </xf>
    <xf numFmtId="0" fontId="2" fillId="0" borderId="16" xfId="0" quotePrefix="1" applyFont="1" applyBorder="1"/>
    <xf numFmtId="165" fontId="2" fillId="0" borderId="16" xfId="2" applyNumberFormat="1" applyFont="1" applyBorder="1"/>
    <xf numFmtId="165" fontId="2" fillId="0" borderId="16" xfId="1" applyNumberFormat="1" applyFont="1" applyBorder="1"/>
    <xf numFmtId="165" fontId="2" fillId="0" borderId="16" xfId="2" applyNumberFormat="1" applyFont="1" applyFill="1" applyBorder="1"/>
    <xf numFmtId="0" fontId="2" fillId="0" borderId="16" xfId="0" applyFont="1" applyBorder="1"/>
    <xf numFmtId="0" fontId="9" fillId="0" borderId="16" xfId="0" applyFont="1" applyBorder="1"/>
    <xf numFmtId="165" fontId="2" fillId="0" borderId="16" xfId="1" applyNumberFormat="1" applyFont="1" applyBorder="1" applyAlignment="1">
      <alignment horizontal="right"/>
    </xf>
    <xf numFmtId="4" fontId="2" fillId="0" borderId="16" xfId="2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7" fillId="0" borderId="0" xfId="0" applyFont="1" applyFill="1"/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/>
    <xf numFmtId="4" fontId="3" fillId="0" borderId="0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165" fontId="3" fillId="0" borderId="18" xfId="1" applyNumberFormat="1" applyFont="1" applyFill="1" applyBorder="1"/>
  </cellXfs>
  <cellStyles count="3">
    <cellStyle name="Milliers" xfId="1" builtinId="3"/>
    <cellStyle name="Millier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3</xdr:row>
      <xdr:rowOff>19050</xdr:rowOff>
    </xdr:from>
    <xdr:to>
      <xdr:col>5</xdr:col>
      <xdr:colOff>619125</xdr:colOff>
      <xdr:row>5</xdr:row>
      <xdr:rowOff>66675</xdr:rowOff>
    </xdr:to>
    <xdr:pic>
      <xdr:nvPicPr>
        <xdr:cNvPr id="2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533400"/>
          <a:ext cx="16478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600075</xdr:colOff>
      <xdr:row>5</xdr:row>
      <xdr:rowOff>38100</xdr:rowOff>
    </xdr:to>
    <xdr:pic>
      <xdr:nvPicPr>
        <xdr:cNvPr id="3" name="Image 2" descr="D:\ARONOA\LOGOS\Nouveau Logo GENT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860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149</xdr:row>
      <xdr:rowOff>123825</xdr:rowOff>
    </xdr:from>
    <xdr:to>
      <xdr:col>6</xdr:col>
      <xdr:colOff>0</xdr:colOff>
      <xdr:row>151</xdr:row>
      <xdr:rowOff>161925</xdr:rowOff>
    </xdr:to>
    <xdr:sp macro="" textlink="">
      <xdr:nvSpPr>
        <xdr:cNvPr id="4" name="Text Box 30"/>
        <xdr:cNvSpPr txBox="1">
          <a:spLocks noChangeArrowheads="1"/>
        </xdr:cNvSpPr>
      </xdr:nvSpPr>
      <xdr:spPr bwMode="auto">
        <a:xfrm>
          <a:off x="0" y="24803100"/>
          <a:ext cx="7905750" cy="3619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600" b="0" i="0" u="none" strike="noStrike" baseline="0">
              <a:solidFill>
                <a:srgbClr val="548DD4"/>
              </a:solidFill>
              <a:latin typeface="Arial"/>
              <a:cs typeface="Arial"/>
            </a:rPr>
            <a:t>SARLU au capital de Ar 10 000 000 – Lot IBG 114 ter Amboasarikely 101 Antananarivo – 02022631 39 - 03207 426 30 - 03311 026 30 – 03411 026 30</a:t>
          </a:r>
          <a:endParaRPr lang="fr-FR" sz="6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fr-FR" sz="600" b="0" i="0" u="none" strike="noStrike" baseline="0">
              <a:solidFill>
                <a:srgbClr val="548DD4"/>
              </a:solidFill>
              <a:latin typeface="Arial"/>
              <a:cs typeface="Arial"/>
            </a:rPr>
            <a:t>general.enterprises@yahoo.fr/contact@gent-madagascar.com/ www.gent-madagascar.com </a:t>
          </a:r>
          <a:endParaRPr lang="fr-FR" sz="6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fr-FR" sz="600" b="0" i="0" u="none" strike="noStrike" baseline="0">
              <a:solidFill>
                <a:srgbClr val="548DD4"/>
              </a:solidFill>
              <a:latin typeface="Arial"/>
              <a:cs typeface="Arial"/>
            </a:rPr>
            <a:t>NIF 3000083510 – Stat 42101 11 2008 0 11309 – RC 2008 B 01282 ANTANANARIVO</a:t>
          </a:r>
          <a:endParaRPr lang="fr-FR" sz="6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fr-FR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DE-SD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BDE"/>
      <sheetName val="SDP"/>
    </sheetNames>
    <definedNames>
      <definedName name="pu_crea" refersTo="='SDP'!$E$77" sheetId="2"/>
      <definedName name="pu_fenetre" refersTo="='SDP'!$E$397" sheetId="2"/>
      <definedName name="pu_porte" refersTo="='SDP'!$E$335" sheetId="2"/>
    </definedNames>
    <sheetDataSet>
      <sheetData sheetId="0"/>
      <sheetData sheetId="1">
        <row r="77">
          <cell r="E77" t="str">
            <v xml:space="preserve">TOTAL MENUSIERIES  ALUMINIUM,BOIS &amp; METALLQIUE : </v>
          </cell>
        </row>
      </sheetData>
      <sheetData sheetId="2">
        <row r="49">
          <cell r="E49">
            <v>19098000</v>
          </cell>
        </row>
        <row r="77">
          <cell r="E77">
            <v>1068000</v>
          </cell>
        </row>
        <row r="105">
          <cell r="E105">
            <v>92400</v>
          </cell>
        </row>
        <row r="134">
          <cell r="E134">
            <v>26118.367346938772</v>
          </cell>
        </row>
        <row r="162">
          <cell r="E162">
            <v>221112</v>
          </cell>
        </row>
        <row r="220">
          <cell r="E220">
            <v>67015.38461538461</v>
          </cell>
        </row>
        <row r="250">
          <cell r="E250">
            <v>286960</v>
          </cell>
        </row>
        <row r="277">
          <cell r="E277">
            <v>352808</v>
          </cell>
        </row>
        <row r="305">
          <cell r="E305">
            <v>5233.3059696267901</v>
          </cell>
        </row>
        <row r="335">
          <cell r="E335">
            <v>29437.179741807347</v>
          </cell>
        </row>
        <row r="363">
          <cell r="E363">
            <v>3475.625</v>
          </cell>
        </row>
        <row r="397">
          <cell r="E397">
            <v>46905.082816901413</v>
          </cell>
        </row>
        <row r="430">
          <cell r="E430">
            <v>35630.32</v>
          </cell>
        </row>
        <row r="462">
          <cell r="E462">
            <v>173225.75999999995</v>
          </cell>
        </row>
        <row r="490">
          <cell r="E490">
            <v>10217.390452050151</v>
          </cell>
        </row>
        <row r="518">
          <cell r="E518">
            <v>10914.296</v>
          </cell>
        </row>
        <row r="550">
          <cell r="E550">
            <v>91302</v>
          </cell>
        </row>
        <row r="610">
          <cell r="E610">
            <v>67302</v>
          </cell>
        </row>
        <row r="644">
          <cell r="E644">
            <v>13390.603636363636</v>
          </cell>
        </row>
        <row r="673">
          <cell r="E673">
            <v>77748.97061902436</v>
          </cell>
        </row>
        <row r="701">
          <cell r="E701">
            <v>99000</v>
          </cell>
        </row>
        <row r="729">
          <cell r="E729">
            <v>1783200</v>
          </cell>
        </row>
        <row r="756">
          <cell r="E756">
            <v>1041000</v>
          </cell>
        </row>
        <row r="787">
          <cell r="E787">
            <v>52776.506119873811</v>
          </cell>
        </row>
        <row r="822">
          <cell r="E822">
            <v>34308.347540983603</v>
          </cell>
        </row>
        <row r="850">
          <cell r="E850">
            <v>97242.857142857145</v>
          </cell>
        </row>
        <row r="883">
          <cell r="E883">
            <v>31287.272727272728</v>
          </cell>
        </row>
        <row r="941">
          <cell r="E941">
            <v>1005000</v>
          </cell>
        </row>
        <row r="972">
          <cell r="E972">
            <v>1511580</v>
          </cell>
        </row>
        <row r="1004">
          <cell r="E1004">
            <v>807720</v>
          </cell>
        </row>
        <row r="1034">
          <cell r="E1034">
            <v>929040</v>
          </cell>
        </row>
        <row r="1063">
          <cell r="E1063">
            <v>44340.6</v>
          </cell>
        </row>
        <row r="1092">
          <cell r="E1092">
            <v>186302.92013547826</v>
          </cell>
        </row>
        <row r="1121">
          <cell r="E1121">
            <v>3951000</v>
          </cell>
        </row>
        <row r="1151">
          <cell r="E1151">
            <v>7246.6926070038908</v>
          </cell>
        </row>
        <row r="1177">
          <cell r="E1177">
            <v>12669.01287553648</v>
          </cell>
        </row>
        <row r="1202">
          <cell r="E1202">
            <v>15519.493670886075</v>
          </cell>
        </row>
        <row r="1228">
          <cell r="E1228">
            <v>16232.649815393353</v>
          </cell>
        </row>
        <row r="1253">
          <cell r="E1253">
            <v>16800</v>
          </cell>
        </row>
        <row r="1278">
          <cell r="E1278">
            <v>908250</v>
          </cell>
        </row>
        <row r="1304">
          <cell r="E1304">
            <v>972480</v>
          </cell>
        </row>
        <row r="1329">
          <cell r="E1329">
            <v>231000</v>
          </cell>
        </row>
        <row r="1354">
          <cell r="E1354">
            <v>585600</v>
          </cell>
        </row>
        <row r="1379">
          <cell r="E1379">
            <v>501600</v>
          </cell>
        </row>
        <row r="1405">
          <cell r="E1405">
            <v>74707.92</v>
          </cell>
        </row>
        <row r="1433">
          <cell r="E1433">
            <v>544286.12109548657</v>
          </cell>
        </row>
        <row r="1519">
          <cell r="E1519">
            <v>151581.17202797203</v>
          </cell>
        </row>
        <row r="1610">
          <cell r="E1610">
            <v>5209215.9755863361</v>
          </cell>
        </row>
        <row r="1637">
          <cell r="E1637">
            <v>302160</v>
          </cell>
        </row>
        <row r="1666">
          <cell r="E1666">
            <v>27600</v>
          </cell>
        </row>
        <row r="1695">
          <cell r="E1695">
            <v>58474.5</v>
          </cell>
        </row>
        <row r="1724">
          <cell r="E1724">
            <v>48018</v>
          </cell>
        </row>
        <row r="1754">
          <cell r="E1754">
            <v>46195.095999999998</v>
          </cell>
        </row>
        <row r="1783">
          <cell r="E1783">
            <v>197092.20480813316</v>
          </cell>
        </row>
        <row r="1813">
          <cell r="E1813">
            <v>655620</v>
          </cell>
        </row>
        <row r="1843">
          <cell r="E1843">
            <v>2966424</v>
          </cell>
        </row>
        <row r="1870">
          <cell r="E1870">
            <v>2750416.7731684544</v>
          </cell>
        </row>
        <row r="1897">
          <cell r="E1897">
            <v>47532.355199999991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abSelected="1" topLeftCell="A25" workbookViewId="0">
      <selection activeCell="H15" sqref="H15"/>
    </sheetView>
  </sheetViews>
  <sheetFormatPr baseColWidth="10" defaultRowHeight="12.75" x14ac:dyDescent="0.2"/>
  <cols>
    <col min="1" max="1" width="8.42578125" style="1" customWidth="1"/>
    <col min="2" max="2" width="59.7109375" style="2" bestFit="1" customWidth="1"/>
    <col min="3" max="3" width="8.140625" style="1" customWidth="1"/>
    <col min="4" max="4" width="10.140625" style="3" customWidth="1"/>
    <col min="5" max="5" width="14.7109375" style="4" customWidth="1"/>
    <col min="6" max="6" width="17.42578125" style="4" bestFit="1" customWidth="1"/>
    <col min="7" max="8" width="11.42578125" style="1"/>
    <col min="9" max="256" width="11.42578125" style="2"/>
    <col min="257" max="257" width="8.42578125" style="2" customWidth="1"/>
    <col min="258" max="258" width="59.7109375" style="2" bestFit="1" customWidth="1"/>
    <col min="259" max="259" width="8.140625" style="2" customWidth="1"/>
    <col min="260" max="260" width="10.140625" style="2" customWidth="1"/>
    <col min="261" max="261" width="14.7109375" style="2" customWidth="1"/>
    <col min="262" max="262" width="17.42578125" style="2" bestFit="1" customWidth="1"/>
    <col min="263" max="512" width="11.42578125" style="2"/>
    <col min="513" max="513" width="8.42578125" style="2" customWidth="1"/>
    <col min="514" max="514" width="59.7109375" style="2" bestFit="1" customWidth="1"/>
    <col min="515" max="515" width="8.140625" style="2" customWidth="1"/>
    <col min="516" max="516" width="10.140625" style="2" customWidth="1"/>
    <col min="517" max="517" width="14.7109375" style="2" customWidth="1"/>
    <col min="518" max="518" width="17.42578125" style="2" bestFit="1" customWidth="1"/>
    <col min="519" max="768" width="11.42578125" style="2"/>
    <col min="769" max="769" width="8.42578125" style="2" customWidth="1"/>
    <col min="770" max="770" width="59.7109375" style="2" bestFit="1" customWidth="1"/>
    <col min="771" max="771" width="8.140625" style="2" customWidth="1"/>
    <col min="772" max="772" width="10.140625" style="2" customWidth="1"/>
    <col min="773" max="773" width="14.7109375" style="2" customWidth="1"/>
    <col min="774" max="774" width="17.42578125" style="2" bestFit="1" customWidth="1"/>
    <col min="775" max="1024" width="11.42578125" style="2"/>
    <col min="1025" max="1025" width="8.42578125" style="2" customWidth="1"/>
    <col min="1026" max="1026" width="59.7109375" style="2" bestFit="1" customWidth="1"/>
    <col min="1027" max="1027" width="8.140625" style="2" customWidth="1"/>
    <col min="1028" max="1028" width="10.140625" style="2" customWidth="1"/>
    <col min="1029" max="1029" width="14.7109375" style="2" customWidth="1"/>
    <col min="1030" max="1030" width="17.42578125" style="2" bestFit="1" customWidth="1"/>
    <col min="1031" max="1280" width="11.42578125" style="2"/>
    <col min="1281" max="1281" width="8.42578125" style="2" customWidth="1"/>
    <col min="1282" max="1282" width="59.7109375" style="2" bestFit="1" customWidth="1"/>
    <col min="1283" max="1283" width="8.140625" style="2" customWidth="1"/>
    <col min="1284" max="1284" width="10.140625" style="2" customWidth="1"/>
    <col min="1285" max="1285" width="14.7109375" style="2" customWidth="1"/>
    <col min="1286" max="1286" width="17.42578125" style="2" bestFit="1" customWidth="1"/>
    <col min="1287" max="1536" width="11.42578125" style="2"/>
    <col min="1537" max="1537" width="8.42578125" style="2" customWidth="1"/>
    <col min="1538" max="1538" width="59.7109375" style="2" bestFit="1" customWidth="1"/>
    <col min="1539" max="1539" width="8.140625" style="2" customWidth="1"/>
    <col min="1540" max="1540" width="10.140625" style="2" customWidth="1"/>
    <col min="1541" max="1541" width="14.7109375" style="2" customWidth="1"/>
    <col min="1542" max="1542" width="17.42578125" style="2" bestFit="1" customWidth="1"/>
    <col min="1543" max="1792" width="11.42578125" style="2"/>
    <col min="1793" max="1793" width="8.42578125" style="2" customWidth="1"/>
    <col min="1794" max="1794" width="59.7109375" style="2" bestFit="1" customWidth="1"/>
    <col min="1795" max="1795" width="8.140625" style="2" customWidth="1"/>
    <col min="1796" max="1796" width="10.140625" style="2" customWidth="1"/>
    <col min="1797" max="1797" width="14.7109375" style="2" customWidth="1"/>
    <col min="1798" max="1798" width="17.42578125" style="2" bestFit="1" customWidth="1"/>
    <col min="1799" max="2048" width="11.42578125" style="2"/>
    <col min="2049" max="2049" width="8.42578125" style="2" customWidth="1"/>
    <col min="2050" max="2050" width="59.7109375" style="2" bestFit="1" customWidth="1"/>
    <col min="2051" max="2051" width="8.140625" style="2" customWidth="1"/>
    <col min="2052" max="2052" width="10.140625" style="2" customWidth="1"/>
    <col min="2053" max="2053" width="14.7109375" style="2" customWidth="1"/>
    <col min="2054" max="2054" width="17.42578125" style="2" bestFit="1" customWidth="1"/>
    <col min="2055" max="2304" width="11.42578125" style="2"/>
    <col min="2305" max="2305" width="8.42578125" style="2" customWidth="1"/>
    <col min="2306" max="2306" width="59.7109375" style="2" bestFit="1" customWidth="1"/>
    <col min="2307" max="2307" width="8.140625" style="2" customWidth="1"/>
    <col min="2308" max="2308" width="10.140625" style="2" customWidth="1"/>
    <col min="2309" max="2309" width="14.7109375" style="2" customWidth="1"/>
    <col min="2310" max="2310" width="17.42578125" style="2" bestFit="1" customWidth="1"/>
    <col min="2311" max="2560" width="11.42578125" style="2"/>
    <col min="2561" max="2561" width="8.42578125" style="2" customWidth="1"/>
    <col min="2562" max="2562" width="59.7109375" style="2" bestFit="1" customWidth="1"/>
    <col min="2563" max="2563" width="8.140625" style="2" customWidth="1"/>
    <col min="2564" max="2564" width="10.140625" style="2" customWidth="1"/>
    <col min="2565" max="2565" width="14.7109375" style="2" customWidth="1"/>
    <col min="2566" max="2566" width="17.42578125" style="2" bestFit="1" customWidth="1"/>
    <col min="2567" max="2816" width="11.42578125" style="2"/>
    <col min="2817" max="2817" width="8.42578125" style="2" customWidth="1"/>
    <col min="2818" max="2818" width="59.7109375" style="2" bestFit="1" customWidth="1"/>
    <col min="2819" max="2819" width="8.140625" style="2" customWidth="1"/>
    <col min="2820" max="2820" width="10.140625" style="2" customWidth="1"/>
    <col min="2821" max="2821" width="14.7109375" style="2" customWidth="1"/>
    <col min="2822" max="2822" width="17.42578125" style="2" bestFit="1" customWidth="1"/>
    <col min="2823" max="3072" width="11.42578125" style="2"/>
    <col min="3073" max="3073" width="8.42578125" style="2" customWidth="1"/>
    <col min="3074" max="3074" width="59.7109375" style="2" bestFit="1" customWidth="1"/>
    <col min="3075" max="3075" width="8.140625" style="2" customWidth="1"/>
    <col min="3076" max="3076" width="10.140625" style="2" customWidth="1"/>
    <col min="3077" max="3077" width="14.7109375" style="2" customWidth="1"/>
    <col min="3078" max="3078" width="17.42578125" style="2" bestFit="1" customWidth="1"/>
    <col min="3079" max="3328" width="11.42578125" style="2"/>
    <col min="3329" max="3329" width="8.42578125" style="2" customWidth="1"/>
    <col min="3330" max="3330" width="59.7109375" style="2" bestFit="1" customWidth="1"/>
    <col min="3331" max="3331" width="8.140625" style="2" customWidth="1"/>
    <col min="3332" max="3332" width="10.140625" style="2" customWidth="1"/>
    <col min="3333" max="3333" width="14.7109375" style="2" customWidth="1"/>
    <col min="3334" max="3334" width="17.42578125" style="2" bestFit="1" customWidth="1"/>
    <col min="3335" max="3584" width="11.42578125" style="2"/>
    <col min="3585" max="3585" width="8.42578125" style="2" customWidth="1"/>
    <col min="3586" max="3586" width="59.7109375" style="2" bestFit="1" customWidth="1"/>
    <col min="3587" max="3587" width="8.140625" style="2" customWidth="1"/>
    <col min="3588" max="3588" width="10.140625" style="2" customWidth="1"/>
    <col min="3589" max="3589" width="14.7109375" style="2" customWidth="1"/>
    <col min="3590" max="3590" width="17.42578125" style="2" bestFit="1" customWidth="1"/>
    <col min="3591" max="3840" width="11.42578125" style="2"/>
    <col min="3841" max="3841" width="8.42578125" style="2" customWidth="1"/>
    <col min="3842" max="3842" width="59.7109375" style="2" bestFit="1" customWidth="1"/>
    <col min="3843" max="3843" width="8.140625" style="2" customWidth="1"/>
    <col min="3844" max="3844" width="10.140625" style="2" customWidth="1"/>
    <col min="3845" max="3845" width="14.7109375" style="2" customWidth="1"/>
    <col min="3846" max="3846" width="17.42578125" style="2" bestFit="1" customWidth="1"/>
    <col min="3847" max="4096" width="11.42578125" style="2"/>
    <col min="4097" max="4097" width="8.42578125" style="2" customWidth="1"/>
    <col min="4098" max="4098" width="59.7109375" style="2" bestFit="1" customWidth="1"/>
    <col min="4099" max="4099" width="8.140625" style="2" customWidth="1"/>
    <col min="4100" max="4100" width="10.140625" style="2" customWidth="1"/>
    <col min="4101" max="4101" width="14.7109375" style="2" customWidth="1"/>
    <col min="4102" max="4102" width="17.42578125" style="2" bestFit="1" customWidth="1"/>
    <col min="4103" max="4352" width="11.42578125" style="2"/>
    <col min="4353" max="4353" width="8.42578125" style="2" customWidth="1"/>
    <col min="4354" max="4354" width="59.7109375" style="2" bestFit="1" customWidth="1"/>
    <col min="4355" max="4355" width="8.140625" style="2" customWidth="1"/>
    <col min="4356" max="4356" width="10.140625" style="2" customWidth="1"/>
    <col min="4357" max="4357" width="14.7109375" style="2" customWidth="1"/>
    <col min="4358" max="4358" width="17.42578125" style="2" bestFit="1" customWidth="1"/>
    <col min="4359" max="4608" width="11.42578125" style="2"/>
    <col min="4609" max="4609" width="8.42578125" style="2" customWidth="1"/>
    <col min="4610" max="4610" width="59.7109375" style="2" bestFit="1" customWidth="1"/>
    <col min="4611" max="4611" width="8.140625" style="2" customWidth="1"/>
    <col min="4612" max="4612" width="10.140625" style="2" customWidth="1"/>
    <col min="4613" max="4613" width="14.7109375" style="2" customWidth="1"/>
    <col min="4614" max="4614" width="17.42578125" style="2" bestFit="1" customWidth="1"/>
    <col min="4615" max="4864" width="11.42578125" style="2"/>
    <col min="4865" max="4865" width="8.42578125" style="2" customWidth="1"/>
    <col min="4866" max="4866" width="59.7109375" style="2" bestFit="1" customWidth="1"/>
    <col min="4867" max="4867" width="8.140625" style="2" customWidth="1"/>
    <col min="4868" max="4868" width="10.140625" style="2" customWidth="1"/>
    <col min="4869" max="4869" width="14.7109375" style="2" customWidth="1"/>
    <col min="4870" max="4870" width="17.42578125" style="2" bestFit="1" customWidth="1"/>
    <col min="4871" max="5120" width="11.42578125" style="2"/>
    <col min="5121" max="5121" width="8.42578125" style="2" customWidth="1"/>
    <col min="5122" max="5122" width="59.7109375" style="2" bestFit="1" customWidth="1"/>
    <col min="5123" max="5123" width="8.140625" style="2" customWidth="1"/>
    <col min="5124" max="5124" width="10.140625" style="2" customWidth="1"/>
    <col min="5125" max="5125" width="14.7109375" style="2" customWidth="1"/>
    <col min="5126" max="5126" width="17.42578125" style="2" bestFit="1" customWidth="1"/>
    <col min="5127" max="5376" width="11.42578125" style="2"/>
    <col min="5377" max="5377" width="8.42578125" style="2" customWidth="1"/>
    <col min="5378" max="5378" width="59.7109375" style="2" bestFit="1" customWidth="1"/>
    <col min="5379" max="5379" width="8.140625" style="2" customWidth="1"/>
    <col min="5380" max="5380" width="10.140625" style="2" customWidth="1"/>
    <col min="5381" max="5381" width="14.7109375" style="2" customWidth="1"/>
    <col min="5382" max="5382" width="17.42578125" style="2" bestFit="1" customWidth="1"/>
    <col min="5383" max="5632" width="11.42578125" style="2"/>
    <col min="5633" max="5633" width="8.42578125" style="2" customWidth="1"/>
    <col min="5634" max="5634" width="59.7109375" style="2" bestFit="1" customWidth="1"/>
    <col min="5635" max="5635" width="8.140625" style="2" customWidth="1"/>
    <col min="5636" max="5636" width="10.140625" style="2" customWidth="1"/>
    <col min="5637" max="5637" width="14.7109375" style="2" customWidth="1"/>
    <col min="5638" max="5638" width="17.42578125" style="2" bestFit="1" customWidth="1"/>
    <col min="5639" max="5888" width="11.42578125" style="2"/>
    <col min="5889" max="5889" width="8.42578125" style="2" customWidth="1"/>
    <col min="5890" max="5890" width="59.7109375" style="2" bestFit="1" customWidth="1"/>
    <col min="5891" max="5891" width="8.140625" style="2" customWidth="1"/>
    <col min="5892" max="5892" width="10.140625" style="2" customWidth="1"/>
    <col min="5893" max="5893" width="14.7109375" style="2" customWidth="1"/>
    <col min="5894" max="5894" width="17.42578125" style="2" bestFit="1" customWidth="1"/>
    <col min="5895" max="6144" width="11.42578125" style="2"/>
    <col min="6145" max="6145" width="8.42578125" style="2" customWidth="1"/>
    <col min="6146" max="6146" width="59.7109375" style="2" bestFit="1" customWidth="1"/>
    <col min="6147" max="6147" width="8.140625" style="2" customWidth="1"/>
    <col min="6148" max="6148" width="10.140625" style="2" customWidth="1"/>
    <col min="6149" max="6149" width="14.7109375" style="2" customWidth="1"/>
    <col min="6150" max="6150" width="17.42578125" style="2" bestFit="1" customWidth="1"/>
    <col min="6151" max="6400" width="11.42578125" style="2"/>
    <col min="6401" max="6401" width="8.42578125" style="2" customWidth="1"/>
    <col min="6402" max="6402" width="59.7109375" style="2" bestFit="1" customWidth="1"/>
    <col min="6403" max="6403" width="8.140625" style="2" customWidth="1"/>
    <col min="6404" max="6404" width="10.140625" style="2" customWidth="1"/>
    <col min="6405" max="6405" width="14.7109375" style="2" customWidth="1"/>
    <col min="6406" max="6406" width="17.42578125" style="2" bestFit="1" customWidth="1"/>
    <col min="6407" max="6656" width="11.42578125" style="2"/>
    <col min="6657" max="6657" width="8.42578125" style="2" customWidth="1"/>
    <col min="6658" max="6658" width="59.7109375" style="2" bestFit="1" customWidth="1"/>
    <col min="6659" max="6659" width="8.140625" style="2" customWidth="1"/>
    <col min="6660" max="6660" width="10.140625" style="2" customWidth="1"/>
    <col min="6661" max="6661" width="14.7109375" style="2" customWidth="1"/>
    <col min="6662" max="6662" width="17.42578125" style="2" bestFit="1" customWidth="1"/>
    <col min="6663" max="6912" width="11.42578125" style="2"/>
    <col min="6913" max="6913" width="8.42578125" style="2" customWidth="1"/>
    <col min="6914" max="6914" width="59.7109375" style="2" bestFit="1" customWidth="1"/>
    <col min="6915" max="6915" width="8.140625" style="2" customWidth="1"/>
    <col min="6916" max="6916" width="10.140625" style="2" customWidth="1"/>
    <col min="6917" max="6917" width="14.7109375" style="2" customWidth="1"/>
    <col min="6918" max="6918" width="17.42578125" style="2" bestFit="1" customWidth="1"/>
    <col min="6919" max="7168" width="11.42578125" style="2"/>
    <col min="7169" max="7169" width="8.42578125" style="2" customWidth="1"/>
    <col min="7170" max="7170" width="59.7109375" style="2" bestFit="1" customWidth="1"/>
    <col min="7171" max="7171" width="8.140625" style="2" customWidth="1"/>
    <col min="7172" max="7172" width="10.140625" style="2" customWidth="1"/>
    <col min="7173" max="7173" width="14.7109375" style="2" customWidth="1"/>
    <col min="7174" max="7174" width="17.42578125" style="2" bestFit="1" customWidth="1"/>
    <col min="7175" max="7424" width="11.42578125" style="2"/>
    <col min="7425" max="7425" width="8.42578125" style="2" customWidth="1"/>
    <col min="7426" max="7426" width="59.7109375" style="2" bestFit="1" customWidth="1"/>
    <col min="7427" max="7427" width="8.140625" style="2" customWidth="1"/>
    <col min="7428" max="7428" width="10.140625" style="2" customWidth="1"/>
    <col min="7429" max="7429" width="14.7109375" style="2" customWidth="1"/>
    <col min="7430" max="7430" width="17.42578125" style="2" bestFit="1" customWidth="1"/>
    <col min="7431" max="7680" width="11.42578125" style="2"/>
    <col min="7681" max="7681" width="8.42578125" style="2" customWidth="1"/>
    <col min="7682" max="7682" width="59.7109375" style="2" bestFit="1" customWidth="1"/>
    <col min="7683" max="7683" width="8.140625" style="2" customWidth="1"/>
    <col min="7684" max="7684" width="10.140625" style="2" customWidth="1"/>
    <col min="7685" max="7685" width="14.7109375" style="2" customWidth="1"/>
    <col min="7686" max="7686" width="17.42578125" style="2" bestFit="1" customWidth="1"/>
    <col min="7687" max="7936" width="11.42578125" style="2"/>
    <col min="7937" max="7937" width="8.42578125" style="2" customWidth="1"/>
    <col min="7938" max="7938" width="59.7109375" style="2" bestFit="1" customWidth="1"/>
    <col min="7939" max="7939" width="8.140625" style="2" customWidth="1"/>
    <col min="7940" max="7940" width="10.140625" style="2" customWidth="1"/>
    <col min="7941" max="7941" width="14.7109375" style="2" customWidth="1"/>
    <col min="7942" max="7942" width="17.42578125" style="2" bestFit="1" customWidth="1"/>
    <col min="7943" max="8192" width="11.42578125" style="2"/>
    <col min="8193" max="8193" width="8.42578125" style="2" customWidth="1"/>
    <col min="8194" max="8194" width="59.7109375" style="2" bestFit="1" customWidth="1"/>
    <col min="8195" max="8195" width="8.140625" style="2" customWidth="1"/>
    <col min="8196" max="8196" width="10.140625" style="2" customWidth="1"/>
    <col min="8197" max="8197" width="14.7109375" style="2" customWidth="1"/>
    <col min="8198" max="8198" width="17.42578125" style="2" bestFit="1" customWidth="1"/>
    <col min="8199" max="8448" width="11.42578125" style="2"/>
    <col min="8449" max="8449" width="8.42578125" style="2" customWidth="1"/>
    <col min="8450" max="8450" width="59.7109375" style="2" bestFit="1" customWidth="1"/>
    <col min="8451" max="8451" width="8.140625" style="2" customWidth="1"/>
    <col min="8452" max="8452" width="10.140625" style="2" customWidth="1"/>
    <col min="8453" max="8453" width="14.7109375" style="2" customWidth="1"/>
    <col min="8454" max="8454" width="17.42578125" style="2" bestFit="1" customWidth="1"/>
    <col min="8455" max="8704" width="11.42578125" style="2"/>
    <col min="8705" max="8705" width="8.42578125" style="2" customWidth="1"/>
    <col min="8706" max="8706" width="59.7109375" style="2" bestFit="1" customWidth="1"/>
    <col min="8707" max="8707" width="8.140625" style="2" customWidth="1"/>
    <col min="8708" max="8708" width="10.140625" style="2" customWidth="1"/>
    <col min="8709" max="8709" width="14.7109375" style="2" customWidth="1"/>
    <col min="8710" max="8710" width="17.42578125" style="2" bestFit="1" customWidth="1"/>
    <col min="8711" max="8960" width="11.42578125" style="2"/>
    <col min="8961" max="8961" width="8.42578125" style="2" customWidth="1"/>
    <col min="8962" max="8962" width="59.7109375" style="2" bestFit="1" customWidth="1"/>
    <col min="8963" max="8963" width="8.140625" style="2" customWidth="1"/>
    <col min="8964" max="8964" width="10.140625" style="2" customWidth="1"/>
    <col min="8965" max="8965" width="14.7109375" style="2" customWidth="1"/>
    <col min="8966" max="8966" width="17.42578125" style="2" bestFit="1" customWidth="1"/>
    <col min="8967" max="9216" width="11.42578125" style="2"/>
    <col min="9217" max="9217" width="8.42578125" style="2" customWidth="1"/>
    <col min="9218" max="9218" width="59.7109375" style="2" bestFit="1" customWidth="1"/>
    <col min="9219" max="9219" width="8.140625" style="2" customWidth="1"/>
    <col min="9220" max="9220" width="10.140625" style="2" customWidth="1"/>
    <col min="9221" max="9221" width="14.7109375" style="2" customWidth="1"/>
    <col min="9222" max="9222" width="17.42578125" style="2" bestFit="1" customWidth="1"/>
    <col min="9223" max="9472" width="11.42578125" style="2"/>
    <col min="9473" max="9473" width="8.42578125" style="2" customWidth="1"/>
    <col min="9474" max="9474" width="59.7109375" style="2" bestFit="1" customWidth="1"/>
    <col min="9475" max="9475" width="8.140625" style="2" customWidth="1"/>
    <col min="9476" max="9476" width="10.140625" style="2" customWidth="1"/>
    <col min="9477" max="9477" width="14.7109375" style="2" customWidth="1"/>
    <col min="9478" max="9478" width="17.42578125" style="2" bestFit="1" customWidth="1"/>
    <col min="9479" max="9728" width="11.42578125" style="2"/>
    <col min="9729" max="9729" width="8.42578125" style="2" customWidth="1"/>
    <col min="9730" max="9730" width="59.7109375" style="2" bestFit="1" customWidth="1"/>
    <col min="9731" max="9731" width="8.140625" style="2" customWidth="1"/>
    <col min="9732" max="9732" width="10.140625" style="2" customWidth="1"/>
    <col min="9733" max="9733" width="14.7109375" style="2" customWidth="1"/>
    <col min="9734" max="9734" width="17.42578125" style="2" bestFit="1" customWidth="1"/>
    <col min="9735" max="9984" width="11.42578125" style="2"/>
    <col min="9985" max="9985" width="8.42578125" style="2" customWidth="1"/>
    <col min="9986" max="9986" width="59.7109375" style="2" bestFit="1" customWidth="1"/>
    <col min="9987" max="9987" width="8.140625" style="2" customWidth="1"/>
    <col min="9988" max="9988" width="10.140625" style="2" customWidth="1"/>
    <col min="9989" max="9989" width="14.7109375" style="2" customWidth="1"/>
    <col min="9990" max="9990" width="17.42578125" style="2" bestFit="1" customWidth="1"/>
    <col min="9991" max="10240" width="11.42578125" style="2"/>
    <col min="10241" max="10241" width="8.42578125" style="2" customWidth="1"/>
    <col min="10242" max="10242" width="59.7109375" style="2" bestFit="1" customWidth="1"/>
    <col min="10243" max="10243" width="8.140625" style="2" customWidth="1"/>
    <col min="10244" max="10244" width="10.140625" style="2" customWidth="1"/>
    <col min="10245" max="10245" width="14.7109375" style="2" customWidth="1"/>
    <col min="10246" max="10246" width="17.42578125" style="2" bestFit="1" customWidth="1"/>
    <col min="10247" max="10496" width="11.42578125" style="2"/>
    <col min="10497" max="10497" width="8.42578125" style="2" customWidth="1"/>
    <col min="10498" max="10498" width="59.7109375" style="2" bestFit="1" customWidth="1"/>
    <col min="10499" max="10499" width="8.140625" style="2" customWidth="1"/>
    <col min="10500" max="10500" width="10.140625" style="2" customWidth="1"/>
    <col min="10501" max="10501" width="14.7109375" style="2" customWidth="1"/>
    <col min="10502" max="10502" width="17.42578125" style="2" bestFit="1" customWidth="1"/>
    <col min="10503" max="10752" width="11.42578125" style="2"/>
    <col min="10753" max="10753" width="8.42578125" style="2" customWidth="1"/>
    <col min="10754" max="10754" width="59.7109375" style="2" bestFit="1" customWidth="1"/>
    <col min="10755" max="10755" width="8.140625" style="2" customWidth="1"/>
    <col min="10756" max="10756" width="10.140625" style="2" customWidth="1"/>
    <col min="10757" max="10757" width="14.7109375" style="2" customWidth="1"/>
    <col min="10758" max="10758" width="17.42578125" style="2" bestFit="1" customWidth="1"/>
    <col min="10759" max="11008" width="11.42578125" style="2"/>
    <col min="11009" max="11009" width="8.42578125" style="2" customWidth="1"/>
    <col min="11010" max="11010" width="59.7109375" style="2" bestFit="1" customWidth="1"/>
    <col min="11011" max="11011" width="8.140625" style="2" customWidth="1"/>
    <col min="11012" max="11012" width="10.140625" style="2" customWidth="1"/>
    <col min="11013" max="11013" width="14.7109375" style="2" customWidth="1"/>
    <col min="11014" max="11014" width="17.42578125" style="2" bestFit="1" customWidth="1"/>
    <col min="11015" max="11264" width="11.42578125" style="2"/>
    <col min="11265" max="11265" width="8.42578125" style="2" customWidth="1"/>
    <col min="11266" max="11266" width="59.7109375" style="2" bestFit="1" customWidth="1"/>
    <col min="11267" max="11267" width="8.140625" style="2" customWidth="1"/>
    <col min="11268" max="11268" width="10.140625" style="2" customWidth="1"/>
    <col min="11269" max="11269" width="14.7109375" style="2" customWidth="1"/>
    <col min="11270" max="11270" width="17.42578125" style="2" bestFit="1" customWidth="1"/>
    <col min="11271" max="11520" width="11.42578125" style="2"/>
    <col min="11521" max="11521" width="8.42578125" style="2" customWidth="1"/>
    <col min="11522" max="11522" width="59.7109375" style="2" bestFit="1" customWidth="1"/>
    <col min="11523" max="11523" width="8.140625" style="2" customWidth="1"/>
    <col min="11524" max="11524" width="10.140625" style="2" customWidth="1"/>
    <col min="11525" max="11525" width="14.7109375" style="2" customWidth="1"/>
    <col min="11526" max="11526" width="17.42578125" style="2" bestFit="1" customWidth="1"/>
    <col min="11527" max="11776" width="11.42578125" style="2"/>
    <col min="11777" max="11777" width="8.42578125" style="2" customWidth="1"/>
    <col min="11778" max="11778" width="59.7109375" style="2" bestFit="1" customWidth="1"/>
    <col min="11779" max="11779" width="8.140625" style="2" customWidth="1"/>
    <col min="11780" max="11780" width="10.140625" style="2" customWidth="1"/>
    <col min="11781" max="11781" width="14.7109375" style="2" customWidth="1"/>
    <col min="11782" max="11782" width="17.42578125" style="2" bestFit="1" customWidth="1"/>
    <col min="11783" max="12032" width="11.42578125" style="2"/>
    <col min="12033" max="12033" width="8.42578125" style="2" customWidth="1"/>
    <col min="12034" max="12034" width="59.7109375" style="2" bestFit="1" customWidth="1"/>
    <col min="12035" max="12035" width="8.140625" style="2" customWidth="1"/>
    <col min="12036" max="12036" width="10.140625" style="2" customWidth="1"/>
    <col min="12037" max="12037" width="14.7109375" style="2" customWidth="1"/>
    <col min="12038" max="12038" width="17.42578125" style="2" bestFit="1" customWidth="1"/>
    <col min="12039" max="12288" width="11.42578125" style="2"/>
    <col min="12289" max="12289" width="8.42578125" style="2" customWidth="1"/>
    <col min="12290" max="12290" width="59.7109375" style="2" bestFit="1" customWidth="1"/>
    <col min="12291" max="12291" width="8.140625" style="2" customWidth="1"/>
    <col min="12292" max="12292" width="10.140625" style="2" customWidth="1"/>
    <col min="12293" max="12293" width="14.7109375" style="2" customWidth="1"/>
    <col min="12294" max="12294" width="17.42578125" style="2" bestFit="1" customWidth="1"/>
    <col min="12295" max="12544" width="11.42578125" style="2"/>
    <col min="12545" max="12545" width="8.42578125" style="2" customWidth="1"/>
    <col min="12546" max="12546" width="59.7109375" style="2" bestFit="1" customWidth="1"/>
    <col min="12547" max="12547" width="8.140625" style="2" customWidth="1"/>
    <col min="12548" max="12548" width="10.140625" style="2" customWidth="1"/>
    <col min="12549" max="12549" width="14.7109375" style="2" customWidth="1"/>
    <col min="12550" max="12550" width="17.42578125" style="2" bestFit="1" customWidth="1"/>
    <col min="12551" max="12800" width="11.42578125" style="2"/>
    <col min="12801" max="12801" width="8.42578125" style="2" customWidth="1"/>
    <col min="12802" max="12802" width="59.7109375" style="2" bestFit="1" customWidth="1"/>
    <col min="12803" max="12803" width="8.140625" style="2" customWidth="1"/>
    <col min="12804" max="12804" width="10.140625" style="2" customWidth="1"/>
    <col min="12805" max="12805" width="14.7109375" style="2" customWidth="1"/>
    <col min="12806" max="12806" width="17.42578125" style="2" bestFit="1" customWidth="1"/>
    <col min="12807" max="13056" width="11.42578125" style="2"/>
    <col min="13057" max="13057" width="8.42578125" style="2" customWidth="1"/>
    <col min="13058" max="13058" width="59.7109375" style="2" bestFit="1" customWidth="1"/>
    <col min="13059" max="13059" width="8.140625" style="2" customWidth="1"/>
    <col min="13060" max="13060" width="10.140625" style="2" customWidth="1"/>
    <col min="13061" max="13061" width="14.7109375" style="2" customWidth="1"/>
    <col min="13062" max="13062" width="17.42578125" style="2" bestFit="1" customWidth="1"/>
    <col min="13063" max="13312" width="11.42578125" style="2"/>
    <col min="13313" max="13313" width="8.42578125" style="2" customWidth="1"/>
    <col min="13314" max="13314" width="59.7109375" style="2" bestFit="1" customWidth="1"/>
    <col min="13315" max="13315" width="8.140625" style="2" customWidth="1"/>
    <col min="13316" max="13316" width="10.140625" style="2" customWidth="1"/>
    <col min="13317" max="13317" width="14.7109375" style="2" customWidth="1"/>
    <col min="13318" max="13318" width="17.42578125" style="2" bestFit="1" customWidth="1"/>
    <col min="13319" max="13568" width="11.42578125" style="2"/>
    <col min="13569" max="13569" width="8.42578125" style="2" customWidth="1"/>
    <col min="13570" max="13570" width="59.7109375" style="2" bestFit="1" customWidth="1"/>
    <col min="13571" max="13571" width="8.140625" style="2" customWidth="1"/>
    <col min="13572" max="13572" width="10.140625" style="2" customWidth="1"/>
    <col min="13573" max="13573" width="14.7109375" style="2" customWidth="1"/>
    <col min="13574" max="13574" width="17.42578125" style="2" bestFit="1" customWidth="1"/>
    <col min="13575" max="13824" width="11.42578125" style="2"/>
    <col min="13825" max="13825" width="8.42578125" style="2" customWidth="1"/>
    <col min="13826" max="13826" width="59.7109375" style="2" bestFit="1" customWidth="1"/>
    <col min="13827" max="13827" width="8.140625" style="2" customWidth="1"/>
    <col min="13828" max="13828" width="10.140625" style="2" customWidth="1"/>
    <col min="13829" max="13829" width="14.7109375" style="2" customWidth="1"/>
    <col min="13830" max="13830" width="17.42578125" style="2" bestFit="1" customWidth="1"/>
    <col min="13831" max="14080" width="11.42578125" style="2"/>
    <col min="14081" max="14081" width="8.42578125" style="2" customWidth="1"/>
    <col min="14082" max="14082" width="59.7109375" style="2" bestFit="1" customWidth="1"/>
    <col min="14083" max="14083" width="8.140625" style="2" customWidth="1"/>
    <col min="14084" max="14084" width="10.140625" style="2" customWidth="1"/>
    <col min="14085" max="14085" width="14.7109375" style="2" customWidth="1"/>
    <col min="14086" max="14086" width="17.42578125" style="2" bestFit="1" customWidth="1"/>
    <col min="14087" max="14336" width="11.42578125" style="2"/>
    <col min="14337" max="14337" width="8.42578125" style="2" customWidth="1"/>
    <col min="14338" max="14338" width="59.7109375" style="2" bestFit="1" customWidth="1"/>
    <col min="14339" max="14339" width="8.140625" style="2" customWidth="1"/>
    <col min="14340" max="14340" width="10.140625" style="2" customWidth="1"/>
    <col min="14341" max="14341" width="14.7109375" style="2" customWidth="1"/>
    <col min="14342" max="14342" width="17.42578125" style="2" bestFit="1" customWidth="1"/>
    <col min="14343" max="14592" width="11.42578125" style="2"/>
    <col min="14593" max="14593" width="8.42578125" style="2" customWidth="1"/>
    <col min="14594" max="14594" width="59.7109375" style="2" bestFit="1" customWidth="1"/>
    <col min="14595" max="14595" width="8.140625" style="2" customWidth="1"/>
    <col min="14596" max="14596" width="10.140625" style="2" customWidth="1"/>
    <col min="14597" max="14597" width="14.7109375" style="2" customWidth="1"/>
    <col min="14598" max="14598" width="17.42578125" style="2" bestFit="1" customWidth="1"/>
    <col min="14599" max="14848" width="11.42578125" style="2"/>
    <col min="14849" max="14849" width="8.42578125" style="2" customWidth="1"/>
    <col min="14850" max="14850" width="59.7109375" style="2" bestFit="1" customWidth="1"/>
    <col min="14851" max="14851" width="8.140625" style="2" customWidth="1"/>
    <col min="14852" max="14852" width="10.140625" style="2" customWidth="1"/>
    <col min="14853" max="14853" width="14.7109375" style="2" customWidth="1"/>
    <col min="14854" max="14854" width="17.42578125" style="2" bestFit="1" customWidth="1"/>
    <col min="14855" max="15104" width="11.42578125" style="2"/>
    <col min="15105" max="15105" width="8.42578125" style="2" customWidth="1"/>
    <col min="15106" max="15106" width="59.7109375" style="2" bestFit="1" customWidth="1"/>
    <col min="15107" max="15107" width="8.140625" style="2" customWidth="1"/>
    <col min="15108" max="15108" width="10.140625" style="2" customWidth="1"/>
    <col min="15109" max="15109" width="14.7109375" style="2" customWidth="1"/>
    <col min="15110" max="15110" width="17.42578125" style="2" bestFit="1" customWidth="1"/>
    <col min="15111" max="15360" width="11.42578125" style="2"/>
    <col min="15361" max="15361" width="8.42578125" style="2" customWidth="1"/>
    <col min="15362" max="15362" width="59.7109375" style="2" bestFit="1" customWidth="1"/>
    <col min="15363" max="15363" width="8.140625" style="2" customWidth="1"/>
    <col min="15364" max="15364" width="10.140625" style="2" customWidth="1"/>
    <col min="15365" max="15365" width="14.7109375" style="2" customWidth="1"/>
    <col min="15366" max="15366" width="17.42578125" style="2" bestFit="1" customWidth="1"/>
    <col min="15367" max="15616" width="11.42578125" style="2"/>
    <col min="15617" max="15617" width="8.42578125" style="2" customWidth="1"/>
    <col min="15618" max="15618" width="59.7109375" style="2" bestFit="1" customWidth="1"/>
    <col min="15619" max="15619" width="8.140625" style="2" customWidth="1"/>
    <col min="15620" max="15620" width="10.140625" style="2" customWidth="1"/>
    <col min="15621" max="15621" width="14.7109375" style="2" customWidth="1"/>
    <col min="15622" max="15622" width="17.42578125" style="2" bestFit="1" customWidth="1"/>
    <col min="15623" max="15872" width="11.42578125" style="2"/>
    <col min="15873" max="15873" width="8.42578125" style="2" customWidth="1"/>
    <col min="15874" max="15874" width="59.7109375" style="2" bestFit="1" customWidth="1"/>
    <col min="15875" max="15875" width="8.140625" style="2" customWidth="1"/>
    <col min="15876" max="15876" width="10.140625" style="2" customWidth="1"/>
    <col min="15877" max="15877" width="14.7109375" style="2" customWidth="1"/>
    <col min="15878" max="15878" width="17.42578125" style="2" bestFit="1" customWidth="1"/>
    <col min="15879" max="16128" width="11.42578125" style="2"/>
    <col min="16129" max="16129" width="8.42578125" style="2" customWidth="1"/>
    <col min="16130" max="16130" width="59.7109375" style="2" bestFit="1" customWidth="1"/>
    <col min="16131" max="16131" width="8.140625" style="2" customWidth="1"/>
    <col min="16132" max="16132" width="10.140625" style="2" customWidth="1"/>
    <col min="16133" max="16133" width="14.7109375" style="2" customWidth="1"/>
    <col min="16134" max="16134" width="17.42578125" style="2" bestFit="1" customWidth="1"/>
    <col min="16135" max="16384" width="11.42578125" style="2"/>
  </cols>
  <sheetData>
    <row r="1" spans="1:13" ht="13.5" thickBot="1" x14ac:dyDescent="0.25"/>
    <row r="2" spans="1:13" ht="13.5" thickBot="1" x14ac:dyDescent="0.25">
      <c r="D2" s="5" t="s">
        <v>0</v>
      </c>
      <c r="E2" s="6"/>
      <c r="F2" s="7"/>
      <c r="G2" s="2"/>
      <c r="H2" s="2"/>
    </row>
    <row r="3" spans="1:13" ht="13.5" thickBot="1" x14ac:dyDescent="0.25">
      <c r="D3" s="8"/>
      <c r="G3" s="2"/>
      <c r="H3" s="2"/>
    </row>
    <row r="4" spans="1:13" x14ac:dyDescent="0.2">
      <c r="D4" s="9" t="s">
        <v>1</v>
      </c>
      <c r="E4" s="10"/>
      <c r="F4" s="11"/>
      <c r="G4" s="2"/>
      <c r="H4" s="2"/>
    </row>
    <row r="5" spans="1:13" x14ac:dyDescent="0.2">
      <c r="D5" s="12"/>
      <c r="E5" s="13"/>
      <c r="F5" s="14"/>
      <c r="G5" s="2"/>
      <c r="H5" s="2"/>
    </row>
    <row r="6" spans="1:13" x14ac:dyDescent="0.2">
      <c r="A6" s="15"/>
      <c r="D6" s="12"/>
      <c r="E6" s="13"/>
      <c r="F6" s="14"/>
      <c r="G6" s="2"/>
      <c r="H6" s="2"/>
    </row>
    <row r="7" spans="1:13" ht="13.5" thickBot="1" x14ac:dyDescent="0.25">
      <c r="D7" s="16"/>
      <c r="E7" s="17"/>
      <c r="F7" s="18"/>
      <c r="G7" s="2"/>
      <c r="H7" s="2"/>
    </row>
    <row r="8" spans="1:13" x14ac:dyDescent="0.2">
      <c r="A8" s="15" t="s">
        <v>2</v>
      </c>
      <c r="D8" s="8"/>
      <c r="G8" s="2"/>
      <c r="H8" s="2"/>
    </row>
    <row r="9" spans="1:13" x14ac:dyDescent="0.2">
      <c r="A9" s="19" t="s">
        <v>3</v>
      </c>
      <c r="B9" s="19"/>
      <c r="C9" s="19"/>
      <c r="D9" s="19"/>
      <c r="E9" s="19"/>
      <c r="F9" s="19"/>
    </row>
    <row r="10" spans="1:13" ht="13.5" customHeight="1" thickBot="1" x14ac:dyDescent="0.25">
      <c r="A10" s="19" t="s">
        <v>4</v>
      </c>
      <c r="B10" s="19"/>
      <c r="C10" s="19"/>
      <c r="D10" s="19"/>
      <c r="E10" s="19"/>
      <c r="F10" s="19"/>
    </row>
    <row r="11" spans="1:13" s="25" customFormat="1" ht="14.25" customHeight="1" thickBot="1" x14ac:dyDescent="0.3">
      <c r="A11" s="20" t="s">
        <v>5</v>
      </c>
      <c r="B11" s="21" t="s">
        <v>6</v>
      </c>
      <c r="C11" s="21" t="s">
        <v>7</v>
      </c>
      <c r="D11" s="22" t="s">
        <v>8</v>
      </c>
      <c r="E11" s="23" t="s">
        <v>9</v>
      </c>
      <c r="F11" s="24" t="s">
        <v>10</v>
      </c>
    </row>
    <row r="12" spans="1:13" ht="13.5" thickBot="1" x14ac:dyDescent="0.25">
      <c r="A12" s="26" t="s">
        <v>11</v>
      </c>
      <c r="B12" s="27"/>
      <c r="C12" s="28"/>
      <c r="D12" s="29"/>
      <c r="E12" s="30"/>
      <c r="F12" s="31"/>
    </row>
    <row r="13" spans="1:13" x14ac:dyDescent="0.2">
      <c r="A13" s="32" t="s">
        <v>12</v>
      </c>
      <c r="B13" s="33" t="s">
        <v>13</v>
      </c>
      <c r="C13" s="32" t="s">
        <v>14</v>
      </c>
      <c r="D13" s="34">
        <v>1</v>
      </c>
      <c r="E13" s="35">
        <f>[1]SDP!E49</f>
        <v>19098000</v>
      </c>
      <c r="F13" s="35">
        <f>E13*D13</f>
        <v>19098000</v>
      </c>
    </row>
    <row r="14" spans="1:13" x14ac:dyDescent="0.2">
      <c r="A14" s="36" t="s">
        <v>15</v>
      </c>
      <c r="B14" s="37" t="s">
        <v>16</v>
      </c>
      <c r="C14" s="36" t="s">
        <v>14</v>
      </c>
      <c r="D14" s="38">
        <v>1</v>
      </c>
      <c r="E14" s="39">
        <f>[1]SDP!pu_crea</f>
        <v>1068000</v>
      </c>
      <c r="F14" s="40">
        <f>E14*D14</f>
        <v>1068000</v>
      </c>
    </row>
    <row r="15" spans="1:13" ht="13.5" thickBot="1" x14ac:dyDescent="0.25">
      <c r="A15" s="41" t="s">
        <v>17</v>
      </c>
      <c r="B15" s="42" t="s">
        <v>18</v>
      </c>
      <c r="C15" s="41" t="s">
        <v>14</v>
      </c>
      <c r="D15" s="43">
        <v>1</v>
      </c>
      <c r="E15" s="44">
        <f>[1]SDP!E105</f>
        <v>92400</v>
      </c>
      <c r="F15" s="40">
        <f>E15*D15</f>
        <v>92400</v>
      </c>
    </row>
    <row r="16" spans="1:13" s="47" customFormat="1" ht="13.5" thickBot="1" x14ac:dyDescent="0.25">
      <c r="A16" s="45"/>
      <c r="B16" s="27"/>
      <c r="C16" s="28"/>
      <c r="D16" s="29"/>
      <c r="E16" s="46" t="s">
        <v>19</v>
      </c>
      <c r="F16" s="31">
        <f>SUM(F13:F15)</f>
        <v>20258400</v>
      </c>
      <c r="G16" s="1"/>
      <c r="H16" s="1"/>
      <c r="I16" s="2"/>
      <c r="J16" s="2"/>
      <c r="K16" s="2"/>
      <c r="L16" s="2"/>
      <c r="M16" s="2"/>
    </row>
    <row r="17" spans="1:13" s="47" customFormat="1" ht="13.5" thickBot="1" x14ac:dyDescent="0.25">
      <c r="A17" s="26" t="s">
        <v>20</v>
      </c>
      <c r="B17" s="27"/>
      <c r="C17" s="28"/>
      <c r="D17" s="29"/>
      <c r="E17" s="30"/>
      <c r="F17" s="31"/>
      <c r="G17" s="1"/>
      <c r="H17" s="1"/>
      <c r="I17" s="2"/>
      <c r="J17" s="2"/>
      <c r="K17" s="2"/>
      <c r="L17" s="2"/>
      <c r="M17" s="2"/>
    </row>
    <row r="18" spans="1:13" s="47" customFormat="1" x14ac:dyDescent="0.2">
      <c r="A18" s="48" t="s">
        <v>21</v>
      </c>
      <c r="B18" s="49" t="s">
        <v>22</v>
      </c>
      <c r="C18" s="48" t="s">
        <v>23</v>
      </c>
      <c r="D18" s="38">
        <v>4.2</v>
      </c>
      <c r="E18" s="50">
        <f>[1]SDP!E134</f>
        <v>26118.367346938772</v>
      </c>
      <c r="F18" s="51">
        <f>E18*D18</f>
        <v>109697.14285714286</v>
      </c>
      <c r="G18" s="1"/>
      <c r="H18" s="1"/>
      <c r="I18" s="2"/>
      <c r="J18" s="2"/>
      <c r="K18" s="2"/>
      <c r="L18" s="2"/>
      <c r="M18" s="2"/>
    </row>
    <row r="19" spans="1:13" x14ac:dyDescent="0.2">
      <c r="A19" s="48" t="s">
        <v>24</v>
      </c>
      <c r="B19" s="49" t="s">
        <v>25</v>
      </c>
      <c r="C19" s="48" t="s">
        <v>23</v>
      </c>
      <c r="D19" s="38">
        <v>0.45500000000000007</v>
      </c>
      <c r="E19" s="52">
        <f>[1]SDP!E162</f>
        <v>221112</v>
      </c>
      <c r="F19" s="51">
        <f t="shared" ref="F19:F25" si="0">E19*D19</f>
        <v>100605.96000000002</v>
      </c>
      <c r="G19" s="2"/>
      <c r="H19" s="2"/>
    </row>
    <row r="20" spans="1:13" s="47" customFormat="1" x14ac:dyDescent="0.2">
      <c r="A20" s="48" t="s">
        <v>24</v>
      </c>
      <c r="B20" s="49" t="s">
        <v>26</v>
      </c>
      <c r="C20" s="48" t="s">
        <v>23</v>
      </c>
      <c r="D20" s="38">
        <v>2.6</v>
      </c>
      <c r="E20" s="50">
        <f>[1]SDP!E220</f>
        <v>67015.38461538461</v>
      </c>
      <c r="F20" s="51">
        <f t="shared" si="0"/>
        <v>174240</v>
      </c>
      <c r="G20" s="1"/>
      <c r="H20" s="1"/>
      <c r="I20" s="2"/>
      <c r="J20" s="2"/>
      <c r="K20" s="2"/>
      <c r="L20" s="2"/>
      <c r="M20" s="2"/>
    </row>
    <row r="21" spans="1:13" s="47" customFormat="1" x14ac:dyDescent="0.2">
      <c r="A21" s="48" t="s">
        <v>27</v>
      </c>
      <c r="B21" s="49" t="s">
        <v>28</v>
      </c>
      <c r="C21" s="48" t="s">
        <v>23</v>
      </c>
      <c r="D21" s="38">
        <v>1.04</v>
      </c>
      <c r="E21" s="50">
        <f>[1]SDP!E250</f>
        <v>286960</v>
      </c>
      <c r="F21" s="51">
        <f t="shared" si="0"/>
        <v>298438.40000000002</v>
      </c>
      <c r="G21" s="1"/>
      <c r="H21" s="1"/>
      <c r="I21" s="2"/>
      <c r="J21" s="2"/>
      <c r="K21" s="2"/>
      <c r="L21" s="2"/>
      <c r="M21" s="2"/>
    </row>
    <row r="22" spans="1:13" s="47" customFormat="1" x14ac:dyDescent="0.2">
      <c r="A22" s="48" t="s">
        <v>29</v>
      </c>
      <c r="B22" s="49" t="s">
        <v>30</v>
      </c>
      <c r="C22" s="48" t="s">
        <v>23</v>
      </c>
      <c r="D22" s="38">
        <v>4.07</v>
      </c>
      <c r="E22" s="50">
        <f>[1]SDP!E277</f>
        <v>352808</v>
      </c>
      <c r="F22" s="51">
        <f t="shared" si="0"/>
        <v>1435928.56</v>
      </c>
      <c r="G22" s="1"/>
      <c r="H22" s="1"/>
      <c r="I22" s="2"/>
      <c r="J22" s="2"/>
      <c r="K22" s="2"/>
      <c r="L22" s="2"/>
      <c r="M22" s="2"/>
    </row>
    <row r="23" spans="1:13" s="47" customFormat="1" x14ac:dyDescent="0.2">
      <c r="A23" s="48" t="s">
        <v>31</v>
      </c>
      <c r="B23" s="49" t="s">
        <v>32</v>
      </c>
      <c r="C23" s="48" t="s">
        <v>33</v>
      </c>
      <c r="D23" s="38">
        <v>284.90000000000003</v>
      </c>
      <c r="E23" s="50">
        <f>[1]SDP!E305</f>
        <v>5233.3059696267901</v>
      </c>
      <c r="F23" s="51">
        <f t="shared" si="0"/>
        <v>1490968.8707466726</v>
      </c>
      <c r="G23" s="1"/>
      <c r="H23" s="1"/>
      <c r="I23" s="2"/>
      <c r="J23" s="2"/>
      <c r="K23" s="2"/>
      <c r="L23" s="2"/>
      <c r="M23" s="2"/>
    </row>
    <row r="24" spans="1:13" s="47" customFormat="1" x14ac:dyDescent="0.2">
      <c r="A24" s="48" t="s">
        <v>34</v>
      </c>
      <c r="B24" s="49" t="s">
        <v>35</v>
      </c>
      <c r="C24" s="48" t="s">
        <v>36</v>
      </c>
      <c r="D24" s="38">
        <v>61.050000000000011</v>
      </c>
      <c r="E24" s="50">
        <f>[1]SDP!pu_porte</f>
        <v>29437.179741807347</v>
      </c>
      <c r="F24" s="51">
        <f t="shared" si="0"/>
        <v>1797139.8232373388</v>
      </c>
      <c r="G24" s="1"/>
      <c r="H24" s="1"/>
      <c r="I24" s="2"/>
      <c r="J24" s="2"/>
      <c r="K24" s="2"/>
      <c r="L24" s="2"/>
      <c r="M24" s="2"/>
    </row>
    <row r="25" spans="1:13" s="47" customFormat="1" ht="13.5" thickBot="1" x14ac:dyDescent="0.25">
      <c r="A25" s="48" t="s">
        <v>37</v>
      </c>
      <c r="B25" s="49" t="s">
        <v>38</v>
      </c>
      <c r="C25" s="48" t="s">
        <v>36</v>
      </c>
      <c r="D25" s="38">
        <v>18</v>
      </c>
      <c r="E25" s="50">
        <f>pu_polyane</f>
        <v>3475.625</v>
      </c>
      <c r="F25" s="51">
        <f t="shared" si="0"/>
        <v>62561.25</v>
      </c>
      <c r="G25" s="1"/>
      <c r="H25" s="1"/>
      <c r="I25" s="2"/>
      <c r="J25" s="2"/>
      <c r="K25" s="2"/>
      <c r="L25" s="2"/>
      <c r="M25" s="2"/>
    </row>
    <row r="26" spans="1:13" s="47" customFormat="1" ht="13.5" thickBot="1" x14ac:dyDescent="0.25">
      <c r="A26" s="45"/>
      <c r="B26" s="27"/>
      <c r="C26" s="28"/>
      <c r="D26" s="29"/>
      <c r="E26" s="46" t="s">
        <v>39</v>
      </c>
      <c r="F26" s="31">
        <f>SUM(F18:F25)</f>
        <v>5469580.0068411538</v>
      </c>
      <c r="G26" s="1"/>
      <c r="H26" s="1"/>
      <c r="I26" s="2"/>
      <c r="J26" s="2"/>
      <c r="K26" s="2"/>
      <c r="L26" s="2"/>
      <c r="M26" s="2"/>
    </row>
    <row r="27" spans="1:13" s="47" customFormat="1" ht="13.5" thickBot="1" x14ac:dyDescent="0.25">
      <c r="A27" s="26" t="s">
        <v>40</v>
      </c>
      <c r="B27" s="27"/>
      <c r="C27" s="28"/>
      <c r="D27" s="29"/>
      <c r="E27" s="30"/>
      <c r="F27" s="31"/>
      <c r="G27" s="1"/>
      <c r="H27" s="1"/>
      <c r="I27" s="2"/>
      <c r="J27" s="2"/>
      <c r="K27" s="2"/>
      <c r="L27" s="2"/>
      <c r="M27" s="2"/>
    </row>
    <row r="28" spans="1:13" s="47" customFormat="1" x14ac:dyDescent="0.2">
      <c r="A28" s="48" t="s">
        <v>41</v>
      </c>
      <c r="B28" s="49" t="s">
        <v>30</v>
      </c>
      <c r="C28" s="48" t="s">
        <v>23</v>
      </c>
      <c r="D28" s="38">
        <v>2.8652000000000002</v>
      </c>
      <c r="E28" s="50">
        <f>E22</f>
        <v>352808</v>
      </c>
      <c r="F28" s="51">
        <f>E28*D28</f>
        <v>1010865.4816000001</v>
      </c>
      <c r="G28" s="1"/>
      <c r="H28" s="1"/>
      <c r="I28" s="2"/>
      <c r="J28" s="2"/>
      <c r="K28" s="2"/>
      <c r="L28" s="2"/>
      <c r="M28" s="2"/>
    </row>
    <row r="29" spans="1:13" s="47" customFormat="1" x14ac:dyDescent="0.2">
      <c r="A29" s="48" t="s">
        <v>42</v>
      </c>
      <c r="B29" s="49" t="s">
        <v>32</v>
      </c>
      <c r="C29" s="48" t="s">
        <v>33</v>
      </c>
      <c r="D29" s="38">
        <v>200.56400000000002</v>
      </c>
      <c r="E29" s="50">
        <f>E23</f>
        <v>5233.3059696267901</v>
      </c>
      <c r="F29" s="51">
        <f>E29*D29</f>
        <v>1049612.7784922277</v>
      </c>
      <c r="G29" s="1"/>
      <c r="H29" s="1"/>
      <c r="I29" s="2"/>
      <c r="J29" s="2"/>
      <c r="K29" s="2"/>
      <c r="L29" s="2"/>
      <c r="M29" s="2"/>
    </row>
    <row r="30" spans="1:13" s="47" customFormat="1" ht="13.5" thickBot="1" x14ac:dyDescent="0.25">
      <c r="A30" s="48" t="s">
        <v>43</v>
      </c>
      <c r="B30" s="49" t="s">
        <v>35</v>
      </c>
      <c r="C30" s="48" t="s">
        <v>36</v>
      </c>
      <c r="D30" s="38">
        <v>42.978000000000002</v>
      </c>
      <c r="E30" s="50">
        <f>E24</f>
        <v>29437.179741807347</v>
      </c>
      <c r="F30" s="51">
        <f>E30*D30</f>
        <v>1265151.1109433961</v>
      </c>
      <c r="G30" s="1"/>
      <c r="H30" s="1"/>
      <c r="I30" s="2"/>
      <c r="J30" s="2"/>
      <c r="K30" s="2"/>
      <c r="L30" s="2"/>
      <c r="M30" s="2"/>
    </row>
    <row r="31" spans="1:13" s="47" customFormat="1" ht="13.5" thickBot="1" x14ac:dyDescent="0.25">
      <c r="A31" s="45"/>
      <c r="B31" s="27"/>
      <c r="C31" s="28"/>
      <c r="D31" s="29"/>
      <c r="E31" s="46" t="s">
        <v>44</v>
      </c>
      <c r="F31" s="31">
        <f>SUM(F28:F30)</f>
        <v>3325629.3710356238</v>
      </c>
      <c r="G31" s="1"/>
      <c r="H31" s="1"/>
      <c r="I31" s="2"/>
      <c r="J31" s="2"/>
      <c r="K31" s="2"/>
      <c r="L31" s="2"/>
      <c r="M31" s="2"/>
    </row>
    <row r="32" spans="1:13" s="47" customFormat="1" ht="13.5" thickBot="1" x14ac:dyDescent="0.25">
      <c r="A32" s="26" t="s">
        <v>45</v>
      </c>
      <c r="B32" s="27"/>
      <c r="C32" s="28"/>
      <c r="D32" s="29"/>
      <c r="E32" s="30"/>
      <c r="F32" s="31"/>
      <c r="G32" s="1"/>
      <c r="H32" s="1"/>
      <c r="I32" s="2"/>
      <c r="J32" s="2"/>
      <c r="K32" s="2"/>
      <c r="L32" s="2"/>
      <c r="M32" s="2"/>
    </row>
    <row r="33" spans="1:13" s="47" customFormat="1" x14ac:dyDescent="0.2">
      <c r="A33" s="48" t="s">
        <v>46</v>
      </c>
      <c r="B33" s="49" t="s">
        <v>47</v>
      </c>
      <c r="C33" s="48" t="s">
        <v>36</v>
      </c>
      <c r="D33" s="38">
        <v>102.24000000000001</v>
      </c>
      <c r="E33" s="50">
        <f>[1]SDP!pu_fenetre</f>
        <v>46905.082816901413</v>
      </c>
      <c r="F33" s="51">
        <f>E33*D33</f>
        <v>4795575.667200001</v>
      </c>
      <c r="G33" s="1"/>
      <c r="H33" s="1"/>
      <c r="I33" s="2"/>
      <c r="J33" s="2"/>
      <c r="K33" s="2"/>
      <c r="L33" s="2"/>
      <c r="M33" s="2"/>
    </row>
    <row r="34" spans="1:13" s="47" customFormat="1" x14ac:dyDescent="0.2">
      <c r="A34" s="48" t="s">
        <v>48</v>
      </c>
      <c r="B34" s="49" t="s">
        <v>49</v>
      </c>
      <c r="C34" s="48" t="s">
        <v>36</v>
      </c>
      <c r="D34" s="38">
        <v>18</v>
      </c>
      <c r="E34" s="50">
        <f>pu_agglo10</f>
        <v>35630.32</v>
      </c>
      <c r="F34" s="51">
        <f>E34*D34</f>
        <v>641345.76</v>
      </c>
      <c r="G34" s="1"/>
      <c r="H34" s="1"/>
      <c r="I34" s="2"/>
      <c r="J34" s="2"/>
      <c r="K34" s="2"/>
      <c r="L34" s="2"/>
      <c r="M34" s="2"/>
    </row>
    <row r="35" spans="1:13" s="47" customFormat="1" ht="13.5" thickBot="1" x14ac:dyDescent="0.25">
      <c r="A35" s="48" t="s">
        <v>50</v>
      </c>
      <c r="B35" s="49" t="s">
        <v>51</v>
      </c>
      <c r="C35" s="48" t="s">
        <v>36</v>
      </c>
      <c r="D35" s="38">
        <v>0.8</v>
      </c>
      <c r="E35" s="50">
        <f>pu_claustra</f>
        <v>173225.75999999995</v>
      </c>
      <c r="F35" s="51">
        <f>E35*D35</f>
        <v>138580.60799999998</v>
      </c>
      <c r="G35" s="1"/>
      <c r="H35" s="1"/>
      <c r="I35" s="2"/>
      <c r="J35" s="2"/>
      <c r="K35" s="2"/>
      <c r="L35" s="2"/>
      <c r="M35" s="2"/>
    </row>
    <row r="36" spans="1:13" s="47" customFormat="1" ht="13.5" thickBot="1" x14ac:dyDescent="0.25">
      <c r="A36" s="45"/>
      <c r="B36" s="27"/>
      <c r="C36" s="28"/>
      <c r="D36" s="29"/>
      <c r="E36" s="46" t="s">
        <v>52</v>
      </c>
      <c r="F36" s="31">
        <f>SUM(F33:F35)</f>
        <v>5575502.0352000007</v>
      </c>
      <c r="G36" s="1"/>
      <c r="H36" s="1"/>
      <c r="I36" s="2"/>
      <c r="J36" s="2"/>
      <c r="K36" s="2"/>
      <c r="L36" s="2"/>
      <c r="M36" s="2"/>
    </row>
    <row r="37" spans="1:13" s="47" customFormat="1" ht="13.5" thickBot="1" x14ac:dyDescent="0.25">
      <c r="A37" s="26" t="s">
        <v>53</v>
      </c>
      <c r="B37" s="27"/>
      <c r="C37" s="28"/>
      <c r="D37" s="29"/>
      <c r="E37" s="30"/>
      <c r="F37" s="31"/>
      <c r="G37" s="1"/>
      <c r="H37" s="1"/>
      <c r="I37" s="2"/>
      <c r="J37" s="2"/>
      <c r="K37" s="2"/>
      <c r="L37" s="2"/>
      <c r="M37" s="2"/>
    </row>
    <row r="38" spans="1:13" s="47" customFormat="1" x14ac:dyDescent="0.2">
      <c r="A38" s="48" t="s">
        <v>54</v>
      </c>
      <c r="B38" s="49" t="s">
        <v>55</v>
      </c>
      <c r="C38" s="48" t="s">
        <v>36</v>
      </c>
      <c r="D38" s="38">
        <v>236.08</v>
      </c>
      <c r="E38" s="50">
        <f>[1]SDP!E490</f>
        <v>10217.390452050151</v>
      </c>
      <c r="F38" s="51">
        <f>E38*D38</f>
        <v>2412121.5379199996</v>
      </c>
      <c r="G38" s="1"/>
      <c r="H38" s="1"/>
      <c r="I38" s="2"/>
      <c r="J38" s="2"/>
      <c r="K38" s="2"/>
      <c r="L38" s="2"/>
      <c r="M38" s="2"/>
    </row>
    <row r="39" spans="1:13" s="47" customFormat="1" x14ac:dyDescent="0.2">
      <c r="A39" s="48" t="s">
        <v>56</v>
      </c>
      <c r="B39" s="37" t="s">
        <v>57</v>
      </c>
      <c r="C39" s="48" t="s">
        <v>36</v>
      </c>
      <c r="D39" s="38">
        <v>0</v>
      </c>
      <c r="E39" s="50">
        <f>[1]SDP!E518</f>
        <v>10914.296</v>
      </c>
      <c r="F39" s="51">
        <f>E39*D39</f>
        <v>0</v>
      </c>
      <c r="G39" s="1"/>
      <c r="H39" s="1"/>
      <c r="I39" s="2"/>
      <c r="J39" s="2"/>
      <c r="K39" s="2"/>
      <c r="L39" s="2"/>
      <c r="M39" s="2"/>
    </row>
    <row r="40" spans="1:13" s="47" customFormat="1" ht="13.5" thickBot="1" x14ac:dyDescent="0.25">
      <c r="A40" s="48" t="s">
        <v>58</v>
      </c>
      <c r="B40" s="49" t="s">
        <v>59</v>
      </c>
      <c r="C40" s="48" t="s">
        <v>36</v>
      </c>
      <c r="D40" s="38">
        <v>19.14</v>
      </c>
      <c r="E40" s="50">
        <f>E39</f>
        <v>10914.296</v>
      </c>
      <c r="F40" s="51">
        <f>E40*D40</f>
        <v>208899.62544</v>
      </c>
      <c r="G40" s="1"/>
      <c r="H40" s="1"/>
      <c r="I40" s="2"/>
      <c r="J40" s="2"/>
      <c r="K40" s="2"/>
      <c r="L40" s="2"/>
      <c r="M40" s="2"/>
    </row>
    <row r="41" spans="1:13" s="47" customFormat="1" ht="13.5" thickBot="1" x14ac:dyDescent="0.25">
      <c r="A41" s="45"/>
      <c r="B41" s="27"/>
      <c r="C41" s="28"/>
      <c r="D41" s="29"/>
      <c r="E41" s="46" t="s">
        <v>60</v>
      </c>
      <c r="F41" s="31">
        <f>SUM(F38:F40)</f>
        <v>2621021.1633599997</v>
      </c>
      <c r="G41" s="1"/>
      <c r="H41" s="1"/>
      <c r="I41" s="2"/>
      <c r="J41" s="2"/>
      <c r="K41" s="2"/>
      <c r="L41" s="2"/>
      <c r="M41" s="2"/>
    </row>
    <row r="42" spans="1:13" s="47" customFormat="1" ht="13.5" thickBot="1" x14ac:dyDescent="0.25">
      <c r="A42" s="26" t="s">
        <v>61</v>
      </c>
      <c r="B42" s="27"/>
      <c r="C42" s="28"/>
      <c r="D42" s="29"/>
      <c r="E42" s="30"/>
      <c r="F42" s="31"/>
      <c r="G42" s="1"/>
      <c r="H42" s="1"/>
      <c r="I42" s="2"/>
      <c r="J42" s="2"/>
      <c r="K42" s="2"/>
      <c r="L42" s="2"/>
      <c r="M42" s="2"/>
    </row>
    <row r="43" spans="1:13" s="47" customFormat="1" x14ac:dyDescent="0.2">
      <c r="A43" s="48" t="s">
        <v>62</v>
      </c>
      <c r="B43" s="49" t="s">
        <v>63</v>
      </c>
      <c r="C43" s="48" t="s">
        <v>36</v>
      </c>
      <c r="D43" s="38">
        <v>8</v>
      </c>
      <c r="E43" s="50">
        <f>pu_carrgr</f>
        <v>91302</v>
      </c>
      <c r="F43" s="51">
        <f>E43*D43</f>
        <v>730416</v>
      </c>
      <c r="G43" s="1"/>
      <c r="H43" s="1"/>
      <c r="I43" s="2"/>
      <c r="J43" s="2"/>
      <c r="K43" s="2"/>
      <c r="L43" s="2"/>
      <c r="M43" s="2"/>
    </row>
    <row r="44" spans="1:13" s="47" customFormat="1" x14ac:dyDescent="0.2">
      <c r="A44" s="48" t="s">
        <v>64</v>
      </c>
      <c r="B44" s="37" t="s">
        <v>65</v>
      </c>
      <c r="C44" s="48" t="s">
        <v>36</v>
      </c>
      <c r="D44" s="38">
        <v>4</v>
      </c>
      <c r="E44" s="50">
        <f>pu_carrmur</f>
        <v>67302</v>
      </c>
      <c r="F44" s="51">
        <f>E44*D44</f>
        <v>269208</v>
      </c>
      <c r="G44" s="1"/>
      <c r="H44" s="1"/>
      <c r="I44" s="2"/>
      <c r="J44" s="2"/>
      <c r="K44" s="2"/>
      <c r="L44" s="2"/>
      <c r="M44" s="2"/>
    </row>
    <row r="45" spans="1:13" s="47" customFormat="1" x14ac:dyDescent="0.2">
      <c r="A45" s="48" t="s">
        <v>66</v>
      </c>
      <c r="B45" s="49" t="s">
        <v>67</v>
      </c>
      <c r="C45" s="48" t="s">
        <v>68</v>
      </c>
      <c r="D45" s="38">
        <v>11</v>
      </c>
      <c r="E45" s="50">
        <f>[1]SDP!E644</f>
        <v>13390.603636363636</v>
      </c>
      <c r="F45" s="51">
        <f>E45*D45</f>
        <v>147296.63999999998</v>
      </c>
      <c r="G45" s="1"/>
      <c r="H45" s="1"/>
      <c r="I45" s="2"/>
      <c r="J45" s="2"/>
      <c r="K45" s="2"/>
      <c r="L45" s="2"/>
      <c r="M45" s="2"/>
    </row>
    <row r="46" spans="1:13" s="47" customFormat="1" x14ac:dyDescent="0.2">
      <c r="A46" s="48" t="s">
        <v>69</v>
      </c>
      <c r="B46" s="37" t="s">
        <v>70</v>
      </c>
      <c r="C46" s="48" t="s">
        <v>36</v>
      </c>
      <c r="D46" s="38">
        <v>8</v>
      </c>
      <c r="E46" s="50">
        <f>pu_dalle60</f>
        <v>99000</v>
      </c>
      <c r="F46" s="51">
        <f>E46*D46</f>
        <v>792000</v>
      </c>
      <c r="G46" s="1"/>
      <c r="H46" s="1"/>
      <c r="I46" s="2"/>
      <c r="J46" s="2"/>
      <c r="K46" s="2"/>
      <c r="L46" s="2"/>
      <c r="M46" s="2"/>
    </row>
    <row r="47" spans="1:13" s="47" customFormat="1" ht="13.5" thickBot="1" x14ac:dyDescent="0.25">
      <c r="A47" s="48" t="s">
        <v>71</v>
      </c>
      <c r="B47" s="49" t="s">
        <v>72</v>
      </c>
      <c r="C47" s="48" t="s">
        <v>36</v>
      </c>
      <c r="D47" s="38">
        <v>20.47</v>
      </c>
      <c r="E47" s="50">
        <f>pu_placostd</f>
        <v>77748.97061902436</v>
      </c>
      <c r="F47" s="51">
        <f>E47*D47</f>
        <v>1591521.4285714286</v>
      </c>
      <c r="G47" s="1"/>
      <c r="H47" s="1"/>
      <c r="I47" s="2"/>
      <c r="J47" s="2"/>
      <c r="K47" s="2"/>
      <c r="L47" s="2"/>
      <c r="M47" s="2"/>
    </row>
    <row r="48" spans="1:13" s="47" customFormat="1" ht="13.5" thickBot="1" x14ac:dyDescent="0.25">
      <c r="A48" s="45"/>
      <c r="B48" s="27"/>
      <c r="C48" s="28"/>
      <c r="D48" s="29"/>
      <c r="E48" s="46" t="s">
        <v>73</v>
      </c>
      <c r="F48" s="31">
        <f>SUM(F43:F47)</f>
        <v>3530442.0685714288</v>
      </c>
      <c r="G48" s="1"/>
      <c r="H48" s="1"/>
      <c r="I48" s="2"/>
      <c r="J48" s="2"/>
      <c r="K48" s="2"/>
      <c r="L48" s="2"/>
      <c r="M48" s="2"/>
    </row>
    <row r="49" spans="1:13" s="47" customFormat="1" ht="13.5" thickBot="1" x14ac:dyDescent="0.25">
      <c r="A49" s="26" t="s">
        <v>74</v>
      </c>
      <c r="B49" s="27"/>
      <c r="C49" s="28"/>
      <c r="D49" s="29"/>
      <c r="E49" s="30"/>
      <c r="F49" s="31"/>
      <c r="G49" s="1"/>
      <c r="H49" s="1"/>
      <c r="I49" s="2"/>
      <c r="J49" s="2"/>
      <c r="K49" s="2"/>
      <c r="L49" s="2"/>
      <c r="M49" s="2"/>
    </row>
    <row r="50" spans="1:13" s="47" customFormat="1" x14ac:dyDescent="0.2">
      <c r="A50" s="48" t="s">
        <v>75</v>
      </c>
      <c r="B50" s="49" t="s">
        <v>76</v>
      </c>
      <c r="C50" s="48" t="s">
        <v>14</v>
      </c>
      <c r="D50" s="38">
        <v>1</v>
      </c>
      <c r="E50" s="50">
        <f>[1]SDP!E729</f>
        <v>1783200</v>
      </c>
      <c r="F50" s="51">
        <f t="shared" ref="F50:F55" si="1">E50*D50</f>
        <v>1783200</v>
      </c>
      <c r="G50" s="1"/>
      <c r="H50" s="1"/>
      <c r="I50" s="2"/>
      <c r="J50" s="2"/>
      <c r="K50" s="2"/>
      <c r="L50" s="2"/>
      <c r="M50" s="2"/>
    </row>
    <row r="51" spans="1:13" s="47" customFormat="1" x14ac:dyDescent="0.2">
      <c r="A51" s="48" t="s">
        <v>77</v>
      </c>
      <c r="B51" s="49" t="s">
        <v>78</v>
      </c>
      <c r="C51" s="48" t="s">
        <v>14</v>
      </c>
      <c r="D51" s="38">
        <v>1</v>
      </c>
      <c r="E51" s="50">
        <f>[1]SDP!E756</f>
        <v>1041000</v>
      </c>
      <c r="F51" s="51">
        <f t="shared" si="1"/>
        <v>1041000</v>
      </c>
      <c r="G51" s="1"/>
      <c r="H51" s="1"/>
      <c r="I51" s="2"/>
      <c r="J51" s="2"/>
      <c r="K51" s="2"/>
      <c r="L51" s="2"/>
      <c r="M51" s="2"/>
    </row>
    <row r="52" spans="1:13" s="47" customFormat="1" x14ac:dyDescent="0.2">
      <c r="A52" s="48" t="s">
        <v>79</v>
      </c>
      <c r="B52" s="49" t="s">
        <v>80</v>
      </c>
      <c r="C52" s="48" t="s">
        <v>36</v>
      </c>
      <c r="D52" s="38">
        <v>38.040000000000006</v>
      </c>
      <c r="E52" s="50">
        <f>pu_toiture</f>
        <v>52776.506119873811</v>
      </c>
      <c r="F52" s="51">
        <f t="shared" si="1"/>
        <v>2007618.2928000002</v>
      </c>
      <c r="G52" s="1"/>
      <c r="H52" s="1"/>
      <c r="I52" s="2"/>
      <c r="J52" s="2"/>
      <c r="K52" s="2"/>
      <c r="L52" s="2"/>
      <c r="M52" s="2"/>
    </row>
    <row r="53" spans="1:13" s="47" customFormat="1" x14ac:dyDescent="0.2">
      <c r="A53" s="48" t="s">
        <v>81</v>
      </c>
      <c r="B53" s="49" t="s">
        <v>82</v>
      </c>
      <c r="C53" s="48" t="s">
        <v>68</v>
      </c>
      <c r="D53" s="38">
        <v>18.3</v>
      </c>
      <c r="E53" s="50">
        <f>[1]SDP!E822</f>
        <v>34308.347540983603</v>
      </c>
      <c r="F53" s="51">
        <f t="shared" si="1"/>
        <v>627842.76</v>
      </c>
      <c r="G53" s="1"/>
      <c r="H53" s="1"/>
      <c r="I53" s="2"/>
      <c r="J53" s="2"/>
      <c r="K53" s="2"/>
      <c r="L53" s="2"/>
      <c r="M53" s="2"/>
    </row>
    <row r="54" spans="1:13" s="47" customFormat="1" x14ac:dyDescent="0.2">
      <c r="A54" s="48" t="s">
        <v>83</v>
      </c>
      <c r="B54" s="49" t="s">
        <v>84</v>
      </c>
      <c r="C54" s="48" t="s">
        <v>68</v>
      </c>
      <c r="D54" s="38">
        <v>14</v>
      </c>
      <c r="E54" s="50">
        <f>pu_gouttière</f>
        <v>97242.857142857145</v>
      </c>
      <c r="F54" s="51">
        <f t="shared" si="1"/>
        <v>1361400</v>
      </c>
      <c r="G54" s="1"/>
      <c r="H54" s="1"/>
      <c r="I54" s="2"/>
      <c r="J54" s="2"/>
      <c r="K54" s="2"/>
      <c r="L54" s="2"/>
      <c r="M54" s="2"/>
    </row>
    <row r="55" spans="1:13" s="47" customFormat="1" ht="13.5" thickBot="1" x14ac:dyDescent="0.25">
      <c r="A55" s="48" t="s">
        <v>85</v>
      </c>
      <c r="B55" s="49" t="s">
        <v>86</v>
      </c>
      <c r="C55" s="48" t="s">
        <v>68</v>
      </c>
      <c r="D55" s="38">
        <v>5.5</v>
      </c>
      <c r="E55" s="50">
        <f>[1]SDP!E883</f>
        <v>31287.272727272728</v>
      </c>
      <c r="F55" s="51">
        <f t="shared" si="1"/>
        <v>172080</v>
      </c>
      <c r="G55" s="1"/>
      <c r="H55" s="1"/>
      <c r="I55" s="2"/>
      <c r="J55" s="2"/>
      <c r="K55" s="2"/>
      <c r="L55" s="2"/>
      <c r="M55" s="2"/>
    </row>
    <row r="56" spans="1:13" s="47" customFormat="1" ht="13.5" thickBot="1" x14ac:dyDescent="0.25">
      <c r="A56" s="45"/>
      <c r="B56" s="27"/>
      <c r="C56" s="28"/>
      <c r="D56" s="29"/>
      <c r="E56" s="46" t="s">
        <v>87</v>
      </c>
      <c r="F56" s="31">
        <f>SUM(F50:F55)</f>
        <v>6993141.0527999997</v>
      </c>
      <c r="G56" s="1"/>
      <c r="H56" s="1"/>
      <c r="I56" s="2"/>
      <c r="J56" s="2"/>
      <c r="K56" s="2"/>
      <c r="L56" s="2"/>
      <c r="M56" s="2"/>
    </row>
    <row r="57" spans="1:13" s="47" customFormat="1" ht="13.5" thickBot="1" x14ac:dyDescent="0.25">
      <c r="A57" s="26" t="s">
        <v>88</v>
      </c>
      <c r="B57" s="27"/>
      <c r="C57" s="28"/>
      <c r="D57" s="29"/>
      <c r="E57" s="30"/>
      <c r="F57" s="31"/>
      <c r="G57" s="1"/>
      <c r="H57" s="1"/>
      <c r="I57" s="2"/>
      <c r="J57" s="2"/>
      <c r="K57" s="2"/>
      <c r="L57" s="2"/>
      <c r="M57" s="2"/>
    </row>
    <row r="58" spans="1:13" s="47" customFormat="1" x14ac:dyDescent="0.2">
      <c r="A58" s="48" t="s">
        <v>89</v>
      </c>
      <c r="B58" s="49" t="s">
        <v>90</v>
      </c>
      <c r="C58" s="48" t="s">
        <v>36</v>
      </c>
      <c r="D58" s="38">
        <v>128.5</v>
      </c>
      <c r="E58" s="50">
        <f>[1]SDP!E1151</f>
        <v>7246.6926070038908</v>
      </c>
      <c r="F58" s="50">
        <f>E58*D58</f>
        <v>931200</v>
      </c>
      <c r="G58" s="1"/>
      <c r="H58" s="1"/>
      <c r="I58" s="2"/>
      <c r="J58" s="2"/>
      <c r="K58" s="2"/>
      <c r="L58" s="2"/>
      <c r="M58" s="2"/>
    </row>
    <row r="59" spans="1:13" s="47" customFormat="1" x14ac:dyDescent="0.2">
      <c r="A59" s="48" t="s">
        <v>91</v>
      </c>
      <c r="B59" s="49" t="s">
        <v>92</v>
      </c>
      <c r="C59" s="48" t="s">
        <v>36</v>
      </c>
      <c r="D59" s="38">
        <v>116.5</v>
      </c>
      <c r="E59" s="50">
        <f>[1]SDP!E1177</f>
        <v>12669.01287553648</v>
      </c>
      <c r="F59" s="50">
        <f>E59*D59</f>
        <v>1475940</v>
      </c>
      <c r="G59" s="1"/>
      <c r="H59" s="1"/>
      <c r="I59" s="2"/>
      <c r="J59" s="2"/>
      <c r="K59" s="2"/>
      <c r="L59" s="2"/>
      <c r="M59" s="2"/>
    </row>
    <row r="60" spans="1:13" s="47" customFormat="1" x14ac:dyDescent="0.2">
      <c r="A60" s="48" t="s">
        <v>93</v>
      </c>
      <c r="B60" s="49" t="s">
        <v>94</v>
      </c>
      <c r="C60" s="48" t="s">
        <v>36</v>
      </c>
      <c r="D60" s="38">
        <v>7.9</v>
      </c>
      <c r="E60" s="50">
        <f>[1]SDP!E1202</f>
        <v>15519.493670886075</v>
      </c>
      <c r="F60" s="50">
        <f>E60*D60</f>
        <v>122604</v>
      </c>
      <c r="G60" s="1"/>
      <c r="H60" s="1"/>
      <c r="I60" s="2"/>
      <c r="J60" s="2"/>
      <c r="K60" s="2"/>
      <c r="L60" s="2"/>
      <c r="M60" s="2"/>
    </row>
    <row r="61" spans="1:13" s="47" customFormat="1" x14ac:dyDescent="0.2">
      <c r="A61" s="48" t="s">
        <v>95</v>
      </c>
      <c r="B61" s="49" t="s">
        <v>96</v>
      </c>
      <c r="C61" s="48" t="s">
        <v>36</v>
      </c>
      <c r="D61" s="38">
        <v>88.025000000000006</v>
      </c>
      <c r="E61" s="50">
        <f>[1]SDP!E1228</f>
        <v>16232.649815393353</v>
      </c>
      <c r="F61" s="50">
        <f>E61*D61</f>
        <v>1428879</v>
      </c>
      <c r="G61" s="1"/>
      <c r="H61" s="1"/>
      <c r="I61" s="2"/>
      <c r="J61" s="2"/>
      <c r="K61" s="2"/>
      <c r="L61" s="2"/>
      <c r="M61" s="2"/>
    </row>
    <row r="62" spans="1:13" s="47" customFormat="1" ht="13.5" thickBot="1" x14ac:dyDescent="0.25">
      <c r="A62" s="48" t="s">
        <v>97</v>
      </c>
      <c r="B62" s="49" t="s">
        <v>98</v>
      </c>
      <c r="C62" s="48" t="s">
        <v>36</v>
      </c>
      <c r="D62" s="38">
        <v>0</v>
      </c>
      <c r="E62" s="50">
        <f>[1]SDP!E1253</f>
        <v>16800</v>
      </c>
      <c r="F62" s="50">
        <f>E62*D62</f>
        <v>0</v>
      </c>
      <c r="G62" s="1"/>
      <c r="H62" s="1"/>
      <c r="I62" s="2"/>
      <c r="J62" s="2"/>
      <c r="K62" s="2"/>
      <c r="L62" s="2"/>
      <c r="M62" s="2"/>
    </row>
    <row r="63" spans="1:13" s="47" customFormat="1" ht="13.5" thickBot="1" x14ac:dyDescent="0.25">
      <c r="A63" s="45"/>
      <c r="B63" s="27"/>
      <c r="C63" s="28"/>
      <c r="D63" s="29"/>
      <c r="E63" s="46" t="s">
        <v>99</v>
      </c>
      <c r="F63" s="31">
        <f>SUM(F58:F62)</f>
        <v>3958623</v>
      </c>
      <c r="G63" s="1"/>
      <c r="H63" s="1"/>
      <c r="I63" s="2"/>
      <c r="J63" s="2"/>
      <c r="K63" s="2"/>
      <c r="L63" s="2"/>
      <c r="M63" s="2"/>
    </row>
    <row r="64" spans="1:13" s="47" customFormat="1" ht="13.5" thickBot="1" x14ac:dyDescent="0.25">
      <c r="A64" s="26" t="s">
        <v>100</v>
      </c>
      <c r="B64" s="27"/>
      <c r="C64" s="28"/>
      <c r="D64" s="29"/>
      <c r="E64" s="30"/>
      <c r="F64" s="31"/>
      <c r="G64" s="1"/>
      <c r="H64" s="1"/>
      <c r="I64" s="2"/>
      <c r="J64" s="2"/>
      <c r="K64" s="2"/>
      <c r="L64" s="2"/>
      <c r="M64" s="2"/>
    </row>
    <row r="65" spans="1:13" s="47" customFormat="1" x14ac:dyDescent="0.2">
      <c r="A65" s="53"/>
      <c r="B65" s="54" t="s">
        <v>101</v>
      </c>
      <c r="C65" s="48"/>
      <c r="D65" s="38"/>
      <c r="E65" s="50"/>
      <c r="F65" s="50"/>
      <c r="G65" s="1"/>
      <c r="H65" s="1"/>
      <c r="I65" s="2"/>
      <c r="J65" s="2"/>
      <c r="K65" s="2"/>
      <c r="L65" s="2"/>
      <c r="M65" s="2"/>
    </row>
    <row r="66" spans="1:13" s="47" customFormat="1" x14ac:dyDescent="0.2">
      <c r="A66" s="48" t="s">
        <v>102</v>
      </c>
      <c r="B66" s="37" t="s">
        <v>103</v>
      </c>
      <c r="C66" s="48" t="s">
        <v>7</v>
      </c>
      <c r="D66" s="38">
        <v>1</v>
      </c>
      <c r="E66" s="50">
        <f>pu_alu*1.7*2.5</f>
        <v>3860062.5</v>
      </c>
      <c r="F66" s="50">
        <f>E66*D66</f>
        <v>3860062.5</v>
      </c>
      <c r="G66" s="1"/>
      <c r="H66" s="1"/>
      <c r="I66" s="2"/>
      <c r="J66" s="2"/>
      <c r="K66" s="2"/>
      <c r="L66" s="2"/>
      <c r="M66" s="2"/>
    </row>
    <row r="67" spans="1:13" s="47" customFormat="1" x14ac:dyDescent="0.2">
      <c r="A67" s="48" t="s">
        <v>104</v>
      </c>
      <c r="B67" s="49" t="s">
        <v>105</v>
      </c>
      <c r="C67" s="48" t="s">
        <v>36</v>
      </c>
      <c r="D67" s="38">
        <v>4</v>
      </c>
      <c r="E67" s="50">
        <f>pu_alu</f>
        <v>908250</v>
      </c>
      <c r="F67" s="50">
        <f t="shared" ref="F67:F76" si="2">E67*D67</f>
        <v>3633000</v>
      </c>
      <c r="G67" s="1"/>
      <c r="H67" s="1"/>
      <c r="I67" s="2"/>
      <c r="J67" s="2"/>
      <c r="K67" s="2"/>
      <c r="L67" s="2"/>
      <c r="M67" s="2"/>
    </row>
    <row r="68" spans="1:13" s="47" customFormat="1" x14ac:dyDescent="0.2">
      <c r="A68" s="48" t="s">
        <v>106</v>
      </c>
      <c r="B68" s="49" t="s">
        <v>107</v>
      </c>
      <c r="C68" s="48" t="s">
        <v>7</v>
      </c>
      <c r="D68" s="38">
        <v>1</v>
      </c>
      <c r="E68" s="50">
        <f>pu_alu*0.9*2.1</f>
        <v>1716592.5</v>
      </c>
      <c r="F68" s="50">
        <f t="shared" si="2"/>
        <v>1716592.5</v>
      </c>
      <c r="G68" s="1"/>
      <c r="H68" s="1"/>
      <c r="I68" s="2"/>
      <c r="J68" s="2"/>
      <c r="K68" s="2"/>
      <c r="L68" s="2"/>
      <c r="M68" s="2"/>
    </row>
    <row r="69" spans="1:13" s="47" customFormat="1" x14ac:dyDescent="0.2">
      <c r="A69" s="48"/>
      <c r="B69" s="54" t="s">
        <v>108</v>
      </c>
      <c r="C69" s="48"/>
      <c r="D69" s="38"/>
      <c r="E69" s="50"/>
      <c r="F69" s="50"/>
      <c r="G69" s="1"/>
      <c r="H69" s="1"/>
      <c r="I69" s="2"/>
      <c r="J69" s="2"/>
      <c r="K69" s="2"/>
      <c r="L69" s="2"/>
      <c r="M69" s="2"/>
    </row>
    <row r="70" spans="1:13" s="47" customFormat="1" x14ac:dyDescent="0.2">
      <c r="A70" s="48" t="s">
        <v>109</v>
      </c>
      <c r="B70" s="37" t="s">
        <v>110</v>
      </c>
      <c r="C70" s="48" t="s">
        <v>7</v>
      </c>
      <c r="D70" s="38">
        <v>1</v>
      </c>
      <c r="E70" s="50">
        <f>pu_alu*1.7*2.5*0.95</f>
        <v>3667059.375</v>
      </c>
      <c r="F70" s="50">
        <f t="shared" si="2"/>
        <v>3667059.375</v>
      </c>
      <c r="G70" s="1"/>
      <c r="H70" s="1"/>
      <c r="I70" s="2"/>
      <c r="J70" s="2"/>
      <c r="K70" s="2"/>
      <c r="L70" s="2"/>
      <c r="M70" s="2"/>
    </row>
    <row r="71" spans="1:13" s="47" customFormat="1" x14ac:dyDescent="0.2">
      <c r="A71" s="48" t="s">
        <v>111</v>
      </c>
      <c r="B71" s="49" t="s">
        <v>112</v>
      </c>
      <c r="C71" s="48" t="s">
        <v>7</v>
      </c>
      <c r="D71" s="38">
        <v>2</v>
      </c>
      <c r="E71" s="50">
        <f>[1]SDP!E1304</f>
        <v>972480</v>
      </c>
      <c r="F71" s="50">
        <f t="shared" si="2"/>
        <v>1944960</v>
      </c>
      <c r="G71" s="1"/>
      <c r="H71" s="1"/>
      <c r="I71" s="2"/>
      <c r="J71" s="2"/>
      <c r="K71" s="2"/>
      <c r="L71" s="2"/>
      <c r="M71" s="2"/>
    </row>
    <row r="72" spans="1:13" s="47" customFormat="1" x14ac:dyDescent="0.2">
      <c r="A72" s="48" t="s">
        <v>113</v>
      </c>
      <c r="B72" s="49" t="s">
        <v>114</v>
      </c>
      <c r="C72" s="48" t="s">
        <v>36</v>
      </c>
      <c r="D72" s="38">
        <f>2.05*1.5</f>
        <v>3.0749999999999997</v>
      </c>
      <c r="E72" s="50">
        <f>[1]SDP!E1329</f>
        <v>231000</v>
      </c>
      <c r="F72" s="50">
        <f t="shared" si="2"/>
        <v>710324.99999999988</v>
      </c>
      <c r="G72" s="1"/>
      <c r="H72" s="1"/>
      <c r="I72" s="2"/>
      <c r="J72" s="2"/>
      <c r="K72" s="2"/>
      <c r="L72" s="2"/>
      <c r="M72" s="2"/>
    </row>
    <row r="73" spans="1:13" s="47" customFormat="1" x14ac:dyDescent="0.2">
      <c r="A73" s="48"/>
      <c r="B73" s="54" t="s">
        <v>115</v>
      </c>
      <c r="C73" s="48"/>
      <c r="D73" s="38"/>
      <c r="E73" s="50"/>
      <c r="F73" s="50"/>
      <c r="G73" s="1"/>
      <c r="H73" s="1"/>
      <c r="I73" s="2"/>
      <c r="J73" s="2"/>
      <c r="K73" s="2"/>
      <c r="L73" s="2"/>
      <c r="M73" s="2"/>
    </row>
    <row r="74" spans="1:13" s="47" customFormat="1" x14ac:dyDescent="0.2">
      <c r="A74" s="48" t="s">
        <v>116</v>
      </c>
      <c r="B74" s="49" t="s">
        <v>117</v>
      </c>
      <c r="C74" s="48" t="s">
        <v>7</v>
      </c>
      <c r="D74" s="38">
        <v>1</v>
      </c>
      <c r="E74" s="50">
        <f>[1]SDP!E1379</f>
        <v>501600</v>
      </c>
      <c r="F74" s="50">
        <f t="shared" si="2"/>
        <v>501600</v>
      </c>
      <c r="G74" s="1"/>
      <c r="H74" s="1"/>
      <c r="I74" s="2"/>
      <c r="J74" s="2"/>
      <c r="K74" s="2"/>
      <c r="L74" s="2"/>
      <c r="M74" s="2"/>
    </row>
    <row r="75" spans="1:13" s="47" customFormat="1" x14ac:dyDescent="0.2">
      <c r="A75" s="48" t="s">
        <v>118</v>
      </c>
      <c r="B75" s="49" t="s">
        <v>119</v>
      </c>
      <c r="C75" s="48" t="s">
        <v>7</v>
      </c>
      <c r="D75" s="38">
        <v>1</v>
      </c>
      <c r="E75" s="50">
        <f>E74*0.08</f>
        <v>40128</v>
      </c>
      <c r="F75" s="50">
        <f t="shared" si="2"/>
        <v>40128</v>
      </c>
      <c r="G75" s="1"/>
      <c r="H75" s="1"/>
      <c r="I75" s="2"/>
      <c r="J75" s="2"/>
      <c r="K75" s="2"/>
      <c r="L75" s="2"/>
      <c r="M75" s="2"/>
    </row>
    <row r="76" spans="1:13" s="47" customFormat="1" ht="13.5" thickBot="1" x14ac:dyDescent="0.25">
      <c r="A76" s="48" t="s">
        <v>120</v>
      </c>
      <c r="B76" s="49" t="s">
        <v>121</v>
      </c>
      <c r="C76" s="48" t="s">
        <v>7</v>
      </c>
      <c r="D76" s="38">
        <v>1</v>
      </c>
      <c r="E76" s="50">
        <f>[1]SDP!E1354</f>
        <v>585600</v>
      </c>
      <c r="F76" s="50">
        <f t="shared" si="2"/>
        <v>585600</v>
      </c>
      <c r="G76" s="1"/>
      <c r="H76" s="1"/>
      <c r="I76" s="2"/>
      <c r="J76" s="2"/>
      <c r="K76" s="2"/>
      <c r="L76" s="2"/>
      <c r="M76" s="2"/>
    </row>
    <row r="77" spans="1:13" s="47" customFormat="1" ht="13.5" thickBot="1" x14ac:dyDescent="0.25">
      <c r="A77" s="45"/>
      <c r="B77" s="27"/>
      <c r="C77" s="28"/>
      <c r="D77" s="29"/>
      <c r="E77" s="46" t="s">
        <v>122</v>
      </c>
      <c r="F77" s="31">
        <f>SUM(F66:F76)</f>
        <v>16659327.375</v>
      </c>
      <c r="G77" s="1"/>
      <c r="H77" s="1"/>
      <c r="I77" s="2"/>
      <c r="J77" s="2"/>
      <c r="K77" s="2"/>
      <c r="L77" s="2"/>
      <c r="M77" s="2"/>
    </row>
    <row r="78" spans="1:13" ht="13.5" thickBot="1" x14ac:dyDescent="0.25">
      <c r="A78" s="26" t="s">
        <v>123</v>
      </c>
      <c r="B78" s="27"/>
      <c r="C78" s="28"/>
      <c r="D78" s="29"/>
      <c r="E78" s="30"/>
      <c r="F78" s="31"/>
      <c r="G78" s="2"/>
      <c r="H78" s="2"/>
    </row>
    <row r="79" spans="1:13" x14ac:dyDescent="0.2">
      <c r="A79" s="48" t="s">
        <v>124</v>
      </c>
      <c r="B79" s="49" t="s">
        <v>125</v>
      </c>
      <c r="C79" s="48" t="s">
        <v>68</v>
      </c>
      <c r="D79" s="38">
        <v>8</v>
      </c>
      <c r="E79" s="51">
        <f>[1]SDP!E1405</f>
        <v>74707.92</v>
      </c>
      <c r="F79" s="51">
        <f>E79*D79</f>
        <v>597663.36</v>
      </c>
      <c r="G79" s="2"/>
      <c r="H79" s="2"/>
    </row>
    <row r="80" spans="1:13" x14ac:dyDescent="0.2">
      <c r="A80" s="48" t="s">
        <v>126</v>
      </c>
      <c r="B80" s="49" t="s">
        <v>127</v>
      </c>
      <c r="C80" s="48" t="s">
        <v>7</v>
      </c>
      <c r="D80" s="38">
        <v>2</v>
      </c>
      <c r="E80" s="51">
        <f>[1]SDP!E1433</f>
        <v>544286.12109548657</v>
      </c>
      <c r="F80" s="51">
        <f>E80*D80</f>
        <v>1088572.2421909731</v>
      </c>
      <c r="G80" s="2"/>
      <c r="H80" s="2"/>
    </row>
    <row r="81" spans="1:13" ht="13.5" thickBot="1" x14ac:dyDescent="0.25">
      <c r="A81" s="48" t="s">
        <v>128</v>
      </c>
      <c r="B81" s="49" t="s">
        <v>129</v>
      </c>
      <c r="C81" s="48" t="s">
        <v>14</v>
      </c>
      <c r="D81" s="38">
        <v>1</v>
      </c>
      <c r="E81" s="51">
        <f>[1]SDP!E1610</f>
        <v>5209215.9755863361</v>
      </c>
      <c r="F81" s="51">
        <f>E81*D81</f>
        <v>5209215.9755863361</v>
      </c>
      <c r="G81" s="2"/>
      <c r="H81" s="2"/>
    </row>
    <row r="82" spans="1:13" s="47" customFormat="1" ht="13.5" thickBot="1" x14ac:dyDescent="0.25">
      <c r="A82" s="45"/>
      <c r="B82" s="27"/>
      <c r="C82" s="28"/>
      <c r="D82" s="29"/>
      <c r="E82" s="46" t="s">
        <v>130</v>
      </c>
      <c r="F82" s="31">
        <f>SUM(F79:F81)</f>
        <v>6895451.5777773093</v>
      </c>
      <c r="G82" s="2"/>
      <c r="H82" s="2"/>
      <c r="I82" s="2"/>
      <c r="J82" s="2"/>
      <c r="K82" s="2"/>
      <c r="L82" s="2"/>
      <c r="M82" s="2"/>
    </row>
    <row r="83" spans="1:13" s="47" customFormat="1" ht="13.5" thickBot="1" x14ac:dyDescent="0.25">
      <c r="A83" s="26" t="s">
        <v>131</v>
      </c>
      <c r="B83" s="27"/>
      <c r="C83" s="28"/>
      <c r="D83" s="29"/>
      <c r="E83" s="30"/>
      <c r="F83" s="31"/>
      <c r="G83" s="2"/>
      <c r="H83" s="2"/>
      <c r="I83" s="2"/>
      <c r="J83" s="2"/>
      <c r="K83" s="2"/>
      <c r="L83" s="2"/>
      <c r="M83" s="2"/>
    </row>
    <row r="84" spans="1:13" s="47" customFormat="1" x14ac:dyDescent="0.2">
      <c r="A84" s="36" t="s">
        <v>132</v>
      </c>
      <c r="B84" s="37" t="s">
        <v>133</v>
      </c>
      <c r="C84" s="36" t="s">
        <v>23</v>
      </c>
      <c r="D84" s="38">
        <v>6.4</v>
      </c>
      <c r="E84" s="55">
        <f>E18</f>
        <v>26118.367346938772</v>
      </c>
      <c r="F84" s="51">
        <f>E84*D84</f>
        <v>167157.55102040817</v>
      </c>
      <c r="G84" s="2"/>
      <c r="H84" s="2"/>
      <c r="I84" s="2"/>
      <c r="J84" s="2"/>
      <c r="K84" s="2"/>
      <c r="L84" s="2"/>
      <c r="M84" s="2"/>
    </row>
    <row r="85" spans="1:13" s="47" customFormat="1" x14ac:dyDescent="0.2">
      <c r="A85" s="36" t="s">
        <v>134</v>
      </c>
      <c r="B85" s="37" t="s">
        <v>30</v>
      </c>
      <c r="C85" s="36" t="s">
        <v>23</v>
      </c>
      <c r="D85" s="38">
        <v>1.9</v>
      </c>
      <c r="E85" s="55">
        <f>E22</f>
        <v>352808</v>
      </c>
      <c r="F85" s="51">
        <f t="shared" ref="F85:F91" si="3">E85*D85</f>
        <v>670335.19999999995</v>
      </c>
      <c r="G85" s="2"/>
      <c r="H85" s="2"/>
      <c r="I85" s="2"/>
      <c r="J85" s="2"/>
      <c r="K85" s="2"/>
      <c r="L85" s="2"/>
      <c r="M85" s="2"/>
    </row>
    <row r="86" spans="1:13" s="47" customFormat="1" x14ac:dyDescent="0.2">
      <c r="A86" s="36" t="s">
        <v>135</v>
      </c>
      <c r="B86" s="37" t="s">
        <v>32</v>
      </c>
      <c r="C86" s="36" t="s">
        <v>33</v>
      </c>
      <c r="D86" s="38">
        <v>130.9</v>
      </c>
      <c r="E86" s="55">
        <f>E23</f>
        <v>5233.3059696267901</v>
      </c>
      <c r="F86" s="51">
        <f t="shared" si="3"/>
        <v>685039.75142414682</v>
      </c>
      <c r="G86" s="2"/>
      <c r="H86" s="2"/>
      <c r="I86" s="2"/>
      <c r="J86" s="2"/>
      <c r="K86" s="2"/>
      <c r="L86" s="2"/>
      <c r="M86" s="2"/>
    </row>
    <row r="87" spans="1:13" s="47" customFormat="1" x14ac:dyDescent="0.2">
      <c r="A87" s="36" t="s">
        <v>136</v>
      </c>
      <c r="B87" s="37" t="s">
        <v>35</v>
      </c>
      <c r="C87" s="36" t="s">
        <v>36</v>
      </c>
      <c r="D87" s="38">
        <v>28.1</v>
      </c>
      <c r="E87" s="55">
        <f>E24</f>
        <v>29437.179741807347</v>
      </c>
      <c r="F87" s="51">
        <f t="shared" si="3"/>
        <v>827184.75074478646</v>
      </c>
      <c r="G87" s="2"/>
      <c r="H87" s="2"/>
      <c r="I87" s="2"/>
      <c r="J87" s="2"/>
      <c r="K87" s="2"/>
      <c r="L87" s="2"/>
      <c r="M87" s="2"/>
    </row>
    <row r="88" spans="1:13" s="47" customFormat="1" x14ac:dyDescent="0.2">
      <c r="A88" s="36" t="s">
        <v>137</v>
      </c>
      <c r="B88" s="37" t="s">
        <v>47</v>
      </c>
      <c r="C88" s="36" t="s">
        <v>36</v>
      </c>
      <c r="D88" s="38">
        <v>12.8</v>
      </c>
      <c r="E88" s="55">
        <f>E33</f>
        <v>46905.082816901413</v>
      </c>
      <c r="F88" s="51">
        <f t="shared" si="3"/>
        <v>600385.06005633809</v>
      </c>
      <c r="G88" s="2"/>
      <c r="H88" s="2"/>
      <c r="I88" s="2"/>
      <c r="J88" s="2"/>
      <c r="K88" s="2"/>
      <c r="L88" s="2"/>
      <c r="M88" s="2"/>
    </row>
    <row r="89" spans="1:13" s="47" customFormat="1" x14ac:dyDescent="0.2">
      <c r="A89" s="36" t="s">
        <v>138</v>
      </c>
      <c r="B89" s="37" t="s">
        <v>139</v>
      </c>
      <c r="C89" s="36" t="s">
        <v>36</v>
      </c>
      <c r="D89" s="38">
        <v>9.9</v>
      </c>
      <c r="E89" s="55">
        <f>E40*1.1</f>
        <v>12005.725600000002</v>
      </c>
      <c r="F89" s="51">
        <f t="shared" si="3"/>
        <v>118856.68344000002</v>
      </c>
      <c r="G89" s="2"/>
      <c r="H89" s="2"/>
      <c r="I89" s="2"/>
      <c r="J89" s="2"/>
      <c r="K89" s="2"/>
      <c r="L89" s="2"/>
      <c r="M89" s="2"/>
    </row>
    <row r="90" spans="1:13" s="47" customFormat="1" x14ac:dyDescent="0.2">
      <c r="A90" s="36" t="s">
        <v>140</v>
      </c>
      <c r="B90" s="37" t="s">
        <v>141</v>
      </c>
      <c r="C90" s="36" t="s">
        <v>14</v>
      </c>
      <c r="D90" s="38">
        <v>1</v>
      </c>
      <c r="E90" s="55">
        <f>[1]SDP!E1637</f>
        <v>302160</v>
      </c>
      <c r="F90" s="51">
        <f t="shared" si="3"/>
        <v>302160</v>
      </c>
      <c r="G90" s="2"/>
      <c r="H90" s="2"/>
      <c r="I90" s="2"/>
      <c r="J90" s="2"/>
      <c r="K90" s="2"/>
      <c r="L90" s="2"/>
      <c r="M90" s="2"/>
    </row>
    <row r="91" spans="1:13" s="47" customFormat="1" ht="13.5" thickBot="1" x14ac:dyDescent="0.25">
      <c r="A91" s="36" t="s">
        <v>142</v>
      </c>
      <c r="B91" s="37" t="s">
        <v>143</v>
      </c>
      <c r="C91" s="36" t="s">
        <v>7</v>
      </c>
      <c r="D91" s="38">
        <v>1</v>
      </c>
      <c r="E91" s="55">
        <f>pu_alu*0.7*0.5*1</f>
        <v>317887.5</v>
      </c>
      <c r="F91" s="51">
        <f t="shared" si="3"/>
        <v>317887.5</v>
      </c>
      <c r="G91" s="2"/>
      <c r="H91" s="2"/>
      <c r="I91" s="2"/>
      <c r="J91" s="2"/>
      <c r="K91" s="2"/>
      <c r="L91" s="2"/>
      <c r="M91" s="2"/>
    </row>
    <row r="92" spans="1:13" s="47" customFormat="1" ht="13.5" thickBot="1" x14ac:dyDescent="0.25">
      <c r="A92" s="45"/>
      <c r="B92" s="27"/>
      <c r="C92" s="28"/>
      <c r="D92" s="29"/>
      <c r="E92" s="46" t="s">
        <v>144</v>
      </c>
      <c r="F92" s="31">
        <f>SUM(F84:F91)</f>
        <v>3689006.4966856795</v>
      </c>
      <c r="G92" s="2"/>
      <c r="H92" s="2"/>
      <c r="I92" s="2"/>
      <c r="J92" s="2"/>
      <c r="K92" s="2"/>
      <c r="L92" s="2"/>
      <c r="M92" s="2"/>
    </row>
    <row r="93" spans="1:13" s="47" customFormat="1" ht="13.5" thickBot="1" x14ac:dyDescent="0.25">
      <c r="A93" s="26" t="s">
        <v>145</v>
      </c>
      <c r="B93" s="27"/>
      <c r="C93" s="28"/>
      <c r="D93" s="29"/>
      <c r="E93" s="30"/>
      <c r="F93" s="31"/>
      <c r="G93" s="2"/>
      <c r="H93" s="2"/>
      <c r="I93" s="2"/>
      <c r="J93" s="2"/>
      <c r="K93" s="2"/>
      <c r="L93" s="2"/>
      <c r="M93" s="2"/>
    </row>
    <row r="94" spans="1:13" s="47" customFormat="1" x14ac:dyDescent="0.2">
      <c r="A94" s="48" t="s">
        <v>146</v>
      </c>
      <c r="B94" s="37" t="s">
        <v>147</v>
      </c>
      <c r="C94" s="36" t="s">
        <v>36</v>
      </c>
      <c r="D94" s="38">
        <f>10.5*3.7</f>
        <v>38.85</v>
      </c>
      <c r="E94" s="55">
        <f>[1]SDP!E1666</f>
        <v>27600</v>
      </c>
      <c r="F94" s="51">
        <f>E94*D94</f>
        <v>1072260</v>
      </c>
      <c r="G94" s="2"/>
      <c r="H94" s="2"/>
      <c r="I94" s="2"/>
      <c r="J94" s="2"/>
      <c r="K94" s="2"/>
      <c r="L94" s="2"/>
      <c r="M94" s="2"/>
    </row>
    <row r="95" spans="1:13" s="47" customFormat="1" x14ac:dyDescent="0.2">
      <c r="A95" s="48" t="s">
        <v>148</v>
      </c>
      <c r="B95" s="37" t="s">
        <v>149</v>
      </c>
      <c r="C95" s="36" t="s">
        <v>7</v>
      </c>
      <c r="D95" s="38">
        <v>4</v>
      </c>
      <c r="E95" s="55">
        <f>E94*4.25</f>
        <v>117300</v>
      </c>
      <c r="F95" s="51">
        <f t="shared" ref="F95:F106" si="4">E95*D95</f>
        <v>469200</v>
      </c>
      <c r="G95" s="2"/>
      <c r="H95" s="2"/>
      <c r="I95" s="2"/>
      <c r="J95" s="2"/>
      <c r="K95" s="2"/>
      <c r="L95" s="2"/>
      <c r="M95" s="2"/>
    </row>
    <row r="96" spans="1:13" s="47" customFormat="1" x14ac:dyDescent="0.2">
      <c r="A96" s="48" t="s">
        <v>150</v>
      </c>
      <c r="B96" s="49" t="s">
        <v>151</v>
      </c>
      <c r="C96" s="48" t="s">
        <v>23</v>
      </c>
      <c r="D96" s="38">
        <f>3*1.7*10</f>
        <v>51</v>
      </c>
      <c r="E96" s="55">
        <f>E84</f>
        <v>26118.367346938772</v>
      </c>
      <c r="F96" s="51">
        <f t="shared" si="4"/>
        <v>1332036.7346938774</v>
      </c>
      <c r="G96" s="2"/>
      <c r="H96" s="2"/>
      <c r="I96" s="2"/>
      <c r="J96" s="2"/>
      <c r="K96" s="2"/>
      <c r="L96" s="2"/>
      <c r="M96" s="2"/>
    </row>
    <row r="97" spans="1:13" s="47" customFormat="1" x14ac:dyDescent="0.2">
      <c r="A97" s="48" t="s">
        <v>152</v>
      </c>
      <c r="B97" s="49" t="s">
        <v>153</v>
      </c>
      <c r="C97" s="48" t="s">
        <v>23</v>
      </c>
      <c r="D97" s="38">
        <f>(10*0.8*1.5*2)+3</f>
        <v>27</v>
      </c>
      <c r="E97" s="55">
        <f>pu_moellon</f>
        <v>151581.17202797203</v>
      </c>
      <c r="F97" s="51">
        <f t="shared" si="4"/>
        <v>4092691.6447552447</v>
      </c>
      <c r="G97" s="2"/>
      <c r="H97" s="2"/>
      <c r="I97" s="2"/>
      <c r="J97" s="2"/>
      <c r="K97" s="2"/>
      <c r="L97" s="2"/>
      <c r="M97" s="2"/>
    </row>
    <row r="98" spans="1:13" s="47" customFormat="1" x14ac:dyDescent="0.2">
      <c r="A98" s="48" t="s">
        <v>154</v>
      </c>
      <c r="B98" s="49" t="s">
        <v>155</v>
      </c>
      <c r="C98" s="48" t="s">
        <v>23</v>
      </c>
      <c r="D98" s="38">
        <f>(10*0.2*2.6)+(0.8*10*2*0.1)</f>
        <v>6.8000000000000007</v>
      </c>
      <c r="E98" s="55">
        <f>E85</f>
        <v>352808</v>
      </c>
      <c r="F98" s="51">
        <f t="shared" si="4"/>
        <v>2399094.4000000004</v>
      </c>
      <c r="G98" s="2"/>
      <c r="H98" s="2"/>
      <c r="I98" s="2"/>
      <c r="J98" s="2"/>
      <c r="K98" s="2"/>
      <c r="L98" s="2"/>
      <c r="M98" s="2"/>
    </row>
    <row r="99" spans="1:13" s="47" customFormat="1" x14ac:dyDescent="0.2">
      <c r="A99" s="48" t="s">
        <v>156</v>
      </c>
      <c r="B99" s="49" t="s">
        <v>55</v>
      </c>
      <c r="C99" s="48" t="s">
        <v>36</v>
      </c>
      <c r="D99" s="38">
        <v>5</v>
      </c>
      <c r="E99" s="55">
        <f>E38</f>
        <v>10217.390452050151</v>
      </c>
      <c r="F99" s="51">
        <f t="shared" si="4"/>
        <v>51086.952260250757</v>
      </c>
      <c r="G99" s="2"/>
      <c r="H99" s="2"/>
      <c r="I99" s="2"/>
      <c r="J99" s="2"/>
      <c r="K99" s="2"/>
      <c r="L99" s="2"/>
      <c r="M99" s="2"/>
    </row>
    <row r="100" spans="1:13" s="47" customFormat="1" x14ac:dyDescent="0.2">
      <c r="A100" s="48" t="s">
        <v>157</v>
      </c>
      <c r="B100" s="49" t="s">
        <v>158</v>
      </c>
      <c r="C100" s="48" t="s">
        <v>33</v>
      </c>
      <c r="D100" s="38">
        <f>+D98*70</f>
        <v>476.00000000000006</v>
      </c>
      <c r="E100" s="55">
        <f>E86</f>
        <v>5233.3059696267901</v>
      </c>
      <c r="F100" s="51">
        <f t="shared" si="4"/>
        <v>2491053.6415423523</v>
      </c>
      <c r="G100" s="2"/>
      <c r="H100" s="2"/>
      <c r="I100" s="2"/>
      <c r="J100" s="2"/>
      <c r="K100" s="2"/>
      <c r="L100" s="2"/>
      <c r="M100" s="2"/>
    </row>
    <row r="101" spans="1:13" s="47" customFormat="1" x14ac:dyDescent="0.2">
      <c r="A101" s="48" t="s">
        <v>159</v>
      </c>
      <c r="B101" s="49" t="s">
        <v>35</v>
      </c>
      <c r="C101" s="48" t="s">
        <v>36</v>
      </c>
      <c r="D101" s="38">
        <f>+D98*15</f>
        <v>102.00000000000001</v>
      </c>
      <c r="E101" s="55">
        <f>E87</f>
        <v>29437.179741807347</v>
      </c>
      <c r="F101" s="51">
        <f t="shared" si="4"/>
        <v>3002592.3336643497</v>
      </c>
      <c r="G101" s="2"/>
      <c r="H101" s="2"/>
      <c r="I101" s="2"/>
      <c r="J101" s="2"/>
      <c r="K101" s="2"/>
      <c r="L101" s="2"/>
      <c r="M101" s="2"/>
    </row>
    <row r="102" spans="1:13" s="47" customFormat="1" x14ac:dyDescent="0.2">
      <c r="A102" s="48" t="s">
        <v>160</v>
      </c>
      <c r="B102" s="49" t="s">
        <v>161</v>
      </c>
      <c r="C102" s="48" t="s">
        <v>36</v>
      </c>
      <c r="D102" s="56">
        <f>10*1.6*2</f>
        <v>32</v>
      </c>
      <c r="E102" s="55">
        <f>[1]SDP!E1695</f>
        <v>58474.5</v>
      </c>
      <c r="F102" s="51">
        <f t="shared" si="4"/>
        <v>1871184</v>
      </c>
      <c r="G102" s="2"/>
      <c r="H102" s="2"/>
      <c r="I102" s="2"/>
      <c r="J102" s="2"/>
      <c r="K102" s="2"/>
      <c r="L102" s="2"/>
      <c r="M102" s="2"/>
    </row>
    <row r="103" spans="1:13" s="47" customFormat="1" x14ac:dyDescent="0.2">
      <c r="A103" s="48" t="s">
        <v>162</v>
      </c>
      <c r="B103" s="49" t="s">
        <v>57</v>
      </c>
      <c r="C103" s="48" t="s">
        <v>36</v>
      </c>
      <c r="D103" s="56">
        <f>0.92*10</f>
        <v>9.2000000000000011</v>
      </c>
      <c r="E103" s="55">
        <f>E39</f>
        <v>10914.296</v>
      </c>
      <c r="F103" s="51">
        <f t="shared" si="4"/>
        <v>100411.52320000001</v>
      </c>
      <c r="G103" s="2"/>
      <c r="H103" s="2"/>
      <c r="I103" s="2"/>
      <c r="J103" s="2"/>
      <c r="K103" s="2"/>
      <c r="L103" s="2"/>
      <c r="M103" s="2"/>
    </row>
    <row r="104" spans="1:13" s="47" customFormat="1" x14ac:dyDescent="0.2">
      <c r="A104" s="48" t="s">
        <v>163</v>
      </c>
      <c r="B104" s="49" t="s">
        <v>164</v>
      </c>
      <c r="C104" s="48" t="s">
        <v>68</v>
      </c>
      <c r="D104" s="56">
        <v>20</v>
      </c>
      <c r="E104" s="55">
        <f>[1]SDP!E1724</f>
        <v>48018</v>
      </c>
      <c r="F104" s="51">
        <f t="shared" si="4"/>
        <v>960360</v>
      </c>
      <c r="G104" s="2"/>
      <c r="H104" s="2"/>
      <c r="I104" s="2"/>
      <c r="J104" s="2"/>
      <c r="K104" s="2"/>
      <c r="L104" s="2"/>
      <c r="M104" s="2"/>
    </row>
    <row r="105" spans="1:13" s="47" customFormat="1" x14ac:dyDescent="0.2">
      <c r="A105" s="48" t="s">
        <v>165</v>
      </c>
      <c r="B105" s="49" t="s">
        <v>166</v>
      </c>
      <c r="C105" s="48" t="s">
        <v>36</v>
      </c>
      <c r="D105" s="38">
        <f>0.6*2*10</f>
        <v>12</v>
      </c>
      <c r="E105" s="55">
        <f>[1]SDP!E1754</f>
        <v>46195.095999999998</v>
      </c>
      <c r="F105" s="51">
        <f t="shared" si="4"/>
        <v>554341.152</v>
      </c>
      <c r="G105" s="2"/>
      <c r="H105" s="2"/>
      <c r="I105" s="2"/>
      <c r="J105" s="2"/>
      <c r="K105" s="2"/>
      <c r="L105" s="2"/>
      <c r="M105" s="2"/>
    </row>
    <row r="106" spans="1:13" s="47" customFormat="1" ht="13.5" thickBot="1" x14ac:dyDescent="0.25">
      <c r="A106" s="48" t="s">
        <v>167</v>
      </c>
      <c r="B106" s="49" t="s">
        <v>168</v>
      </c>
      <c r="C106" s="48" t="s">
        <v>36</v>
      </c>
      <c r="D106" s="38">
        <v>80</v>
      </c>
      <c r="E106" s="55">
        <f>E25</f>
        <v>3475.625</v>
      </c>
      <c r="F106" s="51">
        <f t="shared" si="4"/>
        <v>278050</v>
      </c>
      <c r="G106" s="2"/>
      <c r="H106" s="2"/>
      <c r="I106" s="2"/>
      <c r="J106" s="2"/>
      <c r="K106" s="2"/>
      <c r="L106" s="2"/>
      <c r="M106" s="2"/>
    </row>
    <row r="107" spans="1:13" s="47" customFormat="1" ht="13.5" thickBot="1" x14ac:dyDescent="0.25">
      <c r="A107" s="45"/>
      <c r="B107" s="27"/>
      <c r="C107" s="28"/>
      <c r="D107" s="29"/>
      <c r="E107" s="46" t="s">
        <v>169</v>
      </c>
      <c r="F107" s="31">
        <f>SUM(F94:F106)</f>
        <v>18674362.382116076</v>
      </c>
      <c r="G107" s="2"/>
      <c r="H107" s="2"/>
      <c r="I107" s="2"/>
      <c r="J107" s="2"/>
      <c r="K107" s="2"/>
      <c r="L107" s="2"/>
      <c r="M107" s="2"/>
    </row>
    <row r="108" spans="1:13" s="47" customFormat="1" ht="13.5" thickBot="1" x14ac:dyDescent="0.25">
      <c r="A108" s="26" t="s">
        <v>170</v>
      </c>
      <c r="B108" s="27"/>
      <c r="C108" s="28"/>
      <c r="D108" s="29"/>
      <c r="E108" s="30"/>
      <c r="F108" s="31"/>
      <c r="G108" s="2"/>
      <c r="H108" s="2"/>
      <c r="I108" s="2"/>
      <c r="J108" s="2"/>
      <c r="K108" s="2"/>
      <c r="L108" s="2"/>
      <c r="M108" s="2"/>
    </row>
    <row r="109" spans="1:13" s="47" customFormat="1" x14ac:dyDescent="0.2">
      <c r="A109" s="48" t="s">
        <v>171</v>
      </c>
      <c r="B109" s="37" t="s">
        <v>147</v>
      </c>
      <c r="C109" s="36" t="s">
        <v>36</v>
      </c>
      <c r="D109" s="38">
        <f>10.5*3.7</f>
        <v>38.85</v>
      </c>
      <c r="E109" s="55">
        <f>E94</f>
        <v>27600</v>
      </c>
      <c r="F109" s="51">
        <f>E109*D109</f>
        <v>1072260</v>
      </c>
      <c r="G109" s="2"/>
      <c r="H109" s="2"/>
      <c r="I109" s="2"/>
      <c r="J109" s="2"/>
      <c r="K109" s="2"/>
      <c r="L109" s="2"/>
      <c r="M109" s="2"/>
    </row>
    <row r="110" spans="1:13" s="47" customFormat="1" x14ac:dyDescent="0.2">
      <c r="A110" s="48" t="s">
        <v>172</v>
      </c>
      <c r="B110" s="49" t="s">
        <v>151</v>
      </c>
      <c r="C110" s="48" t="s">
        <v>23</v>
      </c>
      <c r="D110" s="38">
        <f>3*0.7*10</f>
        <v>20.999999999999996</v>
      </c>
      <c r="E110" s="55">
        <f t="shared" ref="E110:E119" si="5">E96</f>
        <v>26118.367346938772</v>
      </c>
      <c r="F110" s="51">
        <f t="shared" ref="F110:F119" si="6">E110*D110</f>
        <v>548485.71428571409</v>
      </c>
      <c r="G110" s="2"/>
      <c r="H110" s="2"/>
      <c r="I110" s="2"/>
      <c r="J110" s="2"/>
      <c r="K110" s="2"/>
      <c r="L110" s="2"/>
      <c r="M110" s="2"/>
    </row>
    <row r="111" spans="1:13" s="47" customFormat="1" x14ac:dyDescent="0.2">
      <c r="A111" s="48" t="s">
        <v>173</v>
      </c>
      <c r="B111" s="49" t="s">
        <v>153</v>
      </c>
      <c r="C111" s="48" t="s">
        <v>23</v>
      </c>
      <c r="D111" s="38">
        <f>(10*0.8*0.6*2)</f>
        <v>9.6</v>
      </c>
      <c r="E111" s="55">
        <f t="shared" si="5"/>
        <v>151581.17202797203</v>
      </c>
      <c r="F111" s="51">
        <f t="shared" si="6"/>
        <v>1455179.2514685316</v>
      </c>
      <c r="G111" s="2"/>
      <c r="H111" s="2"/>
      <c r="I111" s="2"/>
      <c r="J111" s="2"/>
      <c r="K111" s="2"/>
      <c r="L111" s="2"/>
      <c r="M111" s="2"/>
    </row>
    <row r="112" spans="1:13" s="47" customFormat="1" x14ac:dyDescent="0.2">
      <c r="A112" s="48" t="s">
        <v>174</v>
      </c>
      <c r="B112" s="49" t="s">
        <v>155</v>
      </c>
      <c r="C112" s="48" t="s">
        <v>23</v>
      </c>
      <c r="D112" s="38">
        <f>(10*0.2*1.6)+(0.8*10*2*0.1)</f>
        <v>4.8000000000000007</v>
      </c>
      <c r="E112" s="55">
        <f t="shared" si="5"/>
        <v>352808</v>
      </c>
      <c r="F112" s="51">
        <f t="shared" si="6"/>
        <v>1693478.4000000001</v>
      </c>
      <c r="G112" s="2"/>
      <c r="H112" s="2"/>
      <c r="I112" s="2"/>
      <c r="J112" s="2"/>
      <c r="K112" s="2"/>
      <c r="L112" s="2"/>
      <c r="M112" s="2"/>
    </row>
    <row r="113" spans="1:13" s="47" customFormat="1" x14ac:dyDescent="0.2">
      <c r="A113" s="48" t="s">
        <v>175</v>
      </c>
      <c r="B113" s="49" t="s">
        <v>55</v>
      </c>
      <c r="C113" s="48" t="s">
        <v>36</v>
      </c>
      <c r="D113" s="38">
        <f>10*0.4*2</f>
        <v>8</v>
      </c>
      <c r="E113" s="55">
        <f t="shared" si="5"/>
        <v>10217.390452050151</v>
      </c>
      <c r="F113" s="51">
        <f t="shared" si="6"/>
        <v>81739.123616401208</v>
      </c>
      <c r="G113" s="2"/>
      <c r="H113" s="2"/>
      <c r="I113" s="2"/>
      <c r="J113" s="2"/>
      <c r="K113" s="2"/>
      <c r="L113" s="2"/>
      <c r="M113" s="2"/>
    </row>
    <row r="114" spans="1:13" s="47" customFormat="1" x14ac:dyDescent="0.2">
      <c r="A114" s="48" t="s">
        <v>176</v>
      </c>
      <c r="B114" s="49" t="s">
        <v>158</v>
      </c>
      <c r="C114" s="48" t="s">
        <v>33</v>
      </c>
      <c r="D114" s="38">
        <f>+D112*70</f>
        <v>336.00000000000006</v>
      </c>
      <c r="E114" s="55">
        <f t="shared" si="5"/>
        <v>5233.3059696267901</v>
      </c>
      <c r="F114" s="51">
        <f t="shared" si="6"/>
        <v>1758390.8057946018</v>
      </c>
      <c r="G114" s="2"/>
      <c r="H114" s="2"/>
      <c r="I114" s="2"/>
      <c r="J114" s="2"/>
      <c r="K114" s="2"/>
      <c r="L114" s="2"/>
      <c r="M114" s="2"/>
    </row>
    <row r="115" spans="1:13" s="47" customFormat="1" x14ac:dyDescent="0.2">
      <c r="A115" s="48" t="s">
        <v>177</v>
      </c>
      <c r="B115" s="49" t="s">
        <v>35</v>
      </c>
      <c r="C115" s="48" t="s">
        <v>36</v>
      </c>
      <c r="D115" s="38">
        <f>+D112*15</f>
        <v>72.000000000000014</v>
      </c>
      <c r="E115" s="55">
        <f t="shared" si="5"/>
        <v>29437.179741807347</v>
      </c>
      <c r="F115" s="51">
        <f t="shared" si="6"/>
        <v>2119476.9414101294</v>
      </c>
      <c r="G115" s="2"/>
      <c r="H115" s="2"/>
      <c r="I115" s="2"/>
      <c r="J115" s="2"/>
      <c r="K115" s="2"/>
      <c r="L115" s="2"/>
      <c r="M115" s="2"/>
    </row>
    <row r="116" spans="1:13" s="47" customFormat="1" x14ac:dyDescent="0.2">
      <c r="A116" s="48" t="s">
        <v>178</v>
      </c>
      <c r="B116" s="49" t="s">
        <v>161</v>
      </c>
      <c r="C116" s="48" t="s">
        <v>36</v>
      </c>
      <c r="D116" s="56">
        <f>10*0.4*2</f>
        <v>8</v>
      </c>
      <c r="E116" s="55">
        <f t="shared" si="5"/>
        <v>58474.5</v>
      </c>
      <c r="F116" s="51">
        <f t="shared" si="6"/>
        <v>467796</v>
      </c>
      <c r="G116" s="2"/>
      <c r="H116" s="2"/>
      <c r="I116" s="2"/>
      <c r="J116" s="2"/>
      <c r="K116" s="2"/>
      <c r="L116" s="2"/>
      <c r="M116" s="2"/>
    </row>
    <row r="117" spans="1:13" s="47" customFormat="1" x14ac:dyDescent="0.2">
      <c r="A117" s="48" t="s">
        <v>179</v>
      </c>
      <c r="B117" s="49" t="s">
        <v>57</v>
      </c>
      <c r="C117" s="48" t="s">
        <v>36</v>
      </c>
      <c r="D117" s="56">
        <f>0.92*10</f>
        <v>9.2000000000000011</v>
      </c>
      <c r="E117" s="55">
        <f t="shared" si="5"/>
        <v>10914.296</v>
      </c>
      <c r="F117" s="51">
        <f t="shared" si="6"/>
        <v>100411.52320000001</v>
      </c>
      <c r="G117" s="2"/>
      <c r="H117" s="2"/>
      <c r="I117" s="2"/>
      <c r="J117" s="2"/>
      <c r="K117" s="2"/>
      <c r="L117" s="2"/>
      <c r="M117" s="2"/>
    </row>
    <row r="118" spans="1:13" s="47" customFormat="1" x14ac:dyDescent="0.2">
      <c r="A118" s="48" t="s">
        <v>180</v>
      </c>
      <c r="B118" s="49" t="s">
        <v>164</v>
      </c>
      <c r="C118" s="48" t="s">
        <v>68</v>
      </c>
      <c r="D118" s="56">
        <f>6*2</f>
        <v>12</v>
      </c>
      <c r="E118" s="55">
        <f t="shared" si="5"/>
        <v>48018</v>
      </c>
      <c r="F118" s="51">
        <f t="shared" si="6"/>
        <v>576216</v>
      </c>
      <c r="G118" s="2"/>
      <c r="H118" s="2"/>
      <c r="I118" s="2"/>
      <c r="J118" s="2"/>
      <c r="K118" s="2"/>
      <c r="L118" s="2"/>
      <c r="M118" s="2"/>
    </row>
    <row r="119" spans="1:13" s="47" customFormat="1" ht="13.5" thickBot="1" x14ac:dyDescent="0.25">
      <c r="A119" s="48" t="s">
        <v>181</v>
      </c>
      <c r="B119" s="49" t="s">
        <v>166</v>
      </c>
      <c r="C119" s="48" t="s">
        <v>36</v>
      </c>
      <c r="D119" s="38">
        <f>0.6*2*10</f>
        <v>12</v>
      </c>
      <c r="E119" s="55">
        <f t="shared" si="5"/>
        <v>46195.095999999998</v>
      </c>
      <c r="F119" s="51">
        <f t="shared" si="6"/>
        <v>554341.152</v>
      </c>
      <c r="G119" s="2"/>
      <c r="H119" s="2"/>
      <c r="I119" s="2"/>
      <c r="J119" s="2"/>
      <c r="K119" s="2"/>
      <c r="L119" s="2"/>
      <c r="M119" s="2"/>
    </row>
    <row r="120" spans="1:13" s="47" customFormat="1" ht="13.5" thickBot="1" x14ac:dyDescent="0.25">
      <c r="A120" s="45"/>
      <c r="B120" s="27"/>
      <c r="C120" s="28"/>
      <c r="D120" s="29"/>
      <c r="E120" s="46" t="s">
        <v>182</v>
      </c>
      <c r="F120" s="31">
        <f>SUM(F109:F119)</f>
        <v>10427774.911775379</v>
      </c>
      <c r="G120" s="2"/>
      <c r="H120" s="2"/>
      <c r="I120" s="2"/>
      <c r="J120" s="2"/>
      <c r="K120" s="2"/>
      <c r="L120" s="2"/>
      <c r="M120" s="2"/>
    </row>
    <row r="121" spans="1:13" s="47" customFormat="1" ht="13.5" thickBot="1" x14ac:dyDescent="0.25">
      <c r="A121" s="26" t="s">
        <v>183</v>
      </c>
      <c r="B121" s="27"/>
      <c r="C121" s="28"/>
      <c r="D121" s="29"/>
      <c r="E121" s="30"/>
      <c r="F121" s="31"/>
      <c r="G121" s="2"/>
      <c r="H121" s="2"/>
      <c r="I121" s="2"/>
      <c r="J121" s="2"/>
      <c r="K121" s="2"/>
      <c r="L121" s="2"/>
      <c r="M121" s="2"/>
    </row>
    <row r="122" spans="1:13" s="47" customFormat="1" x14ac:dyDescent="0.2">
      <c r="A122" s="48" t="s">
        <v>184</v>
      </c>
      <c r="B122" s="37" t="s">
        <v>185</v>
      </c>
      <c r="C122" s="36" t="s">
        <v>7</v>
      </c>
      <c r="D122" s="38">
        <v>4</v>
      </c>
      <c r="E122" s="55">
        <f>[1]SDP!E1783</f>
        <v>197092.20480813316</v>
      </c>
      <c r="F122" s="51">
        <f>E122*D122</f>
        <v>788368.81923253264</v>
      </c>
      <c r="G122" s="2"/>
      <c r="H122" s="2"/>
      <c r="I122" s="2"/>
      <c r="J122" s="2"/>
      <c r="K122" s="2"/>
      <c r="L122" s="2"/>
      <c r="M122" s="2"/>
    </row>
    <row r="123" spans="1:13" s="47" customFormat="1" x14ac:dyDescent="0.2">
      <c r="A123" s="48" t="s">
        <v>186</v>
      </c>
      <c r="B123" s="49" t="s">
        <v>187</v>
      </c>
      <c r="C123" s="48" t="s">
        <v>7</v>
      </c>
      <c r="D123" s="38">
        <v>4</v>
      </c>
      <c r="E123" s="55">
        <f>[1]SDP!E1813</f>
        <v>655620</v>
      </c>
      <c r="F123" s="51">
        <f t="shared" ref="F123:F128" si="7">E123*D123</f>
        <v>2622480</v>
      </c>
      <c r="G123" s="2"/>
      <c r="H123" s="2"/>
      <c r="I123" s="2"/>
      <c r="J123" s="2"/>
      <c r="K123" s="2"/>
      <c r="L123" s="2"/>
      <c r="M123" s="2"/>
    </row>
    <row r="124" spans="1:13" s="47" customFormat="1" x14ac:dyDescent="0.2">
      <c r="A124" s="48" t="s">
        <v>188</v>
      </c>
      <c r="B124" s="49" t="s">
        <v>189</v>
      </c>
      <c r="C124" s="48" t="s">
        <v>14</v>
      </c>
      <c r="D124" s="38">
        <v>1</v>
      </c>
      <c r="E124" s="55">
        <f>[1]SDP!E1843</f>
        <v>2966424</v>
      </c>
      <c r="F124" s="51">
        <f t="shared" si="7"/>
        <v>2966424</v>
      </c>
      <c r="G124" s="2"/>
      <c r="H124" s="2"/>
      <c r="I124" s="2"/>
      <c r="J124" s="2"/>
      <c r="K124" s="2"/>
      <c r="L124" s="2"/>
      <c r="M124" s="2"/>
    </row>
    <row r="125" spans="1:13" s="47" customFormat="1" x14ac:dyDescent="0.2">
      <c r="A125" s="48" t="s">
        <v>190</v>
      </c>
      <c r="B125" s="49" t="s">
        <v>191</v>
      </c>
      <c r="C125" s="48" t="s">
        <v>14</v>
      </c>
      <c r="D125" s="38">
        <v>1</v>
      </c>
      <c r="E125" s="55">
        <f>(pu_deploy*3.4*2.5)/(6.4*2.5)</f>
        <v>1575912.75</v>
      </c>
      <c r="F125" s="51">
        <f t="shared" si="7"/>
        <v>1575912.75</v>
      </c>
      <c r="G125" s="2"/>
      <c r="H125" s="2"/>
      <c r="I125" s="2"/>
      <c r="J125" s="2"/>
      <c r="K125" s="2"/>
      <c r="L125" s="2"/>
      <c r="M125" s="2"/>
    </row>
    <row r="126" spans="1:13" s="47" customFormat="1" x14ac:dyDescent="0.2">
      <c r="A126" s="48" t="s">
        <v>192</v>
      </c>
      <c r="B126" s="49" t="s">
        <v>193</v>
      </c>
      <c r="C126" s="48" t="s">
        <v>14</v>
      </c>
      <c r="D126" s="38">
        <v>1</v>
      </c>
      <c r="E126" s="55">
        <f>(pu_deploy*1.4*2.5)/(6.4*2.5)</f>
        <v>648905.25</v>
      </c>
      <c r="F126" s="51">
        <f t="shared" si="7"/>
        <v>648905.25</v>
      </c>
      <c r="G126" s="2"/>
      <c r="H126" s="2"/>
      <c r="I126" s="2"/>
      <c r="J126" s="2"/>
      <c r="K126" s="2"/>
      <c r="L126" s="2"/>
      <c r="M126" s="2"/>
    </row>
    <row r="127" spans="1:13" s="47" customFormat="1" x14ac:dyDescent="0.2">
      <c r="A127" s="48" t="s">
        <v>194</v>
      </c>
      <c r="B127" s="49" t="s">
        <v>195</v>
      </c>
      <c r="C127" s="48" t="s">
        <v>14</v>
      </c>
      <c r="D127" s="38">
        <v>1</v>
      </c>
      <c r="E127" s="55">
        <f>[1]SDP!E1870</f>
        <v>2750416.7731684544</v>
      </c>
      <c r="F127" s="51">
        <f t="shared" si="7"/>
        <v>2750416.7731684544</v>
      </c>
      <c r="G127" s="2"/>
      <c r="H127" s="2"/>
      <c r="I127" s="2"/>
      <c r="J127" s="2"/>
      <c r="K127" s="2"/>
      <c r="L127" s="2"/>
      <c r="M127" s="2"/>
    </row>
    <row r="128" spans="1:13" s="47" customFormat="1" ht="13.5" thickBot="1" x14ac:dyDescent="0.25">
      <c r="A128" s="48" t="s">
        <v>196</v>
      </c>
      <c r="B128" s="49" t="s">
        <v>197</v>
      </c>
      <c r="C128" s="48" t="s">
        <v>36</v>
      </c>
      <c r="D128" s="38">
        <v>15</v>
      </c>
      <c r="E128" s="55">
        <f>[1]SDP!E1897</f>
        <v>47532.355199999991</v>
      </c>
      <c r="F128" s="51">
        <f t="shared" si="7"/>
        <v>712985.32799999986</v>
      </c>
      <c r="G128" s="2"/>
      <c r="H128" s="2"/>
      <c r="I128" s="2"/>
      <c r="J128" s="2"/>
      <c r="K128" s="2"/>
      <c r="L128" s="2"/>
      <c r="M128" s="2"/>
    </row>
    <row r="129" spans="1:13" s="47" customFormat="1" ht="13.5" thickBot="1" x14ac:dyDescent="0.25">
      <c r="A129" s="45"/>
      <c r="B129" s="27"/>
      <c r="C129" s="28"/>
      <c r="D129" s="29"/>
      <c r="E129" s="46" t="s">
        <v>198</v>
      </c>
      <c r="F129" s="31">
        <f>SUM(F122:F128)</f>
        <v>12065492.920400986</v>
      </c>
      <c r="G129" s="2"/>
      <c r="H129" s="2"/>
      <c r="I129" s="2"/>
      <c r="J129" s="2"/>
      <c r="K129" s="2"/>
      <c r="L129" s="2"/>
      <c r="M129" s="2"/>
    </row>
    <row r="130" spans="1:13" ht="13.5" thickBot="1" x14ac:dyDescent="0.25">
      <c r="A130" s="26" t="s">
        <v>199</v>
      </c>
      <c r="B130" s="27"/>
      <c r="C130" s="28"/>
      <c r="D130" s="29"/>
      <c r="E130" s="30"/>
      <c r="F130" s="31"/>
      <c r="G130" s="2"/>
      <c r="H130" s="2"/>
    </row>
    <row r="131" spans="1:13" x14ac:dyDescent="0.2">
      <c r="A131" s="48" t="s">
        <v>200</v>
      </c>
      <c r="B131" s="49" t="s">
        <v>201</v>
      </c>
      <c r="C131" s="48" t="s">
        <v>7</v>
      </c>
      <c r="D131" s="38">
        <v>1</v>
      </c>
      <c r="E131" s="51">
        <f>[1]SDP!E972</f>
        <v>1511580</v>
      </c>
      <c r="F131" s="51">
        <f>E131*D131</f>
        <v>1511580</v>
      </c>
      <c r="G131" s="2"/>
      <c r="H131" s="2"/>
    </row>
    <row r="132" spans="1:13" x14ac:dyDescent="0.2">
      <c r="A132" s="48" t="s">
        <v>202</v>
      </c>
      <c r="B132" s="49" t="s">
        <v>203</v>
      </c>
      <c r="C132" s="48" t="s">
        <v>7</v>
      </c>
      <c r="D132" s="38">
        <v>1</v>
      </c>
      <c r="E132" s="51">
        <f>[1]SDP!E941</f>
        <v>1005000</v>
      </c>
      <c r="F132" s="51">
        <f>E132*D132</f>
        <v>1005000</v>
      </c>
      <c r="G132" s="2"/>
      <c r="H132" s="2"/>
    </row>
    <row r="133" spans="1:13" x14ac:dyDescent="0.2">
      <c r="A133" s="48" t="s">
        <v>204</v>
      </c>
      <c r="B133" s="49" t="s">
        <v>205</v>
      </c>
      <c r="C133" s="48" t="s">
        <v>14</v>
      </c>
      <c r="D133" s="38">
        <v>1</v>
      </c>
      <c r="E133" s="51">
        <f>[1]SDP!E1004</f>
        <v>807720</v>
      </c>
      <c r="F133" s="51">
        <f>E133*D133</f>
        <v>807720</v>
      </c>
      <c r="G133" s="2"/>
      <c r="H133" s="2"/>
    </row>
    <row r="134" spans="1:13" ht="13.5" thickBot="1" x14ac:dyDescent="0.25">
      <c r="A134" s="48" t="s">
        <v>206</v>
      </c>
      <c r="B134" s="49" t="s">
        <v>207</v>
      </c>
      <c r="C134" s="48" t="s">
        <v>14</v>
      </c>
      <c r="D134" s="38">
        <v>1</v>
      </c>
      <c r="E134" s="51">
        <f>[1]SDP!E1034</f>
        <v>929040</v>
      </c>
      <c r="F134" s="51">
        <f>E134*D134</f>
        <v>929040</v>
      </c>
      <c r="G134" s="2"/>
      <c r="H134" s="2"/>
    </row>
    <row r="135" spans="1:13" s="47" customFormat="1" ht="13.5" thickBot="1" x14ac:dyDescent="0.25">
      <c r="A135" s="45"/>
      <c r="B135" s="27"/>
      <c r="C135" s="28"/>
      <c r="D135" s="29"/>
      <c r="E135" s="46" t="s">
        <v>208</v>
      </c>
      <c r="F135" s="31">
        <f>SUM(F131:F134)</f>
        <v>4253340</v>
      </c>
      <c r="G135" s="2"/>
      <c r="H135" s="2"/>
      <c r="I135" s="2"/>
      <c r="J135" s="2"/>
      <c r="K135" s="2"/>
      <c r="L135" s="2"/>
      <c r="M135" s="2"/>
    </row>
    <row r="136" spans="1:13" ht="13.5" thickBot="1" x14ac:dyDescent="0.25">
      <c r="A136" s="26" t="s">
        <v>209</v>
      </c>
      <c r="B136" s="27"/>
      <c r="C136" s="28"/>
      <c r="D136" s="29"/>
      <c r="E136" s="30"/>
      <c r="F136" s="31"/>
      <c r="G136" s="2"/>
      <c r="H136" s="2"/>
    </row>
    <row r="137" spans="1:13" x14ac:dyDescent="0.2">
      <c r="A137" s="48" t="s">
        <v>210</v>
      </c>
      <c r="B137" s="49" t="s">
        <v>211</v>
      </c>
      <c r="C137" s="48" t="s">
        <v>68</v>
      </c>
      <c r="D137" s="38">
        <v>70</v>
      </c>
      <c r="E137" s="51">
        <f>[1]SDP!E1063</f>
        <v>44340.6</v>
      </c>
      <c r="F137" s="51">
        <f>E137*D137</f>
        <v>3103842</v>
      </c>
      <c r="G137" s="2"/>
      <c r="H137" s="2"/>
    </row>
    <row r="138" spans="1:13" x14ac:dyDescent="0.2">
      <c r="A138" s="48" t="s">
        <v>212</v>
      </c>
      <c r="B138" s="37" t="s">
        <v>213</v>
      </c>
      <c r="C138" s="48" t="s">
        <v>7</v>
      </c>
      <c r="D138" s="38">
        <v>6</v>
      </c>
      <c r="E138" s="51">
        <f>[1]SDP!E1092</f>
        <v>186302.92013547826</v>
      </c>
      <c r="F138" s="51">
        <f>E138*D138</f>
        <v>1117817.5208128695</v>
      </c>
      <c r="H138" s="2"/>
    </row>
    <row r="139" spans="1:13" ht="13.5" thickBot="1" x14ac:dyDescent="0.25">
      <c r="A139" s="48" t="s">
        <v>214</v>
      </c>
      <c r="B139" s="37" t="s">
        <v>215</v>
      </c>
      <c r="C139" s="48" t="s">
        <v>14</v>
      </c>
      <c r="D139" s="38">
        <v>1</v>
      </c>
      <c r="E139" s="51">
        <f>[1]SDP!E1121</f>
        <v>3951000</v>
      </c>
      <c r="F139" s="51">
        <f>E139*D139</f>
        <v>3951000</v>
      </c>
      <c r="H139" s="2"/>
    </row>
    <row r="140" spans="1:13" s="59" customFormat="1" ht="13.5" thickBot="1" x14ac:dyDescent="0.25">
      <c r="A140" s="45"/>
      <c r="B140" s="27"/>
      <c r="C140" s="28"/>
      <c r="D140" s="29"/>
      <c r="E140" s="46" t="s">
        <v>216</v>
      </c>
      <c r="F140" s="31">
        <f>SUM(F137:F139)</f>
        <v>8172659.5208128691</v>
      </c>
      <c r="G140" s="57"/>
      <c r="H140" s="57"/>
      <c r="I140" s="58"/>
      <c r="J140" s="58"/>
      <c r="K140" s="58"/>
      <c r="L140" s="58"/>
      <c r="M140" s="58"/>
    </row>
    <row r="141" spans="1:13" ht="13.5" thickBot="1" x14ac:dyDescent="0.25">
      <c r="A141" s="60"/>
      <c r="B141" s="61"/>
      <c r="C141" s="60"/>
      <c r="D141" s="62"/>
      <c r="E141" s="63" t="s">
        <v>217</v>
      </c>
      <c r="F141" s="64">
        <f>F140+F135+F129+F120+F107+F92+F82+F77+F63+F56+F48+F41+F36+F31+F26+F16</f>
        <v>132569753.88237649</v>
      </c>
    </row>
    <row r="142" spans="1:13" ht="13.5" thickBot="1" x14ac:dyDescent="0.25">
      <c r="E142" s="63" t="s">
        <v>218</v>
      </c>
      <c r="F142" s="64">
        <f>F141*0.2</f>
        <v>26513950.776475299</v>
      </c>
    </row>
    <row r="143" spans="1:13" ht="13.5" thickBot="1" x14ac:dyDescent="0.25">
      <c r="E143" s="63" t="s">
        <v>219</v>
      </c>
      <c r="F143" s="64">
        <f>F142+F141</f>
        <v>159083704.6588518</v>
      </c>
    </row>
    <row r="145" spans="2:2" x14ac:dyDescent="0.2">
      <c r="B145" s="2" t="s">
        <v>220</v>
      </c>
    </row>
    <row r="146" spans="2:2" x14ac:dyDescent="0.2">
      <c r="B146" s="2" t="s">
        <v>221</v>
      </c>
    </row>
    <row r="147" spans="2:2" x14ac:dyDescent="0.2">
      <c r="B147" s="2" t="s">
        <v>222</v>
      </c>
    </row>
  </sheetData>
  <mergeCells count="4">
    <mergeCell ref="D2:F2"/>
    <mergeCell ref="D4:F7"/>
    <mergeCell ref="A9:F9"/>
    <mergeCell ref="A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Sitraka</dc:creator>
  <cp:lastModifiedBy>Sitraka</cp:lastModifiedBy>
  <dcterms:created xsi:type="dcterms:W3CDTF">2018-03-01T14:55:39Z</dcterms:created>
  <dcterms:modified xsi:type="dcterms:W3CDTF">2018-03-01T14:56:32Z</dcterms:modified>
</cp:coreProperties>
</file>