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media/image1.wmf" ContentType="image/x-wmf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externalReferences>
    <externalReference r:id="rId3"/>
    <externalReference r:id="rId4"/>
  </externalReferences>
  <definedNames>
    <definedName function="false" hidden="false" name="pu_agglo10" vbProcedure="false">[2]SDP!$E$430</definedName>
    <definedName function="false" hidden="false" name="pu_alu" vbProcedure="false">[2]SDP!$E$1278</definedName>
    <definedName function="false" hidden="false" name="pu_carrgr" vbProcedure="false">[2]SDP!$E$550</definedName>
    <definedName function="false" hidden="false" name="pu_carrmur" vbProcedure="false">[2]SDP!$E$610</definedName>
    <definedName function="false" hidden="false" name="pu_claustra" vbProcedure="false">[2]SDP!$E$462</definedName>
    <definedName function="false" hidden="false" name="pu_dalle60" vbProcedure="false">[2]SDP!$E$701</definedName>
    <definedName function="false" hidden="false" name="pu_deploy" vbProcedure="false">[2]SDP!$E$1843</definedName>
    <definedName function="false" hidden="false" name="pu_gouttière" vbProcedure="false">[2]SDP!$E$850</definedName>
    <definedName function="false" hidden="false" name="pu_moellon" vbProcedure="false">[2]SDP!$E$1519</definedName>
    <definedName function="false" hidden="false" name="pu_placostd" vbProcedure="false">[2]SDP!$E$673</definedName>
    <definedName function="false" hidden="false" name="pu_polyane" vbProcedure="false">[2]SDP!$E$363</definedName>
    <definedName function="false" hidden="false" name="pu_toiture" vbProcedure="false">[2]SDP!$E$787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<sst xmlns="http://schemas.openxmlformats.org/spreadsheetml/2006/main" count="334" uniqueCount="223">
  <si>
    <t xml:space="preserve">12/07/2017</t>
  </si>
  <si>
    <t xml:space="preserve">GALANA DISTRIBUTION PETROLIERE S.A</t>
  </si>
  <si>
    <r>
      <rPr>
        <b val="true"/>
        <u val="single"/>
        <sz val="10"/>
        <rFont val="Calibri"/>
        <family val="2"/>
        <charset val="1"/>
      </rPr>
      <t xml:space="preserve">Devis:</t>
    </r>
    <r>
      <rPr>
        <sz val="10"/>
        <rFont val="Calibri"/>
        <family val="2"/>
        <charset val="1"/>
      </rPr>
      <t xml:space="preserve"> 16-17 GALANA DISTRIBUTION PETROLIERE S.A</t>
    </r>
  </si>
  <si>
    <t xml:space="preserve">BORDEREAU DETAIL ESTIMATIF</t>
  </si>
  <si>
    <t xml:space="preserve">TRAVAUX DE GENIE CIVIL POUR REHABILITATION DE LA STATION SERVICE "RAMANJAKA" TOLIARA</t>
  </si>
  <si>
    <t xml:space="preserve">REF</t>
  </si>
  <si>
    <t xml:space="preserve">DESIGNATION</t>
  </si>
  <si>
    <t xml:space="preserve">U</t>
  </si>
  <si>
    <t xml:space="preserve">QTE</t>
  </si>
  <si>
    <t xml:space="preserve">PU</t>
  </si>
  <si>
    <t xml:space="preserve">MONTANT</t>
  </si>
  <si>
    <t xml:space="preserve">I - TRAVAUX PREPARATOIRES :</t>
  </si>
  <si>
    <t xml:space="preserve">INST</t>
  </si>
  <si>
    <t xml:space="preserve">- INSTALLATION, BARAQUEMENT ET REPLI DE CHANTIER</t>
  </si>
  <si>
    <t xml:space="preserve">FFT</t>
  </si>
  <si>
    <t xml:space="preserve">DEM.1</t>
  </si>
  <si>
    <t xml:space="preserve">- DEMOLITION MURS</t>
  </si>
  <si>
    <t xml:space="preserve">DEM.2</t>
  </si>
  <si>
    <t xml:space="preserve">- DEPOSE BAIE VITREE ET GRILLE DE PROTECTION 4x3m2 et 2,5x1,5 m2</t>
  </si>
  <si>
    <t xml:space="preserve">TOTAL TRAVAUX PREPARATOIRES :</t>
  </si>
  <si>
    <t xml:space="preserve">II - TRAVAUX EN INFRASTRUCTURE :</t>
  </si>
  <si>
    <t xml:space="preserve">INF.1</t>
  </si>
  <si>
    <t xml:space="preserve">- FOUILLE </t>
  </si>
  <si>
    <t xml:space="preserve">M3</t>
  </si>
  <si>
    <t xml:space="preserve">INF.2</t>
  </si>
  <si>
    <t xml:space="preserve">- BETON ORDINAIRE DOSE A 150 KG</t>
  </si>
  <si>
    <t xml:space="preserve">- HERISSONNAGE ép 20 cm</t>
  </si>
  <si>
    <t xml:space="preserve">INF.3</t>
  </si>
  <si>
    <t xml:space="preserve">- BETON DOSE A 250 KG ép 8cm</t>
  </si>
  <si>
    <t xml:space="preserve">INF.5</t>
  </si>
  <si>
    <t xml:space="preserve">- BETON DOSE A 350 KG</t>
  </si>
  <si>
    <t xml:space="preserve">INF.6</t>
  </si>
  <si>
    <t xml:space="preserve">- ARMATURES EN ACIERS RONDS</t>
  </si>
  <si>
    <t xml:space="preserve">KG</t>
  </si>
  <si>
    <t xml:space="preserve">INF.7</t>
  </si>
  <si>
    <t xml:space="preserve">- COFFRAGE EN BOIS</t>
  </si>
  <si>
    <t xml:space="preserve">M2</t>
  </si>
  <si>
    <t xml:space="preserve">INF.8</t>
  </si>
  <si>
    <t xml:space="preserve">- MASQUE ANTI-CAPILLAIRE</t>
  </si>
  <si>
    <t xml:space="preserve">TOTAL TRAVAUX EN INFRASTRUCTURE :</t>
  </si>
  <si>
    <t xml:space="preserve">III - TRAVAUX EN SUPERSTRUCTURE :</t>
  </si>
  <si>
    <t xml:space="preserve">SUP.1</t>
  </si>
  <si>
    <t xml:space="preserve">SUP.2</t>
  </si>
  <si>
    <t xml:space="preserve">SUP.3</t>
  </si>
  <si>
    <t xml:space="preserve">TOTAL TRAVAUX EN SUPERSTRUCTURE :</t>
  </si>
  <si>
    <t xml:space="preserve">IV - TRAVAUX DE MACONNERIE :</t>
  </si>
  <si>
    <t xml:space="preserve">MAC.1</t>
  </si>
  <si>
    <t xml:space="preserve">- MACONNERIE D'AGGLOMERES D'EPAISSEUR 20CM</t>
  </si>
  <si>
    <t xml:space="preserve">MAC.2</t>
  </si>
  <si>
    <t xml:space="preserve">- MACONNERIE D'AGGLOMERES D'EPAISSEUR 10CM</t>
  </si>
  <si>
    <t xml:space="preserve">MAC.3</t>
  </si>
  <si>
    <t xml:space="preserve">- MACONNERIE DE CLAUSTRAS</t>
  </si>
  <si>
    <t xml:space="preserve">TOTAL TRAVAUX DE MACONNERIE :</t>
  </si>
  <si>
    <t xml:space="preserve">V - ENDUIT ET CHAPE :</t>
  </si>
  <si>
    <t xml:space="preserve">RAV.1</t>
  </si>
  <si>
    <t xml:space="preserve">- ENDUIT CIMENT</t>
  </si>
  <si>
    <t xml:space="preserve">RAV.2</t>
  </si>
  <si>
    <t xml:space="preserve">- CHAPE BOUCHARDEE</t>
  </si>
  <si>
    <t xml:space="preserve">RAV.3</t>
  </si>
  <si>
    <t xml:space="preserve">- CHAPE LISSE</t>
  </si>
  <si>
    <t xml:space="preserve">TOTAL ENDUIT ET CHAPE :</t>
  </si>
  <si>
    <t xml:space="preserve">VI - REVETEMENT - PLAFONNAGE :</t>
  </si>
  <si>
    <t xml:space="preserve">REV.1</t>
  </si>
  <si>
    <t xml:space="preserve">- CARREAU GRES CERAME</t>
  </si>
  <si>
    <t xml:space="preserve">REV.2</t>
  </si>
  <si>
    <t xml:space="preserve">- CARREAU FAIENCE MURALE</t>
  </si>
  <si>
    <t xml:space="preserve">REV.3</t>
  </si>
  <si>
    <t xml:space="preserve">- PLINHTE EN GRES CERAME</t>
  </si>
  <si>
    <t xml:space="preserve">ML</t>
  </si>
  <si>
    <t xml:space="preserve">REV.4</t>
  </si>
  <si>
    <t xml:space="preserve">- PLAFOND SUSPENDU EN PLAQUE DE 60X60</t>
  </si>
  <si>
    <t xml:space="preserve">REV.5</t>
  </si>
  <si>
    <t xml:space="preserve">- PLAFOND EN PLACOPLATRE</t>
  </si>
  <si>
    <t xml:space="preserve">TOTAL REVETEMENT - PLAFONNAGE : </t>
  </si>
  <si>
    <t xml:space="preserve">VII - CHARPENTE ET COUVERTURE</t>
  </si>
  <si>
    <t xml:space="preserve">COV.1</t>
  </si>
  <si>
    <t xml:space="preserve">- CHARPENTE METALLIQUE: pannes U 80 pour local lub</t>
  </si>
  <si>
    <t xml:space="preserve">COV.2</t>
  </si>
  <si>
    <t xml:space="preserve">- CHARPENTE METALLIQUE: pannes U 80 pour locaux pompiste et vulca</t>
  </si>
  <si>
    <t xml:space="preserve">COV.3</t>
  </si>
  <si>
    <t xml:space="preserve">- TOITURE EN GALVA BAC 63/100 ème</t>
  </si>
  <si>
    <t xml:space="preserve">COV.4</t>
  </si>
  <si>
    <t xml:space="preserve">- SOLIN</t>
  </si>
  <si>
    <t xml:space="preserve">COV.5</t>
  </si>
  <si>
    <t xml:space="preserve">- GOUTTIERE EN PVC 100</t>
  </si>
  <si>
    <t xml:space="preserve">COV.6</t>
  </si>
  <si>
    <t xml:space="preserve">- DESCENTE D'EAU EN PVC 100</t>
  </si>
  <si>
    <t xml:space="preserve">TOTAL CHARPENTE ET COUVERTURE: </t>
  </si>
  <si>
    <t xml:space="preserve">VIII - PEINTURE :</t>
  </si>
  <si>
    <t xml:space="preserve">PEI.1</t>
  </si>
  <si>
    <t xml:space="preserve">- ENDUIT DE PEINTRE</t>
  </si>
  <si>
    <t xml:space="preserve">PEI.2</t>
  </si>
  <si>
    <t xml:space="preserve">- PEINTURE PLASTIQUE POUR INTERIEUR</t>
  </si>
  <si>
    <t xml:space="preserve">PEI.3</t>
  </si>
  <si>
    <t xml:space="preserve">- PEINTURE PLASTIQUE EN 2 COUCHES WARM GREY 7C pour extérieur</t>
  </si>
  <si>
    <t xml:space="preserve">PEI.4</t>
  </si>
  <si>
    <t xml:space="preserve">- PEINTURE PLASTIQUE EN 2 COUCHES WARM GREY 1C pour extérieur</t>
  </si>
  <si>
    <t xml:space="preserve">PEI.5</t>
  </si>
  <si>
    <t xml:space="preserve">- PEINTURE PLASTIQUE EN 2 COUCHES RAL DESIGN 110 70 pour extérieur</t>
  </si>
  <si>
    <t xml:space="preserve">TOTAL PEINTURE : </t>
  </si>
  <si>
    <t xml:space="preserve">IX - MENUISERIES ALUMINIUM, BOIS ET METALLIQUE :</t>
  </si>
  <si>
    <t xml:space="preserve">X -1 - MENUISERIES ALUMINIUM :</t>
  </si>
  <si>
    <t xml:space="preserve">MEA.1</t>
  </si>
  <si>
    <t xml:space="preserve">- CHASSIS VITRE DE 1700x2500 coulissant filmé (vue extérieure)</t>
  </si>
  <si>
    <t xml:space="preserve">MEA.2</t>
  </si>
  <si>
    <t xml:space="preserve">- CLOISON VITREE FILMEE (vue extérieure) </t>
  </si>
  <si>
    <t xml:space="preserve">MEA.3</t>
  </si>
  <si>
    <t xml:space="preserve">- PORTE VITREE FILMEE (vue extérieure) 90x210 cm</t>
  </si>
  <si>
    <t xml:space="preserve">X -2 - MENUISERIE METALLIQUE :</t>
  </si>
  <si>
    <t xml:space="preserve">MEM.1</t>
  </si>
  <si>
    <t xml:space="preserve">- FOURNITURE ET POSE VOLET ROULANT METALLIQUE ENCASTRE 1700x2500</t>
  </si>
  <si>
    <t xml:space="preserve">MEM.2</t>
  </si>
  <si>
    <t xml:space="preserve">- FOURNITURE ET POSE PORTE METALLIQUE 90x210 cm</t>
  </si>
  <si>
    <t xml:space="preserve">MEM.3</t>
  </si>
  <si>
    <t xml:space="preserve">- GRILLE DE PROTECTION METALLIQUE 205x150 cm2</t>
  </si>
  <si>
    <t xml:space="preserve">X -3 - MENUISERIE EN BOIS :</t>
  </si>
  <si>
    <t xml:space="preserve">MEB.1</t>
  </si>
  <si>
    <t xml:space="preserve">- FOURNITURE ET POSE PORTE ISOPLANE EN BOIS 800x2100</t>
  </si>
  <si>
    <t xml:space="preserve">MEB.2</t>
  </si>
  <si>
    <t xml:space="preserve">- DEPOSE ET REPOSE D'UNE PORTE ISOPLANE EN BOIS</t>
  </si>
  <si>
    <t xml:space="preserve">MEB.3</t>
  </si>
  <si>
    <t xml:space="preserve">- BAIE VITREE AVEC OSSATURE EN BOIS 205 x 150 cm</t>
  </si>
  <si>
    <t xml:space="preserve">TOTAL MENUSIERIES  ALUMINIUM,BOIS &amp; METALLQIUE : </t>
  </si>
  <si>
    <t xml:space="preserve">X- RESEAUX D'ASSAINISSEMENT :</t>
  </si>
  <si>
    <t xml:space="preserve">ASS.1</t>
  </si>
  <si>
    <t xml:space="preserve">- CANALISATION EN BUSE 200</t>
  </si>
  <si>
    <t xml:space="preserve">ASS.2</t>
  </si>
  <si>
    <t xml:space="preserve">- REGARD A GRILLE EN BETON ARME</t>
  </si>
  <si>
    <t xml:space="preserve">ASS.3</t>
  </si>
  <si>
    <t xml:space="preserve">- PLATEAU ABSORBANT selon plan</t>
  </si>
  <si>
    <t xml:space="preserve">TOTAL RESEAUX D'ASSAINISSEMENT : </t>
  </si>
  <si>
    <t xml:space="preserve">XI- SEPARATEUR D'HYDROCARBURES CIRCULABLE :</t>
  </si>
  <si>
    <t xml:space="preserve">SEP.1</t>
  </si>
  <si>
    <t xml:space="preserve">- FOUILLE ET DEGAGEMENT DE PRODUITS DE FOUILLE</t>
  </si>
  <si>
    <t xml:space="preserve">SEP.2</t>
  </si>
  <si>
    <t xml:space="preserve">SEP.3</t>
  </si>
  <si>
    <t xml:space="preserve">SEP.4</t>
  </si>
  <si>
    <t xml:space="preserve">SEP.5</t>
  </si>
  <si>
    <t xml:space="preserve">SEP.6</t>
  </si>
  <si>
    <t xml:space="preserve">- ENDUIT CIMENT ETANCHE</t>
  </si>
  <si>
    <t xml:space="preserve">SEP.7</t>
  </si>
  <si>
    <t xml:space="preserve">- POSE ET CONNEXION SEPARATEUR D'HYDROCARBURES</t>
  </si>
  <si>
    <t xml:space="preserve">SEP.8</t>
  </si>
  <si>
    <t xml:space="preserve">- MISE EN ŒUVRE TRAPPE METALLIQUE 0,5 X 1 m</t>
  </si>
  <si>
    <t xml:space="preserve">TOTAL SEPARATEUR D'HYDROCARBURES : </t>
  </si>
  <si>
    <t xml:space="preserve">XII- FOSSE DE GRAISSAGE :</t>
  </si>
  <si>
    <t xml:space="preserve">FOSS.1</t>
  </si>
  <si>
    <t xml:space="preserve">- DEMOLITION DALLAGE EN BETON ARME</t>
  </si>
  <si>
    <t xml:space="preserve">FOSS.2</t>
  </si>
  <si>
    <t xml:space="preserve">- ENLEVEMENT MASSIF PONT 4 COLONNES</t>
  </si>
  <si>
    <t xml:space="preserve">FOSS.3</t>
  </si>
  <si>
    <t xml:space="preserve">- FOUILLE DE TOUTE NATURE</t>
  </si>
  <si>
    <t xml:space="preserve">FOSS.4</t>
  </si>
  <si>
    <t xml:space="preserve">- MACONNERIE DE MOELLONS</t>
  </si>
  <si>
    <t xml:space="preserve">FOSS.5</t>
  </si>
  <si>
    <t xml:space="preserve">- BETON DOSE A 350 Kg</t>
  </si>
  <si>
    <t xml:space="preserve">FOSS.6</t>
  </si>
  <si>
    <t xml:space="preserve">FOSS.7</t>
  </si>
  <si>
    <t xml:space="preserve">- ARMATURES EN ACIERS RONDS TOR DE TOUTES DIMENSIONS</t>
  </si>
  <si>
    <t xml:space="preserve">FOSS.8</t>
  </si>
  <si>
    <t xml:space="preserve">FOSS.9</t>
  </si>
  <si>
    <t xml:space="preserve">- CARREAU FAIENCE MURAL</t>
  </si>
  <si>
    <t xml:space="preserve">FOSS.10</t>
  </si>
  <si>
    <t xml:space="preserve">FOSS.11</t>
  </si>
  <si>
    <t xml:space="preserve">- FOURNITURE ET POSE GUIDE ROUE EN FER CORNIERE L 60 x 60</t>
  </si>
  <si>
    <t xml:space="preserve">FOSS.12</t>
  </si>
  <si>
    <t xml:space="preserve">- MISE EN ŒUVRE DALLAGE ET CHAPE BOUCHARDEE</t>
  </si>
  <si>
    <t xml:space="preserve">FOSS.13</t>
  </si>
  <si>
    <t xml:space="preserve">- FOURNITURE ET POSE FEUILLE DE POLYANE</t>
  </si>
  <si>
    <t xml:space="preserve">FOSSE DE GRAISSAGE : </t>
  </si>
  <si>
    <t xml:space="preserve">XIII- RAMPE DE LAVAGE :</t>
  </si>
  <si>
    <t xml:space="preserve">RAM.1</t>
  </si>
  <si>
    <t xml:space="preserve">RAM.2</t>
  </si>
  <si>
    <t xml:space="preserve">RAM.3</t>
  </si>
  <si>
    <t xml:space="preserve">RAM.4</t>
  </si>
  <si>
    <t xml:space="preserve">RAM.5</t>
  </si>
  <si>
    <t xml:space="preserve">RAM.6</t>
  </si>
  <si>
    <t xml:space="preserve">RAM.7</t>
  </si>
  <si>
    <t xml:space="preserve">RAM.8</t>
  </si>
  <si>
    <t xml:space="preserve">RAM.9</t>
  </si>
  <si>
    <t xml:space="preserve">RAM.10</t>
  </si>
  <si>
    <t xml:space="preserve">RAM.12</t>
  </si>
  <si>
    <t xml:space="preserve">RAMPE DE LAVAGE : </t>
  </si>
  <si>
    <t xml:space="preserve">XIV- ABRI VULCA:</t>
  </si>
  <si>
    <t xml:space="preserve">VULC.1</t>
  </si>
  <si>
    <t xml:space="preserve">- MASSIF POUR POTEAU</t>
  </si>
  <si>
    <t xml:space="preserve">VULC.2</t>
  </si>
  <si>
    <t xml:space="preserve">- POTEAU EN TUBE NOIR 120</t>
  </si>
  <si>
    <t xml:space="preserve">VULC.3</t>
  </si>
  <si>
    <t xml:space="preserve">- MUR GRILLAGE DEMONTABLE 640 X 250 cm (démontable en 7 panneaux)</t>
  </si>
  <si>
    <t xml:space="preserve">VULC.4</t>
  </si>
  <si>
    <t xml:space="preserve">- MUR GRILLAGE FIXE 340 x 250 cm</t>
  </si>
  <si>
    <t xml:space="preserve">VULC.5</t>
  </si>
  <si>
    <t xml:space="preserve">- MUR GRILLAGE FIXE 140 x 250 cm</t>
  </si>
  <si>
    <t xml:space="preserve">VULC.6</t>
  </si>
  <si>
    <t xml:space="preserve">- CHARPENTE METALLIQUE</t>
  </si>
  <si>
    <t xml:space="preserve">VULC.7</t>
  </si>
  <si>
    <t xml:space="preserve">- DALLAGE EN BETON DE FORME d'épaisseur 10cm</t>
  </si>
  <si>
    <t xml:space="preserve">TOTAL ABRI VULCA : </t>
  </si>
  <si>
    <t xml:space="preserve">XI - SANITAIRE :</t>
  </si>
  <si>
    <t xml:space="preserve">SAN.1</t>
  </si>
  <si>
    <t xml:space="preserve"> - RECEVEUR DE DOUCHE EN PORCELAINE de marque ROCCA</t>
  </si>
  <si>
    <t xml:space="preserve">SAN.2</t>
  </si>
  <si>
    <t xml:space="preserve"> - LAVABO EN PORCELAINE de marque ROCCA</t>
  </si>
  <si>
    <t xml:space="preserve">SAN.3</t>
  </si>
  <si>
    <t xml:space="preserve">- APPROVISIONNEMENT EN EAU DU LOCAL POMPISTE</t>
  </si>
  <si>
    <t xml:space="preserve">SAN.4</t>
  </si>
  <si>
    <t xml:space="preserve">- EVACUATION EAU USEE LOCAL POMPISTE</t>
  </si>
  <si>
    <t xml:space="preserve">TOTAL OUVRAGES D'HYDROCARBURES : </t>
  </si>
  <si>
    <t xml:space="preserve">XII- AMENAGEMENT EXTERIEUR :</t>
  </si>
  <si>
    <t xml:space="preserve">AMX.1</t>
  </si>
  <si>
    <t xml:space="preserve">- MISE EN ŒUVRE TRANCHEE ELECTRIQUE sur piste en BA</t>
  </si>
  <si>
    <t xml:space="preserve">AMX.2</t>
  </si>
  <si>
    <t xml:space="preserve">- FOURNITURE ET MISE EN ŒUVRE REGARD ELECTRIQUE</t>
  </si>
  <si>
    <t xml:space="preserve">AMX.3</t>
  </si>
  <si>
    <t xml:space="preserve">- EMBALLAGE-TRANSPORT ET POSE PLEXI TOTEM (2 faces)</t>
  </si>
  <si>
    <t xml:space="preserve">TOTAL AMENAGEMENT EXTERIEUR : </t>
  </si>
  <si>
    <t xml:space="preserve">TOTAL HTVA :</t>
  </si>
  <si>
    <t xml:space="preserve">TVA 20%</t>
  </si>
  <si>
    <t xml:space="preserve">TOTAL TTC</t>
  </si>
  <si>
    <r>
      <rPr>
        <u val="single"/>
        <sz val="10"/>
        <rFont val="Calibri"/>
        <family val="2"/>
        <charset val="1"/>
      </rPr>
      <t xml:space="preserve">Délai d'éxecution:</t>
    </r>
    <r>
      <rPr>
        <sz val="10"/>
        <rFont val="Calibri"/>
        <family val="2"/>
        <charset val="1"/>
      </rPr>
      <t xml:space="preserve"> 10 semaines.</t>
    </r>
  </si>
  <si>
    <r>
      <rPr>
        <u val="single"/>
        <sz val="10"/>
        <rFont val="Calibri"/>
        <family val="2"/>
        <charset val="1"/>
      </rPr>
      <t xml:space="preserve">Délai de disponibilité:</t>
    </r>
    <r>
      <rPr>
        <sz val="10"/>
        <rFont val="Calibri"/>
        <family val="2"/>
        <charset val="1"/>
      </rPr>
      <t xml:space="preserve"> 15 jours après réception BC.</t>
    </r>
  </si>
  <si>
    <r>
      <rPr>
        <u val="single"/>
        <sz val="10"/>
        <rFont val="Calibri"/>
        <family val="2"/>
        <charset val="1"/>
      </rPr>
      <t xml:space="preserve">Validité de l'offre:</t>
    </r>
    <r>
      <rPr>
        <sz val="10"/>
        <rFont val="Calibri"/>
        <family val="2"/>
        <charset val="1"/>
      </rPr>
      <t xml:space="preserve"> 90 jours.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</si>
</sst>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F_-;\-* #,##0.00\ _F_-;_-* \-??\ _F_-;_-@_-"/>
    <numFmt numFmtId="166" formatCode="#,##0.00"/>
    <numFmt numFmtId="167" formatCode="_-* #,##0.00,_€_-;\-* #,##0.00,_€_-;_-* \-??\ _€_-;_-@_-"/>
    <numFmt numFmtId="168" formatCode="#,##0_ ;\-#,##0,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0"/>
      <color rgb="FF0000FF"/>
      <name val="Calibri"/>
      <family val="2"/>
      <charset val="1"/>
    </font>
    <font>
      <sz val="6"/>
      <color rgb="FF548DD4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iers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495360</xdr:colOff>
      <xdr:row>3</xdr:row>
      <xdr:rowOff>19080</xdr:rowOff>
    </xdr:from>
    <xdr:to>
      <xdr:col>5</xdr:col>
      <xdr:colOff>618840</xdr:colOff>
      <xdr:row>5</xdr:row>
      <xdr:rowOff>66240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5800680" y="533160"/>
          <a:ext cx="1847520" cy="37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599760</xdr:colOff>
      <xdr:row>5</xdr:row>
      <xdr:rowOff>37800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0"/>
          <a:ext cx="5905080" cy="875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123840</xdr:rowOff>
    </xdr:from>
    <xdr:to>
      <xdr:col>5</xdr:col>
      <xdr:colOff>1209240</xdr:colOff>
      <xdr:row>151</xdr:row>
      <xdr:rowOff>161640</xdr:rowOff>
    </xdr:to>
    <xdr:sp>
      <xdr:nvSpPr>
        <xdr:cNvPr id="2" name="CustomShape 1"/>
        <xdr:cNvSpPr/>
      </xdr:nvSpPr>
      <xdr:spPr>
        <a:xfrm>
          <a:off x="0" y="24802920"/>
          <a:ext cx="8238600" cy="3618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 algn="ctr">
            <a:lnSpc>
              <a:spcPct val="100000"/>
            </a:lnSpc>
          </a:pPr>
          <a:r>
            <a:rPr b="0" lang="fr-FR" sz="600" spc="-1" strike="noStrike">
              <a:solidFill>
                <a:srgbClr val="548dd4"/>
              </a:solidFill>
              <a:uFill>
                <a:solidFill>
                  <a:srgbClr val="ffffff"/>
                </a:solidFill>
              </a:uFill>
              <a:latin typeface="Arial"/>
            </a:rPr>
            <a:t>SARLU au capital de Ar 10 000 000 – Lot IBG 114 ter Amboasarikely 101 Antananarivo – 02022631 39 - 03207 426 30 - 03311 026 30 – 03411 026 30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600" spc="-1" strike="noStrike">
              <a:solidFill>
                <a:srgbClr val="548dd4"/>
              </a:solidFill>
              <a:uFill>
                <a:solidFill>
                  <a:srgbClr val="ffffff"/>
                </a:solidFill>
              </a:uFill>
              <a:latin typeface="Arial"/>
            </a:rPr>
            <a:t>general.enterprises@yahoo.fr/contact@gent-madagascar.com/ www.gent-madagascar.com 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600" spc="-1" strike="noStrike">
              <a:solidFill>
                <a:srgbClr val="548dd4"/>
              </a:solidFill>
              <a:uFill>
                <a:solidFill>
                  <a:srgbClr val="ffffff"/>
                </a:solidFill>
              </a:uFill>
              <a:latin typeface="Arial"/>
            </a:rPr>
            <a:t>NIF 3000083510 – Stat 42101 11 2008 0 11309 – RC 2008 B 01282 ANTANANARIVO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BDE-SDP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NING"/>
      <sheetName val="BDE"/>
      <sheetName val="SDP"/>
    </sheetNames>
    <sheetDataSet>
      <sheetData sheetId="0"/>
      <sheetData sheetId="1"/>
      <sheetData sheetId="2">
        <row r="49">
          <cell r="E49">
            <v>19098000</v>
          </cell>
        </row>
        <row r="105">
          <cell r="E105">
            <v>92400</v>
          </cell>
        </row>
        <row r="134">
          <cell r="E134">
            <v>26118.3673469388</v>
          </cell>
        </row>
        <row r="162">
          <cell r="E162">
            <v>221112</v>
          </cell>
        </row>
        <row r="220">
          <cell r="E220">
            <v>67015.3846153846</v>
          </cell>
        </row>
        <row r="250">
          <cell r="E250">
            <v>286960</v>
          </cell>
        </row>
        <row r="277">
          <cell r="E277">
            <v>352808</v>
          </cell>
        </row>
        <row r="305">
          <cell r="E305">
            <v>5233.30596962679</v>
          </cell>
        </row>
        <row r="490">
          <cell r="E490">
            <v>10217.3904520502</v>
          </cell>
        </row>
        <row r="518">
          <cell r="E518">
            <v>10914.296</v>
          </cell>
        </row>
        <row r="644">
          <cell r="E644">
            <v>13390.6036363636</v>
          </cell>
        </row>
        <row r="729">
          <cell r="E729">
            <v>1783200</v>
          </cell>
        </row>
        <row r="756">
          <cell r="E756">
            <v>1041000</v>
          </cell>
        </row>
        <row r="822">
          <cell r="E822">
            <v>34308.3475409836</v>
          </cell>
        </row>
        <row r="883">
          <cell r="E883">
            <v>31287.2727272727</v>
          </cell>
        </row>
        <row r="941">
          <cell r="E941">
            <v>1005000</v>
          </cell>
        </row>
        <row r="972">
          <cell r="E972">
            <v>1511580</v>
          </cell>
        </row>
        <row r="1004">
          <cell r="E1004">
            <v>807720</v>
          </cell>
        </row>
        <row r="1034">
          <cell r="E1034">
            <v>929040</v>
          </cell>
        </row>
        <row r="1063">
          <cell r="E1063">
            <v>44340.6</v>
          </cell>
        </row>
        <row r="1092">
          <cell r="E1092">
            <v>186302.920135478</v>
          </cell>
        </row>
        <row r="1121">
          <cell r="E1121">
            <v>3951000</v>
          </cell>
        </row>
        <row r="1151">
          <cell r="E1151">
            <v>7246.69260700389</v>
          </cell>
        </row>
        <row r="1177">
          <cell r="E1177">
            <v>12669.0128755365</v>
          </cell>
        </row>
        <row r="1202">
          <cell r="E1202">
            <v>15519.4936708861</v>
          </cell>
        </row>
        <row r="1228">
          <cell r="E1228">
            <v>16232.6498153934</v>
          </cell>
        </row>
        <row r="1253">
          <cell r="E1253">
            <v>16800</v>
          </cell>
        </row>
        <row r="1304">
          <cell r="E1304">
            <v>972480</v>
          </cell>
        </row>
        <row r="1329">
          <cell r="E1329">
            <v>231000</v>
          </cell>
        </row>
        <row r="1354">
          <cell r="E1354">
            <v>585600</v>
          </cell>
        </row>
        <row r="1379">
          <cell r="E1379">
            <v>501600</v>
          </cell>
        </row>
        <row r="1405">
          <cell r="E1405">
            <v>74707.92</v>
          </cell>
        </row>
        <row r="1433">
          <cell r="E1433">
            <v>544286.121095487</v>
          </cell>
        </row>
        <row r="1610">
          <cell r="E1610">
            <v>5209215.97558634</v>
          </cell>
        </row>
        <row r="1637">
          <cell r="E1637">
            <v>302160</v>
          </cell>
        </row>
        <row r="1666">
          <cell r="E1666">
            <v>27600</v>
          </cell>
        </row>
        <row r="1695">
          <cell r="E1695">
            <v>58474.5</v>
          </cell>
        </row>
        <row r="1724">
          <cell r="E1724">
            <v>48018</v>
          </cell>
        </row>
        <row r="1754">
          <cell r="E1754">
            <v>46195.096</v>
          </cell>
        </row>
        <row r="1783">
          <cell r="E1783">
            <v>197092.204808133</v>
          </cell>
        </row>
        <row r="1813">
          <cell r="E1813">
            <v>655620</v>
          </cell>
        </row>
        <row r="1843">
          <cell r="E1843">
            <v>2966424</v>
          </cell>
        </row>
        <row r="1870">
          <cell r="E1870">
            <v>2750416.77316845</v>
          </cell>
        </row>
        <row r="1897">
          <cell r="E1897">
            <v>47532.3552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75"/>
  <cols>
    <col collapsed="false" hidden="false" max="1" min="1" style="1" width="8.23469387755102"/>
    <col collapsed="false" hidden="false" max="2" min="2" style="2" width="58.9897959183674"/>
    <col collapsed="false" hidden="false" max="3" min="3" style="1" width="7.96428571428571"/>
    <col collapsed="false" hidden="false" max="4" min="4" style="3" width="9.98979591836735"/>
    <col collapsed="false" hidden="false" max="5" min="5" style="4" width="14.4438775510204"/>
    <col collapsed="false" hidden="false" max="6" min="6" style="4" width="17.1428571428571"/>
    <col collapsed="false" hidden="false" max="8" min="7" style="1" width="11.2040816326531"/>
    <col collapsed="false" hidden="false" max="256" min="9" style="2" width="11.2040816326531"/>
    <col collapsed="false" hidden="false" max="257" min="257" style="2" width="8.23469387755102"/>
    <col collapsed="false" hidden="false" max="258" min="258" style="2" width="58.9897959183674"/>
    <col collapsed="false" hidden="false" max="259" min="259" style="2" width="7.96428571428571"/>
    <col collapsed="false" hidden="false" max="260" min="260" style="2" width="9.98979591836735"/>
    <col collapsed="false" hidden="false" max="261" min="261" style="2" width="14.4438775510204"/>
    <col collapsed="false" hidden="false" max="262" min="262" style="2" width="17.1428571428571"/>
    <col collapsed="false" hidden="false" max="512" min="263" style="2" width="11.2040816326531"/>
    <col collapsed="false" hidden="false" max="513" min="513" style="2" width="8.23469387755102"/>
    <col collapsed="false" hidden="false" max="514" min="514" style="2" width="58.9897959183674"/>
    <col collapsed="false" hidden="false" max="515" min="515" style="2" width="7.96428571428571"/>
    <col collapsed="false" hidden="false" max="516" min="516" style="2" width="9.98979591836735"/>
    <col collapsed="false" hidden="false" max="517" min="517" style="2" width="14.4438775510204"/>
    <col collapsed="false" hidden="false" max="518" min="518" style="2" width="17.1428571428571"/>
    <col collapsed="false" hidden="false" max="768" min="519" style="2" width="11.2040816326531"/>
    <col collapsed="false" hidden="false" max="769" min="769" style="2" width="8.23469387755102"/>
    <col collapsed="false" hidden="false" max="770" min="770" style="2" width="58.9897959183674"/>
    <col collapsed="false" hidden="false" max="771" min="771" style="2" width="7.96428571428571"/>
    <col collapsed="false" hidden="false" max="772" min="772" style="2" width="9.98979591836735"/>
    <col collapsed="false" hidden="false" max="773" min="773" style="2" width="14.4438775510204"/>
    <col collapsed="false" hidden="false" max="774" min="774" style="2" width="17.1428571428571"/>
    <col collapsed="false" hidden="false" max="1025" min="775" style="2" width="11.2040816326531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0"/>
      <c r="B2" s="0"/>
      <c r="C2" s="0"/>
      <c r="D2" s="5" t="s">
        <v>0</v>
      </c>
      <c r="E2" s="5"/>
      <c r="F2" s="5"/>
      <c r="G2" s="2"/>
      <c r="H2" s="2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false" outlineLevel="0" collapsed="false">
      <c r="A3" s="0"/>
      <c r="B3" s="0"/>
      <c r="C3" s="0"/>
      <c r="D3" s="6"/>
      <c r="E3" s="0"/>
      <c r="F3" s="0"/>
      <c r="G3" s="2"/>
      <c r="H3" s="2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5" t="s">
        <v>1</v>
      </c>
      <c r="E4" s="5"/>
      <c r="F4" s="5"/>
      <c r="G4" s="2"/>
      <c r="H4" s="2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0"/>
      <c r="D5" s="5"/>
      <c r="E5" s="5"/>
      <c r="F5" s="5"/>
      <c r="G5" s="2"/>
      <c r="H5" s="2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7"/>
      <c r="B6" s="0"/>
      <c r="C6" s="0"/>
      <c r="D6" s="5"/>
      <c r="E6" s="5"/>
      <c r="F6" s="5"/>
      <c r="G6" s="2"/>
      <c r="H6" s="2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false" outlineLevel="0" collapsed="false">
      <c r="A7" s="0"/>
      <c r="B7" s="0"/>
      <c r="C7" s="0"/>
      <c r="D7" s="5"/>
      <c r="E7" s="5"/>
      <c r="F7" s="5"/>
      <c r="G7" s="2"/>
      <c r="H7" s="2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8" t="s">
        <v>2</v>
      </c>
      <c r="B8" s="0"/>
      <c r="C8" s="0"/>
      <c r="D8" s="6"/>
      <c r="E8" s="0"/>
      <c r="F8" s="0"/>
      <c r="G8" s="2"/>
      <c r="H8" s="2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9" t="s">
        <v>3</v>
      </c>
      <c r="B9" s="9"/>
      <c r="C9" s="9"/>
      <c r="D9" s="9"/>
      <c r="E9" s="9"/>
      <c r="F9" s="9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false" customHeight="true" outlineLevel="0" collapsed="false">
      <c r="A10" s="9" t="s">
        <v>4</v>
      </c>
      <c r="B10" s="9"/>
      <c r="C10" s="9"/>
      <c r="D10" s="9"/>
      <c r="E10" s="9"/>
      <c r="F10" s="9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5" customFormat="true" ht="14.25" hidden="false" customHeight="true" outlineLevel="0" collapsed="false">
      <c r="A11" s="10" t="s">
        <v>5</v>
      </c>
      <c r="B11" s="11" t="s">
        <v>6</v>
      </c>
      <c r="C11" s="11" t="s">
        <v>7</v>
      </c>
      <c r="D11" s="12" t="s">
        <v>8</v>
      </c>
      <c r="E11" s="13" t="s">
        <v>9</v>
      </c>
      <c r="F11" s="14" t="s">
        <v>10</v>
      </c>
    </row>
    <row r="12" customFormat="false" ht="13.5" hidden="false" customHeight="false" outlineLevel="0" collapsed="false">
      <c r="A12" s="16" t="s">
        <v>11</v>
      </c>
      <c r="B12" s="17"/>
      <c r="C12" s="18"/>
      <c r="D12" s="19"/>
      <c r="E12" s="20"/>
      <c r="F12" s="21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22" t="s">
        <v>12</v>
      </c>
      <c r="B13" s="23" t="s">
        <v>13</v>
      </c>
      <c r="C13" s="22" t="s">
        <v>14</v>
      </c>
      <c r="D13" s="24" t="n">
        <v>1</v>
      </c>
      <c r="E13" s="25" t="n">
        <f aca="false">[1]SDP!E49</f>
        <v>19098000</v>
      </c>
      <c r="F13" s="25" t="n">
        <f aca="false">E13*D13</f>
        <v>19098000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26" t="s">
        <v>15</v>
      </c>
      <c r="B14" s="27" t="s">
        <v>16</v>
      </c>
      <c r="C14" s="26" t="s">
        <v>14</v>
      </c>
      <c r="D14" s="28" t="n">
        <v>1</v>
      </c>
      <c r="E14" s="29" t="n">
        <f aca="false">[1]sdp!pu_crea</f>
        <v>1068000</v>
      </c>
      <c r="F14" s="25" t="n">
        <f aca="false">E14*D14</f>
        <v>1068000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false" outlineLevel="0" collapsed="false">
      <c r="A15" s="30" t="s">
        <v>17</v>
      </c>
      <c r="B15" s="31" t="s">
        <v>18</v>
      </c>
      <c r="C15" s="30" t="s">
        <v>14</v>
      </c>
      <c r="D15" s="32" t="n">
        <v>1</v>
      </c>
      <c r="E15" s="33" t="n">
        <f aca="false">[1]SDP!E105</f>
        <v>92400</v>
      </c>
      <c r="F15" s="25" t="n">
        <f aca="false">E15*D15</f>
        <v>92400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6" customFormat="true" ht="13.5" hidden="false" customHeight="false" outlineLevel="0" collapsed="false">
      <c r="A16" s="34"/>
      <c r="B16" s="17"/>
      <c r="C16" s="18"/>
      <c r="D16" s="19"/>
      <c r="E16" s="35" t="s">
        <v>19</v>
      </c>
      <c r="F16" s="21" t="n">
        <f aca="false">SUM(F13:F15)</f>
        <v>20258400</v>
      </c>
      <c r="G16" s="1"/>
      <c r="H16" s="1"/>
      <c r="I16" s="2"/>
      <c r="J16" s="2"/>
      <c r="K16" s="2"/>
      <c r="L16" s="2"/>
      <c r="M16" s="2"/>
    </row>
    <row r="17" customFormat="false" ht="13.5" hidden="false" customHeight="false" outlineLevel="0" collapsed="false">
      <c r="A17" s="16" t="s">
        <v>20</v>
      </c>
      <c r="B17" s="17"/>
      <c r="C17" s="18"/>
      <c r="D17" s="19"/>
      <c r="E17" s="20"/>
      <c r="F17" s="21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37" t="s">
        <v>21</v>
      </c>
      <c r="B18" s="38" t="s">
        <v>22</v>
      </c>
      <c r="C18" s="37" t="s">
        <v>23</v>
      </c>
      <c r="D18" s="28" t="n">
        <v>4.2</v>
      </c>
      <c r="E18" s="39" t="n">
        <f aca="false">[1]SDP!E134</f>
        <v>26118.3673469388</v>
      </c>
      <c r="F18" s="29" t="n">
        <f aca="false">E18*D18</f>
        <v>109697.142857143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37" t="s">
        <v>24</v>
      </c>
      <c r="B19" s="38" t="s">
        <v>25</v>
      </c>
      <c r="C19" s="37" t="s">
        <v>23</v>
      </c>
      <c r="D19" s="28" t="n">
        <v>0.455</v>
      </c>
      <c r="E19" s="39" t="n">
        <f aca="false">[1]SDP!E162</f>
        <v>221112</v>
      </c>
      <c r="F19" s="29" t="n">
        <f aca="false">E19*D19</f>
        <v>100605.96</v>
      </c>
      <c r="G19" s="2"/>
      <c r="H19" s="2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36" customFormat="true" ht="12.75" hidden="false" customHeight="false" outlineLevel="0" collapsed="false">
      <c r="A20" s="37" t="s">
        <v>24</v>
      </c>
      <c r="B20" s="38" t="s">
        <v>26</v>
      </c>
      <c r="C20" s="37" t="s">
        <v>23</v>
      </c>
      <c r="D20" s="28" t="n">
        <v>2.6</v>
      </c>
      <c r="E20" s="39" t="n">
        <f aca="false">[1]SDP!E220</f>
        <v>67015.3846153846</v>
      </c>
      <c r="F20" s="29" t="n">
        <f aca="false">E20*D20</f>
        <v>174240</v>
      </c>
      <c r="G20" s="1"/>
      <c r="H20" s="1"/>
      <c r="I20" s="2"/>
      <c r="J20" s="2"/>
      <c r="K20" s="2"/>
      <c r="L20" s="2"/>
      <c r="M20" s="2"/>
    </row>
    <row r="21" s="36" customFormat="true" ht="12.75" hidden="false" customHeight="false" outlineLevel="0" collapsed="false">
      <c r="A21" s="37" t="s">
        <v>27</v>
      </c>
      <c r="B21" s="38" t="s">
        <v>28</v>
      </c>
      <c r="C21" s="37" t="s">
        <v>23</v>
      </c>
      <c r="D21" s="28" t="n">
        <v>1.04</v>
      </c>
      <c r="E21" s="39" t="n">
        <f aca="false">[1]SDP!E250</f>
        <v>286960</v>
      </c>
      <c r="F21" s="29" t="n">
        <f aca="false">E21*D21</f>
        <v>298438.4</v>
      </c>
      <c r="G21" s="1"/>
      <c r="H21" s="1"/>
      <c r="I21" s="2"/>
      <c r="J21" s="2"/>
      <c r="K21" s="2"/>
      <c r="L21" s="2"/>
      <c r="M21" s="2"/>
    </row>
    <row r="22" s="36" customFormat="true" ht="12.75" hidden="false" customHeight="false" outlineLevel="0" collapsed="false">
      <c r="A22" s="37" t="s">
        <v>29</v>
      </c>
      <c r="B22" s="38" t="s">
        <v>30</v>
      </c>
      <c r="C22" s="37" t="s">
        <v>23</v>
      </c>
      <c r="D22" s="28" t="n">
        <v>4.07</v>
      </c>
      <c r="E22" s="39" t="n">
        <f aca="false">[1]SDP!E277</f>
        <v>352808</v>
      </c>
      <c r="F22" s="29" t="n">
        <f aca="false">E22*D22</f>
        <v>1435928.56</v>
      </c>
      <c r="G22" s="1"/>
      <c r="H22" s="1"/>
      <c r="I22" s="2"/>
      <c r="J22" s="2"/>
      <c r="K22" s="2"/>
      <c r="L22" s="2"/>
      <c r="M22" s="2"/>
    </row>
    <row r="23" s="36" customFormat="true" ht="12.75" hidden="false" customHeight="false" outlineLevel="0" collapsed="false">
      <c r="A23" s="37" t="s">
        <v>31</v>
      </c>
      <c r="B23" s="38" t="s">
        <v>32</v>
      </c>
      <c r="C23" s="37" t="s">
        <v>33</v>
      </c>
      <c r="D23" s="28" t="n">
        <v>284.9</v>
      </c>
      <c r="E23" s="39" t="n">
        <f aca="false">[1]SDP!E305</f>
        <v>5233.30596962679</v>
      </c>
      <c r="F23" s="29" t="n">
        <f aca="false">E23*D23</f>
        <v>1490968.87074667</v>
      </c>
      <c r="G23" s="1"/>
      <c r="H23" s="1"/>
      <c r="I23" s="2"/>
      <c r="J23" s="2"/>
      <c r="K23" s="2"/>
      <c r="L23" s="2"/>
      <c r="M23" s="2"/>
    </row>
    <row r="24" s="36" customFormat="true" ht="12.75" hidden="false" customHeight="false" outlineLevel="0" collapsed="false">
      <c r="A24" s="37" t="s">
        <v>34</v>
      </c>
      <c r="B24" s="38" t="s">
        <v>35</v>
      </c>
      <c r="C24" s="37" t="s">
        <v>36</v>
      </c>
      <c r="D24" s="28" t="n">
        <v>61.05</v>
      </c>
      <c r="E24" s="39" t="n">
        <f aca="false">[1]sdp!pu_porte</f>
        <v>29437.1797418073</v>
      </c>
      <c r="F24" s="29" t="n">
        <f aca="false">E24*D24</f>
        <v>1797139.82323734</v>
      </c>
      <c r="G24" s="1"/>
      <c r="H24" s="1"/>
      <c r="I24" s="2"/>
      <c r="J24" s="2"/>
      <c r="K24" s="2"/>
      <c r="L24" s="2"/>
      <c r="M24" s="2"/>
    </row>
    <row r="25" s="36" customFormat="true" ht="13.5" hidden="false" customHeight="false" outlineLevel="0" collapsed="false">
      <c r="A25" s="37" t="s">
        <v>37</v>
      </c>
      <c r="B25" s="38" t="s">
        <v>38</v>
      </c>
      <c r="C25" s="37" t="s">
        <v>36</v>
      </c>
      <c r="D25" s="28" t="n">
        <v>18</v>
      </c>
      <c r="E25" s="39" t="n">
        <f aca="false">pu_polyane</f>
        <v>3475.625</v>
      </c>
      <c r="F25" s="29" t="n">
        <f aca="false">E25*D25</f>
        <v>62561.25</v>
      </c>
      <c r="G25" s="1"/>
      <c r="H25" s="1"/>
      <c r="I25" s="2"/>
      <c r="J25" s="2"/>
      <c r="K25" s="2"/>
      <c r="L25" s="2"/>
      <c r="M25" s="2"/>
    </row>
    <row r="26" s="36" customFormat="true" ht="13.5" hidden="false" customHeight="false" outlineLevel="0" collapsed="false">
      <c r="A26" s="34"/>
      <c r="B26" s="17"/>
      <c r="C26" s="18"/>
      <c r="D26" s="19"/>
      <c r="E26" s="35" t="s">
        <v>39</v>
      </c>
      <c r="F26" s="21" t="n">
        <f aca="false">SUM(F18:F25)</f>
        <v>5469580.00684115</v>
      </c>
      <c r="G26" s="1"/>
      <c r="H26" s="1"/>
      <c r="I26" s="2"/>
      <c r="J26" s="2"/>
      <c r="K26" s="2"/>
      <c r="L26" s="2"/>
      <c r="M26" s="2"/>
    </row>
    <row r="27" s="36" customFormat="true" ht="13.5" hidden="false" customHeight="false" outlineLevel="0" collapsed="false">
      <c r="A27" s="16" t="s">
        <v>40</v>
      </c>
      <c r="B27" s="17"/>
      <c r="C27" s="18"/>
      <c r="D27" s="19"/>
      <c r="E27" s="20"/>
      <c r="F27" s="21"/>
      <c r="G27" s="1"/>
      <c r="H27" s="1"/>
      <c r="I27" s="2"/>
      <c r="J27" s="2"/>
      <c r="K27" s="2"/>
      <c r="L27" s="2"/>
      <c r="M27" s="2"/>
    </row>
    <row r="28" s="36" customFormat="true" ht="12.75" hidden="false" customHeight="false" outlineLevel="0" collapsed="false">
      <c r="A28" s="37" t="s">
        <v>41</v>
      </c>
      <c r="B28" s="38" t="s">
        <v>30</v>
      </c>
      <c r="C28" s="37" t="s">
        <v>23</v>
      </c>
      <c r="D28" s="28" t="n">
        <v>2.8652</v>
      </c>
      <c r="E28" s="39" t="n">
        <f aca="false">E22</f>
        <v>352808</v>
      </c>
      <c r="F28" s="29" t="n">
        <f aca="false">E28*D28</f>
        <v>1010865.4816</v>
      </c>
      <c r="G28" s="1"/>
      <c r="H28" s="1"/>
      <c r="I28" s="2"/>
      <c r="J28" s="2"/>
      <c r="K28" s="2"/>
      <c r="L28" s="2"/>
      <c r="M28" s="2"/>
    </row>
    <row r="29" s="36" customFormat="true" ht="12.75" hidden="false" customHeight="false" outlineLevel="0" collapsed="false">
      <c r="A29" s="37" t="s">
        <v>42</v>
      </c>
      <c r="B29" s="38" t="s">
        <v>32</v>
      </c>
      <c r="C29" s="37" t="s">
        <v>33</v>
      </c>
      <c r="D29" s="28" t="n">
        <v>200.564</v>
      </c>
      <c r="E29" s="39" t="n">
        <f aca="false">E23</f>
        <v>5233.30596962679</v>
      </c>
      <c r="F29" s="29" t="n">
        <f aca="false">E29*D29</f>
        <v>1049612.77849223</v>
      </c>
      <c r="G29" s="1"/>
      <c r="H29" s="1"/>
      <c r="I29" s="2"/>
      <c r="J29" s="2"/>
      <c r="K29" s="2"/>
      <c r="L29" s="2"/>
      <c r="M29" s="2"/>
    </row>
    <row r="30" s="36" customFormat="true" ht="13.5" hidden="false" customHeight="false" outlineLevel="0" collapsed="false">
      <c r="A30" s="37" t="s">
        <v>43</v>
      </c>
      <c r="B30" s="38" t="s">
        <v>35</v>
      </c>
      <c r="C30" s="37" t="s">
        <v>36</v>
      </c>
      <c r="D30" s="28" t="n">
        <v>42.978</v>
      </c>
      <c r="E30" s="39" t="n">
        <f aca="false">E24</f>
        <v>29437.1797418073</v>
      </c>
      <c r="F30" s="29" t="n">
        <f aca="false">E30*D30</f>
        <v>1265151.1109434</v>
      </c>
      <c r="G30" s="1"/>
      <c r="H30" s="1"/>
      <c r="I30" s="2"/>
      <c r="J30" s="2"/>
      <c r="K30" s="2"/>
      <c r="L30" s="2"/>
      <c r="M30" s="2"/>
    </row>
    <row r="31" s="36" customFormat="true" ht="13.5" hidden="false" customHeight="false" outlineLevel="0" collapsed="false">
      <c r="A31" s="34"/>
      <c r="B31" s="17"/>
      <c r="C31" s="18"/>
      <c r="D31" s="19"/>
      <c r="E31" s="35" t="s">
        <v>44</v>
      </c>
      <c r="F31" s="21" t="n">
        <f aca="false">SUM(F28:F30)</f>
        <v>3325629.37103562</v>
      </c>
      <c r="G31" s="1"/>
      <c r="H31" s="1"/>
      <c r="I31" s="2"/>
      <c r="J31" s="2"/>
      <c r="K31" s="2"/>
      <c r="L31" s="2"/>
      <c r="M31" s="2"/>
    </row>
    <row r="32" s="36" customFormat="true" ht="13.5" hidden="false" customHeight="false" outlineLevel="0" collapsed="false">
      <c r="A32" s="16" t="s">
        <v>45</v>
      </c>
      <c r="B32" s="17"/>
      <c r="C32" s="18"/>
      <c r="D32" s="19"/>
      <c r="E32" s="20"/>
      <c r="F32" s="21"/>
      <c r="G32" s="1"/>
      <c r="H32" s="1"/>
      <c r="I32" s="2"/>
      <c r="J32" s="2"/>
      <c r="K32" s="2"/>
      <c r="L32" s="2"/>
      <c r="M32" s="2"/>
    </row>
    <row r="33" s="36" customFormat="true" ht="12.75" hidden="false" customHeight="false" outlineLevel="0" collapsed="false">
      <c r="A33" s="37" t="s">
        <v>46</v>
      </c>
      <c r="B33" s="38" t="s">
        <v>47</v>
      </c>
      <c r="C33" s="37" t="s">
        <v>36</v>
      </c>
      <c r="D33" s="28" t="n">
        <v>102.24</v>
      </c>
      <c r="E33" s="39" t="n">
        <f aca="false">[1]sdp!pu_fenetre</f>
        <v>46905.0828169014</v>
      </c>
      <c r="F33" s="29" t="n">
        <f aca="false">E33*D33</f>
        <v>4795575.6672</v>
      </c>
      <c r="G33" s="1"/>
      <c r="H33" s="1"/>
      <c r="I33" s="2"/>
      <c r="J33" s="2"/>
      <c r="K33" s="2"/>
      <c r="L33" s="2"/>
      <c r="M33" s="2"/>
    </row>
    <row r="34" s="36" customFormat="true" ht="12.75" hidden="false" customHeight="false" outlineLevel="0" collapsed="false">
      <c r="A34" s="37" t="s">
        <v>48</v>
      </c>
      <c r="B34" s="38" t="s">
        <v>49</v>
      </c>
      <c r="C34" s="37" t="s">
        <v>36</v>
      </c>
      <c r="D34" s="28" t="n">
        <v>18</v>
      </c>
      <c r="E34" s="39" t="n">
        <f aca="false">pu_agglo10</f>
        <v>35630.32</v>
      </c>
      <c r="F34" s="29" t="n">
        <f aca="false">E34*D34</f>
        <v>641345.76</v>
      </c>
      <c r="G34" s="1"/>
      <c r="H34" s="1"/>
      <c r="I34" s="2"/>
      <c r="J34" s="2"/>
      <c r="K34" s="2"/>
      <c r="L34" s="2"/>
      <c r="M34" s="2"/>
    </row>
    <row r="35" s="36" customFormat="true" ht="13.5" hidden="false" customHeight="false" outlineLevel="0" collapsed="false">
      <c r="A35" s="37" t="s">
        <v>50</v>
      </c>
      <c r="B35" s="38" t="s">
        <v>51</v>
      </c>
      <c r="C35" s="37" t="s">
        <v>36</v>
      </c>
      <c r="D35" s="28" t="n">
        <v>0.8</v>
      </c>
      <c r="E35" s="39" t="n">
        <f aca="false">pu_claustra</f>
        <v>173225.76</v>
      </c>
      <c r="F35" s="29" t="n">
        <f aca="false">E35*D35</f>
        <v>138580.608</v>
      </c>
      <c r="G35" s="1"/>
      <c r="H35" s="1"/>
      <c r="I35" s="2"/>
      <c r="J35" s="2"/>
      <c r="K35" s="2"/>
      <c r="L35" s="2"/>
      <c r="M35" s="2"/>
    </row>
    <row r="36" s="36" customFormat="true" ht="13.5" hidden="false" customHeight="false" outlineLevel="0" collapsed="false">
      <c r="A36" s="34"/>
      <c r="B36" s="17"/>
      <c r="C36" s="18"/>
      <c r="D36" s="19"/>
      <c r="E36" s="35" t="s">
        <v>52</v>
      </c>
      <c r="F36" s="21" t="n">
        <f aca="false">SUM(F33:F35)</f>
        <v>5575502.0352</v>
      </c>
      <c r="G36" s="1"/>
      <c r="H36" s="1"/>
      <c r="I36" s="2"/>
      <c r="J36" s="2"/>
      <c r="K36" s="2"/>
      <c r="L36" s="2"/>
      <c r="M36" s="2"/>
    </row>
    <row r="37" s="36" customFormat="true" ht="13.5" hidden="false" customHeight="false" outlineLevel="0" collapsed="false">
      <c r="A37" s="16" t="s">
        <v>53</v>
      </c>
      <c r="B37" s="17"/>
      <c r="C37" s="18"/>
      <c r="D37" s="19"/>
      <c r="E37" s="20"/>
      <c r="F37" s="21"/>
      <c r="G37" s="1"/>
      <c r="H37" s="1"/>
      <c r="I37" s="2"/>
      <c r="J37" s="2"/>
      <c r="K37" s="2"/>
      <c r="L37" s="2"/>
      <c r="M37" s="2"/>
    </row>
    <row r="38" s="36" customFormat="true" ht="12.75" hidden="false" customHeight="false" outlineLevel="0" collapsed="false">
      <c r="A38" s="37" t="s">
        <v>54</v>
      </c>
      <c r="B38" s="38" t="s">
        <v>55</v>
      </c>
      <c r="C38" s="37" t="s">
        <v>36</v>
      </c>
      <c r="D38" s="28" t="n">
        <v>236.08</v>
      </c>
      <c r="E38" s="39" t="n">
        <f aca="false">[1]SDP!E490</f>
        <v>10217.3904520502</v>
      </c>
      <c r="F38" s="29" t="n">
        <f aca="false">E38*D38</f>
        <v>2412121.53792</v>
      </c>
      <c r="G38" s="1"/>
      <c r="H38" s="1"/>
      <c r="I38" s="2"/>
      <c r="J38" s="2"/>
      <c r="K38" s="2"/>
      <c r="L38" s="2"/>
      <c r="M38" s="2"/>
    </row>
    <row r="39" s="36" customFormat="true" ht="12.75" hidden="false" customHeight="false" outlineLevel="0" collapsed="false">
      <c r="A39" s="37" t="s">
        <v>56</v>
      </c>
      <c r="B39" s="27" t="s">
        <v>57</v>
      </c>
      <c r="C39" s="37" t="s">
        <v>36</v>
      </c>
      <c r="D39" s="28" t="n">
        <v>0</v>
      </c>
      <c r="E39" s="39" t="n">
        <f aca="false">[1]SDP!E518</f>
        <v>10914.296</v>
      </c>
      <c r="F39" s="29" t="n">
        <f aca="false">E39*D39</f>
        <v>0</v>
      </c>
      <c r="G39" s="1"/>
      <c r="H39" s="1"/>
      <c r="I39" s="2"/>
      <c r="J39" s="2"/>
      <c r="K39" s="2"/>
      <c r="L39" s="2"/>
      <c r="M39" s="2"/>
    </row>
    <row r="40" s="36" customFormat="true" ht="13.5" hidden="false" customHeight="false" outlineLevel="0" collapsed="false">
      <c r="A40" s="37" t="s">
        <v>58</v>
      </c>
      <c r="B40" s="38" t="s">
        <v>59</v>
      </c>
      <c r="C40" s="37" t="s">
        <v>36</v>
      </c>
      <c r="D40" s="28" t="n">
        <v>19.14</v>
      </c>
      <c r="E40" s="39" t="n">
        <f aca="false">E39</f>
        <v>10914.296</v>
      </c>
      <c r="F40" s="29" t="n">
        <f aca="false">E40*D40</f>
        <v>208899.62544</v>
      </c>
      <c r="G40" s="1"/>
      <c r="H40" s="1"/>
      <c r="I40" s="2"/>
      <c r="J40" s="2"/>
      <c r="K40" s="2"/>
      <c r="L40" s="2"/>
      <c r="M40" s="2"/>
    </row>
    <row r="41" s="36" customFormat="true" ht="13.5" hidden="false" customHeight="false" outlineLevel="0" collapsed="false">
      <c r="A41" s="34"/>
      <c r="B41" s="17"/>
      <c r="C41" s="18"/>
      <c r="D41" s="19"/>
      <c r="E41" s="35" t="s">
        <v>60</v>
      </c>
      <c r="F41" s="21" t="n">
        <f aca="false">SUM(F38:F40)</f>
        <v>2621021.16336</v>
      </c>
      <c r="G41" s="1"/>
      <c r="H41" s="1"/>
      <c r="I41" s="2"/>
      <c r="J41" s="2"/>
      <c r="K41" s="2"/>
      <c r="L41" s="2"/>
      <c r="M41" s="2"/>
    </row>
    <row r="42" s="36" customFormat="true" ht="13.5" hidden="false" customHeight="false" outlineLevel="0" collapsed="false">
      <c r="A42" s="16" t="s">
        <v>61</v>
      </c>
      <c r="B42" s="17"/>
      <c r="C42" s="18"/>
      <c r="D42" s="19"/>
      <c r="E42" s="20"/>
      <c r="F42" s="21"/>
      <c r="G42" s="1"/>
      <c r="H42" s="1"/>
      <c r="I42" s="2"/>
      <c r="J42" s="2"/>
      <c r="K42" s="2"/>
      <c r="L42" s="2"/>
      <c r="M42" s="2"/>
    </row>
    <row r="43" s="36" customFormat="true" ht="12.75" hidden="false" customHeight="false" outlineLevel="0" collapsed="false">
      <c r="A43" s="37" t="s">
        <v>62</v>
      </c>
      <c r="B43" s="38" t="s">
        <v>63</v>
      </c>
      <c r="C43" s="37" t="s">
        <v>36</v>
      </c>
      <c r="D43" s="28" t="n">
        <v>8</v>
      </c>
      <c r="E43" s="39" t="n">
        <f aca="false">pu_carrgr</f>
        <v>91302</v>
      </c>
      <c r="F43" s="29" t="n">
        <f aca="false">E43*D43</f>
        <v>730416</v>
      </c>
      <c r="G43" s="1"/>
      <c r="H43" s="1"/>
      <c r="I43" s="2"/>
      <c r="J43" s="2"/>
      <c r="K43" s="2"/>
      <c r="L43" s="2"/>
      <c r="M43" s="2"/>
    </row>
    <row r="44" s="36" customFormat="true" ht="12.75" hidden="false" customHeight="false" outlineLevel="0" collapsed="false">
      <c r="A44" s="37" t="s">
        <v>64</v>
      </c>
      <c r="B44" s="27" t="s">
        <v>65</v>
      </c>
      <c r="C44" s="37" t="s">
        <v>36</v>
      </c>
      <c r="D44" s="28" t="n">
        <v>4</v>
      </c>
      <c r="E44" s="39" t="n">
        <f aca="false">pu_carrmur</f>
        <v>67302</v>
      </c>
      <c r="F44" s="29" t="n">
        <f aca="false">E44*D44</f>
        <v>269208</v>
      </c>
      <c r="G44" s="1"/>
      <c r="H44" s="1"/>
      <c r="I44" s="2"/>
      <c r="J44" s="2"/>
      <c r="K44" s="2"/>
      <c r="L44" s="2"/>
      <c r="M44" s="2"/>
    </row>
    <row r="45" s="36" customFormat="true" ht="12.75" hidden="false" customHeight="false" outlineLevel="0" collapsed="false">
      <c r="A45" s="37" t="s">
        <v>66</v>
      </c>
      <c r="B45" s="38" t="s">
        <v>67</v>
      </c>
      <c r="C45" s="37" t="s">
        <v>68</v>
      </c>
      <c r="D45" s="28" t="n">
        <v>11</v>
      </c>
      <c r="E45" s="39" t="n">
        <f aca="false">[1]SDP!E644</f>
        <v>13390.6036363636</v>
      </c>
      <c r="F45" s="29" t="n">
        <f aca="false">E45*D45</f>
        <v>147296.64</v>
      </c>
      <c r="G45" s="1"/>
      <c r="H45" s="1"/>
      <c r="I45" s="2"/>
      <c r="J45" s="2"/>
      <c r="K45" s="2"/>
      <c r="L45" s="2"/>
      <c r="M45" s="2"/>
    </row>
    <row r="46" s="36" customFormat="true" ht="12.75" hidden="false" customHeight="false" outlineLevel="0" collapsed="false">
      <c r="A46" s="37" t="s">
        <v>69</v>
      </c>
      <c r="B46" s="27" t="s">
        <v>70</v>
      </c>
      <c r="C46" s="37" t="s">
        <v>36</v>
      </c>
      <c r="D46" s="28" t="n">
        <v>8</v>
      </c>
      <c r="E46" s="39" t="n">
        <f aca="false">pu_dalle60</f>
        <v>99000</v>
      </c>
      <c r="F46" s="29" t="n">
        <f aca="false">E46*D46</f>
        <v>792000</v>
      </c>
      <c r="G46" s="1"/>
      <c r="H46" s="1"/>
      <c r="I46" s="2"/>
      <c r="J46" s="2"/>
      <c r="K46" s="2"/>
      <c r="L46" s="2"/>
      <c r="M46" s="2"/>
    </row>
    <row r="47" s="36" customFormat="true" ht="13.5" hidden="false" customHeight="false" outlineLevel="0" collapsed="false">
      <c r="A47" s="37" t="s">
        <v>71</v>
      </c>
      <c r="B47" s="38" t="s">
        <v>72</v>
      </c>
      <c r="C47" s="37" t="s">
        <v>36</v>
      </c>
      <c r="D47" s="28" t="n">
        <v>20.47</v>
      </c>
      <c r="E47" s="39" t="n">
        <f aca="false">pu_placostd</f>
        <v>77748.9706190244</v>
      </c>
      <c r="F47" s="29" t="n">
        <f aca="false">E47*D47</f>
        <v>1591521.42857143</v>
      </c>
      <c r="G47" s="1"/>
      <c r="H47" s="1"/>
      <c r="I47" s="2"/>
      <c r="J47" s="2"/>
      <c r="K47" s="2"/>
      <c r="L47" s="2"/>
      <c r="M47" s="2"/>
    </row>
    <row r="48" s="36" customFormat="true" ht="13.5" hidden="false" customHeight="false" outlineLevel="0" collapsed="false">
      <c r="A48" s="34"/>
      <c r="B48" s="17"/>
      <c r="C48" s="18"/>
      <c r="D48" s="19"/>
      <c r="E48" s="35" t="s">
        <v>73</v>
      </c>
      <c r="F48" s="21" t="n">
        <f aca="false">SUM(F43:F47)</f>
        <v>3530442.06857143</v>
      </c>
      <c r="G48" s="1"/>
      <c r="H48" s="1"/>
      <c r="I48" s="2"/>
      <c r="J48" s="2"/>
      <c r="K48" s="2"/>
      <c r="L48" s="2"/>
      <c r="M48" s="2"/>
    </row>
    <row r="49" s="36" customFormat="true" ht="13.5" hidden="false" customHeight="false" outlineLevel="0" collapsed="false">
      <c r="A49" s="16" t="s">
        <v>74</v>
      </c>
      <c r="B49" s="17"/>
      <c r="C49" s="18"/>
      <c r="D49" s="19"/>
      <c r="E49" s="20"/>
      <c r="F49" s="21"/>
      <c r="G49" s="1"/>
      <c r="H49" s="1"/>
      <c r="I49" s="2"/>
      <c r="J49" s="2"/>
      <c r="K49" s="2"/>
      <c r="L49" s="2"/>
      <c r="M49" s="2"/>
    </row>
    <row r="50" s="36" customFormat="true" ht="12.75" hidden="false" customHeight="false" outlineLevel="0" collapsed="false">
      <c r="A50" s="37" t="s">
        <v>75</v>
      </c>
      <c r="B50" s="38" t="s">
        <v>76</v>
      </c>
      <c r="C50" s="37" t="s">
        <v>14</v>
      </c>
      <c r="D50" s="28" t="n">
        <v>1</v>
      </c>
      <c r="E50" s="39" t="n">
        <f aca="false">[1]SDP!E729</f>
        <v>1783200</v>
      </c>
      <c r="F50" s="29" t="n">
        <f aca="false">E50*D50</f>
        <v>1783200</v>
      </c>
      <c r="G50" s="1"/>
      <c r="H50" s="1"/>
      <c r="I50" s="2"/>
      <c r="J50" s="2"/>
      <c r="K50" s="2"/>
      <c r="L50" s="2"/>
      <c r="M50" s="2"/>
    </row>
    <row r="51" s="36" customFormat="true" ht="12.75" hidden="false" customHeight="false" outlineLevel="0" collapsed="false">
      <c r="A51" s="37" t="s">
        <v>77</v>
      </c>
      <c r="B51" s="38" t="s">
        <v>78</v>
      </c>
      <c r="C51" s="37" t="s">
        <v>14</v>
      </c>
      <c r="D51" s="28" t="n">
        <v>1</v>
      </c>
      <c r="E51" s="39" t="n">
        <f aca="false">[1]SDP!E756</f>
        <v>1041000</v>
      </c>
      <c r="F51" s="29" t="n">
        <f aca="false">E51*D51</f>
        <v>1041000</v>
      </c>
      <c r="G51" s="1"/>
      <c r="H51" s="1"/>
      <c r="I51" s="2"/>
      <c r="J51" s="2"/>
      <c r="K51" s="2"/>
      <c r="L51" s="2"/>
      <c r="M51" s="2"/>
    </row>
    <row r="52" s="36" customFormat="true" ht="12.75" hidden="false" customHeight="false" outlineLevel="0" collapsed="false">
      <c r="A52" s="37" t="s">
        <v>79</v>
      </c>
      <c r="B52" s="38" t="s">
        <v>80</v>
      </c>
      <c r="C52" s="37" t="s">
        <v>36</v>
      </c>
      <c r="D52" s="28" t="n">
        <v>38.04</v>
      </c>
      <c r="E52" s="39" t="n">
        <f aca="false">pu_toiture</f>
        <v>52776.5061198738</v>
      </c>
      <c r="F52" s="29" t="n">
        <f aca="false">E52*D52</f>
        <v>2007618.2928</v>
      </c>
      <c r="G52" s="1"/>
      <c r="H52" s="1"/>
      <c r="I52" s="2"/>
      <c r="J52" s="2"/>
      <c r="K52" s="2"/>
      <c r="L52" s="2"/>
      <c r="M52" s="2"/>
    </row>
    <row r="53" s="36" customFormat="true" ht="12.75" hidden="false" customHeight="false" outlineLevel="0" collapsed="false">
      <c r="A53" s="37" t="s">
        <v>81</v>
      </c>
      <c r="B53" s="38" t="s">
        <v>82</v>
      </c>
      <c r="C53" s="37" t="s">
        <v>68</v>
      </c>
      <c r="D53" s="28" t="n">
        <v>18.3</v>
      </c>
      <c r="E53" s="39" t="n">
        <f aca="false">[1]SDP!E822</f>
        <v>34308.3475409836</v>
      </c>
      <c r="F53" s="29" t="n">
        <f aca="false">E53*D53</f>
        <v>627842.76</v>
      </c>
      <c r="G53" s="1"/>
      <c r="H53" s="1"/>
      <c r="I53" s="2"/>
      <c r="J53" s="2"/>
      <c r="K53" s="2"/>
      <c r="L53" s="2"/>
      <c r="M53" s="2"/>
    </row>
    <row r="54" s="36" customFormat="true" ht="12.75" hidden="false" customHeight="false" outlineLevel="0" collapsed="false">
      <c r="A54" s="37" t="s">
        <v>83</v>
      </c>
      <c r="B54" s="38" t="s">
        <v>84</v>
      </c>
      <c r="C54" s="37" t="s">
        <v>68</v>
      </c>
      <c r="D54" s="28" t="n">
        <v>14</v>
      </c>
      <c r="E54" s="39" t="n">
        <f aca="false">pu_gouttière</f>
        <v>97242.8571428572</v>
      </c>
      <c r="F54" s="29" t="n">
        <f aca="false">E54*D54</f>
        <v>1361400</v>
      </c>
      <c r="G54" s="1"/>
      <c r="H54" s="1"/>
      <c r="I54" s="2"/>
      <c r="J54" s="2"/>
      <c r="K54" s="2"/>
      <c r="L54" s="2"/>
      <c r="M54" s="2"/>
    </row>
    <row r="55" s="36" customFormat="true" ht="13.5" hidden="false" customHeight="false" outlineLevel="0" collapsed="false">
      <c r="A55" s="37" t="s">
        <v>85</v>
      </c>
      <c r="B55" s="38" t="s">
        <v>86</v>
      </c>
      <c r="C55" s="37" t="s">
        <v>68</v>
      </c>
      <c r="D55" s="28" t="n">
        <v>5.5</v>
      </c>
      <c r="E55" s="39" t="n">
        <f aca="false">[1]SDP!E883</f>
        <v>31287.2727272727</v>
      </c>
      <c r="F55" s="29" t="n">
        <f aca="false">E55*D55</f>
        <v>172080</v>
      </c>
      <c r="G55" s="1"/>
      <c r="H55" s="1"/>
      <c r="I55" s="2"/>
      <c r="J55" s="2"/>
      <c r="K55" s="2"/>
      <c r="L55" s="2"/>
      <c r="M55" s="2"/>
    </row>
    <row r="56" customFormat="false" ht="13.5" hidden="false" customHeight="false" outlineLevel="0" collapsed="false">
      <c r="A56" s="34"/>
      <c r="B56" s="17"/>
      <c r="C56" s="18"/>
      <c r="D56" s="19"/>
      <c r="E56" s="35" t="s">
        <v>87</v>
      </c>
      <c r="F56" s="21" t="n">
        <f aca="false">SUM(F50:F55)</f>
        <v>6993141.0528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5" hidden="false" customHeight="false" outlineLevel="0" collapsed="false">
      <c r="A57" s="16" t="s">
        <v>88</v>
      </c>
      <c r="B57" s="17"/>
      <c r="C57" s="18"/>
      <c r="D57" s="19"/>
      <c r="E57" s="20"/>
      <c r="F57" s="21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75" hidden="false" customHeight="false" outlineLevel="0" collapsed="false">
      <c r="A58" s="37" t="s">
        <v>89</v>
      </c>
      <c r="B58" s="38" t="s">
        <v>90</v>
      </c>
      <c r="C58" s="37" t="s">
        <v>36</v>
      </c>
      <c r="D58" s="28" t="n">
        <v>128.5</v>
      </c>
      <c r="E58" s="39" t="n">
        <f aca="false">[1]SDP!E1151</f>
        <v>7246.69260700389</v>
      </c>
      <c r="F58" s="39" t="n">
        <f aca="false">E58*D58</f>
        <v>931200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75" hidden="false" customHeight="false" outlineLevel="0" collapsed="false">
      <c r="A59" s="37" t="s">
        <v>91</v>
      </c>
      <c r="B59" s="38" t="s">
        <v>92</v>
      </c>
      <c r="C59" s="37" t="s">
        <v>36</v>
      </c>
      <c r="D59" s="28" t="n">
        <v>116.5</v>
      </c>
      <c r="E59" s="39" t="n">
        <f aca="false">[1]SDP!E1177</f>
        <v>12669.0128755365</v>
      </c>
      <c r="F59" s="39" t="n">
        <f aca="false">E59*D59</f>
        <v>1475940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75" hidden="false" customHeight="false" outlineLevel="0" collapsed="false">
      <c r="A60" s="37" t="s">
        <v>93</v>
      </c>
      <c r="B60" s="38" t="s">
        <v>94</v>
      </c>
      <c r="C60" s="37" t="s">
        <v>36</v>
      </c>
      <c r="D60" s="28" t="n">
        <v>7.9</v>
      </c>
      <c r="E60" s="39" t="n">
        <f aca="false">[1]SDP!E1202</f>
        <v>15519.4936708861</v>
      </c>
      <c r="F60" s="39" t="n">
        <f aca="false">E60*D60</f>
        <v>122604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75" hidden="false" customHeight="false" outlineLevel="0" collapsed="false">
      <c r="A61" s="37" t="s">
        <v>95</v>
      </c>
      <c r="B61" s="38" t="s">
        <v>96</v>
      </c>
      <c r="C61" s="37" t="s">
        <v>36</v>
      </c>
      <c r="D61" s="28" t="n">
        <v>88.025</v>
      </c>
      <c r="E61" s="39" t="n">
        <f aca="false">[1]SDP!E1228</f>
        <v>16232.6498153934</v>
      </c>
      <c r="F61" s="39" t="n">
        <f aca="false">E61*D61</f>
        <v>1428879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5" hidden="false" customHeight="false" outlineLevel="0" collapsed="false">
      <c r="A62" s="37" t="s">
        <v>97</v>
      </c>
      <c r="B62" s="38" t="s">
        <v>98</v>
      </c>
      <c r="C62" s="37" t="s">
        <v>36</v>
      </c>
      <c r="D62" s="28" t="n">
        <v>0</v>
      </c>
      <c r="E62" s="39" t="n">
        <f aca="false">[1]SDP!E1253</f>
        <v>16800</v>
      </c>
      <c r="F62" s="39" t="n">
        <f aca="false">E62*D62</f>
        <v>0</v>
      </c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5" hidden="false" customHeight="false" outlineLevel="0" collapsed="false">
      <c r="A63" s="34"/>
      <c r="B63" s="17"/>
      <c r="C63" s="18"/>
      <c r="D63" s="19"/>
      <c r="E63" s="35" t="s">
        <v>99</v>
      </c>
      <c r="F63" s="21" t="n">
        <f aca="false">SUM(F58:F62)</f>
        <v>3958623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5" hidden="false" customHeight="false" outlineLevel="0" collapsed="false">
      <c r="A64" s="16" t="s">
        <v>100</v>
      </c>
      <c r="B64" s="17"/>
      <c r="C64" s="18"/>
      <c r="D64" s="19"/>
      <c r="E64" s="20"/>
      <c r="F64" s="21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75" hidden="false" customHeight="false" outlineLevel="0" collapsed="false">
      <c r="A65" s="38"/>
      <c r="B65" s="40" t="s">
        <v>101</v>
      </c>
      <c r="C65" s="37"/>
      <c r="D65" s="28"/>
      <c r="E65" s="39"/>
      <c r="F65" s="39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75" hidden="false" customHeight="false" outlineLevel="0" collapsed="false">
      <c r="A66" s="37" t="s">
        <v>102</v>
      </c>
      <c r="B66" s="27" t="s">
        <v>103</v>
      </c>
      <c r="C66" s="37" t="s">
        <v>7</v>
      </c>
      <c r="D66" s="28" t="n">
        <v>1</v>
      </c>
      <c r="E66" s="39" t="n">
        <f aca="false">pu_alu*1.7*2.5</f>
        <v>3860062.5</v>
      </c>
      <c r="F66" s="39" t="n">
        <f aca="false">E66*D66</f>
        <v>3860062.5</v>
      </c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75" hidden="false" customHeight="false" outlineLevel="0" collapsed="false">
      <c r="A67" s="37" t="s">
        <v>104</v>
      </c>
      <c r="B67" s="38" t="s">
        <v>105</v>
      </c>
      <c r="C67" s="37" t="s">
        <v>36</v>
      </c>
      <c r="D67" s="28" t="n">
        <v>4</v>
      </c>
      <c r="E67" s="39" t="n">
        <f aca="false">pu_alu</f>
        <v>908250</v>
      </c>
      <c r="F67" s="39" t="n">
        <f aca="false">E67*D67</f>
        <v>3633000</v>
      </c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75" hidden="false" customHeight="false" outlineLevel="0" collapsed="false">
      <c r="A68" s="37" t="s">
        <v>106</v>
      </c>
      <c r="B68" s="38" t="s">
        <v>107</v>
      </c>
      <c r="C68" s="37" t="s">
        <v>7</v>
      </c>
      <c r="D68" s="28" t="n">
        <v>1</v>
      </c>
      <c r="E68" s="39" t="n">
        <f aca="false">pu_alu*0.9*2.1</f>
        <v>1716592.5</v>
      </c>
      <c r="F68" s="39" t="n">
        <f aca="false">E68*D68</f>
        <v>1716592.5</v>
      </c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75" hidden="false" customHeight="false" outlineLevel="0" collapsed="false">
      <c r="A69" s="37"/>
      <c r="B69" s="40" t="s">
        <v>108</v>
      </c>
      <c r="C69" s="37"/>
      <c r="D69" s="28"/>
      <c r="E69" s="39"/>
      <c r="F69" s="39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75" hidden="false" customHeight="false" outlineLevel="0" collapsed="false">
      <c r="A70" s="37" t="s">
        <v>109</v>
      </c>
      <c r="B70" s="27" t="s">
        <v>110</v>
      </c>
      <c r="C70" s="37" t="s">
        <v>7</v>
      </c>
      <c r="D70" s="28" t="n">
        <v>1</v>
      </c>
      <c r="E70" s="39" t="n">
        <f aca="false">pu_alu*1.7*2.5*0.95</f>
        <v>3667059.375</v>
      </c>
      <c r="F70" s="39" t="n">
        <f aca="false">E70*D70</f>
        <v>3667059.375</v>
      </c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75" hidden="false" customHeight="false" outlineLevel="0" collapsed="false">
      <c r="A71" s="37" t="s">
        <v>111</v>
      </c>
      <c r="B71" s="38" t="s">
        <v>112</v>
      </c>
      <c r="C71" s="37" t="s">
        <v>7</v>
      </c>
      <c r="D71" s="28" t="n">
        <v>2</v>
      </c>
      <c r="E71" s="39" t="n">
        <f aca="false">[1]SDP!E1304</f>
        <v>972480</v>
      </c>
      <c r="F71" s="39" t="n">
        <f aca="false">E71*D71</f>
        <v>1944960</v>
      </c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75" hidden="false" customHeight="false" outlineLevel="0" collapsed="false">
      <c r="A72" s="37" t="s">
        <v>113</v>
      </c>
      <c r="B72" s="38" t="s">
        <v>114</v>
      </c>
      <c r="C72" s="37" t="s">
        <v>36</v>
      </c>
      <c r="D72" s="28" t="n">
        <f aca="false">2.05*1.5</f>
        <v>3.075</v>
      </c>
      <c r="E72" s="39" t="n">
        <f aca="false">[1]SDP!E1329</f>
        <v>231000</v>
      </c>
      <c r="F72" s="39" t="n">
        <f aca="false">E72*D72</f>
        <v>710325</v>
      </c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75" hidden="false" customHeight="false" outlineLevel="0" collapsed="false">
      <c r="A73" s="37"/>
      <c r="B73" s="40" t="s">
        <v>115</v>
      </c>
      <c r="C73" s="37"/>
      <c r="D73" s="28"/>
      <c r="E73" s="39"/>
      <c r="F73" s="39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75" hidden="false" customHeight="false" outlineLevel="0" collapsed="false">
      <c r="A74" s="37" t="s">
        <v>116</v>
      </c>
      <c r="B74" s="38" t="s">
        <v>117</v>
      </c>
      <c r="C74" s="37" t="s">
        <v>7</v>
      </c>
      <c r="D74" s="28" t="n">
        <v>1</v>
      </c>
      <c r="E74" s="39" t="n">
        <f aca="false">[1]SDP!E1379</f>
        <v>501600</v>
      </c>
      <c r="F74" s="39" t="n">
        <f aca="false">E74*D74</f>
        <v>501600</v>
      </c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75" hidden="false" customHeight="false" outlineLevel="0" collapsed="false">
      <c r="A75" s="37" t="s">
        <v>118</v>
      </c>
      <c r="B75" s="38" t="s">
        <v>119</v>
      </c>
      <c r="C75" s="37" t="s">
        <v>7</v>
      </c>
      <c r="D75" s="28" t="n">
        <v>1</v>
      </c>
      <c r="E75" s="39" t="n">
        <f aca="false">E74*0.08</f>
        <v>40128</v>
      </c>
      <c r="F75" s="39" t="n">
        <f aca="false">E75*D75</f>
        <v>40128</v>
      </c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5" hidden="false" customHeight="false" outlineLevel="0" collapsed="false">
      <c r="A76" s="37" t="s">
        <v>120</v>
      </c>
      <c r="B76" s="38" t="s">
        <v>121</v>
      </c>
      <c r="C76" s="37" t="s">
        <v>7</v>
      </c>
      <c r="D76" s="28" t="n">
        <v>1</v>
      </c>
      <c r="E76" s="39" t="n">
        <f aca="false">[1]SDP!E1354</f>
        <v>585600</v>
      </c>
      <c r="F76" s="39" t="n">
        <f aca="false">E76*D76</f>
        <v>585600</v>
      </c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5" hidden="false" customHeight="false" outlineLevel="0" collapsed="false">
      <c r="A77" s="34"/>
      <c r="B77" s="17"/>
      <c r="C77" s="18"/>
      <c r="D77" s="19"/>
      <c r="E77" s="35" t="s">
        <v>122</v>
      </c>
      <c r="F77" s="21" t="n">
        <f aca="false">SUM(F66:F76)</f>
        <v>16659327.375</v>
      </c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5" hidden="false" customHeight="false" outlineLevel="0" collapsed="false">
      <c r="A78" s="16" t="s">
        <v>123</v>
      </c>
      <c r="B78" s="17"/>
      <c r="C78" s="18"/>
      <c r="D78" s="19"/>
      <c r="E78" s="20"/>
      <c r="F78" s="21"/>
      <c r="G78" s="2"/>
      <c r="H78" s="2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75" hidden="false" customHeight="false" outlineLevel="0" collapsed="false">
      <c r="A79" s="37" t="s">
        <v>124</v>
      </c>
      <c r="B79" s="38" t="s">
        <v>125</v>
      </c>
      <c r="C79" s="37" t="s">
        <v>68</v>
      </c>
      <c r="D79" s="28" t="n">
        <v>8</v>
      </c>
      <c r="E79" s="29" t="n">
        <f aca="false">[1]SDP!E1405</f>
        <v>74707.92</v>
      </c>
      <c r="F79" s="29" t="n">
        <f aca="false">E79*D79</f>
        <v>597663.36</v>
      </c>
      <c r="G79" s="2"/>
      <c r="H79" s="2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75" hidden="false" customHeight="false" outlineLevel="0" collapsed="false">
      <c r="A80" s="37" t="s">
        <v>126</v>
      </c>
      <c r="B80" s="38" t="s">
        <v>127</v>
      </c>
      <c r="C80" s="37" t="s">
        <v>7</v>
      </c>
      <c r="D80" s="28" t="n">
        <v>2</v>
      </c>
      <c r="E80" s="29" t="n">
        <f aca="false">[1]SDP!E1433</f>
        <v>544286.121095487</v>
      </c>
      <c r="F80" s="29" t="n">
        <f aca="false">E80*D80</f>
        <v>1088572.24219097</v>
      </c>
      <c r="G80" s="2"/>
      <c r="H80" s="2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5" hidden="false" customHeight="false" outlineLevel="0" collapsed="false">
      <c r="A81" s="37" t="s">
        <v>128</v>
      </c>
      <c r="B81" s="38" t="s">
        <v>129</v>
      </c>
      <c r="C81" s="37" t="s">
        <v>14</v>
      </c>
      <c r="D81" s="28" t="n">
        <v>1</v>
      </c>
      <c r="E81" s="29" t="n">
        <f aca="false">[1]SDP!E1610</f>
        <v>5209215.97558634</v>
      </c>
      <c r="F81" s="29" t="n">
        <f aca="false">E81*D81</f>
        <v>5209215.97558634</v>
      </c>
      <c r="G81" s="2"/>
      <c r="H81" s="2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36" customFormat="true" ht="13.5" hidden="false" customHeight="false" outlineLevel="0" collapsed="false">
      <c r="A82" s="34"/>
      <c r="B82" s="17"/>
      <c r="C82" s="18"/>
      <c r="D82" s="19"/>
      <c r="E82" s="35" t="s">
        <v>130</v>
      </c>
      <c r="F82" s="21" t="n">
        <f aca="false">SUM(F79:F81)</f>
        <v>6895451.57777731</v>
      </c>
      <c r="G82" s="2"/>
      <c r="H82" s="2"/>
      <c r="I82" s="2"/>
      <c r="J82" s="2"/>
      <c r="K82" s="2"/>
      <c r="L82" s="2"/>
      <c r="M82" s="2"/>
    </row>
    <row r="83" s="36" customFormat="true" ht="13.5" hidden="false" customHeight="false" outlineLevel="0" collapsed="false">
      <c r="A83" s="16" t="s">
        <v>131</v>
      </c>
      <c r="B83" s="17"/>
      <c r="C83" s="18"/>
      <c r="D83" s="19"/>
      <c r="E83" s="20"/>
      <c r="F83" s="21"/>
      <c r="G83" s="2"/>
      <c r="H83" s="2"/>
      <c r="I83" s="2"/>
      <c r="J83" s="2"/>
      <c r="K83" s="2"/>
      <c r="L83" s="2"/>
      <c r="M83" s="2"/>
    </row>
    <row r="84" s="36" customFormat="true" ht="12.75" hidden="false" customHeight="false" outlineLevel="0" collapsed="false">
      <c r="A84" s="26" t="s">
        <v>132</v>
      </c>
      <c r="B84" s="27" t="s">
        <v>133</v>
      </c>
      <c r="C84" s="26" t="s">
        <v>23</v>
      </c>
      <c r="D84" s="28" t="n">
        <v>6.4</v>
      </c>
      <c r="E84" s="41" t="n">
        <f aca="false">E18</f>
        <v>26118.3673469388</v>
      </c>
      <c r="F84" s="29" t="n">
        <f aca="false">E84*D84</f>
        <v>167157.551020408</v>
      </c>
      <c r="G84" s="2"/>
      <c r="H84" s="2"/>
      <c r="I84" s="2"/>
      <c r="J84" s="2"/>
      <c r="K84" s="2"/>
      <c r="L84" s="2"/>
      <c r="M84" s="2"/>
    </row>
    <row r="85" s="36" customFormat="true" ht="12.75" hidden="false" customHeight="false" outlineLevel="0" collapsed="false">
      <c r="A85" s="26" t="s">
        <v>134</v>
      </c>
      <c r="B85" s="27" t="s">
        <v>30</v>
      </c>
      <c r="C85" s="26" t="s">
        <v>23</v>
      </c>
      <c r="D85" s="28" t="n">
        <v>1.9</v>
      </c>
      <c r="E85" s="41" t="n">
        <f aca="false">E22</f>
        <v>352808</v>
      </c>
      <c r="F85" s="29" t="n">
        <f aca="false">E85*D85</f>
        <v>670335.2</v>
      </c>
      <c r="G85" s="2"/>
      <c r="H85" s="2"/>
      <c r="I85" s="2"/>
      <c r="J85" s="2"/>
      <c r="K85" s="2"/>
      <c r="L85" s="2"/>
      <c r="M85" s="2"/>
    </row>
    <row r="86" s="36" customFormat="true" ht="12.75" hidden="false" customHeight="false" outlineLevel="0" collapsed="false">
      <c r="A86" s="26" t="s">
        <v>135</v>
      </c>
      <c r="B86" s="27" t="s">
        <v>32</v>
      </c>
      <c r="C86" s="26" t="s">
        <v>33</v>
      </c>
      <c r="D86" s="28" t="n">
        <v>130.9</v>
      </c>
      <c r="E86" s="41" t="n">
        <f aca="false">E23</f>
        <v>5233.30596962679</v>
      </c>
      <c r="F86" s="29" t="n">
        <f aca="false">E86*D86</f>
        <v>685039.751424147</v>
      </c>
      <c r="G86" s="2"/>
      <c r="H86" s="2"/>
      <c r="I86" s="2"/>
      <c r="J86" s="2"/>
      <c r="K86" s="2"/>
      <c r="L86" s="2"/>
      <c r="M86" s="2"/>
    </row>
    <row r="87" s="36" customFormat="true" ht="12.75" hidden="false" customHeight="false" outlineLevel="0" collapsed="false">
      <c r="A87" s="26" t="s">
        <v>136</v>
      </c>
      <c r="B87" s="27" t="s">
        <v>35</v>
      </c>
      <c r="C87" s="26" t="s">
        <v>36</v>
      </c>
      <c r="D87" s="28" t="n">
        <v>28.1</v>
      </c>
      <c r="E87" s="41" t="n">
        <f aca="false">E24</f>
        <v>29437.1797418073</v>
      </c>
      <c r="F87" s="29" t="n">
        <f aca="false">E87*D87</f>
        <v>827184.750744786</v>
      </c>
      <c r="G87" s="2"/>
      <c r="H87" s="2"/>
      <c r="I87" s="2"/>
      <c r="J87" s="2"/>
      <c r="K87" s="2"/>
      <c r="L87" s="2"/>
      <c r="M87" s="2"/>
    </row>
    <row r="88" s="36" customFormat="true" ht="12.75" hidden="false" customHeight="false" outlineLevel="0" collapsed="false">
      <c r="A88" s="26" t="s">
        <v>137</v>
      </c>
      <c r="B88" s="27" t="s">
        <v>47</v>
      </c>
      <c r="C88" s="26" t="s">
        <v>36</v>
      </c>
      <c r="D88" s="28" t="n">
        <v>12.8</v>
      </c>
      <c r="E88" s="41" t="n">
        <f aca="false">E33</f>
        <v>46905.0828169014</v>
      </c>
      <c r="F88" s="29" t="n">
        <f aca="false">E88*D88</f>
        <v>600385.060056338</v>
      </c>
      <c r="G88" s="2"/>
      <c r="H88" s="2"/>
      <c r="I88" s="2"/>
      <c r="J88" s="2"/>
      <c r="K88" s="2"/>
      <c r="L88" s="2"/>
      <c r="M88" s="2"/>
    </row>
    <row r="89" s="36" customFormat="true" ht="12.75" hidden="false" customHeight="false" outlineLevel="0" collapsed="false">
      <c r="A89" s="26" t="s">
        <v>138</v>
      </c>
      <c r="B89" s="27" t="s">
        <v>139</v>
      </c>
      <c r="C89" s="26" t="s">
        <v>36</v>
      </c>
      <c r="D89" s="28" t="n">
        <v>9.9</v>
      </c>
      <c r="E89" s="41" t="n">
        <f aca="false">E40*1.1</f>
        <v>12005.7256</v>
      </c>
      <c r="F89" s="29" t="n">
        <f aca="false">E89*D89</f>
        <v>118856.68344</v>
      </c>
      <c r="G89" s="2"/>
      <c r="H89" s="2"/>
      <c r="I89" s="2"/>
      <c r="J89" s="2"/>
      <c r="K89" s="2"/>
      <c r="L89" s="2"/>
      <c r="M89" s="2"/>
    </row>
    <row r="90" s="36" customFormat="true" ht="12.75" hidden="false" customHeight="false" outlineLevel="0" collapsed="false">
      <c r="A90" s="26" t="s">
        <v>140</v>
      </c>
      <c r="B90" s="27" t="s">
        <v>141</v>
      </c>
      <c r="C90" s="26" t="s">
        <v>14</v>
      </c>
      <c r="D90" s="28" t="n">
        <v>1</v>
      </c>
      <c r="E90" s="41" t="n">
        <f aca="false">[1]SDP!E1637</f>
        <v>302160</v>
      </c>
      <c r="F90" s="29" t="n">
        <f aca="false">E90*D90</f>
        <v>302160</v>
      </c>
      <c r="G90" s="2"/>
      <c r="H90" s="2"/>
      <c r="I90" s="2"/>
      <c r="J90" s="2"/>
      <c r="K90" s="2"/>
      <c r="L90" s="2"/>
      <c r="M90" s="2"/>
    </row>
    <row r="91" s="36" customFormat="true" ht="13.5" hidden="false" customHeight="false" outlineLevel="0" collapsed="false">
      <c r="A91" s="26" t="s">
        <v>142</v>
      </c>
      <c r="B91" s="27" t="s">
        <v>143</v>
      </c>
      <c r="C91" s="26" t="s">
        <v>7</v>
      </c>
      <c r="D91" s="28" t="n">
        <v>1</v>
      </c>
      <c r="E91" s="41" t="n">
        <f aca="false">pu_alu*0.7*0.5*1</f>
        <v>317887.5</v>
      </c>
      <c r="F91" s="29" t="n">
        <f aca="false">E91*D91</f>
        <v>317887.5</v>
      </c>
      <c r="G91" s="2"/>
      <c r="H91" s="2"/>
      <c r="I91" s="2"/>
      <c r="J91" s="2"/>
      <c r="K91" s="2"/>
      <c r="L91" s="2"/>
      <c r="M91" s="2"/>
    </row>
    <row r="92" s="36" customFormat="true" ht="13.5" hidden="false" customHeight="false" outlineLevel="0" collapsed="false">
      <c r="A92" s="34"/>
      <c r="B92" s="17"/>
      <c r="C92" s="18"/>
      <c r="D92" s="19"/>
      <c r="E92" s="35" t="s">
        <v>144</v>
      </c>
      <c r="F92" s="21" t="n">
        <f aca="false">SUM(F84:F91)</f>
        <v>3689006.49668568</v>
      </c>
      <c r="G92" s="2"/>
      <c r="H92" s="2"/>
      <c r="I92" s="2"/>
      <c r="J92" s="2"/>
      <c r="K92" s="2"/>
      <c r="L92" s="2"/>
      <c r="M92" s="2"/>
    </row>
    <row r="93" s="36" customFormat="true" ht="13.5" hidden="false" customHeight="false" outlineLevel="0" collapsed="false">
      <c r="A93" s="16" t="s">
        <v>145</v>
      </c>
      <c r="B93" s="17"/>
      <c r="C93" s="18"/>
      <c r="D93" s="19"/>
      <c r="E93" s="20"/>
      <c r="F93" s="21"/>
      <c r="G93" s="2"/>
      <c r="H93" s="2"/>
      <c r="I93" s="2"/>
      <c r="J93" s="2"/>
      <c r="K93" s="2"/>
      <c r="L93" s="2"/>
      <c r="M93" s="2"/>
    </row>
    <row r="94" s="36" customFormat="true" ht="12.75" hidden="false" customHeight="false" outlineLevel="0" collapsed="false">
      <c r="A94" s="37" t="s">
        <v>146</v>
      </c>
      <c r="B94" s="27" t="s">
        <v>147</v>
      </c>
      <c r="C94" s="26" t="s">
        <v>36</v>
      </c>
      <c r="D94" s="28" t="n">
        <f aca="false">10.5*3.7</f>
        <v>38.85</v>
      </c>
      <c r="E94" s="41" t="n">
        <f aca="false">[1]SDP!E1666</f>
        <v>27600</v>
      </c>
      <c r="F94" s="29" t="n">
        <f aca="false">E94*D94</f>
        <v>1072260</v>
      </c>
      <c r="G94" s="2"/>
      <c r="H94" s="2"/>
      <c r="I94" s="2"/>
      <c r="J94" s="2"/>
      <c r="K94" s="2"/>
      <c r="L94" s="2"/>
      <c r="M94" s="2"/>
    </row>
    <row r="95" s="36" customFormat="true" ht="12.75" hidden="false" customHeight="false" outlineLevel="0" collapsed="false">
      <c r="A95" s="37" t="s">
        <v>148</v>
      </c>
      <c r="B95" s="27" t="s">
        <v>149</v>
      </c>
      <c r="C95" s="26" t="s">
        <v>7</v>
      </c>
      <c r="D95" s="28" t="n">
        <v>4</v>
      </c>
      <c r="E95" s="41" t="n">
        <f aca="false">E94*4.25</f>
        <v>117300</v>
      </c>
      <c r="F95" s="29" t="n">
        <f aca="false">E95*D95</f>
        <v>469200</v>
      </c>
      <c r="G95" s="2"/>
      <c r="H95" s="2"/>
      <c r="I95" s="2"/>
      <c r="J95" s="2"/>
      <c r="K95" s="2"/>
      <c r="L95" s="2"/>
      <c r="M95" s="2"/>
    </row>
    <row r="96" s="36" customFormat="true" ht="12.75" hidden="false" customHeight="false" outlineLevel="0" collapsed="false">
      <c r="A96" s="37" t="s">
        <v>150</v>
      </c>
      <c r="B96" s="38" t="s">
        <v>151</v>
      </c>
      <c r="C96" s="37" t="s">
        <v>23</v>
      </c>
      <c r="D96" s="28" t="n">
        <f aca="false">3*1.7*10</f>
        <v>51</v>
      </c>
      <c r="E96" s="41" t="n">
        <f aca="false">E84</f>
        <v>26118.3673469388</v>
      </c>
      <c r="F96" s="29" t="n">
        <f aca="false">E96*D96</f>
        <v>1332036.73469388</v>
      </c>
      <c r="G96" s="2"/>
      <c r="H96" s="2"/>
      <c r="I96" s="2"/>
      <c r="J96" s="2"/>
      <c r="K96" s="2"/>
      <c r="L96" s="2"/>
      <c r="M96" s="2"/>
    </row>
    <row r="97" s="36" customFormat="true" ht="12.75" hidden="false" customHeight="false" outlineLevel="0" collapsed="false">
      <c r="A97" s="37" t="s">
        <v>152</v>
      </c>
      <c r="B97" s="38" t="s">
        <v>153</v>
      </c>
      <c r="C97" s="37" t="s">
        <v>23</v>
      </c>
      <c r="D97" s="28" t="n">
        <f aca="false">(10*0.8*1.5*2)+3</f>
        <v>27</v>
      </c>
      <c r="E97" s="41" t="n">
        <f aca="false">pu_moellon</f>
        <v>151581.172027972</v>
      </c>
      <c r="F97" s="29" t="n">
        <f aca="false">E97*D97</f>
        <v>4092691.64475525</v>
      </c>
      <c r="G97" s="2"/>
      <c r="H97" s="2"/>
      <c r="I97" s="2"/>
      <c r="J97" s="2"/>
      <c r="K97" s="2"/>
      <c r="L97" s="2"/>
      <c r="M97" s="2"/>
    </row>
    <row r="98" s="36" customFormat="true" ht="12.75" hidden="false" customHeight="false" outlineLevel="0" collapsed="false">
      <c r="A98" s="37" t="s">
        <v>154</v>
      </c>
      <c r="B98" s="38" t="s">
        <v>155</v>
      </c>
      <c r="C98" s="37" t="s">
        <v>23</v>
      </c>
      <c r="D98" s="28" t="n">
        <f aca="false">(10*0.2*2.6)+(0.8*10*2*0.1)</f>
        <v>6.8</v>
      </c>
      <c r="E98" s="41" t="n">
        <f aca="false">E85</f>
        <v>352808</v>
      </c>
      <c r="F98" s="29" t="n">
        <f aca="false">E98*D98</f>
        <v>2399094.4</v>
      </c>
      <c r="G98" s="2"/>
      <c r="H98" s="2"/>
      <c r="I98" s="2"/>
      <c r="J98" s="2"/>
      <c r="K98" s="2"/>
      <c r="L98" s="2"/>
      <c r="M98" s="2"/>
    </row>
    <row r="99" s="36" customFormat="true" ht="12.75" hidden="false" customHeight="false" outlineLevel="0" collapsed="false">
      <c r="A99" s="37" t="s">
        <v>156</v>
      </c>
      <c r="B99" s="38" t="s">
        <v>55</v>
      </c>
      <c r="C99" s="37" t="s">
        <v>36</v>
      </c>
      <c r="D99" s="28" t="n">
        <v>5</v>
      </c>
      <c r="E99" s="41" t="n">
        <f aca="false">E38</f>
        <v>10217.3904520502</v>
      </c>
      <c r="F99" s="29" t="n">
        <f aca="false">E99*D99</f>
        <v>51086.9522602508</v>
      </c>
      <c r="G99" s="2"/>
      <c r="H99" s="2"/>
      <c r="I99" s="2"/>
      <c r="J99" s="2"/>
      <c r="K99" s="2"/>
      <c r="L99" s="2"/>
      <c r="M99" s="2"/>
    </row>
    <row r="100" s="36" customFormat="true" ht="12.75" hidden="false" customHeight="false" outlineLevel="0" collapsed="false">
      <c r="A100" s="37" t="s">
        <v>157</v>
      </c>
      <c r="B100" s="38" t="s">
        <v>158</v>
      </c>
      <c r="C100" s="37" t="s">
        <v>33</v>
      </c>
      <c r="D100" s="28" t="n">
        <f aca="false">+D98*70</f>
        <v>476</v>
      </c>
      <c r="E100" s="41" t="n">
        <f aca="false">E86</f>
        <v>5233.30596962679</v>
      </c>
      <c r="F100" s="29" t="n">
        <f aca="false">E100*D100</f>
        <v>2491053.64154235</v>
      </c>
      <c r="G100" s="2"/>
      <c r="H100" s="2"/>
      <c r="I100" s="2"/>
      <c r="J100" s="2"/>
      <c r="K100" s="2"/>
      <c r="L100" s="2"/>
      <c r="M100" s="2"/>
    </row>
    <row r="101" s="36" customFormat="true" ht="12.75" hidden="false" customHeight="false" outlineLevel="0" collapsed="false">
      <c r="A101" s="37" t="s">
        <v>159</v>
      </c>
      <c r="B101" s="38" t="s">
        <v>35</v>
      </c>
      <c r="C101" s="37" t="s">
        <v>36</v>
      </c>
      <c r="D101" s="28" t="n">
        <f aca="false">+D98*15</f>
        <v>102</v>
      </c>
      <c r="E101" s="41" t="n">
        <f aca="false">E87</f>
        <v>29437.1797418073</v>
      </c>
      <c r="F101" s="29" t="n">
        <f aca="false">E101*D101</f>
        <v>3002592.33366435</v>
      </c>
      <c r="G101" s="2"/>
      <c r="H101" s="2"/>
      <c r="I101" s="2"/>
      <c r="J101" s="2"/>
      <c r="K101" s="2"/>
      <c r="L101" s="2"/>
      <c r="M101" s="2"/>
    </row>
    <row r="102" s="36" customFormat="true" ht="12.75" hidden="false" customHeight="false" outlineLevel="0" collapsed="false">
      <c r="A102" s="37" t="s">
        <v>160</v>
      </c>
      <c r="B102" s="38" t="s">
        <v>161</v>
      </c>
      <c r="C102" s="37" t="s">
        <v>36</v>
      </c>
      <c r="D102" s="42" t="n">
        <f aca="false">10*1.6*2</f>
        <v>32</v>
      </c>
      <c r="E102" s="41" t="n">
        <f aca="false">[1]SDP!E1695</f>
        <v>58474.5</v>
      </c>
      <c r="F102" s="29" t="n">
        <f aca="false">E102*D102</f>
        <v>1871184</v>
      </c>
      <c r="G102" s="2"/>
      <c r="H102" s="2"/>
      <c r="I102" s="2"/>
      <c r="J102" s="2"/>
      <c r="K102" s="2"/>
      <c r="L102" s="2"/>
      <c r="M102" s="2"/>
    </row>
    <row r="103" s="36" customFormat="true" ht="12.75" hidden="false" customHeight="false" outlineLevel="0" collapsed="false">
      <c r="A103" s="37" t="s">
        <v>162</v>
      </c>
      <c r="B103" s="38" t="s">
        <v>57</v>
      </c>
      <c r="C103" s="37" t="s">
        <v>36</v>
      </c>
      <c r="D103" s="42" t="n">
        <f aca="false">0.92*10</f>
        <v>9.2</v>
      </c>
      <c r="E103" s="41" t="n">
        <f aca="false">E39</f>
        <v>10914.296</v>
      </c>
      <c r="F103" s="29" t="n">
        <f aca="false">E103*D103</f>
        <v>100411.5232</v>
      </c>
      <c r="G103" s="2"/>
      <c r="H103" s="2"/>
      <c r="I103" s="2"/>
      <c r="J103" s="2"/>
      <c r="K103" s="2"/>
      <c r="L103" s="2"/>
      <c r="M103" s="2"/>
    </row>
    <row r="104" s="36" customFormat="true" ht="12.75" hidden="false" customHeight="false" outlineLevel="0" collapsed="false">
      <c r="A104" s="37" t="s">
        <v>163</v>
      </c>
      <c r="B104" s="38" t="s">
        <v>164</v>
      </c>
      <c r="C104" s="37" t="s">
        <v>68</v>
      </c>
      <c r="D104" s="42" t="n">
        <v>20</v>
      </c>
      <c r="E104" s="41" t="n">
        <f aca="false">[1]SDP!E1724</f>
        <v>48018</v>
      </c>
      <c r="F104" s="29" t="n">
        <f aca="false">E104*D104</f>
        <v>960360</v>
      </c>
      <c r="G104" s="2"/>
      <c r="H104" s="2"/>
      <c r="I104" s="2"/>
      <c r="J104" s="2"/>
      <c r="K104" s="2"/>
      <c r="L104" s="2"/>
      <c r="M104" s="2"/>
    </row>
    <row r="105" s="36" customFormat="true" ht="12.75" hidden="false" customHeight="false" outlineLevel="0" collapsed="false">
      <c r="A105" s="37" t="s">
        <v>165</v>
      </c>
      <c r="B105" s="38" t="s">
        <v>166</v>
      </c>
      <c r="C105" s="37" t="s">
        <v>36</v>
      </c>
      <c r="D105" s="28" t="n">
        <f aca="false">0.6*2*10</f>
        <v>12</v>
      </c>
      <c r="E105" s="41" t="n">
        <f aca="false">[1]SDP!E1754</f>
        <v>46195.096</v>
      </c>
      <c r="F105" s="29" t="n">
        <f aca="false">E105*D105</f>
        <v>554341.152</v>
      </c>
      <c r="G105" s="2"/>
      <c r="H105" s="2"/>
      <c r="I105" s="2"/>
      <c r="J105" s="2"/>
      <c r="K105" s="2"/>
      <c r="L105" s="2"/>
      <c r="M105" s="2"/>
    </row>
    <row r="106" s="36" customFormat="true" ht="13.5" hidden="false" customHeight="false" outlineLevel="0" collapsed="false">
      <c r="A106" s="37" t="s">
        <v>167</v>
      </c>
      <c r="B106" s="38" t="s">
        <v>168</v>
      </c>
      <c r="C106" s="37" t="s">
        <v>36</v>
      </c>
      <c r="D106" s="28" t="n">
        <v>80</v>
      </c>
      <c r="E106" s="41" t="n">
        <f aca="false">E25</f>
        <v>3475.625</v>
      </c>
      <c r="F106" s="29" t="n">
        <f aca="false">E106*D106</f>
        <v>278050</v>
      </c>
      <c r="G106" s="2"/>
      <c r="H106" s="2"/>
      <c r="I106" s="2"/>
      <c r="J106" s="2"/>
      <c r="K106" s="2"/>
      <c r="L106" s="2"/>
      <c r="M106" s="2"/>
    </row>
    <row r="107" customFormat="false" ht="13.5" hidden="false" customHeight="false" outlineLevel="0" collapsed="false">
      <c r="A107" s="34"/>
      <c r="B107" s="17"/>
      <c r="C107" s="18"/>
      <c r="D107" s="19"/>
      <c r="E107" s="35" t="s">
        <v>169</v>
      </c>
      <c r="F107" s="21" t="n">
        <f aca="false">SUM(F94:F106)</f>
        <v>18674362.3821161</v>
      </c>
      <c r="G107" s="2"/>
      <c r="H107" s="2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5" hidden="false" customHeight="false" outlineLevel="0" collapsed="false">
      <c r="A108" s="16" t="s">
        <v>170</v>
      </c>
      <c r="B108" s="17"/>
      <c r="C108" s="18"/>
      <c r="D108" s="19"/>
      <c r="E108" s="20"/>
      <c r="F108" s="21"/>
      <c r="G108" s="2"/>
      <c r="H108" s="2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75" hidden="false" customHeight="false" outlineLevel="0" collapsed="false">
      <c r="A109" s="37" t="s">
        <v>171</v>
      </c>
      <c r="B109" s="27" t="s">
        <v>147</v>
      </c>
      <c r="C109" s="26" t="s">
        <v>36</v>
      </c>
      <c r="D109" s="28" t="n">
        <f aca="false">10.5*3.7</f>
        <v>38.85</v>
      </c>
      <c r="E109" s="41" t="n">
        <f aca="false">E94</f>
        <v>27600</v>
      </c>
      <c r="F109" s="29" t="n">
        <f aca="false">E109*D109</f>
        <v>1072260</v>
      </c>
      <c r="G109" s="2"/>
      <c r="H109" s="2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75" hidden="false" customHeight="false" outlineLevel="0" collapsed="false">
      <c r="A110" s="37" t="s">
        <v>172</v>
      </c>
      <c r="B110" s="38" t="s">
        <v>151</v>
      </c>
      <c r="C110" s="37" t="s">
        <v>23</v>
      </c>
      <c r="D110" s="28" t="n">
        <f aca="false">3*0.7*10</f>
        <v>21</v>
      </c>
      <c r="E110" s="41" t="n">
        <f aca="false">E96</f>
        <v>26118.3673469388</v>
      </c>
      <c r="F110" s="29" t="n">
        <f aca="false">E110*D110</f>
        <v>548485.714285714</v>
      </c>
      <c r="G110" s="2"/>
      <c r="H110" s="2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75" hidden="false" customHeight="false" outlineLevel="0" collapsed="false">
      <c r="A111" s="37" t="s">
        <v>173</v>
      </c>
      <c r="B111" s="38" t="s">
        <v>153</v>
      </c>
      <c r="C111" s="37" t="s">
        <v>23</v>
      </c>
      <c r="D111" s="28" t="n">
        <f aca="false">(10*0.8*0.6*2)</f>
        <v>9.6</v>
      </c>
      <c r="E111" s="41" t="n">
        <f aca="false">E97</f>
        <v>151581.172027972</v>
      </c>
      <c r="F111" s="29" t="n">
        <f aca="false">E111*D111</f>
        <v>1455179.25146853</v>
      </c>
      <c r="G111" s="2"/>
      <c r="H111" s="2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75" hidden="false" customHeight="false" outlineLevel="0" collapsed="false">
      <c r="A112" s="37" t="s">
        <v>174</v>
      </c>
      <c r="B112" s="38" t="s">
        <v>155</v>
      </c>
      <c r="C112" s="37" t="s">
        <v>23</v>
      </c>
      <c r="D112" s="28" t="n">
        <f aca="false">(10*0.2*1.6)+(0.8*10*2*0.1)</f>
        <v>4.8</v>
      </c>
      <c r="E112" s="41" t="n">
        <f aca="false">E98</f>
        <v>352808</v>
      </c>
      <c r="F112" s="29" t="n">
        <f aca="false">E112*D112</f>
        <v>1693478.4</v>
      </c>
      <c r="G112" s="2"/>
      <c r="H112" s="2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75" hidden="false" customHeight="false" outlineLevel="0" collapsed="false">
      <c r="A113" s="37" t="s">
        <v>175</v>
      </c>
      <c r="B113" s="38" t="s">
        <v>55</v>
      </c>
      <c r="C113" s="37" t="s">
        <v>36</v>
      </c>
      <c r="D113" s="28" t="n">
        <f aca="false">10*0.4*2</f>
        <v>8</v>
      </c>
      <c r="E113" s="41" t="n">
        <f aca="false">E99</f>
        <v>10217.3904520502</v>
      </c>
      <c r="F113" s="29" t="n">
        <f aca="false">E113*D113</f>
        <v>81739.1236164012</v>
      </c>
      <c r="G113" s="2"/>
      <c r="H113" s="2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2.75" hidden="false" customHeight="false" outlineLevel="0" collapsed="false">
      <c r="A114" s="37" t="s">
        <v>176</v>
      </c>
      <c r="B114" s="38" t="s">
        <v>158</v>
      </c>
      <c r="C114" s="37" t="s">
        <v>33</v>
      </c>
      <c r="D114" s="28" t="n">
        <f aca="false">+D112*70</f>
        <v>336</v>
      </c>
      <c r="E114" s="41" t="n">
        <f aca="false">E100</f>
        <v>5233.30596962679</v>
      </c>
      <c r="F114" s="29" t="n">
        <f aca="false">E114*D114</f>
        <v>1758390.8057946</v>
      </c>
      <c r="G114" s="2"/>
      <c r="H114" s="2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2.75" hidden="false" customHeight="false" outlineLevel="0" collapsed="false">
      <c r="A115" s="37" t="s">
        <v>177</v>
      </c>
      <c r="B115" s="38" t="s">
        <v>35</v>
      </c>
      <c r="C115" s="37" t="s">
        <v>36</v>
      </c>
      <c r="D115" s="28" t="n">
        <f aca="false">+D112*15</f>
        <v>72</v>
      </c>
      <c r="E115" s="41" t="n">
        <f aca="false">E101</f>
        <v>29437.1797418073</v>
      </c>
      <c r="F115" s="29" t="n">
        <f aca="false">E115*D115</f>
        <v>2119476.94141013</v>
      </c>
      <c r="G115" s="2"/>
      <c r="H115" s="2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2.75" hidden="false" customHeight="false" outlineLevel="0" collapsed="false">
      <c r="A116" s="37" t="s">
        <v>178</v>
      </c>
      <c r="B116" s="38" t="s">
        <v>161</v>
      </c>
      <c r="C116" s="37" t="s">
        <v>36</v>
      </c>
      <c r="D116" s="42" t="n">
        <f aca="false">10*0.4*2</f>
        <v>8</v>
      </c>
      <c r="E116" s="41" t="n">
        <f aca="false">E102</f>
        <v>58474.5</v>
      </c>
      <c r="F116" s="29" t="n">
        <f aca="false">E116*D116</f>
        <v>467796</v>
      </c>
      <c r="G116" s="2"/>
      <c r="H116" s="2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75" hidden="false" customHeight="false" outlineLevel="0" collapsed="false">
      <c r="A117" s="37" t="s">
        <v>179</v>
      </c>
      <c r="B117" s="38" t="s">
        <v>57</v>
      </c>
      <c r="C117" s="37" t="s">
        <v>36</v>
      </c>
      <c r="D117" s="42" t="n">
        <f aca="false">0.92*10</f>
        <v>9.2</v>
      </c>
      <c r="E117" s="41" t="n">
        <f aca="false">E103</f>
        <v>10914.296</v>
      </c>
      <c r="F117" s="29" t="n">
        <f aca="false">E117*D117</f>
        <v>100411.5232</v>
      </c>
      <c r="G117" s="2"/>
      <c r="H117" s="2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2.75" hidden="false" customHeight="false" outlineLevel="0" collapsed="false">
      <c r="A118" s="37" t="s">
        <v>180</v>
      </c>
      <c r="B118" s="38" t="s">
        <v>164</v>
      </c>
      <c r="C118" s="37" t="s">
        <v>68</v>
      </c>
      <c r="D118" s="42" t="n">
        <f aca="false">6*2</f>
        <v>12</v>
      </c>
      <c r="E118" s="41" t="n">
        <f aca="false">E104</f>
        <v>48018</v>
      </c>
      <c r="F118" s="29" t="n">
        <f aca="false">E118*D118</f>
        <v>576216</v>
      </c>
      <c r="G118" s="2"/>
      <c r="H118" s="2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.5" hidden="false" customHeight="false" outlineLevel="0" collapsed="false">
      <c r="A119" s="37" t="s">
        <v>181</v>
      </c>
      <c r="B119" s="38" t="s">
        <v>166</v>
      </c>
      <c r="C119" s="37" t="s">
        <v>36</v>
      </c>
      <c r="D119" s="28" t="n">
        <f aca="false">0.6*2*10</f>
        <v>12</v>
      </c>
      <c r="E119" s="41" t="n">
        <f aca="false">E105</f>
        <v>46195.096</v>
      </c>
      <c r="F119" s="29" t="n">
        <f aca="false">E119*D119</f>
        <v>554341.152</v>
      </c>
      <c r="G119" s="2"/>
      <c r="H119" s="2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.5" hidden="false" customHeight="false" outlineLevel="0" collapsed="false">
      <c r="A120" s="34"/>
      <c r="B120" s="17"/>
      <c r="C120" s="18"/>
      <c r="D120" s="19"/>
      <c r="E120" s="35" t="s">
        <v>182</v>
      </c>
      <c r="F120" s="21" t="n">
        <f aca="false">SUM(F109:F119)</f>
        <v>10427774.9117754</v>
      </c>
      <c r="G120" s="2"/>
      <c r="H120" s="2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.5" hidden="false" customHeight="false" outlineLevel="0" collapsed="false">
      <c r="A121" s="16" t="s">
        <v>183</v>
      </c>
      <c r="B121" s="17"/>
      <c r="C121" s="18"/>
      <c r="D121" s="19"/>
      <c r="E121" s="20"/>
      <c r="F121" s="21"/>
      <c r="G121" s="2"/>
      <c r="H121" s="2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2.75" hidden="false" customHeight="false" outlineLevel="0" collapsed="false">
      <c r="A122" s="37" t="s">
        <v>184</v>
      </c>
      <c r="B122" s="27" t="s">
        <v>185</v>
      </c>
      <c r="C122" s="26" t="s">
        <v>7</v>
      </c>
      <c r="D122" s="28" t="n">
        <v>4</v>
      </c>
      <c r="E122" s="41" t="n">
        <f aca="false">[1]SDP!E1783</f>
        <v>197092.204808133</v>
      </c>
      <c r="F122" s="29" t="n">
        <f aca="false">E122*D122</f>
        <v>788368.819232533</v>
      </c>
      <c r="G122" s="2"/>
      <c r="H122" s="2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2.75" hidden="false" customHeight="false" outlineLevel="0" collapsed="false">
      <c r="A123" s="37" t="s">
        <v>186</v>
      </c>
      <c r="B123" s="38" t="s">
        <v>187</v>
      </c>
      <c r="C123" s="37" t="s">
        <v>7</v>
      </c>
      <c r="D123" s="28" t="n">
        <v>4</v>
      </c>
      <c r="E123" s="41" t="n">
        <f aca="false">[1]SDP!E1813</f>
        <v>655620</v>
      </c>
      <c r="F123" s="29" t="n">
        <f aca="false">E123*D123</f>
        <v>2622480</v>
      </c>
      <c r="G123" s="2"/>
      <c r="H123" s="2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75" hidden="false" customHeight="false" outlineLevel="0" collapsed="false">
      <c r="A124" s="37" t="s">
        <v>188</v>
      </c>
      <c r="B124" s="38" t="s">
        <v>189</v>
      </c>
      <c r="C124" s="37" t="s">
        <v>14</v>
      </c>
      <c r="D124" s="28" t="n">
        <v>1</v>
      </c>
      <c r="E124" s="41" t="n">
        <f aca="false">[1]SDP!E1843</f>
        <v>2966424</v>
      </c>
      <c r="F124" s="29" t="n">
        <f aca="false">E124*D124</f>
        <v>2966424</v>
      </c>
      <c r="G124" s="2"/>
      <c r="H124" s="2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2.75" hidden="false" customHeight="false" outlineLevel="0" collapsed="false">
      <c r="A125" s="37" t="s">
        <v>190</v>
      </c>
      <c r="B125" s="38" t="s">
        <v>191</v>
      </c>
      <c r="C125" s="37" t="s">
        <v>14</v>
      </c>
      <c r="D125" s="28" t="n">
        <v>1</v>
      </c>
      <c r="E125" s="41" t="n">
        <f aca="false">(pu_deploy*3.4*2.5)/(6.4*2.5)</f>
        <v>1575912.75</v>
      </c>
      <c r="F125" s="29" t="n">
        <f aca="false">E125*D125</f>
        <v>1575912.75</v>
      </c>
      <c r="G125" s="2"/>
      <c r="H125" s="2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2.75" hidden="false" customHeight="false" outlineLevel="0" collapsed="false">
      <c r="A126" s="37" t="s">
        <v>192</v>
      </c>
      <c r="B126" s="38" t="s">
        <v>193</v>
      </c>
      <c r="C126" s="37" t="s">
        <v>14</v>
      </c>
      <c r="D126" s="28" t="n">
        <v>1</v>
      </c>
      <c r="E126" s="41" t="n">
        <f aca="false">(pu_deploy*1.4*2.5)/(6.4*2.5)</f>
        <v>648905.25</v>
      </c>
      <c r="F126" s="29" t="n">
        <f aca="false">E126*D126</f>
        <v>648905.25</v>
      </c>
      <c r="G126" s="2"/>
      <c r="H126" s="2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75" hidden="false" customHeight="false" outlineLevel="0" collapsed="false">
      <c r="A127" s="37" t="s">
        <v>194</v>
      </c>
      <c r="B127" s="38" t="s">
        <v>195</v>
      </c>
      <c r="C127" s="37" t="s">
        <v>14</v>
      </c>
      <c r="D127" s="28" t="n">
        <v>1</v>
      </c>
      <c r="E127" s="41" t="n">
        <f aca="false">[1]SDP!E1870</f>
        <v>2750416.77316845</v>
      </c>
      <c r="F127" s="29" t="n">
        <f aca="false">E127*D127</f>
        <v>2750416.77316845</v>
      </c>
      <c r="G127" s="2"/>
      <c r="H127" s="2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5" hidden="false" customHeight="false" outlineLevel="0" collapsed="false">
      <c r="A128" s="37" t="s">
        <v>196</v>
      </c>
      <c r="B128" s="38" t="s">
        <v>197</v>
      </c>
      <c r="C128" s="37" t="s">
        <v>36</v>
      </c>
      <c r="D128" s="28" t="n">
        <v>15</v>
      </c>
      <c r="E128" s="41" t="n">
        <f aca="false">[1]SDP!E1897</f>
        <v>47532.3552</v>
      </c>
      <c r="F128" s="29" t="n">
        <f aca="false">E128*D128</f>
        <v>712985.328</v>
      </c>
      <c r="G128" s="2"/>
      <c r="H128" s="2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5" hidden="false" customHeight="false" outlineLevel="0" collapsed="false">
      <c r="A129" s="34"/>
      <c r="B129" s="17"/>
      <c r="C129" s="18"/>
      <c r="D129" s="19"/>
      <c r="E129" s="35" t="s">
        <v>198</v>
      </c>
      <c r="F129" s="21" t="n">
        <f aca="false">SUM(F122:F128)</f>
        <v>12065492.920401</v>
      </c>
      <c r="G129" s="2"/>
      <c r="H129" s="2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5" hidden="false" customHeight="false" outlineLevel="0" collapsed="false">
      <c r="A130" s="16" t="s">
        <v>199</v>
      </c>
      <c r="B130" s="17"/>
      <c r="C130" s="18"/>
      <c r="D130" s="19"/>
      <c r="E130" s="20"/>
      <c r="F130" s="21"/>
      <c r="G130" s="2"/>
      <c r="H130" s="2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2.75" hidden="false" customHeight="false" outlineLevel="0" collapsed="false">
      <c r="A131" s="37" t="s">
        <v>200</v>
      </c>
      <c r="B131" s="38" t="s">
        <v>201</v>
      </c>
      <c r="C131" s="37" t="s">
        <v>7</v>
      </c>
      <c r="D131" s="28" t="n">
        <v>1</v>
      </c>
      <c r="E131" s="29" t="n">
        <f aca="false">[1]SDP!E972</f>
        <v>1511580</v>
      </c>
      <c r="F131" s="29" t="n">
        <f aca="false">E131*D131</f>
        <v>1511580</v>
      </c>
      <c r="G131" s="2"/>
      <c r="H131" s="2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2.75" hidden="false" customHeight="false" outlineLevel="0" collapsed="false">
      <c r="A132" s="37" t="s">
        <v>202</v>
      </c>
      <c r="B132" s="38" t="s">
        <v>203</v>
      </c>
      <c r="C132" s="37" t="s">
        <v>7</v>
      </c>
      <c r="D132" s="28" t="n">
        <v>1</v>
      </c>
      <c r="E132" s="29" t="n">
        <f aca="false">[1]SDP!E941</f>
        <v>1005000</v>
      </c>
      <c r="F132" s="29" t="n">
        <f aca="false">E132*D132</f>
        <v>1005000</v>
      </c>
      <c r="G132" s="2"/>
      <c r="H132" s="2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2.75" hidden="false" customHeight="false" outlineLevel="0" collapsed="false">
      <c r="A133" s="37" t="s">
        <v>204</v>
      </c>
      <c r="B133" s="38" t="s">
        <v>205</v>
      </c>
      <c r="C133" s="37" t="s">
        <v>14</v>
      </c>
      <c r="D133" s="28" t="n">
        <v>1</v>
      </c>
      <c r="E133" s="29" t="n">
        <f aca="false">[1]SDP!E1004</f>
        <v>807720</v>
      </c>
      <c r="F133" s="29" t="n">
        <f aca="false">E133*D133</f>
        <v>807720</v>
      </c>
      <c r="G133" s="2"/>
      <c r="H133" s="2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5" hidden="false" customHeight="false" outlineLevel="0" collapsed="false">
      <c r="A134" s="37" t="s">
        <v>206</v>
      </c>
      <c r="B134" s="38" t="s">
        <v>207</v>
      </c>
      <c r="C134" s="37" t="s">
        <v>14</v>
      </c>
      <c r="D134" s="28" t="n">
        <v>1</v>
      </c>
      <c r="E134" s="29" t="n">
        <f aca="false">[1]SDP!E1034</f>
        <v>929040</v>
      </c>
      <c r="F134" s="29" t="n">
        <f aca="false">E134*D134</f>
        <v>929040</v>
      </c>
      <c r="G134" s="2"/>
      <c r="H134" s="2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36" customFormat="true" ht="13.5" hidden="false" customHeight="false" outlineLevel="0" collapsed="false">
      <c r="A135" s="34"/>
      <c r="B135" s="17"/>
      <c r="C135" s="18"/>
      <c r="D135" s="19"/>
      <c r="E135" s="35" t="s">
        <v>208</v>
      </c>
      <c r="F135" s="21" t="n">
        <f aca="false">SUM(F131:F134)</f>
        <v>4253340</v>
      </c>
      <c r="G135" s="2"/>
      <c r="H135" s="2"/>
      <c r="I135" s="2"/>
      <c r="J135" s="2"/>
      <c r="K135" s="2"/>
      <c r="L135" s="2"/>
      <c r="M135" s="2"/>
    </row>
    <row r="136" customFormat="false" ht="13.5" hidden="false" customHeight="false" outlineLevel="0" collapsed="false">
      <c r="A136" s="16" t="s">
        <v>209</v>
      </c>
      <c r="B136" s="17"/>
      <c r="C136" s="18"/>
      <c r="D136" s="19"/>
      <c r="E136" s="20"/>
      <c r="F136" s="21"/>
      <c r="G136" s="2"/>
      <c r="H136" s="2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2.75" hidden="false" customHeight="false" outlineLevel="0" collapsed="false">
      <c r="A137" s="37" t="s">
        <v>210</v>
      </c>
      <c r="B137" s="38" t="s">
        <v>211</v>
      </c>
      <c r="C137" s="37" t="s">
        <v>68</v>
      </c>
      <c r="D137" s="28" t="n">
        <v>70</v>
      </c>
      <c r="E137" s="29" t="n">
        <f aca="false">[1]SDP!E1063</f>
        <v>44340.6</v>
      </c>
      <c r="F137" s="29" t="n">
        <f aca="false">E137*D137</f>
        <v>3103842</v>
      </c>
      <c r="G137" s="2"/>
      <c r="H137" s="2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2.75" hidden="false" customHeight="false" outlineLevel="0" collapsed="false">
      <c r="A138" s="37" t="s">
        <v>212</v>
      </c>
      <c r="B138" s="27" t="s">
        <v>213</v>
      </c>
      <c r="C138" s="37" t="s">
        <v>7</v>
      </c>
      <c r="D138" s="28" t="n">
        <v>6</v>
      </c>
      <c r="E138" s="29" t="n">
        <f aca="false">[1]SDP!E1092</f>
        <v>186302.920135478</v>
      </c>
      <c r="F138" s="29" t="n">
        <f aca="false">E138*D138</f>
        <v>1117817.52081287</v>
      </c>
      <c r="G138" s="0"/>
      <c r="H138" s="2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.5" hidden="false" customHeight="false" outlineLevel="0" collapsed="false">
      <c r="A139" s="37" t="s">
        <v>214</v>
      </c>
      <c r="B139" s="27" t="s">
        <v>215</v>
      </c>
      <c r="C139" s="37" t="s">
        <v>14</v>
      </c>
      <c r="D139" s="28" t="n">
        <v>1</v>
      </c>
      <c r="E139" s="29" t="n">
        <f aca="false">[1]SDP!E1121</f>
        <v>3951000</v>
      </c>
      <c r="F139" s="29" t="n">
        <f aca="false">E139*D139</f>
        <v>3951000</v>
      </c>
      <c r="G139" s="0"/>
      <c r="H139" s="2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45" customFormat="true" ht="13.5" hidden="false" customHeight="false" outlineLevel="0" collapsed="false">
      <c r="A140" s="34"/>
      <c r="B140" s="17"/>
      <c r="C140" s="18"/>
      <c r="D140" s="19"/>
      <c r="E140" s="35" t="s">
        <v>216</v>
      </c>
      <c r="F140" s="21" t="n">
        <f aca="false">SUM(F137:F139)</f>
        <v>8172659.52081287</v>
      </c>
      <c r="G140" s="43"/>
      <c r="H140" s="43"/>
      <c r="I140" s="44"/>
      <c r="J140" s="44"/>
      <c r="K140" s="44"/>
      <c r="L140" s="44"/>
      <c r="M140" s="44"/>
    </row>
    <row r="141" customFormat="false" ht="13.5" hidden="false" customHeight="false" outlineLevel="0" collapsed="false">
      <c r="A141" s="46"/>
      <c r="B141" s="47"/>
      <c r="C141" s="46"/>
      <c r="D141" s="48"/>
      <c r="E141" s="49" t="s">
        <v>217</v>
      </c>
      <c r="F141" s="50" t="n">
        <f aca="false">F140+F135+F129+F120+F107+F92+F82+F77+F63+F56+F48+F41+F36+F31+F26+F16</f>
        <v>132569753.882376</v>
      </c>
    </row>
    <row r="142" customFormat="false" ht="13.5" hidden="false" customHeight="false" outlineLevel="0" collapsed="false">
      <c r="B142" s="0"/>
      <c r="E142" s="49" t="s">
        <v>218</v>
      </c>
      <c r="F142" s="50" t="n">
        <f aca="false">F141*0.2</f>
        <v>26513950.7764753</v>
      </c>
    </row>
    <row r="143" customFormat="false" ht="13.5" hidden="false" customHeight="false" outlineLevel="0" collapsed="false">
      <c r="B143" s="0"/>
      <c r="E143" s="49" t="s">
        <v>219</v>
      </c>
      <c r="F143" s="50" t="n">
        <f aca="false">F142+F141</f>
        <v>159083704.658852</v>
      </c>
    </row>
    <row r="144" customFormat="false" ht="12.75" hidden="false" customHeight="false" outlineLevel="0" collapsed="false">
      <c r="B144" s="0"/>
    </row>
    <row r="145" customFormat="false" ht="12.75" hidden="false" customHeight="false" outlineLevel="0" collapsed="false">
      <c r="B145" s="51" t="s">
        <v>220</v>
      </c>
    </row>
    <row r="146" customFormat="false" ht="12.75" hidden="false" customHeight="false" outlineLevel="0" collapsed="false">
      <c r="B146" s="51" t="s">
        <v>221</v>
      </c>
    </row>
    <row r="147" customFormat="false" ht="12.75" hidden="false" customHeight="false" outlineLevel="0" collapsed="false">
      <c r="B147" s="51" t="s">
        <v>222</v>
      </c>
    </row>
  </sheetData>
  <mergeCells count="4">
    <mergeCell ref="D2:F2"/>
    <mergeCell ref="D4:F7"/>
    <mergeCell ref="A9:F9"/>
    <mergeCell ref="A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2018-03-01T14:55:39Z</dcterms:created>
  <dc:creator>Sitraka</dc:creator>
  <dc:description/>
  <dc:language>fr-FR</dc:language>
  <cp:lastModifiedBy>Sitraka</cp:lastModifiedBy>
  <dcterms:modified xsi:type="dcterms:W3CDTF">2018-03-01T14:56:32Z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