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it\github\NavAstro\NavAstro\XLS\"/>
    </mc:Choice>
  </mc:AlternateContent>
  <xr:revisionPtr revIDLastSave="0" documentId="13_ncr:1_{A20BC21B-BB8D-4EF5-8854-606325511F9F}" xr6:coauthVersionLast="47" xr6:coauthVersionMax="47" xr10:uidLastSave="{00000000-0000-0000-0000-000000000000}"/>
  <bookViews>
    <workbookView xWindow="8110" yWindow="810" windowWidth="28800" windowHeight="15650" activeTab="1" xr2:uid="{00000000-000D-0000-FFFF-FFFF00000000}"/>
  </bookViews>
  <sheets>
    <sheet name="Droite hauteur Soleil" sheetId="4" r:id="rId1"/>
    <sheet name="Meridienne Soleil" sheetId="6" r:id="rId2"/>
    <sheet name="Droite hauteur Etoile" sheetId="5" r:id="rId3"/>
    <sheet name="Droite hauteur Lune" sheetId="1" r:id="rId4"/>
    <sheet name="Constant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3" i="6" l="1"/>
  <c r="T112" i="6"/>
  <c r="V96" i="6"/>
  <c r="V94" i="6"/>
  <c r="U94" i="6"/>
  <c r="V93" i="6"/>
  <c r="T93" i="6"/>
  <c r="S93" i="6"/>
  <c r="U93" i="6" s="1"/>
  <c r="Y92" i="6" s="1"/>
  <c r="I94" i="6" s="1"/>
  <c r="L58" i="6"/>
  <c r="O54" i="6"/>
  <c r="G54" i="6"/>
  <c r="O50" i="6"/>
  <c r="G50" i="6"/>
  <c r="G46" i="6"/>
  <c r="U50" i="6" s="1"/>
  <c r="L37" i="6"/>
  <c r="X37" i="6" s="1"/>
  <c r="G37" i="6"/>
  <c r="L33" i="6"/>
  <c r="G33" i="6"/>
  <c r="M29" i="6"/>
  <c r="G29" i="6"/>
  <c r="G19" i="6"/>
  <c r="D93" i="6" s="1"/>
  <c r="D15" i="6"/>
  <c r="F93" i="6" s="1"/>
  <c r="H12" i="6"/>
  <c r="S113" i="6" s="1"/>
  <c r="D12" i="6"/>
  <c r="X83" i="6" s="1"/>
  <c r="AG7" i="6"/>
  <c r="AD7" i="6"/>
  <c r="AA7" i="6"/>
  <c r="AJ7" i="6" l="1"/>
  <c r="I64" i="6"/>
  <c r="Z70" i="6" s="1"/>
  <c r="V99" i="6"/>
  <c r="K7" i="6"/>
  <c r="L7" i="6" s="1"/>
  <c r="I66" i="6"/>
  <c r="J66" i="6" s="1"/>
  <c r="K113" i="6"/>
  <c r="Z83" i="6"/>
  <c r="L66" i="6"/>
  <c r="L113" i="6" s="1"/>
  <c r="S112" i="6"/>
  <c r="X70" i="6"/>
  <c r="T113" i="5"/>
  <c r="T112" i="5"/>
  <c r="V96" i="5"/>
  <c r="V94" i="5"/>
  <c r="U94" i="5"/>
  <c r="V93" i="5"/>
  <c r="T93" i="5"/>
  <c r="U93" i="5" s="1"/>
  <c r="Y92" i="5" s="1"/>
  <c r="I94" i="5" s="1"/>
  <c r="S93" i="5"/>
  <c r="L58" i="5"/>
  <c r="I64" i="5" s="1"/>
  <c r="O54" i="5"/>
  <c r="G54" i="5"/>
  <c r="O50" i="5"/>
  <c r="G50" i="5"/>
  <c r="G46" i="5"/>
  <c r="L37" i="5"/>
  <c r="X37" i="5" s="1"/>
  <c r="G37" i="5"/>
  <c r="L33" i="5"/>
  <c r="G33" i="5"/>
  <c r="M29" i="5"/>
  <c r="G29" i="5"/>
  <c r="G19" i="5"/>
  <c r="D93" i="5" s="1"/>
  <c r="D15" i="5"/>
  <c r="F93" i="5" s="1"/>
  <c r="H12" i="5"/>
  <c r="S113" i="5" s="1"/>
  <c r="D12" i="5"/>
  <c r="S112" i="5" s="1"/>
  <c r="AG7" i="5"/>
  <c r="AD7" i="5"/>
  <c r="AA7" i="5"/>
  <c r="AJ7" i="5" s="1"/>
  <c r="T113" i="4"/>
  <c r="T112" i="4"/>
  <c r="V96" i="4"/>
  <c r="V94" i="4"/>
  <c r="U94" i="4"/>
  <c r="V93" i="4"/>
  <c r="T93" i="4"/>
  <c r="S93" i="4"/>
  <c r="U93" i="4" s="1"/>
  <c r="Y92" i="4" s="1"/>
  <c r="I94" i="4" s="1"/>
  <c r="L58" i="4"/>
  <c r="I64" i="4" s="1"/>
  <c r="O54" i="4"/>
  <c r="G54" i="4"/>
  <c r="O50" i="4"/>
  <c r="G50" i="4"/>
  <c r="G46" i="4"/>
  <c r="L37" i="4"/>
  <c r="G37" i="4"/>
  <c r="L33" i="4"/>
  <c r="G33" i="4"/>
  <c r="M29" i="4"/>
  <c r="G29" i="4"/>
  <c r="G19" i="4"/>
  <c r="D93" i="4" s="1"/>
  <c r="D15" i="4"/>
  <c r="F93" i="4" s="1"/>
  <c r="H12" i="4"/>
  <c r="S113" i="4" s="1"/>
  <c r="D12" i="4"/>
  <c r="X83" i="4" s="1"/>
  <c r="AG7" i="4"/>
  <c r="AD7" i="4"/>
  <c r="AA7" i="4"/>
  <c r="T113" i="1"/>
  <c r="T112" i="1"/>
  <c r="V94" i="1"/>
  <c r="U94" i="1"/>
  <c r="V96" i="1"/>
  <c r="X37" i="4" l="1"/>
  <c r="AJ7" i="4"/>
  <c r="K66" i="6"/>
  <c r="M7" i="6"/>
  <c r="K8" i="6"/>
  <c r="Y99" i="6"/>
  <c r="X99" i="6"/>
  <c r="W99" i="6"/>
  <c r="V99" i="5"/>
  <c r="K7" i="5"/>
  <c r="L7" i="5"/>
  <c r="M7" i="5"/>
  <c r="I66" i="5"/>
  <c r="J66" i="5" s="1"/>
  <c r="K66" i="5" s="1"/>
  <c r="K113" i="5"/>
  <c r="Z70" i="5"/>
  <c r="Z83" i="5"/>
  <c r="L66" i="5"/>
  <c r="L113" i="5" s="1"/>
  <c r="X83" i="5"/>
  <c r="X70" i="5"/>
  <c r="V99" i="4"/>
  <c r="K7" i="4"/>
  <c r="I66" i="4"/>
  <c r="K113" i="4"/>
  <c r="Z83" i="4"/>
  <c r="Z70" i="4"/>
  <c r="L66" i="4"/>
  <c r="L113" i="4" s="1"/>
  <c r="S112" i="4"/>
  <c r="X70" i="4"/>
  <c r="L58" i="1"/>
  <c r="V100" i="6" l="1"/>
  <c r="R46" i="6"/>
  <c r="R29" i="6"/>
  <c r="Z99" i="6"/>
  <c r="AA99" i="6"/>
  <c r="Y99" i="5"/>
  <c r="X99" i="5"/>
  <c r="W99" i="5"/>
  <c r="K8" i="5"/>
  <c r="K66" i="4"/>
  <c r="J66" i="4"/>
  <c r="L7" i="4"/>
  <c r="M7" i="4"/>
  <c r="Y99" i="4"/>
  <c r="X99" i="4"/>
  <c r="W99" i="4"/>
  <c r="D15" i="1"/>
  <c r="V101" i="6" l="1"/>
  <c r="I93" i="6" s="1"/>
  <c r="O95" i="6" s="1"/>
  <c r="O94" i="6" s="1"/>
  <c r="P94" i="6" s="1"/>
  <c r="Q94" i="6" s="1"/>
  <c r="K8" i="4"/>
  <c r="R46" i="4" s="1"/>
  <c r="I60" i="6"/>
  <c r="V54" i="6"/>
  <c r="U54" i="6" s="1"/>
  <c r="V37" i="6"/>
  <c r="U37" i="6" s="1"/>
  <c r="U33" i="6"/>
  <c r="R46" i="5"/>
  <c r="R29" i="5"/>
  <c r="Z99" i="5"/>
  <c r="V100" i="5" s="1"/>
  <c r="AA99" i="5"/>
  <c r="R29" i="4"/>
  <c r="Z99" i="4"/>
  <c r="V100" i="4" s="1"/>
  <c r="AA99" i="4"/>
  <c r="O54" i="1"/>
  <c r="V101" i="4" l="1"/>
  <c r="I93" i="4" s="1"/>
  <c r="O95" i="4" s="1"/>
  <c r="O94" i="4" s="1"/>
  <c r="V101" i="5"/>
  <c r="I93" i="5" s="1"/>
  <c r="O95" i="5" s="1"/>
  <c r="O94" i="5" s="1"/>
  <c r="P94" i="5" s="1"/>
  <c r="L62" i="6"/>
  <c r="L112" i="6" s="1"/>
  <c r="V83" i="6"/>
  <c r="V70" i="6"/>
  <c r="I62" i="6"/>
  <c r="J62" i="6" s="1"/>
  <c r="K62" i="6" s="1"/>
  <c r="K112" i="6"/>
  <c r="U33" i="5"/>
  <c r="V37" i="5"/>
  <c r="U37" i="5" s="1"/>
  <c r="U50" i="5"/>
  <c r="I60" i="5" s="1"/>
  <c r="V54" i="5"/>
  <c r="U54" i="5" s="1"/>
  <c r="U33" i="4"/>
  <c r="V37" i="4"/>
  <c r="U37" i="4" s="1"/>
  <c r="U50" i="4"/>
  <c r="I60" i="4" s="1"/>
  <c r="V54" i="4"/>
  <c r="U54" i="4" s="1"/>
  <c r="V93" i="1"/>
  <c r="S93" i="1"/>
  <c r="T93" i="1"/>
  <c r="V84" i="6" l="1"/>
  <c r="V85" i="6" s="1"/>
  <c r="L62" i="5"/>
  <c r="L112" i="5" s="1"/>
  <c r="V83" i="5"/>
  <c r="V84" i="5" s="1"/>
  <c r="V85" i="5" s="1"/>
  <c r="V70" i="5"/>
  <c r="K112" i="5"/>
  <c r="I62" i="5"/>
  <c r="J62" i="5" s="1"/>
  <c r="K62" i="5" s="1"/>
  <c r="Q94" i="5"/>
  <c r="L62" i="4"/>
  <c r="L112" i="4" s="1"/>
  <c r="V83" i="4"/>
  <c r="V84" i="4" s="1"/>
  <c r="V85" i="4" s="1"/>
  <c r="V70" i="4"/>
  <c r="AC72" i="4"/>
  <c r="I62" i="4"/>
  <c r="K112" i="4"/>
  <c r="P94" i="4"/>
  <c r="Q94" i="4" s="1"/>
  <c r="U93" i="1"/>
  <c r="Y92" i="1" s="1"/>
  <c r="I94" i="1" s="1"/>
  <c r="O50" i="1"/>
  <c r="G54" i="1"/>
  <c r="G50" i="1"/>
  <c r="G46" i="1"/>
  <c r="D19" i="2"/>
  <c r="M29" i="1"/>
  <c r="G29" i="1"/>
  <c r="L37" i="1"/>
  <c r="G37" i="1"/>
  <c r="H12" i="1"/>
  <c r="S113" i="1" s="1"/>
  <c r="L33" i="1"/>
  <c r="G33" i="1"/>
  <c r="D12" i="1"/>
  <c r="S112" i="1" s="1"/>
  <c r="F93" i="1"/>
  <c r="G19" i="1"/>
  <c r="D93" i="1" s="1"/>
  <c r="V99" i="1" s="1"/>
  <c r="AG7" i="1"/>
  <c r="AD7" i="1"/>
  <c r="AA7" i="1"/>
  <c r="V71" i="4" l="1"/>
  <c r="V71" i="5"/>
  <c r="AC72" i="6"/>
  <c r="X84" i="6"/>
  <c r="X71" i="6"/>
  <c r="Z71" i="6"/>
  <c r="X84" i="4"/>
  <c r="Z84" i="6"/>
  <c r="X84" i="5"/>
  <c r="Z84" i="4"/>
  <c r="Z71" i="5"/>
  <c r="X71" i="5"/>
  <c r="V73" i="5" s="1"/>
  <c r="Z71" i="4"/>
  <c r="Z84" i="5"/>
  <c r="X71" i="4"/>
  <c r="AC72" i="5"/>
  <c r="V71" i="6"/>
  <c r="K62" i="4"/>
  <c r="V73" i="4"/>
  <c r="V72" i="4"/>
  <c r="J62" i="4"/>
  <c r="X99" i="1"/>
  <c r="Y99" i="1"/>
  <c r="W99" i="1"/>
  <c r="X70" i="1"/>
  <c r="X71" i="1" s="1"/>
  <c r="X83" i="1"/>
  <c r="X84" i="1" s="1"/>
  <c r="X37" i="1"/>
  <c r="AJ7" i="1"/>
  <c r="K7" i="1" s="1"/>
  <c r="V72" i="5" l="1"/>
  <c r="V74" i="5" s="1"/>
  <c r="F74" i="5" s="1"/>
  <c r="V73" i="6"/>
  <c r="V72" i="6"/>
  <c r="V74" i="4"/>
  <c r="F74" i="4" s="1"/>
  <c r="AE72" i="4" s="1"/>
  <c r="Z99" i="1"/>
  <c r="V100" i="1" s="1"/>
  <c r="AA99" i="1"/>
  <c r="L7" i="1"/>
  <c r="M7" i="1" s="1"/>
  <c r="F109" i="4" l="1"/>
  <c r="AE72" i="6"/>
  <c r="AD72" i="6"/>
  <c r="AD72" i="4"/>
  <c r="V74" i="6"/>
  <c r="F74" i="6" s="1"/>
  <c r="F73" i="4"/>
  <c r="G73" i="4" s="1"/>
  <c r="H73" i="4" s="1"/>
  <c r="AB83" i="4"/>
  <c r="AB84" i="4" s="1"/>
  <c r="V86" i="4" s="1"/>
  <c r="AB83" i="5"/>
  <c r="AB84" i="5" s="1"/>
  <c r="F73" i="5"/>
  <c r="AD72" i="5"/>
  <c r="AE72" i="5"/>
  <c r="F109" i="5"/>
  <c r="J109" i="4"/>
  <c r="F108" i="4"/>
  <c r="V101" i="1"/>
  <c r="I93" i="1" s="1"/>
  <c r="K8" i="1"/>
  <c r="AB83" i="6" l="1"/>
  <c r="AB84" i="6" s="1"/>
  <c r="F73" i="6"/>
  <c r="G73" i="6" s="1"/>
  <c r="H73" i="6" s="1"/>
  <c r="F109" i="6"/>
  <c r="V87" i="4"/>
  <c r="V88" i="4" s="1"/>
  <c r="F86" i="4" s="1"/>
  <c r="G73" i="5"/>
  <c r="H73" i="5" s="1"/>
  <c r="J109" i="5"/>
  <c r="F108" i="5"/>
  <c r="V86" i="5"/>
  <c r="V87" i="5"/>
  <c r="G108" i="4"/>
  <c r="H108" i="4" s="1"/>
  <c r="R46" i="1"/>
  <c r="R29" i="1"/>
  <c r="O95" i="1"/>
  <c r="V88" i="5" l="1"/>
  <c r="F86" i="5" s="1"/>
  <c r="F108" i="6"/>
  <c r="G108" i="6" s="1"/>
  <c r="H108" i="6" s="1"/>
  <c r="J109" i="6"/>
  <c r="V86" i="6"/>
  <c r="V87" i="6"/>
  <c r="F85" i="5"/>
  <c r="G85" i="5" s="1"/>
  <c r="H85" i="5" s="1"/>
  <c r="K86" i="5"/>
  <c r="G108" i="5"/>
  <c r="H108" i="5" s="1"/>
  <c r="F85" i="4"/>
  <c r="K86" i="4"/>
  <c r="U33" i="1"/>
  <c r="V37" i="1"/>
  <c r="U37" i="1" s="1"/>
  <c r="V54" i="1"/>
  <c r="U54" i="1" s="1"/>
  <c r="U50" i="1"/>
  <c r="I60" i="1" s="1"/>
  <c r="I64" i="1"/>
  <c r="K113" i="1" s="1"/>
  <c r="O94" i="1"/>
  <c r="P94" i="1" s="1"/>
  <c r="Q94" i="1" s="1"/>
  <c r="V88" i="6" l="1"/>
  <c r="F86" i="6" s="1"/>
  <c r="G85" i="4"/>
  <c r="H85" i="4" s="1"/>
  <c r="V83" i="1"/>
  <c r="V84" i="1" s="1"/>
  <c r="V85" i="1" s="1"/>
  <c r="K112" i="1"/>
  <c r="V70" i="1"/>
  <c r="V71" i="1" s="1"/>
  <c r="V72" i="1" s="1"/>
  <c r="Z83" i="1"/>
  <c r="Z84" i="1" s="1"/>
  <c r="Z70" i="1"/>
  <c r="Z71" i="1" s="1"/>
  <c r="V73" i="1" s="1"/>
  <c r="V74" i="1" s="1"/>
  <c r="F74" i="1" s="1"/>
  <c r="I66" i="1"/>
  <c r="J66" i="1" s="1"/>
  <c r="K66" i="1" s="1"/>
  <c r="L66" i="1"/>
  <c r="L113" i="1" s="1"/>
  <c r="F85" i="6" l="1"/>
  <c r="K86" i="6"/>
  <c r="G85" i="6"/>
  <c r="H85" i="6" s="1"/>
  <c r="AB83" i="1"/>
  <c r="AB84" i="1" s="1"/>
  <c r="AE72" i="1"/>
  <c r="AD72" i="1"/>
  <c r="AC72" i="1"/>
  <c r="L62" i="1"/>
  <c r="L112" i="1" s="1"/>
  <c r="I62" i="1"/>
  <c r="J62" i="1" s="1"/>
  <c r="K62" i="1" s="1"/>
  <c r="V87" i="1" l="1"/>
  <c r="V86" i="1"/>
  <c r="V88" i="1" l="1"/>
  <c r="F86" i="1" s="1"/>
  <c r="F109" i="1"/>
  <c r="J109" i="1" s="1"/>
  <c r="F73" i="1"/>
  <c r="G73" i="1" s="1"/>
  <c r="H73" i="1" s="1"/>
  <c r="F108" i="1" l="1"/>
  <c r="G108" i="1" s="1"/>
  <c r="K86" i="1"/>
  <c r="F85" i="1" l="1"/>
  <c r="G85" i="1" s="1"/>
  <c r="H85" i="1" s="1"/>
  <c r="H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K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K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le temps  est trouvee par M' = M + v * (t - t0)
                     Avec M' = 360° 
                donc t = t0 + (360 - M(0)) / V    
</t>
        </r>
      </text>
    </comment>
    <comment ref="F7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K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K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sharedStrings.xml><?xml version="1.0" encoding="utf-8"?>
<sst xmlns="http://schemas.openxmlformats.org/spreadsheetml/2006/main" count="963" uniqueCount="129">
  <si>
    <t>a. Par le nautical almanach (par interval horaire)</t>
  </si>
  <si>
    <t>Almanach</t>
  </si>
  <si>
    <t>H. UT Montre</t>
  </si>
  <si>
    <t xml:space="preserve">h </t>
  </si>
  <si>
    <t>m</t>
  </si>
  <si>
    <t>s</t>
  </si>
  <si>
    <t>Err Montre</t>
  </si>
  <si>
    <t>Chrono</t>
  </si>
  <si>
    <t>H. UT Obs</t>
  </si>
  <si>
    <t>Heure decimale</t>
  </si>
  <si>
    <t>Droite de hauteur (Excel en francais - pb de nom de fonctions)</t>
  </si>
  <si>
    <t>Astre observé</t>
  </si>
  <si>
    <t>Hi</t>
  </si>
  <si>
    <t>°</t>
  </si>
  <si>
    <t>Astres observés</t>
  </si>
  <si>
    <t>Soleil</t>
  </si>
  <si>
    <t>G</t>
  </si>
  <si>
    <t>L (φ)</t>
  </si>
  <si>
    <t>Position 
Estimée</t>
  </si>
  <si>
    <t>Collimacon</t>
  </si>
  <si>
    <t>Œil</t>
  </si>
  <si>
    <t>Collimaçon
sextan</t>
  </si>
  <si>
    <t>sens</t>
  </si>
  <si>
    <t>Lune</t>
  </si>
  <si>
    <t>Etoile</t>
  </si>
  <si>
    <t>Polaire</t>
  </si>
  <si>
    <t>xx</t>
  </si>
  <si>
    <t xml:space="preserve">Longitude </t>
  </si>
  <si>
    <t>N</t>
  </si>
  <si>
    <t>S</t>
  </si>
  <si>
    <t>Latitude</t>
  </si>
  <si>
    <t>W</t>
  </si>
  <si>
    <t>E</t>
  </si>
  <si>
    <t>H. UT Basse</t>
  </si>
  <si>
    <t>H. UT Haute</t>
  </si>
  <si>
    <t>Declinaison
(Dec.)</t>
  </si>
  <si>
    <t>Angle horaire local
(GHA)</t>
  </si>
  <si>
    <t>==&gt; heure observation:</t>
  </si>
  <si>
    <t>1. Declinaison et angle horaire</t>
  </si>
  <si>
    <t>2. Hauteur calculee</t>
  </si>
  <si>
    <t>Deg2Rad</t>
  </si>
  <si>
    <t>sin(D)Sin(L)</t>
  </si>
  <si>
    <t>Angle horaire local
(AHL  ou GHA)</t>
  </si>
  <si>
    <t>cos(D)cos(AHL)cos(L)</t>
  </si>
  <si>
    <t>Hc</t>
  </si>
  <si>
    <t>3. Azimut</t>
  </si>
  <si>
    <t>Az</t>
  </si>
  <si>
    <t>Sin(D)</t>
  </si>
  <si>
    <t>sin(L)sin(H)</t>
  </si>
  <si>
    <t>cos(L)cos(H)</t>
  </si>
  <si>
    <t>b. Par Greenwitch + Pas</t>
  </si>
  <si>
    <t>H. UT de reference</t>
  </si>
  <si>
    <t>Pas de Declinaison
(Var. Dec.)</t>
  </si>
  <si>
    <t>Pas de Angle Horaire
(Var. AH)</t>
  </si>
  <si>
    <t>METHODE ?</t>
  </si>
  <si>
    <t>Methode</t>
  </si>
  <si>
    <t>Par almanach nautique</t>
  </si>
  <si>
    <t>Par greenwitch + Pas</t>
  </si>
  <si>
    <t>4. Intercept</t>
  </si>
  <si>
    <t>-</t>
  </si>
  <si>
    <t>+</t>
  </si>
  <si>
    <t>Correction (Hauteur œil)</t>
  </si>
  <si>
    <t>Hv</t>
  </si>
  <si>
    <t>Correction bord soleil/Etoile</t>
  </si>
  <si>
    <t>Correction totale additive / bord inf soleil</t>
  </si>
  <si>
    <t>Hi (degre)</t>
  </si>
  <si>
    <t>Elevation œil (m)</t>
  </si>
  <si>
    <t>Bord sup soleil</t>
  </si>
  <si>
    <t>Hauteur Oeil</t>
  </si>
  <si>
    <t>Intercept</t>
  </si>
  <si>
    <t>AHL &lt; 180?</t>
  </si>
  <si>
    <t>Code couleur</t>
  </si>
  <si>
    <t>Valeur a saisir - Titre</t>
  </si>
  <si>
    <t>Valeur a saisir - Valeur</t>
  </si>
  <si>
    <t>Resultat intermediaire - Titre</t>
  </si>
  <si>
    <t>Resultat intermediaire - val</t>
  </si>
  <si>
    <t>Resultat Final - Titre</t>
  </si>
  <si>
    <t>Resultat Final - Valeur</t>
  </si>
  <si>
    <t>Bord</t>
  </si>
  <si>
    <t>Inferieur</t>
  </si>
  <si>
    <t>Superieur</t>
  </si>
  <si>
    <t>Astre</t>
  </si>
  <si>
    <t>4 mars 1998</t>
  </si>
  <si>
    <t>maison marly</t>
  </si>
  <si>
    <t>lat</t>
  </si>
  <si>
    <t>log</t>
  </si>
  <si>
    <t>n</t>
  </si>
  <si>
    <t>e</t>
  </si>
  <si>
    <t>h</t>
  </si>
  <si>
    <t>100.26m</t>
  </si>
  <si>
    <t>Sens</t>
  </si>
  <si>
    <t>Date (attention tout en UT)</t>
  </si>
  <si>
    <t>M(t)</t>
  </si>
  <si>
    <t>k</t>
  </si>
  <si>
    <t>q</t>
  </si>
  <si>
    <t>M(t) mod 360</t>
  </si>
  <si>
    <t>M(t1) mod 360</t>
  </si>
  <si>
    <t>Cas B</t>
  </si>
  <si>
    <t>Cas A</t>
  </si>
  <si>
    <t>Declinaison calculee</t>
  </si>
  <si>
    <t>Latitude estimee</t>
  </si>
  <si>
    <t>Angle horaire local</t>
  </si>
  <si>
    <t>k1</t>
  </si>
  <si>
    <t>en radian</t>
  </si>
  <si>
    <t>k2</t>
  </si>
  <si>
    <t>sin(D)</t>
  </si>
  <si>
    <t>sin(L)sin(Hc)</t>
  </si>
  <si>
    <t>k3</t>
  </si>
  <si>
    <t>cos(L)cos(Hc)</t>
  </si>
  <si>
    <t>attention passage 0/360</t>
  </si>
  <si>
    <t>bord sup</t>
  </si>
  <si>
    <t>Correction Œil</t>
  </si>
  <si>
    <t>H(œil)</t>
  </si>
  <si>
    <t>Interval</t>
  </si>
  <si>
    <t>borne basse</t>
  </si>
  <si>
    <t>borne haute</t>
  </si>
  <si>
    <t>index cell</t>
  </si>
  <si>
    <t>Hc val</t>
  </si>
  <si>
    <t>Correction Val</t>
  </si>
  <si>
    <t>Hc Val</t>
  </si>
  <si>
    <t>Correction</t>
  </si>
  <si>
    <t>=&gt;</t>
  </si>
  <si>
    <t>Info position Pg</t>
  </si>
  <si>
    <t>↔</t>
  </si>
  <si>
    <t>Info position estimée</t>
  </si>
  <si>
    <t>Mille Naut.</t>
  </si>
  <si>
    <t>1. Heure du passage a greenwitch du soleil</t>
  </si>
  <si>
    <t>t</t>
  </si>
  <si>
    <t>Meridienne Soleil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</si>
</sst>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8"/>
      <color theme="1"/>
      <name val="Times New Roman"/>
      <family val="1"/>
    </font>
    <font>
      <sz val="11"/>
      <color theme="0"/>
      <name val="Times New Roman"/>
      <family val="1"/>
    </font>
    <font>
      <b/>
      <sz val="20"/>
      <color theme="1"/>
      <name val="Times New Roman"/>
      <family val="1"/>
    </font>
    <font>
      <b/>
      <sz val="12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lightUp">
        <fgColor rgb="FFFFFF00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</patternFill>
    </fill>
    <fill>
      <patternFill patternType="lightUp">
        <fgColor rgb="FFFFFF00"/>
        <bgColor rgb="FFFFFF00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13" applyNumberFormat="0" applyAlignment="0" applyProtection="0"/>
    <xf numFmtId="0" fontId="11" fillId="13" borderId="13" applyNumberFormat="0" applyAlignment="0" applyProtection="0"/>
    <xf numFmtId="0" fontId="7" fillId="14" borderId="14" applyNumberFormat="0" applyFont="0" applyAlignment="0" applyProtection="0"/>
    <xf numFmtId="0" fontId="23" fillId="19" borderId="0" applyNumberFormat="0" applyBorder="0" applyAlignment="0" applyProtection="0"/>
  </cellStyleXfs>
  <cellXfs count="191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6" fillId="15" borderId="0" xfId="0" applyFont="1" applyFill="1"/>
    <xf numFmtId="0" fontId="11" fillId="13" borderId="13" xfId="4" applyAlignment="1">
      <alignment horizontal="center" vertical="top"/>
    </xf>
    <xf numFmtId="0" fontId="11" fillId="13" borderId="13" xfId="4" applyAlignment="1">
      <alignment horizontal="center" vertical="center"/>
    </xf>
    <xf numFmtId="0" fontId="11" fillId="13" borderId="13" xfId="4"/>
    <xf numFmtId="1" fontId="11" fillId="13" borderId="13" xfId="4" applyNumberFormat="1" applyAlignment="1">
      <alignment horizontal="center"/>
    </xf>
    <xf numFmtId="2" fontId="11" fillId="13" borderId="13" xfId="4" applyNumberFormat="1" applyAlignment="1">
      <alignment horizontal="center"/>
    </xf>
    <xf numFmtId="0" fontId="9" fillId="11" borderId="0" xfId="2"/>
    <xf numFmtId="2" fontId="11" fillId="13" borderId="13" xfId="4" applyNumberFormat="1"/>
    <xf numFmtId="0" fontId="11" fillId="13" borderId="13" xfId="4" quotePrefix="1"/>
    <xf numFmtId="164" fontId="11" fillId="13" borderId="13" xfId="4" applyNumberFormat="1"/>
    <xf numFmtId="0" fontId="10" fillId="12" borderId="13" xfId="3" applyAlignment="1">
      <alignment horizontal="center" vertical="top"/>
    </xf>
    <xf numFmtId="0" fontId="10" fillId="12" borderId="13" xfId="3"/>
    <xf numFmtId="0" fontId="16" fillId="15" borderId="4" xfId="0" applyFont="1" applyFill="1" applyBorder="1"/>
    <xf numFmtId="0" fontId="16" fillId="15" borderId="5" xfId="0" applyFont="1" applyFill="1" applyBorder="1"/>
    <xf numFmtId="0" fontId="16" fillId="15" borderId="6" xfId="0" applyFont="1" applyFill="1" applyBorder="1"/>
    <xf numFmtId="0" fontId="16" fillId="6" borderId="0" xfId="0" applyFont="1" applyFill="1"/>
    <xf numFmtId="1" fontId="11" fillId="13" borderId="16" xfId="4" applyNumberFormat="1" applyBorder="1" applyAlignment="1">
      <alignment horizontal="center"/>
    </xf>
    <xf numFmtId="2" fontId="11" fillId="13" borderId="16" xfId="4" applyNumberFormat="1" applyBorder="1" applyAlignment="1">
      <alignment horizontal="center"/>
    </xf>
    <xf numFmtId="2" fontId="10" fillId="16" borderId="13" xfId="3" applyNumberFormat="1" applyFill="1" applyAlignment="1">
      <alignment horizontal="center"/>
    </xf>
    <xf numFmtId="0" fontId="10" fillId="12" borderId="16" xfId="3" applyBorder="1" applyAlignment="1">
      <alignment horizontal="center" vertical="top"/>
    </xf>
    <xf numFmtId="0" fontId="11" fillId="13" borderId="15" xfId="4" applyBorder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" fontId="10" fillId="16" borderId="13" xfId="3" applyNumberFormat="1" applyFill="1" applyAlignment="1">
      <alignment horizontal="center"/>
    </xf>
    <xf numFmtId="0" fontId="2" fillId="14" borderId="14" xfId="5" applyFont="1"/>
    <xf numFmtId="0" fontId="0" fillId="5" borderId="0" xfId="0" applyFill="1"/>
    <xf numFmtId="2" fontId="10" fillId="16" borderId="13" xfId="3" applyNumberFormat="1" applyFill="1" applyBorder="1" applyAlignment="1">
      <alignment horizontal="center"/>
    </xf>
    <xf numFmtId="2" fontId="10" fillId="16" borderId="31" xfId="3" applyNumberFormat="1" applyFill="1" applyBorder="1" applyAlignment="1">
      <alignment horizontal="center"/>
    </xf>
    <xf numFmtId="0" fontId="13" fillId="12" borderId="28" xfId="3" applyFont="1" applyBorder="1" applyAlignment="1">
      <alignment horizontal="center" vertical="top"/>
    </xf>
    <xf numFmtId="0" fontId="13" fillId="12" borderId="35" xfId="3" applyFont="1" applyBorder="1" applyAlignment="1">
      <alignment horizontal="center" vertical="top"/>
    </xf>
    <xf numFmtId="0" fontId="10" fillId="12" borderId="13" xfId="3" applyBorder="1" applyAlignment="1">
      <alignment horizontal="center" vertical="top"/>
    </xf>
    <xf numFmtId="0" fontId="10" fillId="12" borderId="13" xfId="3" applyBorder="1"/>
    <xf numFmtId="0" fontId="10" fillId="12" borderId="31" xfId="3" applyBorder="1"/>
    <xf numFmtId="0" fontId="10" fillId="12" borderId="31" xfId="3" applyBorder="1" applyAlignment="1">
      <alignment horizontal="center" vertical="top"/>
    </xf>
    <xf numFmtId="0" fontId="10" fillId="16" borderId="37" xfId="3" applyFill="1" applyBorder="1"/>
    <xf numFmtId="0" fontId="10" fillId="12" borderId="38" xfId="3" applyBorder="1"/>
    <xf numFmtId="0" fontId="2" fillId="0" borderId="12" xfId="0" applyFont="1" applyBorder="1" applyAlignment="1">
      <alignment vertical="center"/>
    </xf>
    <xf numFmtId="0" fontId="2" fillId="0" borderId="11" xfId="0" applyFont="1" applyBorder="1"/>
    <xf numFmtId="0" fontId="8" fillId="10" borderId="10" xfId="1" applyBorder="1"/>
    <xf numFmtId="0" fontId="8" fillId="10" borderId="9" xfId="1" applyBorder="1"/>
    <xf numFmtId="0" fontId="8" fillId="10" borderId="2" xfId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1" fillId="13" borderId="13" xfId="4" applyAlignment="1">
      <alignment horizontal="center"/>
    </xf>
    <xf numFmtId="0" fontId="0" fillId="18" borderId="0" xfId="0" applyFill="1"/>
    <xf numFmtId="0" fontId="0" fillId="18" borderId="0" xfId="0" quotePrefix="1" applyFill="1"/>
    <xf numFmtId="0" fontId="15" fillId="0" borderId="5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1" fillId="13" borderId="13" xfId="4" applyAlignment="1">
      <alignment horizontal="center"/>
    </xf>
    <xf numFmtId="0" fontId="11" fillId="13" borderId="13" xfId="4" applyAlignment="1">
      <alignment horizontal="center" vertic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top"/>
    </xf>
    <xf numFmtId="166" fontId="11" fillId="13" borderId="13" xfId="4" applyNumberFormat="1"/>
    <xf numFmtId="0" fontId="11" fillId="20" borderId="13" xfId="4" applyFill="1"/>
    <xf numFmtId="0" fontId="23" fillId="19" borderId="0" xfId="6"/>
    <xf numFmtId="0" fontId="11" fillId="13" borderId="13" xfId="4" applyAlignment="1">
      <alignment horizont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top"/>
    </xf>
    <xf numFmtId="0" fontId="0" fillId="18" borderId="1" xfId="0" applyFill="1" applyBorder="1" applyAlignment="1" applyProtection="1">
      <alignment horizontal="center"/>
      <protection locked="0"/>
    </xf>
    <xf numFmtId="0" fontId="0" fillId="21" borderId="0" xfId="0" applyFill="1" applyProtection="1">
      <protection locked="0"/>
    </xf>
    <xf numFmtId="0" fontId="2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22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9" fillId="11" borderId="1" xfId="2" applyBorder="1" applyAlignment="1">
      <alignment vertical="center"/>
    </xf>
    <xf numFmtId="165" fontId="9" fillId="11" borderId="1" xfId="2" applyNumberFormat="1" applyBorder="1" applyAlignment="1">
      <alignment vertical="center"/>
    </xf>
    <xf numFmtId="0" fontId="9" fillId="11" borderId="1" xfId="2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1" fillId="13" borderId="13" xfId="4" quotePrefix="1" applyAlignment="1">
      <alignment horizontal="center" vertical="center"/>
    </xf>
    <xf numFmtId="0" fontId="11" fillId="13" borderId="13" xfId="4" applyAlignment="1">
      <alignment horizontal="center" vertical="center"/>
    </xf>
    <xf numFmtId="165" fontId="11" fillId="13" borderId="13" xfId="4" applyNumberFormat="1" applyAlignment="1">
      <alignment horizontal="center"/>
    </xf>
    <xf numFmtId="0" fontId="11" fillId="13" borderId="13" xfId="4" applyAlignment="1">
      <alignment horizontal="center"/>
    </xf>
    <xf numFmtId="165" fontId="11" fillId="13" borderId="17" xfId="4" applyNumberFormat="1" applyBorder="1" applyAlignment="1">
      <alignment horizontal="center"/>
    </xf>
    <xf numFmtId="165" fontId="11" fillId="13" borderId="18" xfId="4" applyNumberFormat="1" applyBorder="1" applyAlignment="1">
      <alignment horizontal="center"/>
    </xf>
    <xf numFmtId="165" fontId="11" fillId="13" borderId="19" xfId="4" applyNumberFormat="1" applyBorder="1" applyAlignment="1">
      <alignment horizontal="center"/>
    </xf>
    <xf numFmtId="0" fontId="8" fillId="10" borderId="1" xfId="1" applyBorder="1" applyAlignment="1">
      <alignment horizontal="center"/>
    </xf>
    <xf numFmtId="0" fontId="11" fillId="13" borderId="44" xfId="4" applyBorder="1" applyAlignment="1">
      <alignment horizontal="center"/>
    </xf>
    <xf numFmtId="0" fontId="11" fillId="13" borderId="15" xfId="4" applyBorder="1" applyAlignment="1">
      <alignment horizontal="center"/>
    </xf>
    <xf numFmtId="2" fontId="11" fillId="13" borderId="13" xfId="4" applyNumberFormat="1" applyAlignment="1">
      <alignment horizontal="center"/>
    </xf>
    <xf numFmtId="0" fontId="11" fillId="20" borderId="44" xfId="4" applyFill="1" applyBorder="1" applyAlignment="1">
      <alignment horizontal="center"/>
    </xf>
    <xf numFmtId="0" fontId="11" fillId="20" borderId="15" xfId="4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10" fillId="12" borderId="13" xfId="3" applyAlignment="1">
      <alignment horizontal="center"/>
    </xf>
    <xf numFmtId="0" fontId="11" fillId="13" borderId="13" xfId="4" applyAlignment="1">
      <alignment horizontal="center" vertical="center" wrapText="1"/>
    </xf>
    <xf numFmtId="0" fontId="11" fillId="13" borderId="13" xfId="4" applyAlignment="1">
      <alignment horizontal="center" vertical="top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6" fontId="11" fillId="13" borderId="13" xfId="4" applyNumberFormat="1" applyAlignment="1">
      <alignment horizontal="center" vertical="top"/>
    </xf>
    <xf numFmtId="0" fontId="11" fillId="20" borderId="13" xfId="4" applyFill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3" fillId="12" borderId="13" xfId="3" applyFont="1" applyAlignment="1">
      <alignment horizontal="center" vertical="center" wrapText="1"/>
    </xf>
    <xf numFmtId="0" fontId="13" fillId="12" borderId="13" xfId="3" applyFont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66" fontId="11" fillId="13" borderId="13" xfId="4" applyNumberFormat="1" applyAlignment="1">
      <alignment horizontal="center"/>
    </xf>
    <xf numFmtId="0" fontId="13" fillId="12" borderId="13" xfId="3" applyFont="1" applyAlignment="1">
      <alignment horizontal="center"/>
    </xf>
    <xf numFmtId="0" fontId="13" fillId="12" borderId="34" xfId="3" applyFont="1" applyBorder="1" applyAlignment="1">
      <alignment horizontal="center" vertical="center" wrapText="1"/>
    </xf>
    <xf numFmtId="0" fontId="13" fillId="12" borderId="28" xfId="3" applyFont="1" applyBorder="1" applyAlignment="1">
      <alignment horizontal="center" vertical="center" wrapText="1"/>
    </xf>
    <xf numFmtId="0" fontId="13" fillId="12" borderId="30" xfId="3" applyFont="1" applyBorder="1" applyAlignment="1">
      <alignment horizontal="center" vertical="center" wrapText="1"/>
    </xf>
    <xf numFmtId="0" fontId="13" fillId="12" borderId="13" xfId="3" applyFont="1" applyBorder="1" applyAlignment="1">
      <alignment horizontal="center" vertical="center" wrapText="1"/>
    </xf>
    <xf numFmtId="0" fontId="13" fillId="12" borderId="32" xfId="3" applyFont="1" applyBorder="1" applyAlignment="1">
      <alignment horizontal="center" vertical="center" wrapText="1"/>
    </xf>
    <xf numFmtId="0" fontId="13" fillId="12" borderId="16" xfId="3" applyFont="1" applyBorder="1" applyAlignment="1">
      <alignment horizontal="center" vertical="center" wrapText="1"/>
    </xf>
    <xf numFmtId="166" fontId="11" fillId="13" borderId="41" xfId="4" applyNumberFormat="1" applyBorder="1" applyAlignment="1">
      <alignment horizontal="center"/>
    </xf>
    <xf numFmtId="166" fontId="11" fillId="13" borderId="42" xfId="4" applyNumberFormat="1" applyBorder="1" applyAlignment="1">
      <alignment horizontal="center"/>
    </xf>
    <xf numFmtId="166" fontId="11" fillId="13" borderId="43" xfId="4" applyNumberFormat="1" applyBorder="1" applyAlignment="1">
      <alignment horizontal="center"/>
    </xf>
    <xf numFmtId="0" fontId="13" fillId="12" borderId="22" xfId="3" applyFont="1" applyBorder="1" applyAlignment="1">
      <alignment horizontal="center" vertical="center"/>
    </xf>
    <xf numFmtId="0" fontId="13" fillId="12" borderId="23" xfId="3" applyFont="1" applyBorder="1" applyAlignment="1">
      <alignment horizontal="center" vertical="center"/>
    </xf>
    <xf numFmtId="0" fontId="13" fillId="12" borderId="30" xfId="3" applyFont="1" applyBorder="1" applyAlignment="1">
      <alignment horizontal="center" vertical="center"/>
    </xf>
    <xf numFmtId="0" fontId="13" fillId="12" borderId="13" xfId="3" applyFont="1" applyBorder="1" applyAlignment="1">
      <alignment horizontal="center" vertical="center"/>
    </xf>
    <xf numFmtId="0" fontId="13" fillId="12" borderId="25" xfId="3" applyFont="1" applyBorder="1" applyAlignment="1">
      <alignment horizontal="center" vertical="center"/>
    </xf>
    <xf numFmtId="0" fontId="13" fillId="12" borderId="26" xfId="3" applyFont="1" applyBorder="1" applyAlignment="1">
      <alignment horizontal="center" vertical="center"/>
    </xf>
    <xf numFmtId="0" fontId="10" fillId="16" borderId="7" xfId="3" applyFill="1" applyBorder="1" applyAlignment="1">
      <alignment horizontal="center" vertical="center"/>
    </xf>
    <xf numFmtId="0" fontId="10" fillId="16" borderId="29" xfId="3" applyFill="1" applyBorder="1" applyAlignment="1">
      <alignment horizontal="center" vertical="center"/>
    </xf>
    <xf numFmtId="0" fontId="10" fillId="16" borderId="0" xfId="3" applyFill="1" applyBorder="1" applyAlignment="1">
      <alignment horizontal="center" vertical="center"/>
    </xf>
    <xf numFmtId="0" fontId="10" fillId="16" borderId="21" xfId="3" applyFill="1" applyBorder="1" applyAlignment="1">
      <alignment horizontal="center" vertical="center"/>
    </xf>
    <xf numFmtId="0" fontId="10" fillId="16" borderId="3" xfId="3" applyFill="1" applyBorder="1" applyAlignment="1">
      <alignment horizontal="center" vertical="center"/>
    </xf>
    <xf numFmtId="0" fontId="10" fillId="16" borderId="36" xfId="3" applyFill="1" applyBorder="1" applyAlignment="1">
      <alignment horizontal="center" vertical="center"/>
    </xf>
    <xf numFmtId="0" fontId="13" fillId="12" borderId="23" xfId="3" applyFont="1" applyBorder="1" applyAlignment="1">
      <alignment horizontal="center"/>
    </xf>
    <xf numFmtId="0" fontId="13" fillId="12" borderId="24" xfId="3" applyFont="1" applyBorder="1" applyAlignment="1">
      <alignment horizontal="center"/>
    </xf>
    <xf numFmtId="0" fontId="13" fillId="12" borderId="39" xfId="3" applyFont="1" applyBorder="1" applyAlignment="1">
      <alignment horizontal="center" vertical="center"/>
    </xf>
    <xf numFmtId="0" fontId="13" fillId="12" borderId="40" xfId="3" applyFont="1" applyBorder="1" applyAlignment="1">
      <alignment horizontal="center" vertical="center"/>
    </xf>
    <xf numFmtId="0" fontId="10" fillId="16" borderId="40" xfId="3" applyFill="1" applyBorder="1" applyAlignment="1">
      <alignment horizontal="center"/>
    </xf>
    <xf numFmtId="0" fontId="10" fillId="16" borderId="38" xfId="3" applyFill="1" applyBorder="1" applyAlignment="1">
      <alignment horizontal="center"/>
    </xf>
    <xf numFmtId="2" fontId="11" fillId="13" borderId="26" xfId="4" applyNumberFormat="1" applyBorder="1" applyAlignment="1">
      <alignment horizontal="center"/>
    </xf>
    <xf numFmtId="2" fontId="11" fillId="13" borderId="27" xfId="4" applyNumberFormat="1" applyBorder="1" applyAlignment="1">
      <alignment horizontal="center"/>
    </xf>
    <xf numFmtId="0" fontId="13" fillId="12" borderId="4" xfId="3" applyFont="1" applyBorder="1" applyAlignment="1">
      <alignment horizontal="center"/>
    </xf>
    <xf numFmtId="0" fontId="13" fillId="12" borderId="37" xfId="3" applyFont="1" applyBorder="1" applyAlignment="1">
      <alignment horizontal="center"/>
    </xf>
    <xf numFmtId="0" fontId="13" fillId="12" borderId="22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 vertical="center" wrapText="1"/>
    </xf>
    <xf numFmtId="0" fontId="13" fillId="12" borderId="25" xfId="3" applyFont="1" applyBorder="1" applyAlignment="1">
      <alignment horizontal="center" vertical="center" wrapText="1"/>
    </xf>
    <xf numFmtId="0" fontId="13" fillId="12" borderId="26" xfId="3" applyFont="1" applyBorder="1" applyAlignment="1">
      <alignment horizontal="center" vertical="center" wrapText="1"/>
    </xf>
    <xf numFmtId="0" fontId="10" fillId="16" borderId="13" xfId="3" applyFill="1" applyBorder="1" applyAlignment="1">
      <alignment horizontal="center" vertical="center"/>
    </xf>
    <xf numFmtId="0" fontId="10" fillId="16" borderId="26" xfId="3" applyFill="1" applyBorder="1" applyAlignment="1">
      <alignment horizontal="center" vertical="center"/>
    </xf>
    <xf numFmtId="0" fontId="10" fillId="16" borderId="31" xfId="3" applyFill="1" applyBorder="1" applyAlignment="1">
      <alignment horizontal="center" vertical="center"/>
    </xf>
    <xf numFmtId="0" fontId="10" fillId="16" borderId="27" xfId="3" applyFill="1" applyBorder="1" applyAlignment="1">
      <alignment horizontal="center" vertical="center"/>
    </xf>
    <xf numFmtId="166" fontId="11" fillId="13" borderId="26" xfId="4" applyNumberFormat="1" applyBorder="1" applyAlignment="1">
      <alignment horizontal="center"/>
    </xf>
    <xf numFmtId="0" fontId="11" fillId="13" borderId="1" xfId="4" applyFont="1" applyBorder="1" applyAlignment="1">
      <alignment horizontal="center"/>
    </xf>
    <xf numFmtId="0" fontId="13" fillId="16" borderId="22" xfId="3" applyFont="1" applyFill="1" applyBorder="1" applyAlignment="1">
      <alignment horizontal="center" vertical="center"/>
    </xf>
    <xf numFmtId="0" fontId="13" fillId="16" borderId="32" xfId="3" applyFont="1" applyFill="1" applyBorder="1" applyAlignment="1">
      <alignment horizontal="center" vertical="center"/>
    </xf>
    <xf numFmtId="0" fontId="13" fillId="16" borderId="23" xfId="3" applyFont="1" applyFill="1" applyBorder="1" applyAlignment="1">
      <alignment horizontal="center" vertical="center"/>
    </xf>
    <xf numFmtId="0" fontId="13" fillId="16" borderId="16" xfId="3" applyFont="1" applyFill="1" applyBorder="1" applyAlignment="1">
      <alignment horizontal="center" vertical="center"/>
    </xf>
    <xf numFmtId="0" fontId="13" fillId="16" borderId="24" xfId="3" applyFont="1" applyFill="1" applyBorder="1" applyAlignment="1">
      <alignment horizontal="center" vertical="center"/>
    </xf>
    <xf numFmtId="0" fontId="13" fillId="16" borderId="33" xfId="3" applyFont="1" applyFill="1" applyBorder="1" applyAlignment="1">
      <alignment horizontal="center" vertical="center"/>
    </xf>
    <xf numFmtId="0" fontId="11" fillId="13" borderId="20" xfId="4" applyBorder="1" applyAlignment="1">
      <alignment horizontal="center" vertical="center"/>
    </xf>
    <xf numFmtId="0" fontId="14" fillId="10" borderId="1" xfId="1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3" fillId="12" borderId="1" xfId="3" applyFont="1" applyBorder="1" applyAlignment="1">
      <alignment horizontal="center"/>
    </xf>
    <xf numFmtId="0" fontId="18" fillId="16" borderId="1" xfId="3" applyFont="1" applyFill="1" applyBorder="1" applyAlignment="1">
      <alignment horizontal="center" vertical="center"/>
    </xf>
    <xf numFmtId="0" fontId="13" fillId="16" borderId="1" xfId="3" applyFont="1" applyFill="1" applyBorder="1" applyAlignment="1">
      <alignment horizontal="center"/>
    </xf>
    <xf numFmtId="0" fontId="12" fillId="13" borderId="1" xfId="4" applyFont="1" applyBorder="1" applyAlignment="1">
      <alignment horizontal="center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3" fillId="24" borderId="13" xfId="3" applyFont="1" applyFill="1" applyAlignment="1">
      <alignment horizontal="center"/>
    </xf>
    <xf numFmtId="0" fontId="11" fillId="24" borderId="13" xfId="4" applyFill="1" applyAlignment="1">
      <alignment horizontal="center"/>
    </xf>
    <xf numFmtId="0" fontId="10" fillId="24" borderId="16" xfId="3" applyFill="1" applyBorder="1" applyAlignment="1">
      <alignment horizontal="center" vertical="top"/>
    </xf>
    <xf numFmtId="0" fontId="11" fillId="24" borderId="13" xfId="4" applyFill="1" applyAlignment="1">
      <alignment horizontal="center" vertical="top"/>
    </xf>
    <xf numFmtId="0" fontId="13" fillId="25" borderId="22" xfId="3" applyFont="1" applyFill="1" applyBorder="1" applyAlignment="1">
      <alignment horizontal="center" vertical="center"/>
    </xf>
    <xf numFmtId="0" fontId="13" fillId="25" borderId="23" xfId="3" applyFont="1" applyFill="1" applyBorder="1" applyAlignment="1">
      <alignment horizontal="center" vertical="center"/>
    </xf>
    <xf numFmtId="0" fontId="13" fillId="25" borderId="24" xfId="3" applyFont="1" applyFill="1" applyBorder="1" applyAlignment="1">
      <alignment horizontal="center" vertical="center"/>
    </xf>
    <xf numFmtId="0" fontId="11" fillId="24" borderId="15" xfId="4" applyFill="1" applyBorder="1" applyAlignment="1">
      <alignment horizontal="center" vertical="center"/>
    </xf>
    <xf numFmtId="0" fontId="11" fillId="24" borderId="13" xfId="4" applyFill="1" applyAlignment="1">
      <alignment horizontal="center" vertical="center"/>
    </xf>
    <xf numFmtId="0" fontId="13" fillId="25" borderId="32" xfId="3" applyFont="1" applyFill="1" applyBorder="1" applyAlignment="1">
      <alignment horizontal="center" vertical="center"/>
    </xf>
    <xf numFmtId="0" fontId="13" fillId="25" borderId="16" xfId="3" applyFont="1" applyFill="1" applyBorder="1" applyAlignment="1">
      <alignment horizontal="center" vertical="center"/>
    </xf>
    <xf numFmtId="0" fontId="13" fillId="25" borderId="33" xfId="3" applyFont="1" applyFill="1" applyBorder="1" applyAlignment="1">
      <alignment horizontal="center" vertical="center"/>
    </xf>
    <xf numFmtId="0" fontId="11" fillId="24" borderId="20" xfId="4" applyFill="1" applyBorder="1" applyAlignment="1">
      <alignment horizontal="center" vertical="center"/>
    </xf>
    <xf numFmtId="0" fontId="11" fillId="24" borderId="13" xfId="4" applyFill="1" applyAlignment="1">
      <alignment horizontal="center" vertical="center"/>
    </xf>
  </cellXfs>
  <cellStyles count="7">
    <cellStyle name="Calcul" xfId="4" builtinId="22"/>
    <cellStyle name="Entrée" xfId="3" builtinId="20"/>
    <cellStyle name="Insatisfaisant" xfId="6" builtinId="27"/>
    <cellStyle name="Neutre" xfId="2" builtinId="28"/>
    <cellStyle name="Normal" xfId="0" builtinId="0"/>
    <cellStyle name="Note" xfId="5" builtinId="1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4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19225" y="17602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315200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113"/>
  <sheetViews>
    <sheetView topLeftCell="A40" workbookViewId="0">
      <selection activeCell="AA26" sqref="AA26"/>
    </sheetView>
  </sheetViews>
  <sheetFormatPr baseColWidth="10" defaultColWidth="11.453125" defaultRowHeight="14" x14ac:dyDescent="0.3"/>
  <cols>
    <col min="1" max="1" width="11.453125" style="1"/>
    <col min="2" max="18" width="7.1796875" style="1" customWidth="1"/>
    <col min="19" max="19" width="9" style="1" customWidth="1"/>
    <col min="20" max="20" width="7.1796875" style="1" customWidth="1"/>
    <col min="21" max="21" width="13.7265625" style="1" customWidth="1"/>
    <col min="22" max="22" width="10.1796875" style="1" customWidth="1"/>
    <col min="23" max="23" width="11.453125" style="1"/>
    <col min="24" max="24" width="13.7265625" style="1" customWidth="1"/>
    <col min="25" max="26" width="11.453125" style="1"/>
    <col min="27" max="27" width="13.7265625" style="1" customWidth="1"/>
    <col min="28" max="16384" width="11.453125" style="1"/>
  </cols>
  <sheetData>
    <row r="1" spans="2:36" ht="14.5" thickBot="1" x14ac:dyDescent="0.35"/>
    <row r="2" spans="2:36" ht="63" customHeight="1" thickBot="1" x14ac:dyDescent="0.35">
      <c r="B2" s="166" t="s">
        <v>10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56"/>
      <c r="R2" s="16" t="s">
        <v>71</v>
      </c>
      <c r="S2" s="16"/>
      <c r="Y2" s="56"/>
      <c r="Z2" s="57"/>
    </row>
    <row r="3" spans="2:36" ht="15" thickBot="1" x14ac:dyDescent="0.4">
      <c r="S3" s="168" t="s">
        <v>72</v>
      </c>
      <c r="T3" s="168"/>
      <c r="U3" s="168"/>
      <c r="V3" s="168"/>
      <c r="W3" s="168"/>
      <c r="X3" s="168"/>
    </row>
    <row r="4" spans="2:36" ht="53.25" customHeight="1" thickBot="1" x14ac:dyDescent="0.4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69" t="s">
        <v>82</v>
      </c>
      <c r="L4" s="169"/>
      <c r="M4" s="169"/>
      <c r="S4" s="170" t="s">
        <v>73</v>
      </c>
      <c r="T4" s="170"/>
      <c r="U4" s="170"/>
      <c r="V4" s="170"/>
      <c r="W4" s="170"/>
      <c r="X4" s="170"/>
    </row>
    <row r="5" spans="2:36" ht="14.5" x14ac:dyDescent="0.35">
      <c r="B5" s="116" t="s">
        <v>2</v>
      </c>
      <c r="C5" s="116"/>
      <c r="D5" s="116"/>
      <c r="E5" s="116" t="s">
        <v>6</v>
      </c>
      <c r="F5" s="116"/>
      <c r="G5" s="116"/>
      <c r="H5" s="116" t="s">
        <v>7</v>
      </c>
      <c r="I5" s="116"/>
      <c r="J5" s="116"/>
      <c r="K5" s="90" t="s">
        <v>8</v>
      </c>
      <c r="L5" s="90"/>
      <c r="M5" s="90"/>
      <c r="S5" s="171" t="s">
        <v>74</v>
      </c>
      <c r="T5" s="171"/>
      <c r="U5" s="171"/>
      <c r="V5" s="171"/>
      <c r="W5" s="171"/>
      <c r="X5" s="171"/>
    </row>
    <row r="6" spans="2:36" ht="15" thickBot="1" x14ac:dyDescent="0.4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57" t="s">
        <v>75</v>
      </c>
      <c r="T6" s="157"/>
      <c r="U6" s="157"/>
      <c r="V6" s="157"/>
      <c r="W6" s="157"/>
      <c r="X6" s="157"/>
      <c r="AA6" s="1" t="s">
        <v>9</v>
      </c>
      <c r="AD6" s="1" t="s">
        <v>9</v>
      </c>
      <c r="AG6" s="1" t="s">
        <v>9</v>
      </c>
      <c r="AJ6" s="1" t="s">
        <v>9</v>
      </c>
    </row>
    <row r="7" spans="2:36" ht="14.5" x14ac:dyDescent="0.35">
      <c r="B7" s="158">
        <v>9</v>
      </c>
      <c r="C7" s="160">
        <v>56</v>
      </c>
      <c r="D7" s="162">
        <v>42</v>
      </c>
      <c r="E7" s="158">
        <v>0</v>
      </c>
      <c r="F7" s="160">
        <v>0</v>
      </c>
      <c r="G7" s="162">
        <v>0</v>
      </c>
      <c r="H7" s="158">
        <v>0</v>
      </c>
      <c r="I7" s="160">
        <v>0</v>
      </c>
      <c r="J7" s="162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94" t="s">
        <v>76</v>
      </c>
      <c r="T7" s="94"/>
      <c r="U7" s="94"/>
      <c r="V7" s="94"/>
      <c r="W7" s="94"/>
      <c r="X7" s="94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" thickBot="1" x14ac:dyDescent="0.4">
      <c r="B8" s="159"/>
      <c r="C8" s="161"/>
      <c r="D8" s="163"/>
      <c r="E8" s="159"/>
      <c r="F8" s="161"/>
      <c r="G8" s="163"/>
      <c r="H8" s="159"/>
      <c r="I8" s="161"/>
      <c r="J8" s="163"/>
      <c r="K8" s="164">
        <f>K7+L7/60+M7/3600</f>
        <v>9.9450000000000003</v>
      </c>
      <c r="L8" s="88"/>
      <c r="M8" s="88"/>
      <c r="S8" s="165" t="s">
        <v>77</v>
      </c>
      <c r="T8" s="165"/>
      <c r="U8" s="165"/>
      <c r="V8" s="165"/>
      <c r="W8" s="165"/>
      <c r="X8" s="165"/>
    </row>
    <row r="9" spans="2:36" ht="15" customHeight="1" x14ac:dyDescent="0.35">
      <c r="B9" s="148" t="s">
        <v>18</v>
      </c>
      <c r="C9" s="149"/>
      <c r="D9" s="138" t="s">
        <v>17</v>
      </c>
      <c r="E9" s="138"/>
      <c r="F9" s="138"/>
      <c r="G9" s="138"/>
      <c r="H9" s="138" t="s">
        <v>16</v>
      </c>
      <c r="I9" s="138"/>
      <c r="J9" s="138"/>
      <c r="K9" s="139"/>
    </row>
    <row r="10" spans="2:36" ht="14.5" x14ac:dyDescent="0.35">
      <c r="B10" s="119"/>
      <c r="C10" s="120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ht="14.5" x14ac:dyDescent="0.35">
      <c r="B11" s="119"/>
      <c r="C11" s="120"/>
      <c r="D11" s="41">
        <v>48.875556000000003</v>
      </c>
      <c r="E11" s="41">
        <v>0</v>
      </c>
      <c r="F11" s="41">
        <v>0</v>
      </c>
      <c r="G11" s="152" t="s">
        <v>28</v>
      </c>
      <c r="H11" s="41">
        <v>2.0948030000000002</v>
      </c>
      <c r="I11" s="41">
        <v>0</v>
      </c>
      <c r="J11" s="41">
        <v>0</v>
      </c>
      <c r="K11" s="154" t="s">
        <v>32</v>
      </c>
    </row>
    <row r="12" spans="2:36" ht="15" thickBot="1" x14ac:dyDescent="0.4">
      <c r="B12" s="150"/>
      <c r="C12" s="151"/>
      <c r="D12" s="156">
        <f>(D11+E11/60+F11/3600) * VLOOKUP(G11,Constante!$D$15:$E$16,2)</f>
        <v>48.875556000000003</v>
      </c>
      <c r="E12" s="156"/>
      <c r="F12" s="156"/>
      <c r="G12" s="153"/>
      <c r="H12" s="156">
        <f>(H11+I11/60+J11/3600) * VLOOKUP(K11,Constante!$D$12:$E$13,2)</f>
        <v>2.0948030000000002</v>
      </c>
      <c r="I12" s="156"/>
      <c r="J12" s="156"/>
      <c r="K12" s="155"/>
    </row>
    <row r="13" spans="2:36" ht="15" customHeight="1" x14ac:dyDescent="0.3">
      <c r="B13" s="117" t="s">
        <v>21</v>
      </c>
      <c r="C13" s="118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35">
      <c r="B14" s="119"/>
      <c r="C14" s="120"/>
      <c r="D14" s="41" t="s">
        <v>60</v>
      </c>
      <c r="E14" s="41">
        <v>0</v>
      </c>
      <c r="F14" s="41">
        <v>42</v>
      </c>
      <c r="G14" s="42">
        <v>0</v>
      </c>
    </row>
    <row r="15" spans="2:36" ht="15" thickBot="1" x14ac:dyDescent="0.4">
      <c r="B15" s="121"/>
      <c r="C15" s="122"/>
      <c r="D15" s="123">
        <f>(E14+F14/60+G14/3600) * VLOOKUP(D14,Constante!J12:K13,2)</f>
        <v>0.7</v>
      </c>
      <c r="E15" s="124"/>
      <c r="F15" s="124"/>
      <c r="G15" s="125"/>
    </row>
    <row r="16" spans="2:36" ht="19.5" customHeight="1" thickBot="1" x14ac:dyDescent="0.4">
      <c r="B16" s="126" t="s">
        <v>11</v>
      </c>
      <c r="C16" s="127"/>
      <c r="D16" s="127"/>
      <c r="E16" s="132" t="s">
        <v>15</v>
      </c>
      <c r="F16" s="133"/>
      <c r="G16" s="138" t="s">
        <v>12</v>
      </c>
      <c r="H16" s="138"/>
      <c r="I16" s="139"/>
      <c r="J16" s="140" t="s">
        <v>78</v>
      </c>
      <c r="K16" s="141"/>
      <c r="L16" s="142" t="s">
        <v>79</v>
      </c>
      <c r="M16" s="143"/>
    </row>
    <row r="17" spans="2:18" ht="14.5" x14ac:dyDescent="0.3">
      <c r="B17" s="128"/>
      <c r="C17" s="129"/>
      <c r="D17" s="129"/>
      <c r="E17" s="134"/>
      <c r="F17" s="135"/>
      <c r="G17" s="45" t="s">
        <v>13</v>
      </c>
      <c r="H17" s="45" t="s">
        <v>4</v>
      </c>
      <c r="I17" s="48" t="s">
        <v>5</v>
      </c>
      <c r="J17" s="52"/>
    </row>
    <row r="18" spans="2:18" ht="15" thickBot="1" x14ac:dyDescent="0.4">
      <c r="B18" s="128"/>
      <c r="C18" s="129"/>
      <c r="D18" s="129"/>
      <c r="E18" s="134"/>
      <c r="F18" s="135"/>
      <c r="G18" s="41">
        <v>31</v>
      </c>
      <c r="H18" s="41">
        <v>17</v>
      </c>
      <c r="I18" s="42">
        <v>0</v>
      </c>
      <c r="J18" s="51"/>
    </row>
    <row r="19" spans="2:18" ht="15" thickBot="1" x14ac:dyDescent="0.4">
      <c r="B19" s="130"/>
      <c r="C19" s="131"/>
      <c r="D19" s="131"/>
      <c r="E19" s="136"/>
      <c r="F19" s="137"/>
      <c r="G19" s="144">
        <f>G18+H18/60+I18/3600</f>
        <v>31.283333333333335</v>
      </c>
      <c r="H19" s="144"/>
      <c r="I19" s="145"/>
      <c r="J19" s="146" t="s">
        <v>20</v>
      </c>
      <c r="K19" s="147"/>
      <c r="L19" s="49">
        <v>0</v>
      </c>
      <c r="M19" s="50" t="s">
        <v>4</v>
      </c>
    </row>
    <row r="23" spans="2:18" ht="14.5" thickBot="1" x14ac:dyDescent="0.35"/>
    <row r="24" spans="2:18" ht="14.5" thickBot="1" x14ac:dyDescent="0.35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3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ht="14.5" x14ac:dyDescent="0.35">
      <c r="D26" s="39" t="s">
        <v>1</v>
      </c>
      <c r="E26" s="39"/>
      <c r="G26" s="116" t="s">
        <v>33</v>
      </c>
      <c r="H26" s="116"/>
      <c r="I26" s="116"/>
      <c r="M26" s="116" t="s">
        <v>34</v>
      </c>
      <c r="N26" s="116"/>
      <c r="O26" s="116"/>
    </row>
    <row r="27" spans="2:18" ht="14.5" x14ac:dyDescent="0.3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ht="14.5" x14ac:dyDescent="0.3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ht="14.5" x14ac:dyDescent="0.35">
      <c r="G29" s="88">
        <f>G28+H28/60+I28/3600</f>
        <v>9</v>
      </c>
      <c r="H29" s="88"/>
      <c r="I29" s="88"/>
      <c r="M29" s="88">
        <f>M28+N28/60+O28/3600</f>
        <v>10</v>
      </c>
      <c r="N29" s="88"/>
      <c r="O29" s="88"/>
      <c r="Q29" s="19" t="s">
        <v>93</v>
      </c>
      <c r="R29" s="19">
        <f>(K8-M29)/(G29-M29)</f>
        <v>5.4999999999999716E-2</v>
      </c>
    </row>
    <row r="31" spans="2:18" ht="14.5" x14ac:dyDescent="0.35">
      <c r="D31" s="112" t="s">
        <v>35</v>
      </c>
      <c r="E31" s="113"/>
      <c r="F31" s="113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ht="14.5" x14ac:dyDescent="0.35">
      <c r="D32" s="113"/>
      <c r="E32" s="113"/>
      <c r="F32" s="113"/>
      <c r="G32" s="34">
        <v>5</v>
      </c>
      <c r="H32" s="34">
        <v>33.200000000000003</v>
      </c>
      <c r="I32" s="34">
        <v>0</v>
      </c>
      <c r="J32" s="114" t="s">
        <v>29</v>
      </c>
      <c r="L32" s="34">
        <v>5</v>
      </c>
      <c r="M32" s="34">
        <v>34.200000000000003</v>
      </c>
      <c r="N32" s="34">
        <v>0</v>
      </c>
      <c r="O32" s="114" t="s">
        <v>29</v>
      </c>
    </row>
    <row r="33" spans="3:31" ht="15" thickBot="1" x14ac:dyDescent="0.4">
      <c r="D33" s="113"/>
      <c r="E33" s="113"/>
      <c r="F33" s="113"/>
      <c r="G33" s="115">
        <f>(G32+H32/60+I32/3600) * VLOOKUP(J32,Constante!$D$15:$E$16,2)</f>
        <v>-5.5533333333333337</v>
      </c>
      <c r="H33" s="115"/>
      <c r="I33" s="115"/>
      <c r="J33" s="114"/>
      <c r="L33" s="115">
        <f>(L32+M32/60+N32/3600) * VLOOKUP(O32,Constante!$D$15:$E$16,2)</f>
        <v>-5.57</v>
      </c>
      <c r="M33" s="115"/>
      <c r="N33" s="115"/>
      <c r="O33" s="114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3">
      <c r="G34" s="109"/>
      <c r="H34" s="110"/>
      <c r="I34" s="110"/>
      <c r="J34" s="111"/>
      <c r="L34" s="109"/>
      <c r="M34" s="110"/>
      <c r="N34" s="110"/>
      <c r="O34" s="111"/>
    </row>
    <row r="35" spans="3:31" ht="14.5" x14ac:dyDescent="0.35">
      <c r="D35" s="112" t="s">
        <v>36</v>
      </c>
      <c r="E35" s="113"/>
      <c r="F35" s="113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ht="14.5" x14ac:dyDescent="0.35">
      <c r="D36" s="113"/>
      <c r="E36" s="113"/>
      <c r="F36" s="113"/>
      <c r="G36" s="34">
        <v>359</v>
      </c>
      <c r="H36" s="34">
        <v>2</v>
      </c>
      <c r="I36" s="34">
        <v>0</v>
      </c>
      <c r="J36" s="114" t="s">
        <v>32</v>
      </c>
      <c r="L36" s="34">
        <v>20</v>
      </c>
      <c r="M36" s="34">
        <v>2.1</v>
      </c>
      <c r="N36" s="34">
        <v>0</v>
      </c>
      <c r="O36" s="114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ht="14.5" x14ac:dyDescent="0.35">
      <c r="D37" s="113"/>
      <c r="E37" s="113"/>
      <c r="F37" s="113"/>
      <c r="G37" s="115">
        <f>(G36+H36/60+I36/3600) * VLOOKUP(J36,Constante!$D$12:$E$13,2)</f>
        <v>359.03333333333336</v>
      </c>
      <c r="H37" s="115"/>
      <c r="I37" s="115"/>
      <c r="J37" s="114"/>
      <c r="L37" s="115">
        <f>(L36+M36/60+N36/3600) * VLOOKUP(O36,Constante!$D$12:$E$13,2)</f>
        <v>20.035</v>
      </c>
      <c r="M37" s="115"/>
      <c r="N37" s="115"/>
      <c r="O37" s="114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ht="14.5" x14ac:dyDescent="0.35">
      <c r="Z38"/>
      <c r="AA38"/>
      <c r="AB38"/>
      <c r="AC38"/>
      <c r="AD38"/>
      <c r="AE38"/>
    </row>
    <row r="39" spans="3:31" ht="14.5" x14ac:dyDescent="0.35">
      <c r="Z39"/>
      <c r="AA39"/>
      <c r="AB39"/>
      <c r="AC39"/>
      <c r="AD39"/>
      <c r="AE39"/>
    </row>
    <row r="40" spans="3:31" ht="14.5" x14ac:dyDescent="0.35">
      <c r="Z40"/>
      <c r="AA40"/>
      <c r="AB40"/>
      <c r="AC40"/>
      <c r="AD40"/>
      <c r="AE40"/>
    </row>
    <row r="41" spans="3:31" ht="14.5" x14ac:dyDescent="0.35">
      <c r="Z41"/>
      <c r="AA41"/>
      <c r="AB41"/>
      <c r="AC41"/>
      <c r="AD41"/>
      <c r="AE41"/>
    </row>
    <row r="42" spans="3:31" ht="14.5" x14ac:dyDescent="0.3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ht="14.5" x14ac:dyDescent="0.35">
      <c r="D43" s="39" t="s">
        <v>1</v>
      </c>
      <c r="E43" s="39"/>
      <c r="G43" s="116" t="s">
        <v>51</v>
      </c>
      <c r="H43" s="116"/>
      <c r="I43" s="116"/>
      <c r="L43"/>
      <c r="M43"/>
      <c r="N43"/>
      <c r="O43"/>
      <c r="Z43"/>
      <c r="AA43"/>
      <c r="AB43"/>
      <c r="AC43"/>
      <c r="AD43"/>
      <c r="AE43"/>
    </row>
    <row r="44" spans="3:31" ht="14.5" x14ac:dyDescent="0.3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ht="14.5" x14ac:dyDescent="0.3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ht="14.5" x14ac:dyDescent="0.35">
      <c r="G46" s="88">
        <f>G45+H45/60+I45/3600</f>
        <v>0</v>
      </c>
      <c r="H46" s="88"/>
      <c r="I46" s="88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ht="14.5" x14ac:dyDescent="0.35">
      <c r="K47"/>
      <c r="L47"/>
      <c r="M47"/>
      <c r="N47"/>
      <c r="O47"/>
      <c r="P47"/>
      <c r="Z47"/>
      <c r="AA47"/>
      <c r="AB47"/>
      <c r="AC47"/>
      <c r="AD47"/>
      <c r="AE47"/>
    </row>
    <row r="48" spans="3:31" ht="14.5" x14ac:dyDescent="0.35">
      <c r="D48" s="112" t="s">
        <v>35</v>
      </c>
      <c r="E48" s="113"/>
      <c r="F48" s="113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2" t="s">
        <v>52</v>
      </c>
      <c r="M48" s="113"/>
      <c r="N48" s="113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ht="14.5" x14ac:dyDescent="0.35">
      <c r="D49" s="113"/>
      <c r="E49" s="113"/>
      <c r="F49" s="113"/>
      <c r="G49" s="38">
        <v>6</v>
      </c>
      <c r="H49" s="34">
        <v>35.9</v>
      </c>
      <c r="I49" s="34">
        <v>0</v>
      </c>
      <c r="J49" s="114" t="s">
        <v>29</v>
      </c>
      <c r="K49"/>
      <c r="L49" s="113"/>
      <c r="M49" s="113"/>
      <c r="N49" s="113"/>
      <c r="O49" s="34">
        <v>0</v>
      </c>
      <c r="P49" s="34">
        <v>1</v>
      </c>
      <c r="Q49" s="34">
        <v>0</v>
      </c>
      <c r="R49" s="114" t="s">
        <v>28</v>
      </c>
      <c r="Z49"/>
      <c r="AA49"/>
      <c r="AB49"/>
      <c r="AC49"/>
      <c r="AD49"/>
      <c r="AE49"/>
    </row>
    <row r="50" spans="3:31" ht="15" thickBot="1" x14ac:dyDescent="0.4">
      <c r="D50" s="113"/>
      <c r="E50" s="113"/>
      <c r="F50" s="113"/>
      <c r="G50" s="115">
        <f>(G49+H49/60+I49/3600) * VLOOKUP(J49,Constante!$D$15:$E$16,2)</f>
        <v>-6.5983333333333336</v>
      </c>
      <c r="H50" s="115"/>
      <c r="I50" s="115"/>
      <c r="J50" s="114"/>
      <c r="K50"/>
      <c r="L50" s="113"/>
      <c r="M50" s="113"/>
      <c r="N50" s="113"/>
      <c r="O50" s="115">
        <f>(O49+P49/60+Q49/3600) * VLOOKUP(R49,Constante!$D$15:$E$16,2)</f>
        <v>1.6666666666666666E-2</v>
      </c>
      <c r="P50" s="115"/>
      <c r="Q50" s="115"/>
      <c r="R50" s="114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ht="14.5" x14ac:dyDescent="0.35">
      <c r="G51" s="109"/>
      <c r="H51" s="110"/>
      <c r="I51" s="110"/>
      <c r="J51" s="111"/>
      <c r="K51"/>
      <c r="L51"/>
      <c r="M51"/>
      <c r="N51"/>
      <c r="O51"/>
      <c r="P51"/>
      <c r="Z51"/>
      <c r="AA51"/>
      <c r="AB51"/>
      <c r="AC51"/>
      <c r="AD51"/>
      <c r="AE51"/>
    </row>
    <row r="52" spans="3:31" ht="14.5" x14ac:dyDescent="0.35">
      <c r="D52" s="112" t="s">
        <v>36</v>
      </c>
      <c r="E52" s="113"/>
      <c r="F52" s="113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2" t="s">
        <v>53</v>
      </c>
      <c r="M52" s="113"/>
      <c r="N52" s="113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ht="14.5" x14ac:dyDescent="0.35">
      <c r="D53" s="113"/>
      <c r="E53" s="113"/>
      <c r="F53" s="113"/>
      <c r="G53" s="38">
        <v>177</v>
      </c>
      <c r="H53" s="34">
        <v>1.9</v>
      </c>
      <c r="I53" s="34">
        <v>0</v>
      </c>
      <c r="J53" s="114" t="s">
        <v>32</v>
      </c>
      <c r="K53"/>
      <c r="L53" s="113"/>
      <c r="M53" s="113"/>
      <c r="N53" s="113"/>
      <c r="O53" s="34">
        <v>15.002000000000001</v>
      </c>
      <c r="P53" s="34">
        <v>0</v>
      </c>
      <c r="Q53" s="34">
        <v>0</v>
      </c>
      <c r="R53" s="114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ht="14.5" x14ac:dyDescent="0.35">
      <c r="D54" s="113"/>
      <c r="E54" s="113"/>
      <c r="F54" s="113"/>
      <c r="G54" s="115">
        <f>(G53+H53/60+I53/3600) * VLOOKUP(J53,Constante!$D$12:$E$13,2)</f>
        <v>177.03166666666667</v>
      </c>
      <c r="H54" s="115"/>
      <c r="I54" s="115"/>
      <c r="J54" s="114"/>
      <c r="K54"/>
      <c r="L54" s="113"/>
      <c r="M54" s="113"/>
      <c r="N54" s="113"/>
      <c r="O54" s="115">
        <f>(O53+P53/60+Q53/3600) * VLOOKUP(R53,Constante!$D$12:$E$13,2)</f>
        <v>15.002000000000001</v>
      </c>
      <c r="P54" s="115"/>
      <c r="Q54" s="115"/>
      <c r="R54" s="114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ht="14.5" x14ac:dyDescent="0.35">
      <c r="Z55"/>
      <c r="AA55"/>
      <c r="AB55"/>
      <c r="AC55"/>
      <c r="AD55"/>
      <c r="AE55"/>
    </row>
    <row r="56" spans="3:31" ht="14.5" x14ac:dyDescent="0.35">
      <c r="Z56"/>
      <c r="AA56"/>
      <c r="AB56"/>
      <c r="AC56"/>
      <c r="AD56"/>
      <c r="AE56"/>
    </row>
    <row r="57" spans="3:31" ht="14.5" x14ac:dyDescent="0.35">
      <c r="Z57"/>
      <c r="AA57"/>
      <c r="AB57"/>
      <c r="AC57"/>
      <c r="AD57"/>
      <c r="AE57"/>
    </row>
    <row r="58" spans="3:31" ht="14.5" x14ac:dyDescent="0.35">
      <c r="C58" s="100" t="s">
        <v>54</v>
      </c>
      <c r="D58" s="100"/>
      <c r="E58" s="100"/>
      <c r="F58" s="100"/>
      <c r="G58" s="100"/>
      <c r="H58" s="101" t="s">
        <v>57</v>
      </c>
      <c r="I58" s="101"/>
      <c r="J58" s="101"/>
      <c r="K58" s="101"/>
      <c r="L58" s="63" t="str">
        <f>VLOOKUP(H58,Constante!D23:E24,2)</f>
        <v>Cas B</v>
      </c>
    </row>
    <row r="59" spans="3:31" x14ac:dyDescent="0.3">
      <c r="D59" s="2" t="s">
        <v>37</v>
      </c>
    </row>
    <row r="60" spans="3:31" ht="15.75" customHeight="1" x14ac:dyDescent="0.3">
      <c r="F60" s="102" t="s">
        <v>35</v>
      </c>
      <c r="G60" s="102"/>
      <c r="H60" s="102"/>
      <c r="I60" s="103">
        <f>IF(L58=Constante!E23,U33,U50)</f>
        <v>-6.4325833333333335</v>
      </c>
      <c r="J60" s="103"/>
      <c r="K60" s="103"/>
      <c r="L60" s="103"/>
    </row>
    <row r="61" spans="3:31" ht="14.5" x14ac:dyDescent="0.35">
      <c r="F61" s="102"/>
      <c r="G61" s="102"/>
      <c r="H61" s="102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" thickBot="1" x14ac:dyDescent="0.4">
      <c r="F62" s="102"/>
      <c r="G62" s="102"/>
      <c r="H62" s="102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4.5" thickBot="1" x14ac:dyDescent="0.35">
      <c r="I63" s="104"/>
      <c r="J63" s="105"/>
      <c r="K63" s="105"/>
      <c r="L63" s="106"/>
    </row>
    <row r="64" spans="3:31" ht="14.5" x14ac:dyDescent="0.3">
      <c r="F64" s="102" t="s">
        <v>42</v>
      </c>
      <c r="G64" s="88"/>
      <c r="H64" s="88"/>
      <c r="I64" s="107">
        <f>IF(L58="a",AA67,Z52)+H12</f>
        <v>2.0948030000000002</v>
      </c>
      <c r="J64" s="103"/>
      <c r="K64" s="103"/>
      <c r="L64" s="103"/>
    </row>
    <row r="65" spans="2:31" ht="14.5" x14ac:dyDescent="0.35">
      <c r="F65" s="88"/>
      <c r="G65" s="88"/>
      <c r="H65" s="88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ht="14.5" x14ac:dyDescent="0.35">
      <c r="F66" s="88"/>
      <c r="G66" s="88"/>
      <c r="H66" s="88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" thickBot="1" x14ac:dyDescent="0.4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" thickBot="1" x14ac:dyDescent="0.4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ht="14.5" x14ac:dyDescent="0.35">
      <c r="F71" s="90" t="s">
        <v>44</v>
      </c>
      <c r="G71" s="90"/>
      <c r="H71" s="90"/>
      <c r="S71" s="19"/>
      <c r="T71" s="98" t="s">
        <v>103</v>
      </c>
      <c r="U71" s="99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ht="14.5" x14ac:dyDescent="0.3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Soleil'!I60)</f>
        <v>-0.11203405649912536</v>
      </c>
      <c r="AD72" s="1">
        <f>SIN(Constante!$D$19*'Droite hauteur Soleil'!D12)*SIN(Constante!$D$19*'Droite hauteur Soleil'!F74)</f>
        <v>0.42841152475664518</v>
      </c>
      <c r="AE72" s="1">
        <f>COS(Constante!$D$19*'Droite hauteur Soleil'!D12)*COS(Constante!$D$19*'Droite hauteur Soleil'!F74)</f>
        <v>0.5409733204231264</v>
      </c>
    </row>
    <row r="73" spans="2:31" ht="14.5" x14ac:dyDescent="0.3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ht="14.5" x14ac:dyDescent="0.35">
      <c r="F74" s="89">
        <f>V74/Constante!$D$19</f>
        <v>34.661430958715577</v>
      </c>
      <c r="G74" s="89"/>
      <c r="H74" s="89"/>
      <c r="S74" s="19" t="s">
        <v>44</v>
      </c>
      <c r="T74" s="108" t="s">
        <v>103</v>
      </c>
      <c r="U74" s="108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4.5" thickBot="1" x14ac:dyDescent="0.35"/>
    <row r="82" spans="2:29" ht="15" thickBot="1" x14ac:dyDescent="0.4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ht="14.5" x14ac:dyDescent="0.35">
      <c r="F83" s="90" t="s">
        <v>46</v>
      </c>
      <c r="G83" s="90"/>
      <c r="H83" s="90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ht="14.5" x14ac:dyDescent="0.35">
      <c r="F84" s="67" t="s">
        <v>13</v>
      </c>
      <c r="G84" s="67" t="s">
        <v>4</v>
      </c>
      <c r="H84" s="67" t="s">
        <v>5</v>
      </c>
      <c r="S84" s="19"/>
      <c r="T84" s="98" t="s">
        <v>103</v>
      </c>
      <c r="U84" s="99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ht="14.5" x14ac:dyDescent="0.3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95" t="s">
        <v>105</v>
      </c>
      <c r="U85" s="96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ht="14.5" x14ac:dyDescent="0.35">
      <c r="F86" s="97">
        <f>V88/Constante!$D$19</f>
        <v>177.46898521244154</v>
      </c>
      <c r="G86" s="97"/>
      <c r="H86" s="97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95" t="s">
        <v>106</v>
      </c>
      <c r="U86" s="96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ht="14.5" x14ac:dyDescent="0.35">
      <c r="S87" s="19" t="s">
        <v>107</v>
      </c>
      <c r="T87" s="95" t="s">
        <v>108</v>
      </c>
      <c r="U87" s="96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ht="14.5" x14ac:dyDescent="0.35">
      <c r="S88" s="19" t="s">
        <v>44</v>
      </c>
      <c r="T88" s="98" t="s">
        <v>103</v>
      </c>
      <c r="U88" s="99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ht="14.5" x14ac:dyDescent="0.35">
      <c r="S89"/>
      <c r="T89"/>
      <c r="U89"/>
      <c r="V89"/>
      <c r="W89"/>
      <c r="X89"/>
      <c r="Y89"/>
      <c r="Z89"/>
      <c r="AA89"/>
      <c r="AB89"/>
      <c r="AC89"/>
    </row>
    <row r="90" spans="2:29" ht="15" thickBot="1" x14ac:dyDescent="0.4">
      <c r="S90"/>
      <c r="T90"/>
      <c r="U90"/>
      <c r="V90"/>
      <c r="W90"/>
      <c r="X90"/>
      <c r="Y90"/>
      <c r="Z90"/>
      <c r="AA90"/>
      <c r="AB90"/>
      <c r="AC90"/>
    </row>
    <row r="91" spans="2:29" ht="14.5" thickBot="1" x14ac:dyDescent="0.35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ht="14.5" x14ac:dyDescent="0.35">
      <c r="D92" s="1" t="s">
        <v>12</v>
      </c>
      <c r="F92" t="s">
        <v>19</v>
      </c>
      <c r="G92"/>
      <c r="H92"/>
      <c r="I92" s="1" t="s">
        <v>61</v>
      </c>
      <c r="O92" s="90" t="s">
        <v>62</v>
      </c>
      <c r="P92" s="90"/>
      <c r="Q92" s="90"/>
      <c r="S92" s="63" t="s">
        <v>23</v>
      </c>
      <c r="T92" s="63" t="s">
        <v>15</v>
      </c>
      <c r="U92" s="63" t="s">
        <v>81</v>
      </c>
      <c r="V92" s="63" t="s">
        <v>110</v>
      </c>
      <c r="W92" s="87" t="s">
        <v>121</v>
      </c>
      <c r="X92" s="88" t="s">
        <v>120</v>
      </c>
      <c r="Y92" s="88">
        <f>IF(U93,U94,IF(T93,IF(V93,V94,T94),IF(S93,S94,888)))</f>
        <v>0</v>
      </c>
    </row>
    <row r="93" spans="2:29" ht="14.5" x14ac:dyDescent="0.3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88"/>
      <c r="X93" s="88"/>
      <c r="Y93" s="88"/>
    </row>
    <row r="94" spans="2:29" ht="14.5" x14ac:dyDescent="0.3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8"/>
      <c r="X94" s="88"/>
      <c r="Y94" s="88"/>
    </row>
    <row r="95" spans="2:29" ht="14.5" x14ac:dyDescent="0.35">
      <c r="F95"/>
      <c r="G95"/>
      <c r="I95" s="1" t="s">
        <v>63</v>
      </c>
      <c r="O95" s="89">
        <f>D93-F93+I93+I94</f>
        <v>30.82585555555556</v>
      </c>
      <c r="P95" s="89"/>
      <c r="Q95" s="89"/>
    </row>
    <row r="96" spans="2:29" ht="14.5" x14ac:dyDescent="0.3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3">
      <c r="U97" s="81" t="s">
        <v>113</v>
      </c>
      <c r="V97" s="78" t="s">
        <v>114</v>
      </c>
      <c r="W97" s="78"/>
      <c r="X97" s="78"/>
      <c r="Y97" s="77" t="s">
        <v>115</v>
      </c>
      <c r="Z97" s="77"/>
      <c r="AA97" s="77"/>
    </row>
    <row r="98" spans="4:27" x14ac:dyDescent="0.3">
      <c r="U98" s="81"/>
      <c r="V98" s="78" t="s">
        <v>116</v>
      </c>
      <c r="W98" s="78" t="s">
        <v>117</v>
      </c>
      <c r="X98" s="78" t="s">
        <v>118</v>
      </c>
      <c r="Y98" s="77" t="s">
        <v>116</v>
      </c>
      <c r="Z98" s="77" t="s">
        <v>119</v>
      </c>
      <c r="AA98" s="77" t="s">
        <v>118</v>
      </c>
    </row>
    <row r="99" spans="4:27" x14ac:dyDescent="0.3">
      <c r="U99" s="81"/>
      <c r="V99" s="79">
        <f>MATCH(D93,Constante!$M$6:$M$17,1)</f>
        <v>10</v>
      </c>
      <c r="W99" s="78">
        <f>INDEX(Constante!$M$6:$M$17,V99)</f>
        <v>30</v>
      </c>
      <c r="X99" s="78">
        <f>INDEX(Constante!$N$6:$S$17,V99,1+V96)</f>
        <v>0.24166666666666667</v>
      </c>
      <c r="Y99" s="80">
        <f>V99+1</f>
        <v>11</v>
      </c>
      <c r="Z99" s="77">
        <f>INDEX(Constante!$M$6:$M$17,Y99)</f>
        <v>50</v>
      </c>
      <c r="AA99" s="77">
        <f>INDEX(Constante!$N$6:$S$17,Y99,1+V96)</f>
        <v>0.255</v>
      </c>
    </row>
    <row r="100" spans="4:27" ht="14.5" x14ac:dyDescent="0.35">
      <c r="U100" s="19" t="s">
        <v>93</v>
      </c>
      <c r="V100" s="23">
        <f>(D93-W99)/(Z99-W99)</f>
        <v>6.4166666666666747E-2</v>
      </c>
    </row>
    <row r="101" spans="4:27" ht="14.5" x14ac:dyDescent="0.35">
      <c r="U101" s="19" t="s">
        <v>92</v>
      </c>
      <c r="V101" s="19">
        <f>(1-V100)*X99+V100*AA99</f>
        <v>0.24252222222222225</v>
      </c>
    </row>
    <row r="103" spans="4:27" ht="14.5" x14ac:dyDescent="0.35">
      <c r="X103"/>
    </row>
    <row r="104" spans="4:27" ht="14.5" x14ac:dyDescent="0.35">
      <c r="X104"/>
    </row>
    <row r="105" spans="4:27" x14ac:dyDescent="0.3">
      <c r="D105" s="1" t="s">
        <v>69</v>
      </c>
    </row>
    <row r="106" spans="4:27" ht="14.5" x14ac:dyDescent="0.35">
      <c r="F106" s="90" t="s">
        <v>69</v>
      </c>
      <c r="G106" s="90"/>
      <c r="H106" s="90"/>
    </row>
    <row r="107" spans="4:27" ht="14.5" x14ac:dyDescent="0.3">
      <c r="F107" s="67" t="s">
        <v>13</v>
      </c>
      <c r="G107" s="67" t="s">
        <v>4</v>
      </c>
      <c r="H107" s="67" t="s">
        <v>5</v>
      </c>
    </row>
    <row r="108" spans="4:27" ht="14.5" x14ac:dyDescent="0.3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ht="14.5" x14ac:dyDescent="0.35">
      <c r="F109" s="91">
        <f>O95-F74</f>
        <v>-3.8355754031600178</v>
      </c>
      <c r="G109" s="92"/>
      <c r="H109" s="93"/>
      <c r="J109" s="94">
        <f>F109*60</f>
        <v>-230.13452418960105</v>
      </c>
      <c r="K109" s="94"/>
      <c r="L109" s="94" t="s">
        <v>125</v>
      </c>
      <c r="M109" s="94"/>
    </row>
    <row r="112" spans="4:27" ht="14.5" x14ac:dyDescent="0.3">
      <c r="G112" s="84" t="s">
        <v>122</v>
      </c>
      <c r="H112" s="84"/>
      <c r="I112" s="84"/>
      <c r="J112" s="82" t="s">
        <v>17</v>
      </c>
      <c r="K112" s="82">
        <f>ABS(I60)</f>
        <v>6.4325833333333335</v>
      </c>
      <c r="L112" s="82" t="str">
        <f>L62</f>
        <v>S</v>
      </c>
      <c r="M112" s="85" t="s">
        <v>123</v>
      </c>
      <c r="N112" s="86"/>
      <c r="O112" s="84" t="s">
        <v>124</v>
      </c>
      <c r="P112" s="84"/>
      <c r="Q112" s="84"/>
      <c r="R112" s="82" t="s">
        <v>17</v>
      </c>
      <c r="S112" s="83">
        <f>D12</f>
        <v>48.875556000000003</v>
      </c>
      <c r="T112" s="82" t="str">
        <f>G11</f>
        <v>N</v>
      </c>
    </row>
    <row r="113" spans="7:20" ht="14.5" x14ac:dyDescent="0.3">
      <c r="G113" s="84"/>
      <c r="H113" s="84"/>
      <c r="I113" s="84"/>
      <c r="J113" s="82" t="s">
        <v>16</v>
      </c>
      <c r="K113" s="82">
        <f>ABS(I64)</f>
        <v>2.0948030000000002</v>
      </c>
      <c r="L113" s="82" t="str">
        <f>L66</f>
        <v>E</v>
      </c>
      <c r="M113" s="85"/>
      <c r="N113" s="86"/>
      <c r="O113" s="84"/>
      <c r="P113" s="84"/>
      <c r="Q113" s="84"/>
      <c r="R113" s="82" t="s">
        <v>16</v>
      </c>
      <c r="S113" s="83">
        <f>H12</f>
        <v>2.0948030000000002</v>
      </c>
      <c r="T113" s="82" t="str">
        <f>K11</f>
        <v>E</v>
      </c>
    </row>
  </sheetData>
  <mergeCells count="99">
    <mergeCell ref="B2:P2"/>
    <mergeCell ref="S3:X3"/>
    <mergeCell ref="K4:M4"/>
    <mergeCell ref="S4:X4"/>
    <mergeCell ref="B5:D5"/>
    <mergeCell ref="E5:G5"/>
    <mergeCell ref="H5:J5"/>
    <mergeCell ref="K5:M5"/>
    <mergeCell ref="S5:X5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9:C12"/>
    <mergeCell ref="D9:G9"/>
    <mergeCell ref="H9:K9"/>
    <mergeCell ref="G11:G12"/>
    <mergeCell ref="K11:K12"/>
    <mergeCell ref="D12:F12"/>
    <mergeCell ref="H12:J12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46:I46"/>
    <mergeCell ref="D48:F50"/>
    <mergeCell ref="L48:N50"/>
    <mergeCell ref="J49:J50"/>
    <mergeCell ref="R49:R50"/>
    <mergeCell ref="G50:I50"/>
    <mergeCell ref="O50:Q50"/>
    <mergeCell ref="G51:J51"/>
    <mergeCell ref="D52:F54"/>
    <mergeCell ref="L52:N54"/>
    <mergeCell ref="J53:J54"/>
    <mergeCell ref="R53:R54"/>
    <mergeCell ref="G54:I54"/>
    <mergeCell ref="O54:Q54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T85:U85"/>
    <mergeCell ref="F86:H86"/>
    <mergeCell ref="T86:U86"/>
    <mergeCell ref="T87:U87"/>
    <mergeCell ref="T88:U88"/>
    <mergeCell ref="Y92:Y94"/>
    <mergeCell ref="O95:Q95"/>
    <mergeCell ref="F106:H106"/>
    <mergeCell ref="F109:H109"/>
    <mergeCell ref="J109:K109"/>
    <mergeCell ref="L109:M109"/>
    <mergeCell ref="O92:Q92"/>
    <mergeCell ref="G112:I113"/>
    <mergeCell ref="M112:N113"/>
    <mergeCell ref="O112:Q113"/>
    <mergeCell ref="W92:W94"/>
    <mergeCell ref="X92:X9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Constante!$J$12:$J$13</xm:f>
          </x14:formula1>
          <xm:sqref>D14</xm:sqref>
        </x14:dataValidation>
        <x14:dataValidation type="list" allowBlank="1" showInputMessage="1" showErrorMessage="1" xr:uid="{00000000-0002-0000-0000-000001000000}">
          <x14:formula1>
            <xm:f>Constante!$G$3:$G$4</xm:f>
          </x14:formula1>
          <xm:sqref>L16:M16</xm:sqref>
        </x14:dataValidation>
        <x14:dataValidation type="list" allowBlank="1" showInputMessage="1" showErrorMessage="1" xr:uid="{00000000-0002-0000-0000-000002000000}">
          <x14:formula1>
            <xm:f>Constante!$K$3:$K$8</xm:f>
          </x14:formula1>
          <xm:sqref>L19</xm:sqref>
        </x14:dataValidation>
        <x14:dataValidation type="list" allowBlank="1" showInputMessage="1" showErrorMessage="1" xr:uid="{00000000-0002-0000-0000-000003000000}">
          <x14:formula1>
            <xm:f>Constante!$D$23:$D$24</xm:f>
          </x14:formula1>
          <xm:sqref>H58</xm:sqref>
        </x14:dataValidation>
        <x14:dataValidation type="list" allowBlank="1" showInputMessage="1" showErrorMessage="1" xr:uid="{00000000-0002-0000-0000-000004000000}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 xr:uid="{00000000-0002-0000-0000-000005000000}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 xr:uid="{00000000-0002-0000-0000-000006000000}">
          <x14:formula1>
            <xm:f>Constante!$D$3:$D$9</xm:f>
          </x14:formula1>
          <xm:sqref>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113"/>
  <sheetViews>
    <sheetView tabSelected="1" topLeftCell="A22" workbookViewId="0">
      <selection activeCell="P4" sqref="P4"/>
    </sheetView>
  </sheetViews>
  <sheetFormatPr baseColWidth="10" defaultColWidth="11.453125" defaultRowHeight="14" x14ac:dyDescent="0.3"/>
  <cols>
    <col min="1" max="1" width="11.453125" style="1"/>
    <col min="2" max="18" width="7.1796875" style="1" customWidth="1"/>
    <col min="19" max="19" width="9" style="1" customWidth="1"/>
    <col min="20" max="20" width="7.1796875" style="1" customWidth="1"/>
    <col min="21" max="21" width="13.7265625" style="1" customWidth="1"/>
    <col min="22" max="22" width="10.1796875" style="1" customWidth="1"/>
    <col min="23" max="23" width="11.453125" style="1"/>
    <col min="24" max="24" width="13.7265625" style="1" customWidth="1"/>
    <col min="25" max="26" width="11.453125" style="1"/>
    <col min="27" max="27" width="13.7265625" style="1" customWidth="1"/>
    <col min="28" max="16384" width="11.453125" style="1"/>
  </cols>
  <sheetData>
    <row r="1" spans="2:36" ht="14.5" thickBot="1" x14ac:dyDescent="0.35"/>
    <row r="2" spans="2:36" ht="63" customHeight="1" thickBot="1" x14ac:dyDescent="0.35">
      <c r="B2" s="166" t="s">
        <v>128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56"/>
      <c r="R2" s="16" t="s">
        <v>71</v>
      </c>
      <c r="S2" s="16"/>
      <c r="Y2" s="56"/>
      <c r="Z2" s="57"/>
    </row>
    <row r="3" spans="2:36" ht="15" thickBot="1" x14ac:dyDescent="0.4">
      <c r="S3" s="168" t="s">
        <v>72</v>
      </c>
      <c r="T3" s="168"/>
      <c r="U3" s="168"/>
      <c r="V3" s="168"/>
      <c r="W3" s="168"/>
      <c r="X3" s="168"/>
    </row>
    <row r="4" spans="2:36" ht="53.25" customHeight="1" thickBot="1" x14ac:dyDescent="0.4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69" t="s">
        <v>82</v>
      </c>
      <c r="L4" s="169"/>
      <c r="M4" s="169"/>
      <c r="S4" s="170" t="s">
        <v>73</v>
      </c>
      <c r="T4" s="170"/>
      <c r="U4" s="170"/>
      <c r="V4" s="170"/>
      <c r="W4" s="170"/>
      <c r="X4" s="170"/>
    </row>
    <row r="5" spans="2:36" ht="14.5" x14ac:dyDescent="0.35">
      <c r="B5" s="177" t="s">
        <v>2</v>
      </c>
      <c r="C5" s="177"/>
      <c r="D5" s="177"/>
      <c r="E5" s="177" t="s">
        <v>6</v>
      </c>
      <c r="F5" s="177"/>
      <c r="G5" s="177"/>
      <c r="H5" s="177" t="s">
        <v>7</v>
      </c>
      <c r="I5" s="177"/>
      <c r="J5" s="177"/>
      <c r="K5" s="178" t="s">
        <v>8</v>
      </c>
      <c r="L5" s="178"/>
      <c r="M5" s="178"/>
      <c r="S5" s="171" t="s">
        <v>74</v>
      </c>
      <c r="T5" s="171"/>
      <c r="U5" s="171"/>
      <c r="V5" s="171"/>
      <c r="W5" s="171"/>
      <c r="X5" s="171"/>
    </row>
    <row r="6" spans="2:36" ht="15" thickBot="1" x14ac:dyDescent="0.4">
      <c r="B6" s="179" t="s">
        <v>3</v>
      </c>
      <c r="C6" s="179" t="s">
        <v>4</v>
      </c>
      <c r="D6" s="179" t="s">
        <v>5</v>
      </c>
      <c r="E6" s="179" t="s">
        <v>3</v>
      </c>
      <c r="F6" s="179" t="s">
        <v>4</v>
      </c>
      <c r="G6" s="179" t="s">
        <v>5</v>
      </c>
      <c r="H6" s="179" t="s">
        <v>3</v>
      </c>
      <c r="I6" s="179" t="s">
        <v>4</v>
      </c>
      <c r="J6" s="179" t="s">
        <v>5</v>
      </c>
      <c r="K6" s="180" t="s">
        <v>3</v>
      </c>
      <c r="L6" s="180" t="s">
        <v>4</v>
      </c>
      <c r="M6" s="180" t="s">
        <v>5</v>
      </c>
      <c r="S6" s="157" t="s">
        <v>75</v>
      </c>
      <c r="T6" s="157"/>
      <c r="U6" s="157"/>
      <c r="V6" s="157"/>
      <c r="W6" s="157"/>
      <c r="X6" s="157"/>
      <c r="AA6" s="1" t="s">
        <v>9</v>
      </c>
      <c r="AD6" s="1" t="s">
        <v>9</v>
      </c>
      <c r="AG6" s="1" t="s">
        <v>9</v>
      </c>
      <c r="AJ6" s="1" t="s">
        <v>9</v>
      </c>
    </row>
    <row r="7" spans="2:36" ht="14.5" x14ac:dyDescent="0.35">
      <c r="B7" s="181">
        <v>9</v>
      </c>
      <c r="C7" s="182">
        <v>56</v>
      </c>
      <c r="D7" s="183">
        <v>42</v>
      </c>
      <c r="E7" s="181">
        <v>0</v>
      </c>
      <c r="F7" s="182">
        <v>0</v>
      </c>
      <c r="G7" s="183">
        <v>0</v>
      </c>
      <c r="H7" s="181">
        <v>0</v>
      </c>
      <c r="I7" s="182">
        <v>0</v>
      </c>
      <c r="J7" s="183">
        <v>0</v>
      </c>
      <c r="K7" s="184">
        <f>INT(AJ7)</f>
        <v>9</v>
      </c>
      <c r="L7" s="185">
        <f>INT(60 * (AJ7-K7))</f>
        <v>56</v>
      </c>
      <c r="M7" s="185">
        <f>INT(3600 * (AJ7-K7-L7/60))</f>
        <v>42</v>
      </c>
      <c r="S7" s="94" t="s">
        <v>76</v>
      </c>
      <c r="T7" s="94"/>
      <c r="U7" s="94"/>
      <c r="V7" s="94"/>
      <c r="W7" s="94"/>
      <c r="X7" s="94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" thickBot="1" x14ac:dyDescent="0.4">
      <c r="B8" s="186"/>
      <c r="C8" s="187"/>
      <c r="D8" s="188"/>
      <c r="E8" s="186"/>
      <c r="F8" s="187"/>
      <c r="G8" s="188"/>
      <c r="H8" s="186"/>
      <c r="I8" s="187"/>
      <c r="J8" s="188"/>
      <c r="K8" s="189">
        <f>K7+L7/60+M7/3600</f>
        <v>9.9450000000000003</v>
      </c>
      <c r="L8" s="190"/>
      <c r="M8" s="190"/>
      <c r="S8" s="165" t="s">
        <v>77</v>
      </c>
      <c r="T8" s="165"/>
      <c r="U8" s="165"/>
      <c r="V8" s="165"/>
      <c r="W8" s="165"/>
      <c r="X8" s="165"/>
    </row>
    <row r="9" spans="2:36" ht="15" customHeight="1" x14ac:dyDescent="0.35">
      <c r="B9" s="148" t="s">
        <v>18</v>
      </c>
      <c r="C9" s="149"/>
      <c r="D9" s="138" t="s">
        <v>17</v>
      </c>
      <c r="E9" s="138"/>
      <c r="F9" s="138"/>
      <c r="G9" s="138"/>
      <c r="H9" s="138" t="s">
        <v>16</v>
      </c>
      <c r="I9" s="138"/>
      <c r="J9" s="138"/>
      <c r="K9" s="139"/>
    </row>
    <row r="10" spans="2:36" ht="14.5" x14ac:dyDescent="0.35">
      <c r="B10" s="119"/>
      <c r="C10" s="120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ht="14.5" x14ac:dyDescent="0.35">
      <c r="B11" s="119"/>
      <c r="C11" s="120"/>
      <c r="D11" s="41">
        <v>48.875556000000003</v>
      </c>
      <c r="E11" s="41">
        <v>0</v>
      </c>
      <c r="F11" s="41">
        <v>0</v>
      </c>
      <c r="G11" s="152" t="s">
        <v>28</v>
      </c>
      <c r="H11" s="41">
        <v>2.0948030000000002</v>
      </c>
      <c r="I11" s="41">
        <v>0</v>
      </c>
      <c r="J11" s="41">
        <v>0</v>
      </c>
      <c r="K11" s="154" t="s">
        <v>32</v>
      </c>
    </row>
    <row r="12" spans="2:36" ht="15" thickBot="1" x14ac:dyDescent="0.4">
      <c r="B12" s="150"/>
      <c r="C12" s="151"/>
      <c r="D12" s="156">
        <f>(D11+E11/60+F11/3600) * VLOOKUP(G11,Constante!$D$15:$E$16,2)</f>
        <v>48.875556000000003</v>
      </c>
      <c r="E12" s="156"/>
      <c r="F12" s="156"/>
      <c r="G12" s="153"/>
      <c r="H12" s="156">
        <f>(H11+I11/60+J11/3600) * VLOOKUP(K11,Constante!$D$12:$E$13,2)</f>
        <v>2.0948030000000002</v>
      </c>
      <c r="I12" s="156"/>
      <c r="J12" s="156"/>
      <c r="K12" s="155"/>
    </row>
    <row r="13" spans="2:36" ht="15" customHeight="1" x14ac:dyDescent="0.3">
      <c r="B13" s="117" t="s">
        <v>21</v>
      </c>
      <c r="C13" s="118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35">
      <c r="B14" s="119"/>
      <c r="C14" s="120"/>
      <c r="D14" s="41" t="s">
        <v>60</v>
      </c>
      <c r="E14" s="41">
        <v>0</v>
      </c>
      <c r="F14" s="41">
        <v>42</v>
      </c>
      <c r="G14" s="42">
        <v>0</v>
      </c>
    </row>
    <row r="15" spans="2:36" ht="15" thickBot="1" x14ac:dyDescent="0.4">
      <c r="B15" s="121"/>
      <c r="C15" s="122"/>
      <c r="D15" s="123">
        <f>(E14+F14/60+G14/3600) * VLOOKUP(D14,Constante!J12:K13,2)</f>
        <v>0.7</v>
      </c>
      <c r="E15" s="124"/>
      <c r="F15" s="124"/>
      <c r="G15" s="125"/>
    </row>
    <row r="16" spans="2:36" ht="19.5" customHeight="1" thickBot="1" x14ac:dyDescent="0.4">
      <c r="B16" s="126" t="s">
        <v>11</v>
      </c>
      <c r="C16" s="127"/>
      <c r="D16" s="127"/>
      <c r="E16" s="132" t="s">
        <v>15</v>
      </c>
      <c r="F16" s="133"/>
      <c r="G16" s="138" t="s">
        <v>12</v>
      </c>
      <c r="H16" s="138"/>
      <c r="I16" s="139"/>
      <c r="J16" s="140" t="s">
        <v>78</v>
      </c>
      <c r="K16" s="141"/>
      <c r="L16" s="142" t="s">
        <v>79</v>
      </c>
      <c r="M16" s="143"/>
    </row>
    <row r="17" spans="2:18" ht="14.5" x14ac:dyDescent="0.3">
      <c r="B17" s="128"/>
      <c r="C17" s="129"/>
      <c r="D17" s="129"/>
      <c r="E17" s="134"/>
      <c r="F17" s="135"/>
      <c r="G17" s="45" t="s">
        <v>13</v>
      </c>
      <c r="H17" s="45" t="s">
        <v>4</v>
      </c>
      <c r="I17" s="48" t="s">
        <v>5</v>
      </c>
      <c r="J17" s="52"/>
    </row>
    <row r="18" spans="2:18" ht="15" thickBot="1" x14ac:dyDescent="0.4">
      <c r="B18" s="128"/>
      <c r="C18" s="129"/>
      <c r="D18" s="129"/>
      <c r="E18" s="134"/>
      <c r="F18" s="135"/>
      <c r="G18" s="41">
        <v>31</v>
      </c>
      <c r="H18" s="41">
        <v>17</v>
      </c>
      <c r="I18" s="42">
        <v>0</v>
      </c>
      <c r="J18" s="51"/>
    </row>
    <row r="19" spans="2:18" ht="15" thickBot="1" x14ac:dyDescent="0.4">
      <c r="B19" s="130"/>
      <c r="C19" s="131"/>
      <c r="D19" s="131"/>
      <c r="E19" s="136"/>
      <c r="F19" s="137"/>
      <c r="G19" s="144">
        <f>G18+H18/60+I18/3600</f>
        <v>31.283333333333335</v>
      </c>
      <c r="H19" s="144"/>
      <c r="I19" s="145"/>
      <c r="J19" s="146" t="s">
        <v>20</v>
      </c>
      <c r="K19" s="147"/>
      <c r="L19" s="49">
        <v>0</v>
      </c>
      <c r="M19" s="50" t="s">
        <v>4</v>
      </c>
    </row>
    <row r="23" spans="2:18" ht="14.5" thickBot="1" x14ac:dyDescent="0.35"/>
    <row r="24" spans="2:18" ht="14.5" thickBot="1" x14ac:dyDescent="0.35">
      <c r="B24" s="28" t="s">
        <v>126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3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ht="14.5" x14ac:dyDescent="0.35">
      <c r="D26" s="39" t="s">
        <v>1</v>
      </c>
      <c r="E26" s="39"/>
      <c r="G26" s="116" t="s">
        <v>33</v>
      </c>
      <c r="H26" s="116"/>
      <c r="I26" s="116"/>
      <c r="M26" s="116" t="s">
        <v>34</v>
      </c>
      <c r="N26" s="116"/>
      <c r="O26" s="116"/>
    </row>
    <row r="27" spans="2:18" ht="14.5" x14ac:dyDescent="0.3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ht="14.5" x14ac:dyDescent="0.3">
      <c r="G28" s="72">
        <v>9</v>
      </c>
      <c r="H28" s="72">
        <v>0</v>
      </c>
      <c r="I28" s="72">
        <v>0</v>
      </c>
      <c r="M28" s="72">
        <v>10</v>
      </c>
      <c r="N28" s="72">
        <v>0</v>
      </c>
      <c r="O28" s="72">
        <v>0</v>
      </c>
    </row>
    <row r="29" spans="2:18" ht="14.5" x14ac:dyDescent="0.35">
      <c r="G29" s="88">
        <f>G28+H28/60+I28/3600</f>
        <v>9</v>
      </c>
      <c r="H29" s="88"/>
      <c r="I29" s="88"/>
      <c r="M29" s="88">
        <f>M28+N28/60+O28/3600</f>
        <v>10</v>
      </c>
      <c r="N29" s="88"/>
      <c r="O29" s="88"/>
      <c r="Q29" s="19" t="s">
        <v>93</v>
      </c>
      <c r="R29" s="19">
        <f>(K8-M29)/(G29-M29)</f>
        <v>5.4999999999999716E-2</v>
      </c>
    </row>
    <row r="31" spans="2:18" ht="14.5" x14ac:dyDescent="0.35">
      <c r="D31" s="112" t="s">
        <v>35</v>
      </c>
      <c r="E31" s="113"/>
      <c r="F31" s="113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ht="14.5" x14ac:dyDescent="0.35">
      <c r="D32" s="113"/>
      <c r="E32" s="113"/>
      <c r="F32" s="113"/>
      <c r="G32" s="34">
        <v>5</v>
      </c>
      <c r="H32" s="34">
        <v>33.200000000000003</v>
      </c>
      <c r="I32" s="34">
        <v>0</v>
      </c>
      <c r="J32" s="114" t="s">
        <v>29</v>
      </c>
      <c r="L32" s="34">
        <v>5</v>
      </c>
      <c r="M32" s="34">
        <v>34.200000000000003</v>
      </c>
      <c r="N32" s="34">
        <v>0</v>
      </c>
      <c r="O32" s="114" t="s">
        <v>29</v>
      </c>
    </row>
    <row r="33" spans="3:31" ht="15" thickBot="1" x14ac:dyDescent="0.4">
      <c r="D33" s="113"/>
      <c r="E33" s="113"/>
      <c r="F33" s="113"/>
      <c r="G33" s="115">
        <f>(G32+H32/60+I32/3600) * VLOOKUP(J32,Constante!$D$15:$E$16,2)</f>
        <v>-5.5533333333333337</v>
      </c>
      <c r="H33" s="115"/>
      <c r="I33" s="115"/>
      <c r="J33" s="114"/>
      <c r="L33" s="115">
        <f>(L32+M32/60+N32/3600) * VLOOKUP(O32,Constante!$D$15:$E$16,2)</f>
        <v>-5.57</v>
      </c>
      <c r="M33" s="115"/>
      <c r="N33" s="115"/>
      <c r="O33" s="114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3">
      <c r="G34" s="109"/>
      <c r="H34" s="110"/>
      <c r="I34" s="110"/>
      <c r="J34" s="111"/>
      <c r="L34" s="109"/>
      <c r="M34" s="110"/>
      <c r="N34" s="110"/>
      <c r="O34" s="111"/>
    </row>
    <row r="35" spans="3:31" ht="14.5" x14ac:dyDescent="0.35">
      <c r="D35" s="112" t="s">
        <v>36</v>
      </c>
      <c r="E35" s="113"/>
      <c r="F35" s="113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ht="14.5" x14ac:dyDescent="0.35">
      <c r="D36" s="113"/>
      <c r="E36" s="113"/>
      <c r="F36" s="113"/>
      <c r="G36" s="34">
        <v>359</v>
      </c>
      <c r="H36" s="34">
        <v>2</v>
      </c>
      <c r="I36" s="34">
        <v>0</v>
      </c>
      <c r="J36" s="114" t="s">
        <v>32</v>
      </c>
      <c r="L36" s="34">
        <v>20</v>
      </c>
      <c r="M36" s="34">
        <v>2.1</v>
      </c>
      <c r="N36" s="34">
        <v>0</v>
      </c>
      <c r="O36" s="114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ht="14.5" x14ac:dyDescent="0.35">
      <c r="D37" s="113"/>
      <c r="E37" s="113"/>
      <c r="F37" s="113"/>
      <c r="G37" s="115">
        <f>(G36+H36/60+I36/3600) * VLOOKUP(J36,Constante!$D$12:$E$13,2)</f>
        <v>359.03333333333336</v>
      </c>
      <c r="H37" s="115"/>
      <c r="I37" s="115"/>
      <c r="J37" s="114"/>
      <c r="L37" s="115">
        <f>(L36+M36/60+N36/3600) * VLOOKUP(O36,Constante!$D$12:$E$13,2)</f>
        <v>20.035</v>
      </c>
      <c r="M37" s="115"/>
      <c r="N37" s="115"/>
      <c r="O37" s="114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ht="14.5" x14ac:dyDescent="0.35">
      <c r="Z38"/>
      <c r="AA38"/>
      <c r="AB38"/>
      <c r="AC38"/>
      <c r="AD38"/>
      <c r="AE38"/>
    </row>
    <row r="39" spans="3:31" ht="14.5" x14ac:dyDescent="0.35">
      <c r="Z39"/>
      <c r="AA39"/>
      <c r="AB39"/>
      <c r="AC39"/>
      <c r="AD39"/>
      <c r="AE39"/>
    </row>
    <row r="40" spans="3:31" ht="14.5" x14ac:dyDescent="0.35">
      <c r="Z40"/>
      <c r="AA40"/>
      <c r="AB40"/>
      <c r="AC40"/>
      <c r="AD40"/>
      <c r="AE40"/>
    </row>
    <row r="41" spans="3:31" ht="14.5" x14ac:dyDescent="0.35">
      <c r="Z41"/>
      <c r="AA41"/>
      <c r="AB41"/>
      <c r="AC41"/>
      <c r="AD41"/>
      <c r="AE41"/>
    </row>
    <row r="42" spans="3:31" ht="14.5" x14ac:dyDescent="0.3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ht="14.5" x14ac:dyDescent="0.35">
      <c r="D43" s="39" t="s">
        <v>1</v>
      </c>
      <c r="E43" s="39"/>
      <c r="G43" s="116" t="s">
        <v>51</v>
      </c>
      <c r="H43" s="116"/>
      <c r="I43" s="116"/>
      <c r="L43"/>
      <c r="M43"/>
      <c r="N43"/>
      <c r="O43"/>
      <c r="Z43"/>
      <c r="AA43"/>
      <c r="AB43"/>
      <c r="AC43"/>
      <c r="AD43"/>
      <c r="AE43"/>
    </row>
    <row r="44" spans="3:31" ht="14.5" x14ac:dyDescent="0.3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ht="14.5" x14ac:dyDescent="0.35">
      <c r="G45" s="72">
        <v>0</v>
      </c>
      <c r="H45" s="72">
        <v>0</v>
      </c>
      <c r="I45" s="72">
        <v>0</v>
      </c>
      <c r="L45"/>
      <c r="M45"/>
      <c r="N45"/>
      <c r="O45"/>
      <c r="Z45"/>
      <c r="AA45"/>
      <c r="AB45"/>
      <c r="AC45"/>
      <c r="AD45"/>
      <c r="AE45"/>
    </row>
    <row r="46" spans="3:31" ht="14.5" x14ac:dyDescent="0.35">
      <c r="G46" s="88">
        <f>G45+H45/60+I45/3600</f>
        <v>0</v>
      </c>
      <c r="H46" s="88"/>
      <c r="I46" s="88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ht="14.5" x14ac:dyDescent="0.35">
      <c r="K47"/>
      <c r="L47"/>
      <c r="M47"/>
      <c r="N47"/>
      <c r="O47"/>
      <c r="P47"/>
      <c r="Z47"/>
      <c r="AA47"/>
      <c r="AB47"/>
      <c r="AC47"/>
      <c r="AD47"/>
      <c r="AE47"/>
    </row>
    <row r="48" spans="3:31" ht="14.5" x14ac:dyDescent="0.35">
      <c r="D48" s="112" t="s">
        <v>35</v>
      </c>
      <c r="E48" s="113"/>
      <c r="F48" s="113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2" t="s">
        <v>52</v>
      </c>
      <c r="M48" s="113"/>
      <c r="N48" s="113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ht="14.5" x14ac:dyDescent="0.35">
      <c r="D49" s="113"/>
      <c r="E49" s="113"/>
      <c r="F49" s="113"/>
      <c r="G49" s="38">
        <v>6</v>
      </c>
      <c r="H49" s="34">
        <v>35.9</v>
      </c>
      <c r="I49" s="34">
        <v>0</v>
      </c>
      <c r="J49" s="114" t="s">
        <v>29</v>
      </c>
      <c r="K49"/>
      <c r="L49" s="113"/>
      <c r="M49" s="113"/>
      <c r="N49" s="113"/>
      <c r="O49" s="34">
        <v>0</v>
      </c>
      <c r="P49" s="34">
        <v>1</v>
      </c>
      <c r="Q49" s="34">
        <v>0</v>
      </c>
      <c r="R49" s="114" t="s">
        <v>28</v>
      </c>
      <c r="Z49"/>
      <c r="AA49"/>
      <c r="AB49"/>
      <c r="AC49"/>
      <c r="AD49"/>
      <c r="AE49"/>
    </row>
    <row r="50" spans="3:31" ht="15" thickBot="1" x14ac:dyDescent="0.4">
      <c r="D50" s="113"/>
      <c r="E50" s="113"/>
      <c r="F50" s="113"/>
      <c r="G50" s="115">
        <f>(G49+H49/60+I49/3600) * VLOOKUP(J49,Constante!$D$15:$E$16,2)</f>
        <v>-6.5983333333333336</v>
      </c>
      <c r="H50" s="115"/>
      <c r="I50" s="115"/>
      <c r="J50" s="114"/>
      <c r="K50"/>
      <c r="L50" s="113"/>
      <c r="M50" s="113"/>
      <c r="N50" s="113"/>
      <c r="O50" s="115">
        <f>(O49+P49/60+Q49/3600) * VLOOKUP(R49,Constante!$D$15:$E$16,2)</f>
        <v>1.6666666666666666E-2</v>
      </c>
      <c r="P50" s="115"/>
      <c r="Q50" s="115"/>
      <c r="R50" s="114"/>
      <c r="T50" s="19" t="s">
        <v>127</v>
      </c>
      <c r="U50" s="19">
        <f>G46+(360 - G54)/O54</f>
        <v>12.196262720526152</v>
      </c>
      <c r="Z50"/>
      <c r="AA50"/>
      <c r="AB50"/>
      <c r="AC50"/>
      <c r="AD50"/>
      <c r="AE50"/>
    </row>
    <row r="51" spans="3:31" ht="14.5" x14ac:dyDescent="0.35">
      <c r="G51" s="109"/>
      <c r="H51" s="110"/>
      <c r="I51" s="110"/>
      <c r="J51" s="111"/>
      <c r="K51"/>
      <c r="L51"/>
      <c r="M51"/>
      <c r="N51"/>
      <c r="O51"/>
      <c r="P51"/>
      <c r="Z51"/>
      <c r="AA51"/>
      <c r="AB51"/>
      <c r="AC51"/>
      <c r="AD51"/>
      <c r="AE51"/>
    </row>
    <row r="52" spans="3:31" ht="14.5" x14ac:dyDescent="0.35">
      <c r="D52" s="112" t="s">
        <v>36</v>
      </c>
      <c r="E52" s="113"/>
      <c r="F52" s="113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2" t="s">
        <v>53</v>
      </c>
      <c r="M52" s="113"/>
      <c r="N52" s="113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ht="14.5" x14ac:dyDescent="0.35">
      <c r="D53" s="113"/>
      <c r="E53" s="113"/>
      <c r="F53" s="113"/>
      <c r="G53" s="38">
        <v>177</v>
      </c>
      <c r="H53" s="34">
        <v>1.9</v>
      </c>
      <c r="I53" s="34">
        <v>0</v>
      </c>
      <c r="J53" s="114" t="s">
        <v>32</v>
      </c>
      <c r="K53"/>
      <c r="L53" s="113"/>
      <c r="M53" s="113"/>
      <c r="N53" s="113"/>
      <c r="O53" s="34">
        <v>15.002000000000001</v>
      </c>
      <c r="P53" s="34">
        <v>0</v>
      </c>
      <c r="Q53" s="34">
        <v>0</v>
      </c>
      <c r="R53" s="114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ht="14.5" x14ac:dyDescent="0.35">
      <c r="D54" s="113"/>
      <c r="E54" s="113"/>
      <c r="F54" s="113"/>
      <c r="G54" s="115">
        <f>(G53+H53/60+I53/3600) * VLOOKUP(J53,Constante!$D$12:$E$13,2)</f>
        <v>177.03166666666667</v>
      </c>
      <c r="H54" s="115"/>
      <c r="I54" s="115"/>
      <c r="J54" s="114"/>
      <c r="K54"/>
      <c r="L54" s="113"/>
      <c r="M54" s="113"/>
      <c r="N54" s="113"/>
      <c r="O54" s="115">
        <f>(O53+P53/60+Q53/3600) * VLOOKUP(R53,Constante!$D$12:$E$13,2)</f>
        <v>15.002000000000001</v>
      </c>
      <c r="P54" s="115"/>
      <c r="Q54" s="115"/>
      <c r="R54" s="114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ht="14.5" x14ac:dyDescent="0.35">
      <c r="Z55"/>
      <c r="AA55"/>
      <c r="AB55"/>
      <c r="AC55"/>
      <c r="AD55"/>
      <c r="AE55"/>
    </row>
    <row r="56" spans="3:31" ht="14.5" x14ac:dyDescent="0.35">
      <c r="Z56"/>
      <c r="AA56"/>
      <c r="AB56"/>
      <c r="AC56"/>
      <c r="AD56"/>
      <c r="AE56"/>
    </row>
    <row r="57" spans="3:31" ht="14.5" x14ac:dyDescent="0.35">
      <c r="Z57"/>
      <c r="AA57"/>
      <c r="AB57"/>
      <c r="AC57"/>
      <c r="AD57"/>
      <c r="AE57"/>
    </row>
    <row r="58" spans="3:31" ht="14.5" x14ac:dyDescent="0.35">
      <c r="C58" s="100" t="s">
        <v>54</v>
      </c>
      <c r="D58" s="100"/>
      <c r="E58" s="100"/>
      <c r="F58" s="100"/>
      <c r="G58" s="100"/>
      <c r="H58" s="101" t="s">
        <v>57</v>
      </c>
      <c r="I58" s="101"/>
      <c r="J58" s="101"/>
      <c r="K58" s="101"/>
      <c r="L58" s="71" t="str">
        <f>VLOOKUP(H58,Constante!D23:E24,2)</f>
        <v>Cas B</v>
      </c>
    </row>
    <row r="59" spans="3:31" x14ac:dyDescent="0.3">
      <c r="D59" s="2" t="s">
        <v>37</v>
      </c>
    </row>
    <row r="60" spans="3:31" ht="15.75" customHeight="1" x14ac:dyDescent="0.3">
      <c r="F60" s="102" t="s">
        <v>35</v>
      </c>
      <c r="G60" s="102"/>
      <c r="H60" s="102"/>
      <c r="I60" s="103">
        <f>IF(L58=Constante!E23,U33,U50)</f>
        <v>12.196262720526152</v>
      </c>
      <c r="J60" s="103"/>
      <c r="K60" s="103"/>
      <c r="L60" s="103"/>
    </row>
    <row r="61" spans="3:31" ht="14.5" x14ac:dyDescent="0.35">
      <c r="F61" s="102"/>
      <c r="G61" s="102"/>
      <c r="H61" s="102"/>
      <c r="I61" s="74" t="s">
        <v>13</v>
      </c>
      <c r="J61" s="74" t="s">
        <v>4</v>
      </c>
      <c r="K61" s="74" t="s">
        <v>5</v>
      </c>
      <c r="L61" s="19" t="s">
        <v>22</v>
      </c>
    </row>
    <row r="62" spans="3:31" ht="15" thickBot="1" x14ac:dyDescent="0.4">
      <c r="F62" s="102"/>
      <c r="G62" s="102"/>
      <c r="H62" s="102"/>
      <c r="I62" s="20">
        <f>INT(ABS(I60))</f>
        <v>12</v>
      </c>
      <c r="J62" s="20">
        <f>INT(60*(ABS(I60)-I62))</f>
        <v>11</v>
      </c>
      <c r="K62" s="20">
        <f>INT(3600*(ABS(I60)-I62-J62/60))</f>
        <v>46</v>
      </c>
      <c r="L62" s="19" t="str">
        <f>VLOOKUP(IF(I60&lt;0,-1,1),Constante!$F$15:$G$17,2)</f>
        <v>N</v>
      </c>
    </row>
    <row r="63" spans="3:31" ht="14.5" thickBot="1" x14ac:dyDescent="0.35">
      <c r="I63" s="104"/>
      <c r="J63" s="105"/>
      <c r="K63" s="105"/>
      <c r="L63" s="106"/>
    </row>
    <row r="64" spans="3:31" ht="14.5" x14ac:dyDescent="0.3">
      <c r="F64" s="102" t="s">
        <v>42</v>
      </c>
      <c r="G64" s="88"/>
      <c r="H64" s="88"/>
      <c r="I64" s="107">
        <f>IF(L58="a",AA67,Z52)+H12</f>
        <v>2.0948030000000002</v>
      </c>
      <c r="J64" s="103"/>
      <c r="K64" s="103"/>
      <c r="L64" s="103"/>
    </row>
    <row r="65" spans="2:31" ht="14.5" x14ac:dyDescent="0.35">
      <c r="F65" s="88"/>
      <c r="G65" s="88"/>
      <c r="H65" s="88"/>
      <c r="I65" s="74" t="s">
        <v>13</v>
      </c>
      <c r="J65" s="74" t="s">
        <v>4</v>
      </c>
      <c r="K65" s="74" t="s">
        <v>5</v>
      </c>
      <c r="L65" s="19" t="s">
        <v>22</v>
      </c>
    </row>
    <row r="66" spans="2:31" ht="14.5" x14ac:dyDescent="0.35">
      <c r="F66" s="88"/>
      <c r="G66" s="88"/>
      <c r="H66" s="88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" thickBot="1" x14ac:dyDescent="0.4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" thickBot="1" x14ac:dyDescent="0.4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12.196262720526152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ht="14.5" x14ac:dyDescent="0.35">
      <c r="F71" s="90" t="s">
        <v>44</v>
      </c>
      <c r="G71" s="90"/>
      <c r="H71" s="90"/>
      <c r="S71" s="19"/>
      <c r="T71" s="98" t="s">
        <v>103</v>
      </c>
      <c r="U71" s="99"/>
      <c r="V71" s="69">
        <f>V70*Constante!$D$19</f>
        <v>0.21286494091142236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ht="14.5" x14ac:dyDescent="0.35">
      <c r="F72" s="74" t="s">
        <v>13</v>
      </c>
      <c r="G72" s="74" t="s">
        <v>4</v>
      </c>
      <c r="H72" s="74" t="s">
        <v>5</v>
      </c>
      <c r="S72" s="19" t="s">
        <v>102</v>
      </c>
      <c r="T72" s="19" t="s">
        <v>41</v>
      </c>
      <c r="U72" s="19"/>
      <c r="V72" s="19">
        <f>SIN(V71)*SIN(X71)</f>
        <v>0.15913932325834326</v>
      </c>
      <c r="W72" s="19"/>
      <c r="X72" s="19"/>
      <c r="Y72" s="19"/>
      <c r="Z72" s="19"/>
      <c r="AA72" s="19"/>
      <c r="AC72" s="1">
        <f>SIN(Constante!D19*'Droite hauteur Soleil'!I60)</f>
        <v>-0.11203405649912536</v>
      </c>
      <c r="AD72" s="1">
        <f>SIN(Constante!$D$19*'Droite hauteur Soleil'!D12)*SIN(Constante!$D$19*'Droite hauteur Soleil'!F74)</f>
        <v>0.42841152475664518</v>
      </c>
      <c r="AE72" s="1">
        <f>COS(Constante!$D$19*'Droite hauteur Soleil'!D12)*COS(Constante!$D$19*'Droite hauteur Soleil'!F74)</f>
        <v>0.5409733204231264</v>
      </c>
    </row>
    <row r="73" spans="2:31" ht="14.5" x14ac:dyDescent="0.35">
      <c r="F73" s="20">
        <f>INT(ABS(F74))</f>
        <v>53</v>
      </c>
      <c r="G73" s="20">
        <f>INT(60*(ABS(F74)-F73))</f>
        <v>16</v>
      </c>
      <c r="H73" s="73">
        <f>ABS(F74)-F73-G73/60</f>
        <v>1.285223160259269E-2</v>
      </c>
      <c r="S73" s="19" t="s">
        <v>104</v>
      </c>
      <c r="T73" s="19" t="s">
        <v>43</v>
      </c>
      <c r="U73" s="19"/>
      <c r="V73" s="19">
        <f>COS(V71)*COS(Z71)*COS(X71)</f>
        <v>0.64242264109019009</v>
      </c>
      <c r="W73" s="19"/>
      <c r="X73" s="19"/>
      <c r="Y73" s="19"/>
      <c r="Z73" s="19"/>
      <c r="AA73" s="19"/>
    </row>
    <row r="74" spans="2:31" ht="14.5" x14ac:dyDescent="0.35">
      <c r="F74" s="89">
        <f>V74/Constante!$D$19</f>
        <v>53.279518898269259</v>
      </c>
      <c r="G74" s="89"/>
      <c r="H74" s="89"/>
      <c r="S74" s="19" t="s">
        <v>44</v>
      </c>
      <c r="T74" s="108" t="s">
        <v>103</v>
      </c>
      <c r="U74" s="108"/>
      <c r="V74" s="69">
        <f>ASIN(V72+V73)</f>
        <v>0.92990302865334029</v>
      </c>
      <c r="W74" s="19"/>
      <c r="X74" s="19"/>
      <c r="Y74" s="19"/>
      <c r="Z74" s="19"/>
      <c r="AA74" s="19"/>
    </row>
    <row r="81" spans="2:29" ht="14.5" thickBot="1" x14ac:dyDescent="0.35"/>
    <row r="82" spans="2:29" ht="15" thickBot="1" x14ac:dyDescent="0.4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ht="14.5" x14ac:dyDescent="0.35">
      <c r="F83" s="90" t="s">
        <v>46</v>
      </c>
      <c r="G83" s="90"/>
      <c r="H83" s="90"/>
      <c r="S83" s="19"/>
      <c r="T83" s="19"/>
      <c r="U83" s="19"/>
      <c r="V83" s="19">
        <f>I60</f>
        <v>12.196262720526152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53.279518898269259</v>
      </c>
      <c r="AC83" s="19"/>
    </row>
    <row r="84" spans="2:29" ht="14.5" x14ac:dyDescent="0.35">
      <c r="F84" s="74" t="s">
        <v>13</v>
      </c>
      <c r="G84" s="74" t="s">
        <v>4</v>
      </c>
      <c r="H84" s="74" t="s">
        <v>5</v>
      </c>
      <c r="S84" s="19"/>
      <c r="T84" s="98" t="s">
        <v>103</v>
      </c>
      <c r="U84" s="99"/>
      <c r="V84" s="69">
        <f>V83*Constante!$D$19</f>
        <v>0.21286494091142236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0.92990302865334029</v>
      </c>
      <c r="AC84" s="69"/>
    </row>
    <row r="85" spans="2:29" ht="14.5" x14ac:dyDescent="0.35">
      <c r="F85" s="20">
        <f>INT(ABS(F86))</f>
        <v>176</v>
      </c>
      <c r="G85" s="20">
        <f>INT(60*(ABS(F86)-F85))</f>
        <v>34</v>
      </c>
      <c r="H85" s="73">
        <f>ABS(F86)-F85-G85/60</f>
        <v>7.5990300985286918E-3</v>
      </c>
      <c r="J85" s="22" t="s">
        <v>70</v>
      </c>
      <c r="K85" s="22"/>
      <c r="S85" s="19" t="s">
        <v>102</v>
      </c>
      <c r="T85" s="95" t="s">
        <v>105</v>
      </c>
      <c r="U85" s="96"/>
      <c r="V85" s="19">
        <f>SIN(V84)</f>
        <v>0.21126104128624015</v>
      </c>
      <c r="W85" s="19"/>
      <c r="X85" s="19"/>
      <c r="Y85" s="19"/>
      <c r="Z85" s="19"/>
      <c r="AA85" s="19"/>
      <c r="AB85" s="19"/>
      <c r="AC85" s="19"/>
    </row>
    <row r="86" spans="2:29" ht="14.5" x14ac:dyDescent="0.35">
      <c r="F86" s="97">
        <f>V88/Constante!$D$19</f>
        <v>176.5742656967652</v>
      </c>
      <c r="G86" s="97"/>
      <c r="H86" s="97"/>
      <c r="J86" s="53"/>
      <c r="K86" s="54">
        <f>IF(I64&lt;180,ABS(F86-360),F86)</f>
        <v>183.4257343032348</v>
      </c>
      <c r="L86" s="55" t="s">
        <v>13</v>
      </c>
      <c r="S86" s="19" t="s">
        <v>104</v>
      </c>
      <c r="T86" s="95" t="s">
        <v>106</v>
      </c>
      <c r="U86" s="96"/>
      <c r="V86" s="19">
        <f>SIN(X84)*SIN(AB84)</f>
        <v>0.60380289607311577</v>
      </c>
      <c r="W86" s="19"/>
      <c r="X86" s="19"/>
      <c r="Y86" s="19"/>
      <c r="Z86" s="19"/>
      <c r="AA86" s="19"/>
      <c r="AB86" s="19"/>
      <c r="AC86" s="19"/>
    </row>
    <row r="87" spans="2:29" ht="14.5" x14ac:dyDescent="0.35">
      <c r="S87" s="19" t="s">
        <v>107</v>
      </c>
      <c r="T87" s="95" t="s">
        <v>108</v>
      </c>
      <c r="U87" s="96"/>
      <c r="V87" s="19">
        <f>COS(X84)*COS(AB84)</f>
        <v>0.39324454744956178</v>
      </c>
      <c r="W87" s="19"/>
      <c r="X87" s="19"/>
      <c r="Y87" s="19"/>
      <c r="Z87" s="19"/>
      <c r="AA87" s="19"/>
      <c r="AB87" s="19"/>
      <c r="AC87" s="19"/>
    </row>
    <row r="88" spans="2:29" ht="14.5" x14ac:dyDescent="0.35">
      <c r="S88" s="19" t="s">
        <v>44</v>
      </c>
      <c r="T88" s="98" t="s">
        <v>103</v>
      </c>
      <c r="U88" s="99"/>
      <c r="V88" s="69">
        <f>ACOS(((V85-V86)/V87))</f>
        <v>3.0818023106998318</v>
      </c>
      <c r="W88" s="19"/>
      <c r="X88" s="19"/>
      <c r="Y88" s="19"/>
      <c r="Z88" s="19"/>
      <c r="AA88" s="19"/>
      <c r="AB88" s="19"/>
      <c r="AC88" s="19"/>
    </row>
    <row r="89" spans="2:29" ht="14.5" x14ac:dyDescent="0.35">
      <c r="S89"/>
      <c r="T89"/>
      <c r="U89"/>
      <c r="V89"/>
      <c r="W89"/>
      <c r="X89"/>
      <c r="Y89"/>
      <c r="Z89"/>
      <c r="AA89"/>
      <c r="AB89"/>
      <c r="AC89"/>
    </row>
    <row r="90" spans="2:29" ht="15" thickBot="1" x14ac:dyDescent="0.4">
      <c r="S90"/>
      <c r="T90"/>
      <c r="U90"/>
      <c r="V90"/>
      <c r="W90"/>
      <c r="X90"/>
      <c r="Y90"/>
      <c r="Z90"/>
      <c r="AA90"/>
      <c r="AB90"/>
      <c r="AC90"/>
    </row>
    <row r="91" spans="2:29" ht="14.5" thickBot="1" x14ac:dyDescent="0.35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ht="14.5" x14ac:dyDescent="0.35">
      <c r="D92" s="1" t="s">
        <v>12</v>
      </c>
      <c r="F92" t="s">
        <v>19</v>
      </c>
      <c r="G92"/>
      <c r="H92"/>
      <c r="I92" s="1" t="s">
        <v>61</v>
      </c>
      <c r="O92" s="90" t="s">
        <v>62</v>
      </c>
      <c r="P92" s="90"/>
      <c r="Q92" s="90"/>
      <c r="S92" s="71" t="s">
        <v>23</v>
      </c>
      <c r="T92" s="71" t="s">
        <v>15</v>
      </c>
      <c r="U92" s="71" t="s">
        <v>81</v>
      </c>
      <c r="V92" s="71" t="s">
        <v>110</v>
      </c>
      <c r="W92" s="87" t="s">
        <v>121</v>
      </c>
      <c r="X92" s="88" t="s">
        <v>120</v>
      </c>
      <c r="Y92" s="88">
        <f>IF(U93,U94,IF(T93,IF(V93,V94,T94),IF(S93,S94,888)))</f>
        <v>0</v>
      </c>
    </row>
    <row r="93" spans="2:29" ht="14.5" x14ac:dyDescent="0.3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74" t="s">
        <v>13</v>
      </c>
      <c r="P93" s="74" t="s">
        <v>4</v>
      </c>
      <c r="Q93" s="74" t="s">
        <v>5</v>
      </c>
      <c r="S93" s="71" t="b">
        <f>ISNUMBER(SEARCH(E16,Constante!D4))</f>
        <v>0</v>
      </c>
      <c r="T93" s="71" t="b">
        <f>ISNUMBER(SEARCH(E16,Constante!D3))</f>
        <v>1</v>
      </c>
      <c r="U93" s="71" t="b">
        <f>AND(NOT(S93),NOT(T93))</f>
        <v>0</v>
      </c>
      <c r="V93" s="71" t="b">
        <f>ISNUMBER(SEARCH(L16,Constante!G4))</f>
        <v>0</v>
      </c>
      <c r="W93" s="88"/>
      <c r="X93" s="88"/>
      <c r="Y93" s="88"/>
    </row>
    <row r="94" spans="2:29" ht="14.5" x14ac:dyDescent="0.3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73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8"/>
      <c r="X94" s="88"/>
      <c r="Y94" s="88"/>
    </row>
    <row r="95" spans="2:29" ht="14.5" x14ac:dyDescent="0.35">
      <c r="F95"/>
      <c r="G95"/>
      <c r="I95" s="1" t="s">
        <v>63</v>
      </c>
      <c r="O95" s="89">
        <f>D93-F93+I93+I94</f>
        <v>30.82585555555556</v>
      </c>
      <c r="P95" s="89"/>
      <c r="Q95" s="89"/>
    </row>
    <row r="96" spans="2:29" ht="14.5" x14ac:dyDescent="0.3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3">
      <c r="U97" s="81" t="s">
        <v>113</v>
      </c>
      <c r="V97" s="78" t="s">
        <v>114</v>
      </c>
      <c r="W97" s="78"/>
      <c r="X97" s="78"/>
      <c r="Y97" s="77" t="s">
        <v>115</v>
      </c>
      <c r="Z97" s="77"/>
      <c r="AA97" s="77"/>
    </row>
    <row r="98" spans="4:27" x14ac:dyDescent="0.3">
      <c r="U98" s="81"/>
      <c r="V98" s="78" t="s">
        <v>116</v>
      </c>
      <c r="W98" s="78" t="s">
        <v>117</v>
      </c>
      <c r="X98" s="78" t="s">
        <v>118</v>
      </c>
      <c r="Y98" s="77" t="s">
        <v>116</v>
      </c>
      <c r="Z98" s="77" t="s">
        <v>119</v>
      </c>
      <c r="AA98" s="77" t="s">
        <v>118</v>
      </c>
    </row>
    <row r="99" spans="4:27" x14ac:dyDescent="0.3">
      <c r="U99" s="81"/>
      <c r="V99" s="79">
        <f>MATCH(D93,Constante!$M$6:$M$17,1)</f>
        <v>10</v>
      </c>
      <c r="W99" s="78">
        <f>INDEX(Constante!$M$6:$M$17,V99)</f>
        <v>30</v>
      </c>
      <c r="X99" s="78">
        <f>INDEX(Constante!$N$6:$S$17,V99,1+V96)</f>
        <v>0.24166666666666667</v>
      </c>
      <c r="Y99" s="80">
        <f>V99+1</f>
        <v>11</v>
      </c>
      <c r="Z99" s="77">
        <f>INDEX(Constante!$M$6:$M$17,Y99)</f>
        <v>50</v>
      </c>
      <c r="AA99" s="77">
        <f>INDEX(Constante!$N$6:$S$17,Y99,1+V96)</f>
        <v>0.255</v>
      </c>
    </row>
    <row r="100" spans="4:27" ht="14.5" x14ac:dyDescent="0.35">
      <c r="U100" s="19" t="s">
        <v>93</v>
      </c>
      <c r="V100" s="23">
        <f>(D93-W99)/(Z99-W99)</f>
        <v>6.4166666666666747E-2</v>
      </c>
    </row>
    <row r="101" spans="4:27" ht="14.5" x14ac:dyDescent="0.35">
      <c r="U101" s="19" t="s">
        <v>92</v>
      </c>
      <c r="V101" s="19">
        <f>(1-V100)*X99+V100*AA99</f>
        <v>0.24252222222222225</v>
      </c>
    </row>
    <row r="103" spans="4:27" ht="14.5" x14ac:dyDescent="0.35">
      <c r="X103"/>
    </row>
    <row r="104" spans="4:27" ht="14.5" x14ac:dyDescent="0.35">
      <c r="X104"/>
    </row>
    <row r="105" spans="4:27" x14ac:dyDescent="0.3">
      <c r="D105" s="1" t="s">
        <v>69</v>
      </c>
    </row>
    <row r="106" spans="4:27" ht="14.5" x14ac:dyDescent="0.35">
      <c r="F106" s="90" t="s">
        <v>69</v>
      </c>
      <c r="G106" s="90"/>
      <c r="H106" s="90"/>
    </row>
    <row r="107" spans="4:27" ht="14.5" x14ac:dyDescent="0.3">
      <c r="F107" s="74" t="s">
        <v>13</v>
      </c>
      <c r="G107" s="74" t="s">
        <v>4</v>
      </c>
      <c r="H107" s="74" t="s">
        <v>5</v>
      </c>
    </row>
    <row r="108" spans="4:27" ht="14.5" x14ac:dyDescent="0.35">
      <c r="F108" s="32">
        <f>INT(ABS(F109))</f>
        <v>22</v>
      </c>
      <c r="G108" s="32">
        <f>INT(60*(ABS(F109)-F108))</f>
        <v>27</v>
      </c>
      <c r="H108" s="33">
        <f>ABS(F109)-F108-G108/60</f>
        <v>3.6633427136997798E-3</v>
      </c>
    </row>
    <row r="109" spans="4:27" ht="14.5" x14ac:dyDescent="0.35">
      <c r="F109" s="91">
        <f>O95-F74</f>
        <v>-22.4536633427137</v>
      </c>
      <c r="G109" s="92"/>
      <c r="H109" s="93"/>
      <c r="J109" s="94">
        <f>F109*60</f>
        <v>-1347.219800562822</v>
      </c>
      <c r="K109" s="94"/>
      <c r="L109" s="94" t="s">
        <v>125</v>
      </c>
      <c r="M109" s="94"/>
    </row>
    <row r="112" spans="4:27" ht="14.5" x14ac:dyDescent="0.3">
      <c r="G112" s="84" t="s">
        <v>122</v>
      </c>
      <c r="H112" s="84"/>
      <c r="I112" s="84"/>
      <c r="J112" s="82" t="s">
        <v>17</v>
      </c>
      <c r="K112" s="82">
        <f>ABS(I60)</f>
        <v>12.196262720526152</v>
      </c>
      <c r="L112" s="82" t="str">
        <f>L62</f>
        <v>N</v>
      </c>
      <c r="M112" s="85" t="s">
        <v>123</v>
      </c>
      <c r="N112" s="86"/>
      <c r="O112" s="84" t="s">
        <v>124</v>
      </c>
      <c r="P112" s="84"/>
      <c r="Q112" s="84"/>
      <c r="R112" s="82" t="s">
        <v>17</v>
      </c>
      <c r="S112" s="83">
        <f>D12</f>
        <v>48.875556000000003</v>
      </c>
      <c r="T112" s="82" t="str">
        <f>G11</f>
        <v>N</v>
      </c>
    </row>
    <row r="113" spans="7:20" ht="14.5" x14ac:dyDescent="0.3">
      <c r="G113" s="84"/>
      <c r="H113" s="84"/>
      <c r="I113" s="84"/>
      <c r="J113" s="82" t="s">
        <v>16</v>
      </c>
      <c r="K113" s="82">
        <f>ABS(I64)</f>
        <v>2.0948030000000002</v>
      </c>
      <c r="L113" s="82" t="str">
        <f>L66</f>
        <v>E</v>
      </c>
      <c r="M113" s="85"/>
      <c r="N113" s="86"/>
      <c r="O113" s="84"/>
      <c r="P113" s="84"/>
      <c r="Q113" s="84"/>
      <c r="R113" s="82" t="s">
        <v>16</v>
      </c>
      <c r="S113" s="83">
        <f>H12</f>
        <v>2.0948030000000002</v>
      </c>
      <c r="T113" s="82" t="str">
        <f>K11</f>
        <v>E</v>
      </c>
    </row>
  </sheetData>
  <mergeCells count="99">
    <mergeCell ref="T88:U88"/>
    <mergeCell ref="T74:U74"/>
    <mergeCell ref="T84:U84"/>
    <mergeCell ref="T85:U85"/>
    <mergeCell ref="T86:U86"/>
    <mergeCell ref="T87:U87"/>
    <mergeCell ref="S7:X7"/>
    <mergeCell ref="S8:X8"/>
    <mergeCell ref="R49:R50"/>
    <mergeCell ref="R53:R54"/>
    <mergeCell ref="T71:U71"/>
    <mergeCell ref="B2:P2"/>
    <mergeCell ref="S3:X3"/>
    <mergeCell ref="S4:X4"/>
    <mergeCell ref="S5:X5"/>
    <mergeCell ref="S6:X6"/>
    <mergeCell ref="J7:J8"/>
    <mergeCell ref="K4:M4"/>
    <mergeCell ref="B5:D5"/>
    <mergeCell ref="E5:G5"/>
    <mergeCell ref="H5:J5"/>
    <mergeCell ref="K5:M5"/>
    <mergeCell ref="K8:M8"/>
    <mergeCell ref="B7:B8"/>
    <mergeCell ref="C7:C8"/>
    <mergeCell ref="D7:D8"/>
    <mergeCell ref="E7:E8"/>
    <mergeCell ref="F7:F8"/>
    <mergeCell ref="G7:G8"/>
    <mergeCell ref="H7:H8"/>
    <mergeCell ref="I7:I8"/>
    <mergeCell ref="B9:C12"/>
    <mergeCell ref="D9:G9"/>
    <mergeCell ref="H9:K9"/>
    <mergeCell ref="G11:G12"/>
    <mergeCell ref="K11:K12"/>
    <mergeCell ref="D12:F12"/>
    <mergeCell ref="H12:J12"/>
    <mergeCell ref="G29:I29"/>
    <mergeCell ref="M29:O29"/>
    <mergeCell ref="J16:K16"/>
    <mergeCell ref="B13:C15"/>
    <mergeCell ref="D15:G15"/>
    <mergeCell ref="B16:D19"/>
    <mergeCell ref="E16:F19"/>
    <mergeCell ref="G16:I16"/>
    <mergeCell ref="L16:M16"/>
    <mergeCell ref="G19:I19"/>
    <mergeCell ref="J19:K19"/>
    <mergeCell ref="G26:I26"/>
    <mergeCell ref="M26:O26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O54:Q54"/>
    <mergeCell ref="G46:I46"/>
    <mergeCell ref="D48:F50"/>
    <mergeCell ref="L48:N50"/>
    <mergeCell ref="J49:J50"/>
    <mergeCell ref="G51:J51"/>
    <mergeCell ref="D52:F54"/>
    <mergeCell ref="L52:N54"/>
    <mergeCell ref="J53:J54"/>
    <mergeCell ref="G54:I54"/>
    <mergeCell ref="G50:I50"/>
    <mergeCell ref="O50:Q50"/>
    <mergeCell ref="F86:H86"/>
    <mergeCell ref="C58:G58"/>
    <mergeCell ref="H58:K58"/>
    <mergeCell ref="F60:H62"/>
    <mergeCell ref="I60:L60"/>
    <mergeCell ref="I63:L63"/>
    <mergeCell ref="F71:H71"/>
    <mergeCell ref="F74:H74"/>
    <mergeCell ref="F83:H83"/>
    <mergeCell ref="F64:H66"/>
    <mergeCell ref="I64:L64"/>
    <mergeCell ref="G112:I113"/>
    <mergeCell ref="M112:N113"/>
    <mergeCell ref="O112:Q113"/>
    <mergeCell ref="Y92:Y94"/>
    <mergeCell ref="O95:Q95"/>
    <mergeCell ref="F106:H106"/>
    <mergeCell ref="F109:H109"/>
    <mergeCell ref="J109:K109"/>
    <mergeCell ref="L109:M109"/>
    <mergeCell ref="O92:Q92"/>
    <mergeCell ref="W92:W94"/>
    <mergeCell ref="X92:X9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Astre visé" xr:uid="{00000000-0002-0000-0100-000000000000}">
          <x14:formula1>
            <xm:f>Constante!$D$3:$D$9</xm:f>
          </x14:formula1>
          <xm:sqref>E16</xm:sqref>
        </x14:dataValidation>
        <x14:dataValidation type="list" allowBlank="1" showInputMessage="1" showErrorMessage="1" xr:uid="{00000000-0002-0000-0100-000001000000}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xr:uid="{00000000-0002-0000-0100-000002000000}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 xr:uid="{00000000-0002-0000-0100-000003000000}">
          <x14:formula1>
            <xm:f>Constante!$D$23:$D$24</xm:f>
          </x14:formula1>
          <xm:sqref>H58</xm:sqref>
        </x14:dataValidation>
        <x14:dataValidation type="list" allowBlank="1" showInputMessage="1" showErrorMessage="1" xr:uid="{00000000-0002-0000-0100-000004000000}">
          <x14:formula1>
            <xm:f>Constante!$K$3:$K$8</xm:f>
          </x14:formula1>
          <xm:sqref>L19</xm:sqref>
        </x14:dataValidation>
        <x14:dataValidation type="list" allowBlank="1" showInputMessage="1" showErrorMessage="1" xr:uid="{00000000-0002-0000-0100-000005000000}">
          <x14:formula1>
            <xm:f>Constante!$G$3:$G$4</xm:f>
          </x14:formula1>
          <xm:sqref>L16:M16</xm:sqref>
        </x14:dataValidation>
        <x14:dataValidation type="list" allowBlank="1" showInputMessage="1" showErrorMessage="1" xr:uid="{00000000-0002-0000-0100-000006000000}">
          <x14:formula1>
            <xm:f>Constante!$J$12:$J$13</xm:f>
          </x14:formula1>
          <xm:sqref>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J113"/>
  <sheetViews>
    <sheetView topLeftCell="A73" workbookViewId="0">
      <selection activeCell="U107" sqref="U107"/>
    </sheetView>
  </sheetViews>
  <sheetFormatPr baseColWidth="10" defaultColWidth="11.453125" defaultRowHeight="14" x14ac:dyDescent="0.3"/>
  <cols>
    <col min="1" max="1" width="11.453125" style="1"/>
    <col min="2" max="18" width="7.1796875" style="1" customWidth="1"/>
    <col min="19" max="19" width="9" style="1" customWidth="1"/>
    <col min="20" max="20" width="7.1796875" style="1" customWidth="1"/>
    <col min="21" max="21" width="13.7265625" style="1" customWidth="1"/>
    <col min="22" max="22" width="10.1796875" style="1" customWidth="1"/>
    <col min="23" max="23" width="11.453125" style="1"/>
    <col min="24" max="24" width="13.7265625" style="1" customWidth="1"/>
    <col min="25" max="26" width="11.453125" style="1"/>
    <col min="27" max="27" width="13.7265625" style="1" customWidth="1"/>
    <col min="28" max="16384" width="11.453125" style="1"/>
  </cols>
  <sheetData>
    <row r="1" spans="2:36" ht="14.5" thickBot="1" x14ac:dyDescent="0.35"/>
    <row r="2" spans="2:36" ht="63" customHeight="1" thickBot="1" x14ac:dyDescent="0.35">
      <c r="B2" s="166" t="s">
        <v>10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56"/>
      <c r="R2" s="16" t="s">
        <v>71</v>
      </c>
      <c r="S2" s="16"/>
      <c r="Y2" s="56"/>
      <c r="Z2" s="57"/>
    </row>
    <row r="3" spans="2:36" ht="15" thickBot="1" x14ac:dyDescent="0.4">
      <c r="S3" s="168" t="s">
        <v>72</v>
      </c>
      <c r="T3" s="168"/>
      <c r="U3" s="168"/>
      <c r="V3" s="168"/>
      <c r="W3" s="168"/>
      <c r="X3" s="168"/>
    </row>
    <row r="4" spans="2:36" ht="53.25" customHeight="1" thickBot="1" x14ac:dyDescent="0.4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69" t="s">
        <v>82</v>
      </c>
      <c r="L4" s="169"/>
      <c r="M4" s="169"/>
      <c r="S4" s="170" t="s">
        <v>73</v>
      </c>
      <c r="T4" s="170"/>
      <c r="U4" s="170"/>
      <c r="V4" s="170"/>
      <c r="W4" s="170"/>
      <c r="X4" s="170"/>
    </row>
    <row r="5" spans="2:36" ht="14.5" x14ac:dyDescent="0.35">
      <c r="B5" s="116" t="s">
        <v>2</v>
      </c>
      <c r="C5" s="116"/>
      <c r="D5" s="116"/>
      <c r="E5" s="116" t="s">
        <v>6</v>
      </c>
      <c r="F5" s="116"/>
      <c r="G5" s="116"/>
      <c r="H5" s="116" t="s">
        <v>7</v>
      </c>
      <c r="I5" s="116"/>
      <c r="J5" s="116"/>
      <c r="K5" s="90" t="s">
        <v>8</v>
      </c>
      <c r="L5" s="90"/>
      <c r="M5" s="90"/>
      <c r="S5" s="171" t="s">
        <v>74</v>
      </c>
      <c r="T5" s="171"/>
      <c r="U5" s="171"/>
      <c r="V5" s="171"/>
      <c r="W5" s="171"/>
      <c r="X5" s="171"/>
    </row>
    <row r="6" spans="2:36" ht="15" thickBot="1" x14ac:dyDescent="0.4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57" t="s">
        <v>75</v>
      </c>
      <c r="T6" s="157"/>
      <c r="U6" s="157"/>
      <c r="V6" s="157"/>
      <c r="W6" s="157"/>
      <c r="X6" s="157"/>
      <c r="AA6" s="1" t="s">
        <v>9</v>
      </c>
      <c r="AD6" s="1" t="s">
        <v>9</v>
      </c>
      <c r="AG6" s="1" t="s">
        <v>9</v>
      </c>
      <c r="AJ6" s="1" t="s">
        <v>9</v>
      </c>
    </row>
    <row r="7" spans="2:36" ht="14.5" x14ac:dyDescent="0.35">
      <c r="B7" s="158">
        <v>9</v>
      </c>
      <c r="C7" s="160">
        <v>56</v>
      </c>
      <c r="D7" s="162">
        <v>42</v>
      </c>
      <c r="E7" s="158">
        <v>0</v>
      </c>
      <c r="F7" s="160">
        <v>0</v>
      </c>
      <c r="G7" s="162">
        <v>0</v>
      </c>
      <c r="H7" s="158">
        <v>0</v>
      </c>
      <c r="I7" s="160">
        <v>0</v>
      </c>
      <c r="J7" s="162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94" t="s">
        <v>76</v>
      </c>
      <c r="T7" s="94"/>
      <c r="U7" s="94"/>
      <c r="V7" s="94"/>
      <c r="W7" s="94"/>
      <c r="X7" s="94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" thickBot="1" x14ac:dyDescent="0.4">
      <c r="B8" s="159"/>
      <c r="C8" s="161"/>
      <c r="D8" s="163"/>
      <c r="E8" s="159"/>
      <c r="F8" s="161"/>
      <c r="G8" s="163"/>
      <c r="H8" s="159"/>
      <c r="I8" s="161"/>
      <c r="J8" s="163"/>
      <c r="K8" s="164">
        <f>K7+L7/60+M7/3600</f>
        <v>9.9450000000000003</v>
      </c>
      <c r="L8" s="88"/>
      <c r="M8" s="88"/>
      <c r="S8" s="165" t="s">
        <v>77</v>
      </c>
      <c r="T8" s="165"/>
      <c r="U8" s="165"/>
      <c r="V8" s="165"/>
      <c r="W8" s="165"/>
      <c r="X8" s="165"/>
    </row>
    <row r="9" spans="2:36" ht="15" customHeight="1" x14ac:dyDescent="0.35">
      <c r="B9" s="148" t="s">
        <v>18</v>
      </c>
      <c r="C9" s="149"/>
      <c r="D9" s="138" t="s">
        <v>17</v>
      </c>
      <c r="E9" s="138"/>
      <c r="F9" s="138"/>
      <c r="G9" s="138"/>
      <c r="H9" s="138" t="s">
        <v>16</v>
      </c>
      <c r="I9" s="138"/>
      <c r="J9" s="138"/>
      <c r="K9" s="139"/>
    </row>
    <row r="10" spans="2:36" ht="14.5" x14ac:dyDescent="0.35">
      <c r="B10" s="119"/>
      <c r="C10" s="120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ht="14.5" x14ac:dyDescent="0.35">
      <c r="B11" s="119"/>
      <c r="C11" s="120"/>
      <c r="D11" s="41">
        <v>48.875556000000003</v>
      </c>
      <c r="E11" s="41">
        <v>0</v>
      </c>
      <c r="F11" s="41">
        <v>0</v>
      </c>
      <c r="G11" s="152" t="s">
        <v>28</v>
      </c>
      <c r="H11" s="41">
        <v>2.0948030000000002</v>
      </c>
      <c r="I11" s="41">
        <v>0</v>
      </c>
      <c r="J11" s="41">
        <v>0</v>
      </c>
      <c r="K11" s="154" t="s">
        <v>32</v>
      </c>
    </row>
    <row r="12" spans="2:36" ht="15" thickBot="1" x14ac:dyDescent="0.4">
      <c r="B12" s="150"/>
      <c r="C12" s="151"/>
      <c r="D12" s="156">
        <f>(D11+E11/60+F11/3600) * VLOOKUP(G11,Constante!$D$15:$E$16,2)</f>
        <v>48.875556000000003</v>
      </c>
      <c r="E12" s="156"/>
      <c r="F12" s="156"/>
      <c r="G12" s="153"/>
      <c r="H12" s="156">
        <f>(H11+I11/60+J11/3600) * VLOOKUP(K11,Constante!$D$12:$E$13,2)</f>
        <v>2.0948030000000002</v>
      </c>
      <c r="I12" s="156"/>
      <c r="J12" s="156"/>
      <c r="K12" s="155"/>
    </row>
    <row r="13" spans="2:36" ht="15" customHeight="1" x14ac:dyDescent="0.3">
      <c r="B13" s="117" t="s">
        <v>21</v>
      </c>
      <c r="C13" s="118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35">
      <c r="B14" s="119"/>
      <c r="C14" s="120"/>
      <c r="D14" s="41" t="s">
        <v>60</v>
      </c>
      <c r="E14" s="41">
        <v>0</v>
      </c>
      <c r="F14" s="41">
        <v>42</v>
      </c>
      <c r="G14" s="42">
        <v>0</v>
      </c>
    </row>
    <row r="15" spans="2:36" ht="15" thickBot="1" x14ac:dyDescent="0.4">
      <c r="B15" s="121"/>
      <c r="C15" s="122"/>
      <c r="D15" s="123">
        <f>(E14+F14/60+G14/3600) * VLOOKUP(D14,Constante!J12:K13,2)</f>
        <v>0.7</v>
      </c>
      <c r="E15" s="124"/>
      <c r="F15" s="124"/>
      <c r="G15" s="125"/>
    </row>
    <row r="16" spans="2:36" ht="19.5" customHeight="1" thickBot="1" x14ac:dyDescent="0.4">
      <c r="B16" s="126" t="s">
        <v>11</v>
      </c>
      <c r="C16" s="127"/>
      <c r="D16" s="127"/>
      <c r="E16" s="132" t="s">
        <v>15</v>
      </c>
      <c r="F16" s="133"/>
      <c r="G16" s="138" t="s">
        <v>12</v>
      </c>
      <c r="H16" s="138"/>
      <c r="I16" s="139"/>
      <c r="J16" s="140" t="s">
        <v>78</v>
      </c>
      <c r="K16" s="141"/>
      <c r="L16" s="142" t="s">
        <v>79</v>
      </c>
      <c r="M16" s="143"/>
    </row>
    <row r="17" spans="2:18" ht="14.5" x14ac:dyDescent="0.3">
      <c r="B17" s="128"/>
      <c r="C17" s="129"/>
      <c r="D17" s="129"/>
      <c r="E17" s="134"/>
      <c r="F17" s="135"/>
      <c r="G17" s="45" t="s">
        <v>13</v>
      </c>
      <c r="H17" s="45" t="s">
        <v>4</v>
      </c>
      <c r="I17" s="48" t="s">
        <v>5</v>
      </c>
      <c r="J17" s="52"/>
    </row>
    <row r="18" spans="2:18" ht="15" thickBot="1" x14ac:dyDescent="0.4">
      <c r="B18" s="128"/>
      <c r="C18" s="129"/>
      <c r="D18" s="129"/>
      <c r="E18" s="134"/>
      <c r="F18" s="135"/>
      <c r="G18" s="41">
        <v>31</v>
      </c>
      <c r="H18" s="41">
        <v>17</v>
      </c>
      <c r="I18" s="42">
        <v>0</v>
      </c>
      <c r="J18" s="51"/>
    </row>
    <row r="19" spans="2:18" ht="15" thickBot="1" x14ac:dyDescent="0.4">
      <c r="B19" s="130"/>
      <c r="C19" s="131"/>
      <c r="D19" s="131"/>
      <c r="E19" s="136"/>
      <c r="F19" s="137"/>
      <c r="G19" s="144">
        <f>G18+H18/60+I18/3600</f>
        <v>31.283333333333335</v>
      </c>
      <c r="H19" s="144"/>
      <c r="I19" s="145"/>
      <c r="J19" s="146" t="s">
        <v>20</v>
      </c>
      <c r="K19" s="147"/>
      <c r="L19" s="49">
        <v>0</v>
      </c>
      <c r="M19" s="50" t="s">
        <v>4</v>
      </c>
    </row>
    <row r="23" spans="2:18" ht="14.5" thickBot="1" x14ac:dyDescent="0.35"/>
    <row r="24" spans="2:18" ht="14.5" thickBot="1" x14ac:dyDescent="0.35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3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ht="14.5" x14ac:dyDescent="0.35">
      <c r="D26" s="39" t="s">
        <v>1</v>
      </c>
      <c r="E26" s="39"/>
      <c r="G26" s="116" t="s">
        <v>33</v>
      </c>
      <c r="H26" s="116"/>
      <c r="I26" s="116"/>
      <c r="M26" s="116" t="s">
        <v>34</v>
      </c>
      <c r="N26" s="116"/>
      <c r="O26" s="116"/>
    </row>
    <row r="27" spans="2:18" ht="14.5" x14ac:dyDescent="0.3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ht="14.5" x14ac:dyDescent="0.3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ht="14.5" x14ac:dyDescent="0.35">
      <c r="G29" s="88">
        <f>G28+H28/60+I28/3600</f>
        <v>9</v>
      </c>
      <c r="H29" s="88"/>
      <c r="I29" s="88"/>
      <c r="M29" s="88">
        <f>M28+N28/60+O28/3600</f>
        <v>10</v>
      </c>
      <c r="N29" s="88"/>
      <c r="O29" s="88"/>
      <c r="Q29" s="19" t="s">
        <v>93</v>
      </c>
      <c r="R29" s="19">
        <f>(K8-M29)/(G29-M29)</f>
        <v>5.4999999999999716E-2</v>
      </c>
    </row>
    <row r="31" spans="2:18" ht="14.5" x14ac:dyDescent="0.35">
      <c r="D31" s="112" t="s">
        <v>35</v>
      </c>
      <c r="E31" s="113"/>
      <c r="F31" s="113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ht="14.5" x14ac:dyDescent="0.35">
      <c r="D32" s="113"/>
      <c r="E32" s="113"/>
      <c r="F32" s="113"/>
      <c r="G32" s="34">
        <v>5</v>
      </c>
      <c r="H32" s="34">
        <v>33.200000000000003</v>
      </c>
      <c r="I32" s="34">
        <v>0</v>
      </c>
      <c r="J32" s="114" t="s">
        <v>29</v>
      </c>
      <c r="L32" s="34">
        <v>5</v>
      </c>
      <c r="M32" s="34">
        <v>34.200000000000003</v>
      </c>
      <c r="N32" s="34">
        <v>0</v>
      </c>
      <c r="O32" s="114" t="s">
        <v>29</v>
      </c>
    </row>
    <row r="33" spans="3:31" ht="15" thickBot="1" x14ac:dyDescent="0.4">
      <c r="D33" s="113"/>
      <c r="E33" s="113"/>
      <c r="F33" s="113"/>
      <c r="G33" s="115">
        <f>(G32+H32/60+I32/3600) * VLOOKUP(J32,Constante!$D$15:$E$16,2)</f>
        <v>-5.5533333333333337</v>
      </c>
      <c r="H33" s="115"/>
      <c r="I33" s="115"/>
      <c r="J33" s="114"/>
      <c r="L33" s="115">
        <f>(L32+M32/60+N32/3600) * VLOOKUP(O32,Constante!$D$15:$E$16,2)</f>
        <v>-5.57</v>
      </c>
      <c r="M33" s="115"/>
      <c r="N33" s="115"/>
      <c r="O33" s="114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3">
      <c r="G34" s="109"/>
      <c r="H34" s="110"/>
      <c r="I34" s="110"/>
      <c r="J34" s="111"/>
      <c r="L34" s="109"/>
      <c r="M34" s="110"/>
      <c r="N34" s="110"/>
      <c r="O34" s="111"/>
    </row>
    <row r="35" spans="3:31" ht="14.5" x14ac:dyDescent="0.35">
      <c r="D35" s="112" t="s">
        <v>36</v>
      </c>
      <c r="E35" s="113"/>
      <c r="F35" s="113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ht="14.5" x14ac:dyDescent="0.35">
      <c r="D36" s="113"/>
      <c r="E36" s="113"/>
      <c r="F36" s="113"/>
      <c r="G36" s="34">
        <v>359</v>
      </c>
      <c r="H36" s="34">
        <v>2</v>
      </c>
      <c r="I36" s="34">
        <v>0</v>
      </c>
      <c r="J36" s="114" t="s">
        <v>32</v>
      </c>
      <c r="L36" s="34">
        <v>20</v>
      </c>
      <c r="M36" s="34">
        <v>2.1</v>
      </c>
      <c r="N36" s="34">
        <v>0</v>
      </c>
      <c r="O36" s="114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ht="14.5" x14ac:dyDescent="0.35">
      <c r="D37" s="113"/>
      <c r="E37" s="113"/>
      <c r="F37" s="113"/>
      <c r="G37" s="115">
        <f>(G36+H36/60+I36/3600) * VLOOKUP(J36,Constante!$D$12:$E$13,2)</f>
        <v>359.03333333333336</v>
      </c>
      <c r="H37" s="115"/>
      <c r="I37" s="115"/>
      <c r="J37" s="114"/>
      <c r="L37" s="115">
        <f>(L36+M36/60+N36/3600) * VLOOKUP(O36,Constante!$D$12:$E$13,2)</f>
        <v>20.035</v>
      </c>
      <c r="M37" s="115"/>
      <c r="N37" s="115"/>
      <c r="O37" s="114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ht="14.5" x14ac:dyDescent="0.35">
      <c r="Z38"/>
      <c r="AA38"/>
      <c r="AB38"/>
      <c r="AC38"/>
      <c r="AD38"/>
      <c r="AE38"/>
    </row>
    <row r="39" spans="3:31" ht="14.5" x14ac:dyDescent="0.35">
      <c r="Z39"/>
      <c r="AA39"/>
      <c r="AB39"/>
      <c r="AC39"/>
      <c r="AD39"/>
      <c r="AE39"/>
    </row>
    <row r="40" spans="3:31" ht="14.5" x14ac:dyDescent="0.35">
      <c r="Z40"/>
      <c r="AA40"/>
      <c r="AB40"/>
      <c r="AC40"/>
      <c r="AD40"/>
      <c r="AE40"/>
    </row>
    <row r="41" spans="3:31" ht="14.5" x14ac:dyDescent="0.35">
      <c r="Z41"/>
      <c r="AA41"/>
      <c r="AB41"/>
      <c r="AC41"/>
      <c r="AD41"/>
      <c r="AE41"/>
    </row>
    <row r="42" spans="3:31" ht="14.5" x14ac:dyDescent="0.3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ht="14.5" x14ac:dyDescent="0.35">
      <c r="D43" s="39" t="s">
        <v>1</v>
      </c>
      <c r="E43" s="39"/>
      <c r="G43" s="116" t="s">
        <v>51</v>
      </c>
      <c r="H43" s="116"/>
      <c r="I43" s="116"/>
      <c r="L43"/>
      <c r="M43"/>
      <c r="N43"/>
      <c r="O43"/>
      <c r="Z43"/>
      <c r="AA43"/>
      <c r="AB43"/>
      <c r="AC43"/>
      <c r="AD43"/>
      <c r="AE43"/>
    </row>
    <row r="44" spans="3:31" ht="14.5" x14ac:dyDescent="0.3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ht="14.5" x14ac:dyDescent="0.3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ht="14.5" x14ac:dyDescent="0.35">
      <c r="G46" s="88">
        <f>G45+H45/60+I45/3600</f>
        <v>0</v>
      </c>
      <c r="H46" s="88"/>
      <c r="I46" s="88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ht="14.5" x14ac:dyDescent="0.35">
      <c r="K47"/>
      <c r="L47"/>
      <c r="M47"/>
      <c r="N47"/>
      <c r="O47"/>
      <c r="P47"/>
      <c r="Z47"/>
      <c r="AA47"/>
      <c r="AB47"/>
      <c r="AC47"/>
      <c r="AD47"/>
      <c r="AE47"/>
    </row>
    <row r="48" spans="3:31" ht="14.5" x14ac:dyDescent="0.35">
      <c r="D48" s="112" t="s">
        <v>35</v>
      </c>
      <c r="E48" s="113"/>
      <c r="F48" s="113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2" t="s">
        <v>52</v>
      </c>
      <c r="M48" s="113"/>
      <c r="N48" s="113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ht="14.5" x14ac:dyDescent="0.35">
      <c r="D49" s="113"/>
      <c r="E49" s="113"/>
      <c r="F49" s="113"/>
      <c r="G49" s="38">
        <v>6</v>
      </c>
      <c r="H49" s="34">
        <v>35.9</v>
      </c>
      <c r="I49" s="34">
        <v>0</v>
      </c>
      <c r="J49" s="114" t="s">
        <v>29</v>
      </c>
      <c r="K49"/>
      <c r="L49" s="113"/>
      <c r="M49" s="113"/>
      <c r="N49" s="113"/>
      <c r="O49" s="34">
        <v>0</v>
      </c>
      <c r="P49" s="34">
        <v>1</v>
      </c>
      <c r="Q49" s="34">
        <v>0</v>
      </c>
      <c r="R49" s="114" t="s">
        <v>28</v>
      </c>
      <c r="Z49"/>
      <c r="AA49"/>
      <c r="AB49"/>
      <c r="AC49"/>
      <c r="AD49"/>
      <c r="AE49"/>
    </row>
    <row r="50" spans="3:31" ht="15" thickBot="1" x14ac:dyDescent="0.4">
      <c r="D50" s="113"/>
      <c r="E50" s="113"/>
      <c r="F50" s="113"/>
      <c r="G50" s="115">
        <f>(G49+H49/60+I49/3600) * VLOOKUP(J49,Constante!$D$15:$E$16,2)</f>
        <v>-6.5983333333333336</v>
      </c>
      <c r="H50" s="115"/>
      <c r="I50" s="115"/>
      <c r="J50" s="114"/>
      <c r="K50"/>
      <c r="L50" s="113"/>
      <c r="M50" s="113"/>
      <c r="N50" s="113"/>
      <c r="O50" s="115">
        <f>(O49+P49/60+Q49/3600) * VLOOKUP(R49,Constante!$D$15:$E$16,2)</f>
        <v>1.6666666666666666E-2</v>
      </c>
      <c r="P50" s="115"/>
      <c r="Q50" s="115"/>
      <c r="R50" s="114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ht="14.5" x14ac:dyDescent="0.35">
      <c r="G51" s="109"/>
      <c r="H51" s="110"/>
      <c r="I51" s="110"/>
      <c r="J51" s="111"/>
      <c r="K51"/>
      <c r="L51"/>
      <c r="M51"/>
      <c r="N51"/>
      <c r="O51"/>
      <c r="P51"/>
      <c r="Z51"/>
      <c r="AA51"/>
      <c r="AB51"/>
      <c r="AC51"/>
      <c r="AD51"/>
      <c r="AE51"/>
    </row>
    <row r="52" spans="3:31" ht="14.5" x14ac:dyDescent="0.35">
      <c r="D52" s="112" t="s">
        <v>36</v>
      </c>
      <c r="E52" s="113"/>
      <c r="F52" s="113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2" t="s">
        <v>53</v>
      </c>
      <c r="M52" s="113"/>
      <c r="N52" s="113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ht="14.5" x14ac:dyDescent="0.35">
      <c r="D53" s="113"/>
      <c r="E53" s="113"/>
      <c r="F53" s="113"/>
      <c r="G53" s="38">
        <v>177</v>
      </c>
      <c r="H53" s="34">
        <v>1.9</v>
      </c>
      <c r="I53" s="34">
        <v>0</v>
      </c>
      <c r="J53" s="114" t="s">
        <v>32</v>
      </c>
      <c r="K53"/>
      <c r="L53" s="113"/>
      <c r="M53" s="113"/>
      <c r="N53" s="113"/>
      <c r="O53" s="34">
        <v>15.002000000000001</v>
      </c>
      <c r="P53" s="34">
        <v>0</v>
      </c>
      <c r="Q53" s="34">
        <v>0</v>
      </c>
      <c r="R53" s="114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ht="14.5" x14ac:dyDescent="0.35">
      <c r="D54" s="113"/>
      <c r="E54" s="113"/>
      <c r="F54" s="113"/>
      <c r="G54" s="115">
        <f>(G53+H53/60+I53/3600) * VLOOKUP(J53,Constante!$D$12:$E$13,2)</f>
        <v>177.03166666666667</v>
      </c>
      <c r="H54" s="115"/>
      <c r="I54" s="115"/>
      <c r="J54" s="114"/>
      <c r="K54"/>
      <c r="L54" s="113"/>
      <c r="M54" s="113"/>
      <c r="N54" s="113"/>
      <c r="O54" s="115">
        <f>(O53+P53/60+Q53/3600) * VLOOKUP(R53,Constante!$D$12:$E$13,2)</f>
        <v>15.002000000000001</v>
      </c>
      <c r="P54" s="115"/>
      <c r="Q54" s="115"/>
      <c r="R54" s="114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ht="14.5" x14ac:dyDescent="0.35">
      <c r="Z55"/>
      <c r="AA55"/>
      <c r="AB55"/>
      <c r="AC55"/>
      <c r="AD55"/>
      <c r="AE55"/>
    </row>
    <row r="56" spans="3:31" ht="14.5" x14ac:dyDescent="0.35">
      <c r="Z56"/>
      <c r="AA56"/>
      <c r="AB56"/>
      <c r="AC56"/>
      <c r="AD56"/>
      <c r="AE56"/>
    </row>
    <row r="57" spans="3:31" ht="14.5" x14ac:dyDescent="0.35">
      <c r="Z57"/>
      <c r="AA57"/>
      <c r="AB57"/>
      <c r="AC57"/>
      <c r="AD57"/>
      <c r="AE57"/>
    </row>
    <row r="58" spans="3:31" ht="14.5" x14ac:dyDescent="0.35">
      <c r="C58" s="100" t="s">
        <v>54</v>
      </c>
      <c r="D58" s="100"/>
      <c r="E58" s="100"/>
      <c r="F58" s="100"/>
      <c r="G58" s="100"/>
      <c r="H58" s="101" t="s">
        <v>57</v>
      </c>
      <c r="I58" s="101"/>
      <c r="J58" s="101"/>
      <c r="K58" s="101"/>
      <c r="L58" s="63" t="str">
        <f>VLOOKUP(H58,Constante!D23:E24,2)</f>
        <v>Cas B</v>
      </c>
    </row>
    <row r="59" spans="3:31" x14ac:dyDescent="0.3">
      <c r="D59" s="2" t="s">
        <v>37</v>
      </c>
    </row>
    <row r="60" spans="3:31" ht="15.75" customHeight="1" x14ac:dyDescent="0.3">
      <c r="F60" s="102" t="s">
        <v>35</v>
      </c>
      <c r="G60" s="102"/>
      <c r="H60" s="102"/>
      <c r="I60" s="103">
        <f>IF(L58=Constante!E23,U33,U50)</f>
        <v>-6.4325833333333335</v>
      </c>
      <c r="J60" s="103"/>
      <c r="K60" s="103"/>
      <c r="L60" s="103"/>
    </row>
    <row r="61" spans="3:31" ht="14.5" x14ac:dyDescent="0.35">
      <c r="F61" s="102"/>
      <c r="G61" s="102"/>
      <c r="H61" s="102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" thickBot="1" x14ac:dyDescent="0.4">
      <c r="F62" s="102"/>
      <c r="G62" s="102"/>
      <c r="H62" s="102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4.5" thickBot="1" x14ac:dyDescent="0.35">
      <c r="I63" s="104"/>
      <c r="J63" s="105"/>
      <c r="K63" s="105"/>
      <c r="L63" s="106"/>
    </row>
    <row r="64" spans="3:31" ht="14.5" x14ac:dyDescent="0.3">
      <c r="F64" s="102" t="s">
        <v>42</v>
      </c>
      <c r="G64" s="88"/>
      <c r="H64" s="88"/>
      <c r="I64" s="107">
        <f>IF(L58="a",AA67,Z52)+H12</f>
        <v>2.0948030000000002</v>
      </c>
      <c r="J64" s="103"/>
      <c r="K64" s="103"/>
      <c r="L64" s="103"/>
    </row>
    <row r="65" spans="2:31" ht="14.5" x14ac:dyDescent="0.35">
      <c r="F65" s="88"/>
      <c r="G65" s="88"/>
      <c r="H65" s="88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ht="14.5" x14ac:dyDescent="0.35">
      <c r="F66" s="88"/>
      <c r="G66" s="88"/>
      <c r="H66" s="88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" thickBot="1" x14ac:dyDescent="0.4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" thickBot="1" x14ac:dyDescent="0.4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ht="14.5" x14ac:dyDescent="0.35">
      <c r="F71" s="90" t="s">
        <v>44</v>
      </c>
      <c r="G71" s="90"/>
      <c r="H71" s="90"/>
      <c r="S71" s="19"/>
      <c r="T71" s="98" t="s">
        <v>103</v>
      </c>
      <c r="U71" s="99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ht="14.5" x14ac:dyDescent="0.3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Etoile'!I60)</f>
        <v>-0.11203405649912536</v>
      </c>
      <c r="AD72" s="1">
        <f>SIN(Constante!$D$19*'Droite hauteur Etoile'!D12)*SIN(Constante!$D$19*'Droite hauteur Etoile'!F74)</f>
        <v>0.42841152475664518</v>
      </c>
      <c r="AE72" s="1">
        <f>COS(Constante!$D$19*'Droite hauteur Etoile'!D12)*COS(Constante!$D$19*'Droite hauteur Etoile'!F74)</f>
        <v>0.5409733204231264</v>
      </c>
    </row>
    <row r="73" spans="2:31" ht="14.5" x14ac:dyDescent="0.3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ht="14.5" x14ac:dyDescent="0.35">
      <c r="F74" s="89">
        <f>V74/Constante!$D$19</f>
        <v>34.661430958715577</v>
      </c>
      <c r="G74" s="89"/>
      <c r="H74" s="89"/>
      <c r="S74" s="19" t="s">
        <v>44</v>
      </c>
      <c r="T74" s="108" t="s">
        <v>103</v>
      </c>
      <c r="U74" s="108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4.5" thickBot="1" x14ac:dyDescent="0.35"/>
    <row r="82" spans="2:29" ht="15" thickBot="1" x14ac:dyDescent="0.4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ht="14.5" x14ac:dyDescent="0.35">
      <c r="F83" s="90" t="s">
        <v>46</v>
      </c>
      <c r="G83" s="90"/>
      <c r="H83" s="90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ht="14.5" x14ac:dyDescent="0.35">
      <c r="F84" s="67" t="s">
        <v>13</v>
      </c>
      <c r="G84" s="67" t="s">
        <v>4</v>
      </c>
      <c r="H84" s="67" t="s">
        <v>5</v>
      </c>
      <c r="S84" s="19"/>
      <c r="T84" s="98" t="s">
        <v>103</v>
      </c>
      <c r="U84" s="99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ht="14.5" x14ac:dyDescent="0.3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95" t="s">
        <v>105</v>
      </c>
      <c r="U85" s="96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ht="14.5" x14ac:dyDescent="0.35">
      <c r="F86" s="97">
        <f>V88/Constante!$D$19</f>
        <v>177.46898521244154</v>
      </c>
      <c r="G86" s="97"/>
      <c r="H86" s="97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95" t="s">
        <v>106</v>
      </c>
      <c r="U86" s="96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ht="14.5" x14ac:dyDescent="0.35">
      <c r="S87" s="19" t="s">
        <v>107</v>
      </c>
      <c r="T87" s="95" t="s">
        <v>108</v>
      </c>
      <c r="U87" s="96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ht="14.5" x14ac:dyDescent="0.35">
      <c r="S88" s="19" t="s">
        <v>44</v>
      </c>
      <c r="T88" s="98" t="s">
        <v>103</v>
      </c>
      <c r="U88" s="99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ht="14.5" x14ac:dyDescent="0.35">
      <c r="S89"/>
      <c r="T89"/>
      <c r="U89"/>
      <c r="V89"/>
      <c r="W89"/>
      <c r="X89"/>
      <c r="Y89"/>
      <c r="Z89"/>
      <c r="AA89"/>
      <c r="AB89"/>
      <c r="AC89"/>
    </row>
    <row r="90" spans="2:29" ht="15" thickBot="1" x14ac:dyDescent="0.4">
      <c r="S90"/>
      <c r="T90"/>
      <c r="U90"/>
      <c r="V90"/>
      <c r="W90"/>
      <c r="X90"/>
      <c r="Y90"/>
      <c r="Z90"/>
      <c r="AA90"/>
      <c r="AB90"/>
      <c r="AC90"/>
    </row>
    <row r="91" spans="2:29" ht="14.5" thickBot="1" x14ac:dyDescent="0.35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ht="14.5" x14ac:dyDescent="0.35">
      <c r="D92" s="1" t="s">
        <v>12</v>
      </c>
      <c r="F92" t="s">
        <v>19</v>
      </c>
      <c r="G92"/>
      <c r="H92"/>
      <c r="I92" s="1" t="s">
        <v>61</v>
      </c>
      <c r="O92" s="90" t="s">
        <v>62</v>
      </c>
      <c r="P92" s="90"/>
      <c r="Q92" s="90"/>
      <c r="S92" s="63" t="s">
        <v>23</v>
      </c>
      <c r="T92" s="63" t="s">
        <v>15</v>
      </c>
      <c r="U92" s="63" t="s">
        <v>81</v>
      </c>
      <c r="V92" s="63" t="s">
        <v>110</v>
      </c>
      <c r="W92" s="87" t="s">
        <v>121</v>
      </c>
      <c r="X92" s="88" t="s">
        <v>120</v>
      </c>
      <c r="Y92" s="88">
        <f>IF(U93,U94,IF(T93,IF(V93,V94,T94),IF(S93,S94,888)))</f>
        <v>0</v>
      </c>
    </row>
    <row r="93" spans="2:29" ht="14.5" x14ac:dyDescent="0.3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88"/>
      <c r="X93" s="88"/>
      <c r="Y93" s="88"/>
    </row>
    <row r="94" spans="2:29" ht="14.5" x14ac:dyDescent="0.3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8"/>
      <c r="X94" s="88"/>
      <c r="Y94" s="88"/>
    </row>
    <row r="95" spans="2:29" ht="14.5" x14ac:dyDescent="0.35">
      <c r="F95"/>
      <c r="G95"/>
      <c r="I95" s="1" t="s">
        <v>63</v>
      </c>
      <c r="O95" s="89">
        <f>D93-F93+I93+I94</f>
        <v>30.82585555555556</v>
      </c>
      <c r="P95" s="89"/>
      <c r="Q95" s="89"/>
    </row>
    <row r="96" spans="2:29" ht="14.5" x14ac:dyDescent="0.3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3">
      <c r="U97" s="81" t="s">
        <v>113</v>
      </c>
      <c r="V97" s="78" t="s">
        <v>114</v>
      </c>
      <c r="W97" s="78"/>
      <c r="X97" s="78"/>
      <c r="Y97" s="77" t="s">
        <v>115</v>
      </c>
      <c r="Z97" s="77"/>
      <c r="AA97" s="77"/>
    </row>
    <row r="98" spans="4:27" x14ac:dyDescent="0.3">
      <c r="U98" s="81"/>
      <c r="V98" s="78" t="s">
        <v>116</v>
      </c>
      <c r="W98" s="78" t="s">
        <v>117</v>
      </c>
      <c r="X98" s="78" t="s">
        <v>118</v>
      </c>
      <c r="Y98" s="77" t="s">
        <v>116</v>
      </c>
      <c r="Z98" s="77" t="s">
        <v>119</v>
      </c>
      <c r="AA98" s="77" t="s">
        <v>118</v>
      </c>
    </row>
    <row r="99" spans="4:27" x14ac:dyDescent="0.3">
      <c r="U99" s="81"/>
      <c r="V99" s="79">
        <f>MATCH(D93,Constante!$M$6:$M$17,1)</f>
        <v>10</v>
      </c>
      <c r="W99" s="78">
        <f>INDEX(Constante!$M$6:$M$17,V99)</f>
        <v>30</v>
      </c>
      <c r="X99" s="78">
        <f>INDEX(Constante!$N$6:$S$17,V99,1+V96)</f>
        <v>0.24166666666666667</v>
      </c>
      <c r="Y99" s="80">
        <f>V99+1</f>
        <v>11</v>
      </c>
      <c r="Z99" s="77">
        <f>INDEX(Constante!$M$6:$M$17,Y99)</f>
        <v>50</v>
      </c>
      <c r="AA99" s="77">
        <f>INDEX(Constante!$N$6:$S$17,Y99,1+V96)</f>
        <v>0.255</v>
      </c>
    </row>
    <row r="100" spans="4:27" ht="14.5" x14ac:dyDescent="0.35">
      <c r="U100" s="19" t="s">
        <v>93</v>
      </c>
      <c r="V100" s="23">
        <f>(D93-W99)/(Z99-W99)</f>
        <v>6.4166666666666747E-2</v>
      </c>
    </row>
    <row r="101" spans="4:27" ht="14.5" x14ac:dyDescent="0.35">
      <c r="U101" s="19" t="s">
        <v>92</v>
      </c>
      <c r="V101" s="19">
        <f>(1-V100)*X99+V100*AA99</f>
        <v>0.24252222222222225</v>
      </c>
    </row>
    <row r="103" spans="4:27" ht="14.5" x14ac:dyDescent="0.35">
      <c r="X103"/>
    </row>
    <row r="104" spans="4:27" ht="14.5" x14ac:dyDescent="0.35">
      <c r="X104"/>
    </row>
    <row r="105" spans="4:27" x14ac:dyDescent="0.3">
      <c r="D105" s="1" t="s">
        <v>69</v>
      </c>
    </row>
    <row r="106" spans="4:27" ht="14.5" x14ac:dyDescent="0.35">
      <c r="F106" s="90" t="s">
        <v>69</v>
      </c>
      <c r="G106" s="90"/>
      <c r="H106" s="90"/>
    </row>
    <row r="107" spans="4:27" ht="14.5" x14ac:dyDescent="0.3">
      <c r="F107" s="67" t="s">
        <v>13</v>
      </c>
      <c r="G107" s="67" t="s">
        <v>4</v>
      </c>
      <c r="H107" s="67" t="s">
        <v>5</v>
      </c>
    </row>
    <row r="108" spans="4:27" ht="14.5" x14ac:dyDescent="0.3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ht="14.5" x14ac:dyDescent="0.35">
      <c r="F109" s="91">
        <f>O95-F74</f>
        <v>-3.8355754031600178</v>
      </c>
      <c r="G109" s="92"/>
      <c r="H109" s="93"/>
      <c r="J109" s="94">
        <f>F109*60</f>
        <v>-230.13452418960105</v>
      </c>
      <c r="K109" s="94"/>
      <c r="L109" s="94" t="s">
        <v>125</v>
      </c>
      <c r="M109" s="94"/>
    </row>
    <row r="112" spans="4:27" ht="14.5" x14ac:dyDescent="0.3">
      <c r="G112" s="84" t="s">
        <v>122</v>
      </c>
      <c r="H112" s="84"/>
      <c r="I112" s="84"/>
      <c r="J112" s="82" t="s">
        <v>17</v>
      </c>
      <c r="K112" s="82">
        <f>ABS(I60)</f>
        <v>6.4325833333333335</v>
      </c>
      <c r="L112" s="82" t="str">
        <f>L62</f>
        <v>S</v>
      </c>
      <c r="M112" s="85" t="s">
        <v>123</v>
      </c>
      <c r="N112" s="86"/>
      <c r="O112" s="84" t="s">
        <v>124</v>
      </c>
      <c r="P112" s="84"/>
      <c r="Q112" s="84"/>
      <c r="R112" s="82" t="s">
        <v>17</v>
      </c>
      <c r="S112" s="83">
        <f>D12</f>
        <v>48.875556000000003</v>
      </c>
      <c r="T112" s="82" t="str">
        <f>G11</f>
        <v>N</v>
      </c>
    </row>
    <row r="113" spans="7:20" ht="14.5" x14ac:dyDescent="0.3">
      <c r="G113" s="84"/>
      <c r="H113" s="84"/>
      <c r="I113" s="84"/>
      <c r="J113" s="82" t="s">
        <v>16</v>
      </c>
      <c r="K113" s="82">
        <f>ABS(I64)</f>
        <v>2.0948030000000002</v>
      </c>
      <c r="L113" s="82" t="str">
        <f>L66</f>
        <v>E</v>
      </c>
      <c r="M113" s="85"/>
      <c r="N113" s="86"/>
      <c r="O113" s="84"/>
      <c r="P113" s="84"/>
      <c r="Q113" s="84"/>
      <c r="R113" s="82" t="s">
        <v>16</v>
      </c>
      <c r="S113" s="83">
        <f>H12</f>
        <v>2.0948030000000002</v>
      </c>
      <c r="T113" s="82" t="str">
        <f>K11</f>
        <v>E</v>
      </c>
    </row>
  </sheetData>
  <mergeCells count="99">
    <mergeCell ref="B2:P2"/>
    <mergeCell ref="S3:X3"/>
    <mergeCell ref="K4:M4"/>
    <mergeCell ref="S4:X4"/>
    <mergeCell ref="B5:D5"/>
    <mergeCell ref="E5:G5"/>
    <mergeCell ref="H5:J5"/>
    <mergeCell ref="K5:M5"/>
    <mergeCell ref="S5:X5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9:C12"/>
    <mergeCell ref="D9:G9"/>
    <mergeCell ref="H9:K9"/>
    <mergeCell ref="G11:G12"/>
    <mergeCell ref="K11:K12"/>
    <mergeCell ref="D12:F12"/>
    <mergeCell ref="H12:J12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46:I46"/>
    <mergeCell ref="D48:F50"/>
    <mergeCell ref="L48:N50"/>
    <mergeCell ref="J49:J50"/>
    <mergeCell ref="R49:R50"/>
    <mergeCell ref="G50:I50"/>
    <mergeCell ref="O50:Q50"/>
    <mergeCell ref="G51:J51"/>
    <mergeCell ref="D52:F54"/>
    <mergeCell ref="L52:N54"/>
    <mergeCell ref="J53:J54"/>
    <mergeCell ref="R53:R54"/>
    <mergeCell ref="G54:I54"/>
    <mergeCell ref="O54:Q54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T85:U85"/>
    <mergeCell ref="F86:H86"/>
    <mergeCell ref="T86:U86"/>
    <mergeCell ref="T87:U87"/>
    <mergeCell ref="T88:U88"/>
    <mergeCell ref="Y92:Y94"/>
    <mergeCell ref="O95:Q95"/>
    <mergeCell ref="F106:H106"/>
    <mergeCell ref="F109:H109"/>
    <mergeCell ref="J109:K109"/>
    <mergeCell ref="L109:M109"/>
    <mergeCell ref="O92:Q92"/>
    <mergeCell ref="G112:I113"/>
    <mergeCell ref="M112:N113"/>
    <mergeCell ref="O112:Q113"/>
    <mergeCell ref="W92:W94"/>
    <mergeCell ref="X92:X9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0000000}">
          <x14:formula1>
            <xm:f>Constante!$J$12:$J$13</xm:f>
          </x14:formula1>
          <xm:sqref>D14</xm:sqref>
        </x14:dataValidation>
        <x14:dataValidation type="list" allowBlank="1" showInputMessage="1" showErrorMessage="1" xr:uid="{00000000-0002-0000-0200-000001000000}">
          <x14:formula1>
            <xm:f>Constante!$G$3:$G$4</xm:f>
          </x14:formula1>
          <xm:sqref>L16:M16</xm:sqref>
        </x14:dataValidation>
        <x14:dataValidation type="list" allowBlank="1" showInputMessage="1" showErrorMessage="1" xr:uid="{00000000-0002-0000-0200-000002000000}">
          <x14:formula1>
            <xm:f>Constante!$K$3:$K$8</xm:f>
          </x14:formula1>
          <xm:sqref>L19</xm:sqref>
        </x14:dataValidation>
        <x14:dataValidation type="list" allowBlank="1" showInputMessage="1" showErrorMessage="1" xr:uid="{00000000-0002-0000-0200-000003000000}">
          <x14:formula1>
            <xm:f>Constante!$D$23:$D$24</xm:f>
          </x14:formula1>
          <xm:sqref>H58</xm:sqref>
        </x14:dataValidation>
        <x14:dataValidation type="list" allowBlank="1" showInputMessage="1" showErrorMessage="1" xr:uid="{00000000-0002-0000-0200-000004000000}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 xr:uid="{00000000-0002-0000-0200-000005000000}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 xr:uid="{00000000-0002-0000-0200-000006000000}">
          <x14:formula1>
            <xm:f>Constante!$D$3:$D$9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J113"/>
  <sheetViews>
    <sheetView topLeftCell="A73" workbookViewId="0">
      <selection activeCell="U107" sqref="U107"/>
    </sheetView>
  </sheetViews>
  <sheetFormatPr baseColWidth="10" defaultColWidth="11.453125" defaultRowHeight="14" x14ac:dyDescent="0.3"/>
  <cols>
    <col min="1" max="1" width="11.453125" style="1"/>
    <col min="2" max="18" width="7.1796875" style="1" customWidth="1"/>
    <col min="19" max="19" width="9" style="1" customWidth="1"/>
    <col min="20" max="20" width="7.1796875" style="1" customWidth="1"/>
    <col min="21" max="21" width="13.7265625" style="1" customWidth="1"/>
    <col min="22" max="22" width="10.1796875" style="1" customWidth="1"/>
    <col min="23" max="23" width="11.453125" style="1"/>
    <col min="24" max="24" width="13.7265625" style="1" customWidth="1"/>
    <col min="25" max="26" width="11.453125" style="1"/>
    <col min="27" max="27" width="13.7265625" style="1" customWidth="1"/>
    <col min="28" max="16384" width="11.453125" style="1"/>
  </cols>
  <sheetData>
    <row r="1" spans="2:36" ht="14.5" thickBot="1" x14ac:dyDescent="0.35"/>
    <row r="2" spans="2:36" ht="63" customHeight="1" thickBot="1" x14ac:dyDescent="0.35">
      <c r="B2" s="166" t="s">
        <v>10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56"/>
      <c r="R2" s="16" t="s">
        <v>71</v>
      </c>
      <c r="S2" s="16"/>
      <c r="Y2" s="56"/>
      <c r="Z2" s="57"/>
    </row>
    <row r="3" spans="2:36" ht="15" thickBot="1" x14ac:dyDescent="0.4">
      <c r="S3" s="168" t="s">
        <v>72</v>
      </c>
      <c r="T3" s="168"/>
      <c r="U3" s="168"/>
      <c r="V3" s="168"/>
      <c r="W3" s="168"/>
      <c r="X3" s="168"/>
    </row>
    <row r="4" spans="2:36" ht="53.25" customHeight="1" thickBot="1" x14ac:dyDescent="0.4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69" t="s">
        <v>82</v>
      </c>
      <c r="L4" s="169"/>
      <c r="M4" s="169"/>
      <c r="S4" s="170" t="s">
        <v>73</v>
      </c>
      <c r="T4" s="170"/>
      <c r="U4" s="170"/>
      <c r="V4" s="170"/>
      <c r="W4" s="170"/>
      <c r="X4" s="170"/>
    </row>
    <row r="5" spans="2:36" ht="14.5" x14ac:dyDescent="0.35">
      <c r="B5" s="116" t="s">
        <v>2</v>
      </c>
      <c r="C5" s="116"/>
      <c r="D5" s="116"/>
      <c r="E5" s="116" t="s">
        <v>6</v>
      </c>
      <c r="F5" s="116"/>
      <c r="G5" s="116"/>
      <c r="H5" s="116" t="s">
        <v>7</v>
      </c>
      <c r="I5" s="116"/>
      <c r="J5" s="116"/>
      <c r="K5" s="90" t="s">
        <v>8</v>
      </c>
      <c r="L5" s="90"/>
      <c r="M5" s="90"/>
      <c r="S5" s="171" t="s">
        <v>74</v>
      </c>
      <c r="T5" s="171"/>
      <c r="U5" s="171"/>
      <c r="V5" s="171"/>
      <c r="W5" s="171"/>
      <c r="X5" s="171"/>
    </row>
    <row r="6" spans="2:36" ht="15" thickBot="1" x14ac:dyDescent="0.4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17" t="s">
        <v>3</v>
      </c>
      <c r="L6" s="17" t="s">
        <v>4</v>
      </c>
      <c r="M6" s="17" t="s">
        <v>5</v>
      </c>
      <c r="S6" s="157" t="s">
        <v>75</v>
      </c>
      <c r="T6" s="157"/>
      <c r="U6" s="157"/>
      <c r="V6" s="157"/>
      <c r="W6" s="157"/>
      <c r="X6" s="157"/>
      <c r="AA6" s="1" t="s">
        <v>9</v>
      </c>
      <c r="AD6" s="1" t="s">
        <v>9</v>
      </c>
      <c r="AG6" s="1" t="s">
        <v>9</v>
      </c>
      <c r="AJ6" s="1" t="s">
        <v>9</v>
      </c>
    </row>
    <row r="7" spans="2:36" ht="14.5" x14ac:dyDescent="0.35">
      <c r="B7" s="158">
        <v>9</v>
      </c>
      <c r="C7" s="160">
        <v>56</v>
      </c>
      <c r="D7" s="162">
        <v>42</v>
      </c>
      <c r="E7" s="158">
        <v>0</v>
      </c>
      <c r="F7" s="160">
        <v>0</v>
      </c>
      <c r="G7" s="162">
        <v>0</v>
      </c>
      <c r="H7" s="158">
        <v>0</v>
      </c>
      <c r="I7" s="160">
        <v>0</v>
      </c>
      <c r="J7" s="162">
        <v>0</v>
      </c>
      <c r="K7" s="36">
        <f>INT(AJ7)</f>
        <v>9</v>
      </c>
      <c r="L7" s="18">
        <f>INT(60 * (AJ7-K7))</f>
        <v>56</v>
      </c>
      <c r="M7" s="18">
        <f>INT(3600 * (AJ7-K7-L7/60))</f>
        <v>42</v>
      </c>
      <c r="S7" s="94" t="s">
        <v>76</v>
      </c>
      <c r="T7" s="94"/>
      <c r="U7" s="94"/>
      <c r="V7" s="94"/>
      <c r="W7" s="94"/>
      <c r="X7" s="94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" thickBot="1" x14ac:dyDescent="0.4">
      <c r="B8" s="159"/>
      <c r="C8" s="161"/>
      <c r="D8" s="163"/>
      <c r="E8" s="159"/>
      <c r="F8" s="161"/>
      <c r="G8" s="163"/>
      <c r="H8" s="159"/>
      <c r="I8" s="161"/>
      <c r="J8" s="163"/>
      <c r="K8" s="164">
        <f>K7+L7/60+M7/3600</f>
        <v>9.9450000000000003</v>
      </c>
      <c r="L8" s="88"/>
      <c r="M8" s="88"/>
      <c r="S8" s="165" t="s">
        <v>77</v>
      </c>
      <c r="T8" s="165"/>
      <c r="U8" s="165"/>
      <c r="V8" s="165"/>
      <c r="W8" s="165"/>
      <c r="X8" s="165"/>
    </row>
    <row r="9" spans="2:36" ht="15" customHeight="1" x14ac:dyDescent="0.35">
      <c r="B9" s="148" t="s">
        <v>18</v>
      </c>
      <c r="C9" s="149"/>
      <c r="D9" s="138" t="s">
        <v>17</v>
      </c>
      <c r="E9" s="138"/>
      <c r="F9" s="138"/>
      <c r="G9" s="138"/>
      <c r="H9" s="138" t="s">
        <v>16</v>
      </c>
      <c r="I9" s="138"/>
      <c r="J9" s="138"/>
      <c r="K9" s="139"/>
    </row>
    <row r="10" spans="2:36" ht="14.5" x14ac:dyDescent="0.35">
      <c r="B10" s="119"/>
      <c r="C10" s="120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ht="14.5" x14ac:dyDescent="0.35">
      <c r="B11" s="119"/>
      <c r="C11" s="120"/>
      <c r="D11" s="41">
        <v>48.875556000000003</v>
      </c>
      <c r="E11" s="41">
        <v>0</v>
      </c>
      <c r="F11" s="41">
        <v>0</v>
      </c>
      <c r="G11" s="152" t="s">
        <v>28</v>
      </c>
      <c r="H11" s="41">
        <v>2.0948030000000002</v>
      </c>
      <c r="I11" s="41">
        <v>0</v>
      </c>
      <c r="J11" s="41">
        <v>0</v>
      </c>
      <c r="K11" s="154" t="s">
        <v>32</v>
      </c>
    </row>
    <row r="12" spans="2:36" ht="15" thickBot="1" x14ac:dyDescent="0.4">
      <c r="B12" s="150"/>
      <c r="C12" s="151"/>
      <c r="D12" s="156">
        <f>(D11+E11/60+F11/3600) * VLOOKUP(G11,Constante!$D$15:$E$16,2)</f>
        <v>48.875556000000003</v>
      </c>
      <c r="E12" s="156"/>
      <c r="F12" s="156"/>
      <c r="G12" s="153"/>
      <c r="H12" s="156">
        <f>(H11+I11/60+J11/3600) * VLOOKUP(K11,Constante!$D$12:$E$13,2)</f>
        <v>2.0948030000000002</v>
      </c>
      <c r="I12" s="156"/>
      <c r="J12" s="156"/>
      <c r="K12" s="155"/>
    </row>
    <row r="13" spans="2:36" ht="15" customHeight="1" x14ac:dyDescent="0.3">
      <c r="B13" s="117" t="s">
        <v>21</v>
      </c>
      <c r="C13" s="118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35">
      <c r="B14" s="119"/>
      <c r="C14" s="120"/>
      <c r="D14" s="41" t="s">
        <v>60</v>
      </c>
      <c r="E14" s="41">
        <v>0</v>
      </c>
      <c r="F14" s="41">
        <v>42</v>
      </c>
      <c r="G14" s="42">
        <v>0</v>
      </c>
    </row>
    <row r="15" spans="2:36" ht="15" thickBot="1" x14ac:dyDescent="0.4">
      <c r="B15" s="121"/>
      <c r="C15" s="122"/>
      <c r="D15" s="123">
        <f>(E14+F14/60+G14/3600) * VLOOKUP(D14,Constante!J12:K13,2)</f>
        <v>0.7</v>
      </c>
      <c r="E15" s="124"/>
      <c r="F15" s="124"/>
      <c r="G15" s="125"/>
    </row>
    <row r="16" spans="2:36" ht="19.5" customHeight="1" thickBot="1" x14ac:dyDescent="0.4">
      <c r="B16" s="126" t="s">
        <v>11</v>
      </c>
      <c r="C16" s="127"/>
      <c r="D16" s="127"/>
      <c r="E16" s="132" t="s">
        <v>15</v>
      </c>
      <c r="F16" s="133"/>
      <c r="G16" s="138" t="s">
        <v>12</v>
      </c>
      <c r="H16" s="138"/>
      <c r="I16" s="139"/>
      <c r="J16" s="140" t="s">
        <v>78</v>
      </c>
      <c r="K16" s="141"/>
      <c r="L16" s="142" t="s">
        <v>79</v>
      </c>
      <c r="M16" s="143"/>
    </row>
    <row r="17" spans="2:18" ht="14.5" x14ac:dyDescent="0.3">
      <c r="B17" s="128"/>
      <c r="C17" s="129"/>
      <c r="D17" s="129"/>
      <c r="E17" s="134"/>
      <c r="F17" s="135"/>
      <c r="G17" s="45" t="s">
        <v>13</v>
      </c>
      <c r="H17" s="45" t="s">
        <v>4</v>
      </c>
      <c r="I17" s="48" t="s">
        <v>5</v>
      </c>
      <c r="J17" s="52"/>
    </row>
    <row r="18" spans="2:18" ht="15" thickBot="1" x14ac:dyDescent="0.4">
      <c r="B18" s="128"/>
      <c r="C18" s="129"/>
      <c r="D18" s="129"/>
      <c r="E18" s="134"/>
      <c r="F18" s="135"/>
      <c r="G18" s="41">
        <v>31</v>
      </c>
      <c r="H18" s="41">
        <v>17</v>
      </c>
      <c r="I18" s="42">
        <v>0</v>
      </c>
      <c r="J18" s="51"/>
    </row>
    <row r="19" spans="2:18" ht="15" thickBot="1" x14ac:dyDescent="0.4">
      <c r="B19" s="130"/>
      <c r="C19" s="131"/>
      <c r="D19" s="131"/>
      <c r="E19" s="136"/>
      <c r="F19" s="137"/>
      <c r="G19" s="144">
        <f>G18+H18/60+I18/3600</f>
        <v>31.283333333333335</v>
      </c>
      <c r="H19" s="144"/>
      <c r="I19" s="145"/>
      <c r="J19" s="146" t="s">
        <v>20</v>
      </c>
      <c r="K19" s="147"/>
      <c r="L19" s="49">
        <v>0</v>
      </c>
      <c r="M19" s="50" t="s">
        <v>4</v>
      </c>
    </row>
    <row r="23" spans="2:18" ht="14.5" thickBot="1" x14ac:dyDescent="0.35"/>
    <row r="24" spans="2:18" ht="14.5" thickBot="1" x14ac:dyDescent="0.35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3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ht="14.5" x14ac:dyDescent="0.35">
      <c r="D26" s="39" t="s">
        <v>1</v>
      </c>
      <c r="E26" s="39"/>
      <c r="G26" s="116" t="s">
        <v>33</v>
      </c>
      <c r="H26" s="116"/>
      <c r="I26" s="116"/>
      <c r="M26" s="116" t="s">
        <v>34</v>
      </c>
      <c r="N26" s="116"/>
      <c r="O26" s="116"/>
    </row>
    <row r="27" spans="2:18" ht="14.5" x14ac:dyDescent="0.3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ht="14.5" x14ac:dyDescent="0.3">
      <c r="G28" s="37">
        <v>9</v>
      </c>
      <c r="H28" s="37">
        <v>0</v>
      </c>
      <c r="I28" s="37">
        <v>0</v>
      </c>
      <c r="M28" s="37">
        <v>10</v>
      </c>
      <c r="N28" s="37">
        <v>0</v>
      </c>
      <c r="O28" s="37">
        <v>0</v>
      </c>
    </row>
    <row r="29" spans="2:18" ht="14.5" x14ac:dyDescent="0.35">
      <c r="G29" s="88">
        <f>G28+H28/60+I28/3600</f>
        <v>9</v>
      </c>
      <c r="H29" s="88"/>
      <c r="I29" s="88"/>
      <c r="M29" s="88">
        <f>M28+N28/60+O28/3600</f>
        <v>10</v>
      </c>
      <c r="N29" s="88"/>
      <c r="O29" s="88"/>
      <c r="Q29" s="19" t="s">
        <v>93</v>
      </c>
      <c r="R29" s="19">
        <f>(K8-M29)/(G29-M29)</f>
        <v>5.4999999999999716E-2</v>
      </c>
    </row>
    <row r="31" spans="2:18" ht="14.5" x14ac:dyDescent="0.35">
      <c r="D31" s="112" t="s">
        <v>35</v>
      </c>
      <c r="E31" s="113"/>
      <c r="F31" s="113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ht="14.5" x14ac:dyDescent="0.35">
      <c r="D32" s="113"/>
      <c r="E32" s="113"/>
      <c r="F32" s="113"/>
      <c r="G32" s="34">
        <v>5</v>
      </c>
      <c r="H32" s="34">
        <v>33.200000000000003</v>
      </c>
      <c r="I32" s="34">
        <v>0</v>
      </c>
      <c r="J32" s="114" t="s">
        <v>29</v>
      </c>
      <c r="L32" s="34">
        <v>5</v>
      </c>
      <c r="M32" s="34">
        <v>34.200000000000003</v>
      </c>
      <c r="N32" s="34">
        <v>0</v>
      </c>
      <c r="O32" s="114" t="s">
        <v>29</v>
      </c>
    </row>
    <row r="33" spans="3:31" ht="15" thickBot="1" x14ac:dyDescent="0.4">
      <c r="D33" s="113"/>
      <c r="E33" s="113"/>
      <c r="F33" s="113"/>
      <c r="G33" s="115">
        <f>(G32+H32/60+I32/3600) * VLOOKUP(J32,Constante!$D$15:$E$16,2)</f>
        <v>-5.5533333333333337</v>
      </c>
      <c r="H33" s="115"/>
      <c r="I33" s="115"/>
      <c r="J33" s="114"/>
      <c r="L33" s="115">
        <f>(L32+M32/60+N32/3600) * VLOOKUP(O32,Constante!$D$15:$E$16,2)</f>
        <v>-5.57</v>
      </c>
      <c r="M33" s="115"/>
      <c r="N33" s="115"/>
      <c r="O33" s="114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3">
      <c r="G34" s="109"/>
      <c r="H34" s="110"/>
      <c r="I34" s="110"/>
      <c r="J34" s="111"/>
      <c r="L34" s="109"/>
      <c r="M34" s="110"/>
      <c r="N34" s="110"/>
      <c r="O34" s="111"/>
    </row>
    <row r="35" spans="3:31" ht="14.5" x14ac:dyDescent="0.35">
      <c r="D35" s="112" t="s">
        <v>36</v>
      </c>
      <c r="E35" s="113"/>
      <c r="F35" s="113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ht="14.5" x14ac:dyDescent="0.35">
      <c r="D36" s="113"/>
      <c r="E36" s="113"/>
      <c r="F36" s="113"/>
      <c r="G36" s="34">
        <v>359</v>
      </c>
      <c r="H36" s="34">
        <v>2</v>
      </c>
      <c r="I36" s="34">
        <v>0</v>
      </c>
      <c r="J36" s="114" t="s">
        <v>32</v>
      </c>
      <c r="L36" s="34">
        <v>20</v>
      </c>
      <c r="M36" s="34">
        <v>2.1</v>
      </c>
      <c r="N36" s="34">
        <v>0</v>
      </c>
      <c r="O36" s="114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ht="14.5" x14ac:dyDescent="0.35">
      <c r="D37" s="113"/>
      <c r="E37" s="113"/>
      <c r="F37" s="113"/>
      <c r="G37" s="115">
        <f>(G36+H36/60+I36/3600) * VLOOKUP(J36,Constante!$D$12:$E$13,2)</f>
        <v>359.03333333333336</v>
      </c>
      <c r="H37" s="115"/>
      <c r="I37" s="115"/>
      <c r="J37" s="114"/>
      <c r="L37" s="115">
        <f>(L36+M36/60+N36/3600) * VLOOKUP(O36,Constante!$D$12:$E$13,2)</f>
        <v>20.035</v>
      </c>
      <c r="M37" s="115"/>
      <c r="N37" s="115"/>
      <c r="O37" s="114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ht="14.5" x14ac:dyDescent="0.35">
      <c r="Z38"/>
      <c r="AA38"/>
      <c r="AB38"/>
      <c r="AC38"/>
      <c r="AD38"/>
      <c r="AE38"/>
    </row>
    <row r="39" spans="3:31" ht="14.5" x14ac:dyDescent="0.35">
      <c r="Z39"/>
      <c r="AA39"/>
      <c r="AB39"/>
      <c r="AC39"/>
      <c r="AD39"/>
      <c r="AE39"/>
    </row>
    <row r="40" spans="3:31" ht="14.5" x14ac:dyDescent="0.35">
      <c r="Z40"/>
      <c r="AA40"/>
      <c r="AB40"/>
      <c r="AC40"/>
      <c r="AD40"/>
      <c r="AE40"/>
    </row>
    <row r="41" spans="3:31" ht="14.5" x14ac:dyDescent="0.35">
      <c r="Z41"/>
      <c r="AA41"/>
      <c r="AB41"/>
      <c r="AC41"/>
      <c r="AD41"/>
      <c r="AE41"/>
    </row>
    <row r="42" spans="3:31" ht="14.5" x14ac:dyDescent="0.3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ht="14.5" x14ac:dyDescent="0.35">
      <c r="D43" s="39" t="s">
        <v>1</v>
      </c>
      <c r="E43" s="39"/>
      <c r="G43" s="116" t="s">
        <v>51</v>
      </c>
      <c r="H43" s="116"/>
      <c r="I43" s="116"/>
      <c r="L43"/>
      <c r="M43"/>
      <c r="N43"/>
      <c r="O43"/>
      <c r="Z43"/>
      <c r="AA43"/>
      <c r="AB43"/>
      <c r="AC43"/>
      <c r="AD43"/>
      <c r="AE43"/>
    </row>
    <row r="44" spans="3:31" ht="14.5" x14ac:dyDescent="0.3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ht="14.5" x14ac:dyDescent="0.35">
      <c r="G45" s="37">
        <v>0</v>
      </c>
      <c r="H45" s="37">
        <v>0</v>
      </c>
      <c r="I45" s="37">
        <v>0</v>
      </c>
      <c r="L45"/>
      <c r="M45"/>
      <c r="N45"/>
      <c r="O45"/>
      <c r="Z45"/>
      <c r="AA45"/>
      <c r="AB45"/>
      <c r="AC45"/>
      <c r="AD45"/>
      <c r="AE45"/>
    </row>
    <row r="46" spans="3:31" ht="14.5" x14ac:dyDescent="0.35">
      <c r="G46" s="88">
        <f>G45+H45/60+I45/3600</f>
        <v>0</v>
      </c>
      <c r="H46" s="88"/>
      <c r="I46" s="88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ht="14.5" x14ac:dyDescent="0.35">
      <c r="K47"/>
      <c r="L47"/>
      <c r="M47"/>
      <c r="N47"/>
      <c r="O47"/>
      <c r="P47"/>
      <c r="Z47"/>
      <c r="AA47"/>
      <c r="AB47"/>
      <c r="AC47"/>
      <c r="AD47"/>
      <c r="AE47"/>
    </row>
    <row r="48" spans="3:31" ht="14.5" x14ac:dyDescent="0.35">
      <c r="D48" s="112" t="s">
        <v>35</v>
      </c>
      <c r="E48" s="113"/>
      <c r="F48" s="113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2" t="s">
        <v>52</v>
      </c>
      <c r="M48" s="113"/>
      <c r="N48" s="113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ht="14.5" x14ac:dyDescent="0.35">
      <c r="D49" s="113"/>
      <c r="E49" s="113"/>
      <c r="F49" s="113"/>
      <c r="G49" s="38">
        <v>6</v>
      </c>
      <c r="H49" s="34">
        <v>35.9</v>
      </c>
      <c r="I49" s="34">
        <v>0</v>
      </c>
      <c r="J49" s="114" t="s">
        <v>29</v>
      </c>
      <c r="K49"/>
      <c r="L49" s="113"/>
      <c r="M49" s="113"/>
      <c r="N49" s="113"/>
      <c r="O49" s="34">
        <v>0</v>
      </c>
      <c r="P49" s="34">
        <v>1</v>
      </c>
      <c r="Q49" s="34">
        <v>0</v>
      </c>
      <c r="R49" s="114" t="s">
        <v>28</v>
      </c>
      <c r="Z49"/>
      <c r="AA49"/>
      <c r="AB49"/>
      <c r="AC49"/>
      <c r="AD49"/>
      <c r="AE49"/>
    </row>
    <row r="50" spans="3:31" ht="15" thickBot="1" x14ac:dyDescent="0.4">
      <c r="D50" s="113"/>
      <c r="E50" s="113"/>
      <c r="F50" s="113"/>
      <c r="G50" s="115">
        <f>(G49+H49/60+I49/3600) * VLOOKUP(J49,Constante!$D$15:$E$16,2)</f>
        <v>-6.5983333333333336</v>
      </c>
      <c r="H50" s="115"/>
      <c r="I50" s="115"/>
      <c r="J50" s="114"/>
      <c r="K50"/>
      <c r="L50" s="113"/>
      <c r="M50" s="113"/>
      <c r="N50" s="113"/>
      <c r="O50" s="115">
        <f>(O49+P49/60+Q49/3600) * VLOOKUP(R49,Constante!$D$15:$E$16,2)</f>
        <v>1.6666666666666666E-2</v>
      </c>
      <c r="P50" s="115"/>
      <c r="Q50" s="115"/>
      <c r="R50" s="114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ht="14.5" x14ac:dyDescent="0.35">
      <c r="G51" s="109"/>
      <c r="H51" s="110"/>
      <c r="I51" s="110"/>
      <c r="J51" s="111"/>
      <c r="K51"/>
      <c r="L51"/>
      <c r="M51"/>
      <c r="N51"/>
      <c r="O51"/>
      <c r="P51"/>
      <c r="Z51"/>
      <c r="AA51"/>
      <c r="AB51"/>
      <c r="AC51"/>
      <c r="AD51"/>
      <c r="AE51"/>
    </row>
    <row r="52" spans="3:31" ht="14.5" x14ac:dyDescent="0.35">
      <c r="D52" s="112" t="s">
        <v>36</v>
      </c>
      <c r="E52" s="113"/>
      <c r="F52" s="113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2" t="s">
        <v>53</v>
      </c>
      <c r="M52" s="113"/>
      <c r="N52" s="113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ht="14.5" x14ac:dyDescent="0.35">
      <c r="D53" s="113"/>
      <c r="E53" s="113"/>
      <c r="F53" s="113"/>
      <c r="G53" s="38">
        <v>177</v>
      </c>
      <c r="H53" s="34">
        <v>1.9</v>
      </c>
      <c r="I53" s="34">
        <v>0</v>
      </c>
      <c r="J53" s="114" t="s">
        <v>32</v>
      </c>
      <c r="K53"/>
      <c r="L53" s="113"/>
      <c r="M53" s="113"/>
      <c r="N53" s="113"/>
      <c r="O53" s="34">
        <v>15.002000000000001</v>
      </c>
      <c r="P53" s="34">
        <v>0</v>
      </c>
      <c r="Q53" s="34">
        <v>0</v>
      </c>
      <c r="R53" s="114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ht="14.5" x14ac:dyDescent="0.35">
      <c r="D54" s="113"/>
      <c r="E54" s="113"/>
      <c r="F54" s="113"/>
      <c r="G54" s="115">
        <f>(G53+H53/60+I53/3600) * VLOOKUP(J53,Constante!$D$12:$E$13,2)</f>
        <v>177.03166666666667</v>
      </c>
      <c r="H54" s="115"/>
      <c r="I54" s="115"/>
      <c r="J54" s="114"/>
      <c r="K54"/>
      <c r="L54" s="113"/>
      <c r="M54" s="113"/>
      <c r="N54" s="113"/>
      <c r="O54" s="115">
        <f>(O53+P53/60+Q53/3600) * VLOOKUP(R53,Constante!$D$12:$E$13,2)</f>
        <v>15.002000000000001</v>
      </c>
      <c r="P54" s="115"/>
      <c r="Q54" s="115"/>
      <c r="R54" s="114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ht="14.5" x14ac:dyDescent="0.35">
      <c r="Z55"/>
      <c r="AA55"/>
      <c r="AB55"/>
      <c r="AC55"/>
      <c r="AD55"/>
      <c r="AE55"/>
    </row>
    <row r="56" spans="3:31" ht="14.5" x14ac:dyDescent="0.35">
      <c r="Z56"/>
      <c r="AA56"/>
      <c r="AB56"/>
      <c r="AC56"/>
      <c r="AD56"/>
      <c r="AE56"/>
    </row>
    <row r="57" spans="3:31" ht="14.5" x14ac:dyDescent="0.35">
      <c r="Z57"/>
      <c r="AA57"/>
      <c r="AB57"/>
      <c r="AC57"/>
      <c r="AD57"/>
      <c r="AE57"/>
    </row>
    <row r="58" spans="3:31" ht="14.5" x14ac:dyDescent="0.35">
      <c r="C58" s="100" t="s">
        <v>54</v>
      </c>
      <c r="D58" s="100"/>
      <c r="E58" s="100"/>
      <c r="F58" s="100"/>
      <c r="G58" s="100"/>
      <c r="H58" s="101" t="s">
        <v>57</v>
      </c>
      <c r="I58" s="101"/>
      <c r="J58" s="101"/>
      <c r="K58" s="101"/>
      <c r="L58" s="58" t="str">
        <f>VLOOKUP(H58,Constante!D23:E24,2)</f>
        <v>Cas B</v>
      </c>
    </row>
    <row r="59" spans="3:31" x14ac:dyDescent="0.3">
      <c r="D59" s="2" t="s">
        <v>37</v>
      </c>
    </row>
    <row r="60" spans="3:31" ht="15.75" customHeight="1" x14ac:dyDescent="0.3">
      <c r="F60" s="102" t="s">
        <v>35</v>
      </c>
      <c r="G60" s="102"/>
      <c r="H60" s="102"/>
      <c r="I60" s="103">
        <f>IF(L58=Constante!E23,U33,U50)</f>
        <v>-6.4325833333333335</v>
      </c>
      <c r="J60" s="103"/>
      <c r="K60" s="103"/>
      <c r="L60" s="103"/>
    </row>
    <row r="61" spans="3:31" ht="14.5" x14ac:dyDescent="0.35">
      <c r="F61" s="102"/>
      <c r="G61" s="102"/>
      <c r="H61" s="102"/>
      <c r="I61" s="17" t="s">
        <v>13</v>
      </c>
      <c r="J61" s="17" t="s">
        <v>4</v>
      </c>
      <c r="K61" s="17" t="s">
        <v>5</v>
      </c>
      <c r="L61" s="19" t="s">
        <v>22</v>
      </c>
    </row>
    <row r="62" spans="3:31" ht="15" thickBot="1" x14ac:dyDescent="0.4">
      <c r="F62" s="102"/>
      <c r="G62" s="102"/>
      <c r="H62" s="102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4.5" thickBot="1" x14ac:dyDescent="0.35">
      <c r="I63" s="104"/>
      <c r="J63" s="105"/>
      <c r="K63" s="105"/>
      <c r="L63" s="106"/>
    </row>
    <row r="64" spans="3:31" ht="14.5" x14ac:dyDescent="0.3">
      <c r="F64" s="102" t="s">
        <v>42</v>
      </c>
      <c r="G64" s="88"/>
      <c r="H64" s="88"/>
      <c r="I64" s="107">
        <f>IF(L58="a",AA67,Z52)+H12</f>
        <v>2.0948030000000002</v>
      </c>
      <c r="J64" s="103"/>
      <c r="K64" s="103"/>
      <c r="L64" s="103"/>
    </row>
    <row r="65" spans="2:31" ht="14.5" x14ac:dyDescent="0.35">
      <c r="F65" s="88"/>
      <c r="G65" s="88"/>
      <c r="H65" s="88"/>
      <c r="I65" s="17" t="s">
        <v>13</v>
      </c>
      <c r="J65" s="17" t="s">
        <v>4</v>
      </c>
      <c r="K65" s="17" t="s">
        <v>5</v>
      </c>
      <c r="L65" s="19" t="s">
        <v>22</v>
      </c>
    </row>
    <row r="66" spans="2:31" ht="14.5" x14ac:dyDescent="0.35">
      <c r="F66" s="88"/>
      <c r="G66" s="88"/>
      <c r="H66" s="88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" thickBot="1" x14ac:dyDescent="0.4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" thickBot="1" x14ac:dyDescent="0.4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ht="14.5" x14ac:dyDescent="0.35">
      <c r="F71" s="90" t="s">
        <v>44</v>
      </c>
      <c r="G71" s="90"/>
      <c r="H71" s="90"/>
      <c r="S71" s="19"/>
      <c r="T71" s="98" t="s">
        <v>103</v>
      </c>
      <c r="U71" s="99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ht="14.5" x14ac:dyDescent="0.35">
      <c r="F72" s="17" t="s">
        <v>13</v>
      </c>
      <c r="G72" s="17" t="s">
        <v>4</v>
      </c>
      <c r="H72" s="1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Lune'!I60)</f>
        <v>-0.11203405649912536</v>
      </c>
      <c r="AD72" s="1">
        <f>SIN(Constante!$D$19*'Droite hauteur Lune'!D12)*SIN(Constante!$D$19*'Droite hauteur Lune'!F74)</f>
        <v>0.42841152475664518</v>
      </c>
      <c r="AE72" s="1">
        <f>COS(Constante!$D$19*'Droite hauteur Lune'!D12)*COS(Constante!$D$19*'Droite hauteur Lune'!F74)</f>
        <v>0.5409733204231264</v>
      </c>
    </row>
    <row r="73" spans="2:31" ht="14.5" x14ac:dyDescent="0.35">
      <c r="F73" s="20">
        <f>INT(ABS(F74))</f>
        <v>34</v>
      </c>
      <c r="G73" s="20">
        <f>INT(60*(ABS(F74)-F73))</f>
        <v>39</v>
      </c>
      <c r="H73" s="21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ht="14.5" x14ac:dyDescent="0.35">
      <c r="F74" s="89">
        <f>V74/Constante!$D$19</f>
        <v>34.661430958715577</v>
      </c>
      <c r="G74" s="89"/>
      <c r="H74" s="89"/>
      <c r="S74" s="19" t="s">
        <v>44</v>
      </c>
      <c r="T74" s="108" t="s">
        <v>103</v>
      </c>
      <c r="U74" s="108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4.5" thickBot="1" x14ac:dyDescent="0.35"/>
    <row r="82" spans="2:29" ht="15" thickBot="1" x14ac:dyDescent="0.4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ht="14.5" x14ac:dyDescent="0.35">
      <c r="F83" s="90" t="s">
        <v>46</v>
      </c>
      <c r="G83" s="90"/>
      <c r="H83" s="90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ht="14.5" x14ac:dyDescent="0.35">
      <c r="F84" s="17" t="s">
        <v>13</v>
      </c>
      <c r="G84" s="17" t="s">
        <v>4</v>
      </c>
      <c r="H84" s="17" t="s">
        <v>5</v>
      </c>
      <c r="S84" s="19"/>
      <c r="T84" s="98" t="s">
        <v>103</v>
      </c>
      <c r="U84" s="99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ht="14.5" x14ac:dyDescent="0.35">
      <c r="F85" s="20">
        <f>INT(ABS(F86))</f>
        <v>177</v>
      </c>
      <c r="G85" s="20">
        <f>INT(60*(ABS(F86)-F85))</f>
        <v>28</v>
      </c>
      <c r="H85" s="21">
        <f>ABS(F86)-F85-G85/60</f>
        <v>2.31854577487145E-3</v>
      </c>
      <c r="J85" s="22" t="s">
        <v>70</v>
      </c>
      <c r="K85" s="22"/>
      <c r="S85" s="19" t="s">
        <v>102</v>
      </c>
      <c r="T85" s="95" t="s">
        <v>105</v>
      </c>
      <c r="U85" s="96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ht="14.5" x14ac:dyDescent="0.35">
      <c r="F86" s="97">
        <f>V88/Constante!$D$19</f>
        <v>177.46898521244154</v>
      </c>
      <c r="G86" s="97"/>
      <c r="H86" s="97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95" t="s">
        <v>106</v>
      </c>
      <c r="U86" s="96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ht="14.5" x14ac:dyDescent="0.35">
      <c r="S87" s="19" t="s">
        <v>107</v>
      </c>
      <c r="T87" s="95" t="s">
        <v>108</v>
      </c>
      <c r="U87" s="96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ht="14.5" x14ac:dyDescent="0.35">
      <c r="S88" s="19" t="s">
        <v>44</v>
      </c>
      <c r="T88" s="98" t="s">
        <v>103</v>
      </c>
      <c r="U88" s="99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ht="14.5" x14ac:dyDescent="0.35">
      <c r="S89"/>
      <c r="T89"/>
      <c r="U89"/>
      <c r="V89"/>
      <c r="W89"/>
      <c r="X89"/>
      <c r="Y89"/>
      <c r="Z89"/>
      <c r="AA89"/>
      <c r="AB89"/>
      <c r="AC89"/>
    </row>
    <row r="90" spans="2:29" ht="15" thickBot="1" x14ac:dyDescent="0.4">
      <c r="S90"/>
      <c r="T90"/>
      <c r="U90"/>
      <c r="V90"/>
      <c r="W90"/>
      <c r="X90"/>
      <c r="Y90"/>
      <c r="Z90"/>
      <c r="AA90"/>
      <c r="AB90"/>
      <c r="AC90"/>
    </row>
    <row r="91" spans="2:29" ht="14.5" thickBot="1" x14ac:dyDescent="0.35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ht="14.5" x14ac:dyDescent="0.35">
      <c r="D92" s="1" t="s">
        <v>12</v>
      </c>
      <c r="F92" t="s">
        <v>19</v>
      </c>
      <c r="G92"/>
      <c r="H92"/>
      <c r="I92" s="1" t="s">
        <v>61</v>
      </c>
      <c r="O92" s="90" t="s">
        <v>62</v>
      </c>
      <c r="P92" s="90"/>
      <c r="Q92" s="90"/>
      <c r="S92" s="63" t="s">
        <v>23</v>
      </c>
      <c r="T92" s="63" t="s">
        <v>15</v>
      </c>
      <c r="U92" s="63" t="s">
        <v>81</v>
      </c>
      <c r="V92" s="63" t="s">
        <v>110</v>
      </c>
      <c r="W92" s="87" t="s">
        <v>121</v>
      </c>
      <c r="X92" s="88" t="s">
        <v>120</v>
      </c>
      <c r="Y92" s="88">
        <f>IF(U93,U94,IF(T93,IF(V93,V94,T94),IF(S93,S94,888)))</f>
        <v>0</v>
      </c>
    </row>
    <row r="93" spans="2:29" ht="14.5" x14ac:dyDescent="0.3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17" t="s">
        <v>13</v>
      </c>
      <c r="P93" s="17" t="s">
        <v>4</v>
      </c>
      <c r="Q93" s="1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88"/>
      <c r="X93" s="88"/>
      <c r="Y93" s="88"/>
    </row>
    <row r="94" spans="2:29" ht="14.5" x14ac:dyDescent="0.3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21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8"/>
      <c r="X94" s="88"/>
      <c r="Y94" s="88"/>
    </row>
    <row r="95" spans="2:29" ht="14.5" x14ac:dyDescent="0.35">
      <c r="F95"/>
      <c r="G95"/>
      <c r="I95" s="1" t="s">
        <v>63</v>
      </c>
      <c r="O95" s="89">
        <f>D93-F93+I93+I94</f>
        <v>30.82585555555556</v>
      </c>
      <c r="P95" s="89"/>
      <c r="Q95" s="89"/>
    </row>
    <row r="96" spans="2:29" ht="14.5" x14ac:dyDescent="0.3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3">
      <c r="U97" s="81" t="s">
        <v>113</v>
      </c>
      <c r="V97" s="78" t="s">
        <v>114</v>
      </c>
      <c r="W97" s="78"/>
      <c r="X97" s="78"/>
      <c r="Y97" s="77" t="s">
        <v>115</v>
      </c>
      <c r="Z97" s="77"/>
      <c r="AA97" s="77"/>
    </row>
    <row r="98" spans="4:27" x14ac:dyDescent="0.3">
      <c r="U98" s="81"/>
      <c r="V98" s="78" t="s">
        <v>116</v>
      </c>
      <c r="W98" s="78" t="s">
        <v>117</v>
      </c>
      <c r="X98" s="78" t="s">
        <v>118</v>
      </c>
      <c r="Y98" s="77" t="s">
        <v>116</v>
      </c>
      <c r="Z98" s="77" t="s">
        <v>119</v>
      </c>
      <c r="AA98" s="77" t="s">
        <v>118</v>
      </c>
    </row>
    <row r="99" spans="4:27" x14ac:dyDescent="0.3">
      <c r="U99" s="81"/>
      <c r="V99" s="79">
        <f>MATCH(D93,Constante!$M$6:$M$17,1)</f>
        <v>10</v>
      </c>
      <c r="W99" s="78">
        <f>INDEX(Constante!$M$6:$M$17,V99)</f>
        <v>30</v>
      </c>
      <c r="X99" s="78">
        <f>INDEX(Constante!$N$6:$S$17,V99,1+V96)</f>
        <v>0.24166666666666667</v>
      </c>
      <c r="Y99" s="80">
        <f>V99+1</f>
        <v>11</v>
      </c>
      <c r="Z99" s="77">
        <f>INDEX(Constante!$M$6:$M$17,Y99)</f>
        <v>50</v>
      </c>
      <c r="AA99" s="77">
        <f>INDEX(Constante!$N$6:$S$17,Y99,1+V96)</f>
        <v>0.255</v>
      </c>
    </row>
    <row r="100" spans="4:27" ht="14.5" x14ac:dyDescent="0.35">
      <c r="U100" s="19" t="s">
        <v>93</v>
      </c>
      <c r="V100" s="23">
        <f>(D93-W99)/(Z99-W99)</f>
        <v>6.4166666666666747E-2</v>
      </c>
    </row>
    <row r="101" spans="4:27" ht="14.5" x14ac:dyDescent="0.35">
      <c r="U101" s="19" t="s">
        <v>92</v>
      </c>
      <c r="V101" s="19">
        <f>(1-V100)*X99+V100*AA99</f>
        <v>0.24252222222222225</v>
      </c>
    </row>
    <row r="103" spans="4:27" ht="14.5" x14ac:dyDescent="0.35">
      <c r="X103"/>
    </row>
    <row r="104" spans="4:27" ht="14.5" x14ac:dyDescent="0.35">
      <c r="X104"/>
    </row>
    <row r="105" spans="4:27" x14ac:dyDescent="0.3">
      <c r="D105" s="1" t="s">
        <v>69</v>
      </c>
    </row>
    <row r="106" spans="4:27" ht="14.5" x14ac:dyDescent="0.35">
      <c r="F106" s="90" t="s">
        <v>69</v>
      </c>
      <c r="G106" s="90"/>
      <c r="H106" s="90"/>
    </row>
    <row r="107" spans="4:27" ht="14.5" x14ac:dyDescent="0.3">
      <c r="F107" s="17" t="s">
        <v>13</v>
      </c>
      <c r="G107" s="17" t="s">
        <v>4</v>
      </c>
      <c r="H107" s="17" t="s">
        <v>5</v>
      </c>
    </row>
    <row r="108" spans="4:27" ht="14.5" x14ac:dyDescent="0.3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ht="14.5" x14ac:dyDescent="0.35">
      <c r="F109" s="91">
        <f>O95-F74</f>
        <v>-3.8355754031600178</v>
      </c>
      <c r="G109" s="92"/>
      <c r="H109" s="93"/>
      <c r="J109" s="94">
        <f>F109*60</f>
        <v>-230.13452418960105</v>
      </c>
      <c r="K109" s="94"/>
      <c r="L109" s="94" t="s">
        <v>125</v>
      </c>
      <c r="M109" s="94"/>
    </row>
    <row r="112" spans="4:27" ht="14.5" x14ac:dyDescent="0.3">
      <c r="G112" s="84" t="s">
        <v>122</v>
      </c>
      <c r="H112" s="84"/>
      <c r="I112" s="84"/>
      <c r="J112" s="82" t="s">
        <v>17</v>
      </c>
      <c r="K112" s="82">
        <f>ABS(I60)</f>
        <v>6.4325833333333335</v>
      </c>
      <c r="L112" s="82" t="str">
        <f>L62</f>
        <v>S</v>
      </c>
      <c r="M112" s="85" t="s">
        <v>123</v>
      </c>
      <c r="N112" s="86"/>
      <c r="O112" s="84" t="s">
        <v>124</v>
      </c>
      <c r="P112" s="84"/>
      <c r="Q112" s="84"/>
      <c r="R112" s="82" t="s">
        <v>17</v>
      </c>
      <c r="S112" s="83">
        <f>D12</f>
        <v>48.875556000000003</v>
      </c>
      <c r="T112" s="82" t="str">
        <f>G11</f>
        <v>N</v>
      </c>
    </row>
    <row r="113" spans="7:20" ht="14.5" x14ac:dyDescent="0.3">
      <c r="G113" s="84"/>
      <c r="H113" s="84"/>
      <c r="I113" s="84"/>
      <c r="J113" s="82" t="s">
        <v>16</v>
      </c>
      <c r="K113" s="82">
        <f>ABS(I64)</f>
        <v>2.0948030000000002</v>
      </c>
      <c r="L113" s="82" t="str">
        <f>L66</f>
        <v>E</v>
      </c>
      <c r="M113" s="85"/>
      <c r="N113" s="86"/>
      <c r="O113" s="84"/>
      <c r="P113" s="84"/>
      <c r="Q113" s="84"/>
      <c r="R113" s="82" t="s">
        <v>16</v>
      </c>
      <c r="S113" s="83">
        <f>H12</f>
        <v>2.0948030000000002</v>
      </c>
      <c r="T113" s="82" t="str">
        <f>K11</f>
        <v>E</v>
      </c>
    </row>
  </sheetData>
  <mergeCells count="99">
    <mergeCell ref="T88:U88"/>
    <mergeCell ref="T86:U86"/>
    <mergeCell ref="T87:U87"/>
    <mergeCell ref="T74:U74"/>
    <mergeCell ref="T71:U71"/>
    <mergeCell ref="T85:U85"/>
    <mergeCell ref="T84:U84"/>
    <mergeCell ref="R49:R50"/>
    <mergeCell ref="O50:Q50"/>
    <mergeCell ref="L52:N54"/>
    <mergeCell ref="R53:R54"/>
    <mergeCell ref="O54:Q54"/>
    <mergeCell ref="F71:H71"/>
    <mergeCell ref="F74:H74"/>
    <mergeCell ref="F83:H83"/>
    <mergeCell ref="F86:H86"/>
    <mergeCell ref="G43:I43"/>
    <mergeCell ref="G46:I46"/>
    <mergeCell ref="D48:F50"/>
    <mergeCell ref="I63:L63"/>
    <mergeCell ref="F64:H66"/>
    <mergeCell ref="I60:L60"/>
    <mergeCell ref="I64:L64"/>
    <mergeCell ref="G50:I50"/>
    <mergeCell ref="G51:J51"/>
    <mergeCell ref="D52:F54"/>
    <mergeCell ref="J53:J54"/>
    <mergeCell ref="G54:I54"/>
    <mergeCell ref="G29:I29"/>
    <mergeCell ref="C58:G58"/>
    <mergeCell ref="J49:J50"/>
    <mergeCell ref="J36:J37"/>
    <mergeCell ref="G33:I33"/>
    <mergeCell ref="G37:I37"/>
    <mergeCell ref="L34:O34"/>
    <mergeCell ref="O36:O37"/>
    <mergeCell ref="L37:N37"/>
    <mergeCell ref="D35:F37"/>
    <mergeCell ref="F60:H62"/>
    <mergeCell ref="H58:K58"/>
    <mergeCell ref="L48:N50"/>
    <mergeCell ref="M26:O26"/>
    <mergeCell ref="G34:J34"/>
    <mergeCell ref="B13:C15"/>
    <mergeCell ref="G26:I26"/>
    <mergeCell ref="M29:O29"/>
    <mergeCell ref="J32:J33"/>
    <mergeCell ref="D31:F33"/>
    <mergeCell ref="J19:K19"/>
    <mergeCell ref="B16:D19"/>
    <mergeCell ref="E16:F19"/>
    <mergeCell ref="J16:K16"/>
    <mergeCell ref="L16:M16"/>
    <mergeCell ref="G19:I19"/>
    <mergeCell ref="O32:O33"/>
    <mergeCell ref="L33:N33"/>
    <mergeCell ref="G16:I16"/>
    <mergeCell ref="B7:B8"/>
    <mergeCell ref="C7:C8"/>
    <mergeCell ref="D7:D8"/>
    <mergeCell ref="B5:D5"/>
    <mergeCell ref="E5:G5"/>
    <mergeCell ref="B2:P2"/>
    <mergeCell ref="H12:J12"/>
    <mergeCell ref="B9:C12"/>
    <mergeCell ref="G7:G8"/>
    <mergeCell ref="H7:H8"/>
    <mergeCell ref="I7:I8"/>
    <mergeCell ref="J7:J8"/>
    <mergeCell ref="D12:F12"/>
    <mergeCell ref="K5:M5"/>
    <mergeCell ref="K8:M8"/>
    <mergeCell ref="K11:K12"/>
    <mergeCell ref="H5:J5"/>
    <mergeCell ref="D9:G9"/>
    <mergeCell ref="G11:G12"/>
    <mergeCell ref="H9:K9"/>
    <mergeCell ref="E7:E8"/>
    <mergeCell ref="S7:X7"/>
    <mergeCell ref="S8:X8"/>
    <mergeCell ref="K4:M4"/>
    <mergeCell ref="D15:G15"/>
    <mergeCell ref="S3:X3"/>
    <mergeCell ref="S4:X4"/>
    <mergeCell ref="S5:X5"/>
    <mergeCell ref="S6:X6"/>
    <mergeCell ref="F7:F8"/>
    <mergeCell ref="M112:N113"/>
    <mergeCell ref="O112:Q113"/>
    <mergeCell ref="G112:I113"/>
    <mergeCell ref="X92:X94"/>
    <mergeCell ref="Y92:Y94"/>
    <mergeCell ref="W92:W94"/>
    <mergeCell ref="O92:Q92"/>
    <mergeCell ref="O95:Q95"/>
    <mergeCell ref="F106:H106"/>
    <mergeCell ref="F109:H109"/>
    <mergeCell ref="J109:K109"/>
    <mergeCell ref="L109:M109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promptTitle="Astre visé" xr:uid="{00000000-0002-0000-0300-000000000000}">
          <x14:formula1>
            <xm:f>Constante!$D$3:$D$9</xm:f>
          </x14:formula1>
          <xm:sqref>E16</xm:sqref>
        </x14:dataValidation>
        <x14:dataValidation type="list" allowBlank="1" showInputMessage="1" showErrorMessage="1" xr:uid="{00000000-0002-0000-0300-000001000000}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xr:uid="{00000000-0002-0000-0300-000002000000}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 xr:uid="{00000000-0002-0000-0300-000003000000}">
          <x14:formula1>
            <xm:f>Constante!$D$23:$D$24</xm:f>
          </x14:formula1>
          <xm:sqref>H58</xm:sqref>
        </x14:dataValidation>
        <x14:dataValidation type="list" allowBlank="1" showInputMessage="1" showErrorMessage="1" xr:uid="{00000000-0002-0000-0300-000004000000}">
          <x14:formula1>
            <xm:f>Constante!$K$3:$K$8</xm:f>
          </x14:formula1>
          <xm:sqref>L19</xm:sqref>
        </x14:dataValidation>
        <x14:dataValidation type="list" allowBlank="1" showInputMessage="1" showErrorMessage="1" xr:uid="{00000000-0002-0000-0300-000005000000}">
          <x14:formula1>
            <xm:f>Constante!$G$3:$G$4</xm:f>
          </x14:formula1>
          <xm:sqref>L16:M16</xm:sqref>
        </x14:dataValidation>
        <x14:dataValidation type="list" allowBlank="1" showInputMessage="1" showErrorMessage="1" xr:uid="{00000000-0002-0000-0300-000006000000}">
          <x14:formula1>
            <xm:f>Constante!$J$12:$J$13</xm:f>
          </x14:formula1>
          <xm:sqref>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T31"/>
  <sheetViews>
    <sheetView topLeftCell="B1" workbookViewId="0">
      <selection activeCell="M6" sqref="M6"/>
    </sheetView>
  </sheetViews>
  <sheetFormatPr baseColWidth="10" defaultColWidth="11.453125" defaultRowHeight="14.5" x14ac:dyDescent="0.35"/>
  <cols>
    <col min="3" max="3" width="17" customWidth="1"/>
    <col min="5" max="5" width="3.54296875" customWidth="1"/>
  </cols>
  <sheetData>
    <row r="3" spans="3:20" x14ac:dyDescent="0.35">
      <c r="C3" s="10" t="s">
        <v>14</v>
      </c>
      <c r="D3" s="10" t="s">
        <v>15</v>
      </c>
      <c r="F3" s="40" t="s">
        <v>78</v>
      </c>
      <c r="G3" s="40" t="s">
        <v>79</v>
      </c>
      <c r="J3" s="5" t="s">
        <v>68</v>
      </c>
      <c r="K3" s="5">
        <v>0</v>
      </c>
      <c r="L3" s="172" t="s">
        <v>64</v>
      </c>
      <c r="M3" s="173"/>
      <c r="N3" s="173"/>
      <c r="O3" s="173"/>
      <c r="P3" s="173"/>
      <c r="Q3" s="173"/>
      <c r="R3" s="173"/>
      <c r="S3" s="174"/>
      <c r="T3" s="6"/>
    </row>
    <row r="4" spans="3:20" x14ac:dyDescent="0.35">
      <c r="C4" s="10"/>
      <c r="D4" s="10" t="s">
        <v>23</v>
      </c>
      <c r="F4" s="40"/>
      <c r="G4" s="40" t="s">
        <v>80</v>
      </c>
      <c r="J4" s="5"/>
      <c r="K4" s="5">
        <v>1</v>
      </c>
      <c r="L4" s="6"/>
      <c r="M4" s="175" t="s">
        <v>65</v>
      </c>
      <c r="N4" s="176" t="s">
        <v>66</v>
      </c>
      <c r="O4" s="176"/>
      <c r="P4" s="176"/>
      <c r="Q4" s="176"/>
      <c r="R4" s="176"/>
      <c r="S4" s="7"/>
      <c r="T4" s="6"/>
    </row>
    <row r="5" spans="3:20" x14ac:dyDescent="0.35">
      <c r="C5" s="10"/>
      <c r="D5" s="10" t="s">
        <v>25</v>
      </c>
      <c r="J5" s="5"/>
      <c r="K5" s="5">
        <v>2</v>
      </c>
      <c r="L5" s="6"/>
      <c r="M5" s="175"/>
      <c r="N5" s="8">
        <v>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9">
        <v>1000</v>
      </c>
    </row>
    <row r="6" spans="3:20" x14ac:dyDescent="0.35">
      <c r="C6" s="10"/>
      <c r="D6" s="10" t="s">
        <v>26</v>
      </c>
      <c r="J6" s="5"/>
      <c r="K6" s="5">
        <v>3</v>
      </c>
      <c r="L6" s="6"/>
      <c r="M6" s="75">
        <v>0</v>
      </c>
      <c r="N6" s="8">
        <v>0.09</v>
      </c>
      <c r="O6" s="8">
        <v>0.08</v>
      </c>
      <c r="P6" s="8">
        <v>7.0000000000000007E-2</v>
      </c>
      <c r="Q6" s="8">
        <v>0.06</v>
      </c>
      <c r="R6" s="8">
        <v>0.05</v>
      </c>
      <c r="S6" s="8">
        <v>0.04</v>
      </c>
      <c r="T6" s="9">
        <v>0.03</v>
      </c>
    </row>
    <row r="7" spans="3:20" x14ac:dyDescent="0.35">
      <c r="C7" s="10"/>
      <c r="D7" s="10" t="s">
        <v>26</v>
      </c>
      <c r="J7" s="5"/>
      <c r="K7" s="5">
        <v>4</v>
      </c>
      <c r="L7" s="6"/>
      <c r="M7" s="75">
        <v>6</v>
      </c>
      <c r="N7" s="8">
        <v>0.125</v>
      </c>
      <c r="O7" s="8">
        <v>0.125</v>
      </c>
      <c r="P7" s="8">
        <v>8.3333333333333329E-2</v>
      </c>
      <c r="Q7" s="8">
        <v>7.4999999999999997E-2</v>
      </c>
      <c r="R7" s="8">
        <v>6.6666666666666666E-2</v>
      </c>
      <c r="S7" s="8">
        <v>5.8333333333333334E-2</v>
      </c>
      <c r="T7" s="9">
        <v>5.8333333333333334E-2</v>
      </c>
    </row>
    <row r="8" spans="3:20" x14ac:dyDescent="0.35">
      <c r="C8" s="10"/>
      <c r="D8" s="10" t="s">
        <v>26</v>
      </c>
      <c r="J8" s="5"/>
      <c r="K8" s="5">
        <v>5</v>
      </c>
      <c r="L8" s="6"/>
      <c r="M8" s="75">
        <v>7</v>
      </c>
      <c r="N8" s="8">
        <v>0.14499999999999999</v>
      </c>
      <c r="O8" s="8">
        <v>0.14499999999999999</v>
      </c>
      <c r="P8" s="8">
        <v>0.1</v>
      </c>
      <c r="Q8" s="8">
        <v>9.166666666666666E-2</v>
      </c>
      <c r="R8" s="8">
        <v>8.3333333333333329E-2</v>
      </c>
      <c r="S8" s="8">
        <v>7.4999999999999997E-2</v>
      </c>
      <c r="T8" s="9">
        <v>7.4999999999999997E-2</v>
      </c>
    </row>
    <row r="9" spans="3:20" x14ac:dyDescent="0.35">
      <c r="C9" s="10"/>
      <c r="D9" s="10" t="s">
        <v>26</v>
      </c>
      <c r="L9" s="6"/>
      <c r="M9" s="75">
        <v>8</v>
      </c>
      <c r="N9" s="8">
        <v>0.16</v>
      </c>
      <c r="O9" s="8">
        <v>0.16</v>
      </c>
      <c r="P9" s="8">
        <v>0.11666666666666667</v>
      </c>
      <c r="Q9" s="8">
        <v>0.10833333333333334</v>
      </c>
      <c r="R9" s="8">
        <v>0.1</v>
      </c>
      <c r="S9" s="8">
        <v>9.166666666666666E-2</v>
      </c>
      <c r="T9" s="9">
        <v>9.166666666666666E-2</v>
      </c>
    </row>
    <row r="10" spans="3:20" x14ac:dyDescent="0.35">
      <c r="L10" s="6"/>
      <c r="M10" s="75">
        <v>9</v>
      </c>
      <c r="N10" s="8">
        <v>0.17166666666666669</v>
      </c>
      <c r="O10" s="8">
        <v>0.17166666666666669</v>
      </c>
      <c r="P10" s="8">
        <v>0.13333333333333333</v>
      </c>
      <c r="Q10" s="8">
        <v>0.11666666666666667</v>
      </c>
      <c r="R10" s="8">
        <v>0.10833333333333334</v>
      </c>
      <c r="S10" s="8">
        <v>0.1</v>
      </c>
      <c r="T10" s="9">
        <v>0.1</v>
      </c>
    </row>
    <row r="11" spans="3:20" x14ac:dyDescent="0.35">
      <c r="L11" s="6"/>
      <c r="M11" s="75">
        <v>10</v>
      </c>
      <c r="N11" s="8">
        <v>0.18000000000000002</v>
      </c>
      <c r="O11" s="8">
        <v>0.18000000000000002</v>
      </c>
      <c r="P11" s="8">
        <v>0.14166666666666666</v>
      </c>
      <c r="Q11" s="8">
        <v>0.13333333333333333</v>
      </c>
      <c r="R11" s="8">
        <v>0.11666666666666667</v>
      </c>
      <c r="S11" s="8">
        <v>0.11666666666666667</v>
      </c>
      <c r="T11" s="9">
        <v>0.11666666666666667</v>
      </c>
    </row>
    <row r="12" spans="3:20" x14ac:dyDescent="0.35">
      <c r="C12" s="11" t="s">
        <v>27</v>
      </c>
      <c r="D12" s="12" t="s">
        <v>32</v>
      </c>
      <c r="E12" s="13">
        <v>1</v>
      </c>
      <c r="F12" s="11">
        <v>-1</v>
      </c>
      <c r="G12" s="11" t="s">
        <v>31</v>
      </c>
      <c r="I12" s="59" t="s">
        <v>19</v>
      </c>
      <c r="J12" s="60" t="s">
        <v>59</v>
      </c>
      <c r="K12" s="59">
        <v>-1</v>
      </c>
      <c r="L12" s="6"/>
      <c r="M12" s="75">
        <v>12</v>
      </c>
      <c r="N12" s="8">
        <v>0.19499999999999998</v>
      </c>
      <c r="O12" s="8">
        <v>0.19499999999999998</v>
      </c>
      <c r="P12" s="8">
        <v>0.15</v>
      </c>
      <c r="Q12" s="8">
        <v>0.14166666666666666</v>
      </c>
      <c r="R12" s="8">
        <v>0.13333333333333333</v>
      </c>
      <c r="S12" s="8">
        <v>0.125</v>
      </c>
      <c r="T12" s="9">
        <v>0.125</v>
      </c>
    </row>
    <row r="13" spans="3:20" x14ac:dyDescent="0.35">
      <c r="C13" s="11"/>
      <c r="D13" s="12" t="s">
        <v>31</v>
      </c>
      <c r="E13" s="13">
        <v>-1</v>
      </c>
      <c r="F13" s="11">
        <v>1</v>
      </c>
      <c r="G13" s="11" t="s">
        <v>32</v>
      </c>
      <c r="I13" s="59"/>
      <c r="J13" s="60" t="s">
        <v>60</v>
      </c>
      <c r="K13" s="59">
        <v>1</v>
      </c>
      <c r="L13" s="6"/>
      <c r="M13" s="75">
        <v>15</v>
      </c>
      <c r="N13" s="8">
        <v>0.21</v>
      </c>
      <c r="O13" s="8">
        <v>0.21</v>
      </c>
      <c r="P13" s="8">
        <v>0.16666666666666666</v>
      </c>
      <c r="Q13" s="8">
        <v>0.15833333333333333</v>
      </c>
      <c r="R13" s="8">
        <v>0.15</v>
      </c>
      <c r="S13" s="8">
        <v>0.14166666666666666</v>
      </c>
      <c r="T13" s="9">
        <v>0.14166666666666666</v>
      </c>
    </row>
    <row r="14" spans="3:20" x14ac:dyDescent="0.35">
      <c r="D14" s="3"/>
      <c r="E14" s="4"/>
      <c r="L14" s="6"/>
      <c r="M14" s="75">
        <v>20</v>
      </c>
      <c r="N14" s="8">
        <v>0.22500000000000001</v>
      </c>
      <c r="O14" s="8">
        <v>0.22500000000000001</v>
      </c>
      <c r="P14" s="8">
        <v>0.18333333333333332</v>
      </c>
      <c r="Q14" s="8">
        <v>0.17499999999999999</v>
      </c>
      <c r="R14" s="8">
        <v>0.16666666666666666</v>
      </c>
      <c r="S14" s="8">
        <v>0.15833333333333333</v>
      </c>
      <c r="T14" s="9">
        <v>0.15833333333333333</v>
      </c>
    </row>
    <row r="15" spans="3:20" x14ac:dyDescent="0.35">
      <c r="C15" s="10" t="s">
        <v>30</v>
      </c>
      <c r="D15" s="14" t="s">
        <v>28</v>
      </c>
      <c r="E15" s="15">
        <v>1</v>
      </c>
      <c r="F15" s="10">
        <v>-1</v>
      </c>
      <c r="G15" s="10" t="s">
        <v>29</v>
      </c>
      <c r="L15" s="6"/>
      <c r="M15" s="75">
        <v>30</v>
      </c>
      <c r="N15" s="8">
        <v>0.24166666666666667</v>
      </c>
      <c r="O15" s="8">
        <v>0.24166666666666667</v>
      </c>
      <c r="P15" s="8">
        <v>0.2</v>
      </c>
      <c r="Q15" s="8">
        <v>0.18333333333333332</v>
      </c>
      <c r="R15" s="8">
        <v>0.18333333333333332</v>
      </c>
      <c r="S15" s="8">
        <v>0.17499999999999999</v>
      </c>
      <c r="T15" s="9">
        <v>0.17499999999999999</v>
      </c>
    </row>
    <row r="16" spans="3:20" x14ac:dyDescent="0.35">
      <c r="C16" s="10"/>
      <c r="D16" s="14" t="s">
        <v>29</v>
      </c>
      <c r="E16" s="15">
        <v>-1</v>
      </c>
      <c r="F16" s="10">
        <v>1</v>
      </c>
      <c r="G16" s="10" t="s">
        <v>28</v>
      </c>
      <c r="L16" s="6"/>
      <c r="M16" s="75">
        <v>50</v>
      </c>
      <c r="N16" s="8">
        <v>0.255</v>
      </c>
      <c r="O16" s="8">
        <v>0.255</v>
      </c>
      <c r="P16" s="8">
        <v>0.21666666666666667</v>
      </c>
      <c r="Q16" s="8">
        <v>0.2</v>
      </c>
      <c r="R16" s="8">
        <v>0.2</v>
      </c>
      <c r="S16" s="8">
        <v>0.18333333333333332</v>
      </c>
      <c r="T16" s="9">
        <v>0.18333333333333332</v>
      </c>
    </row>
    <row r="17" spans="3:20" x14ac:dyDescent="0.35">
      <c r="L17" s="6"/>
      <c r="M17" s="75">
        <v>90</v>
      </c>
      <c r="N17" s="8">
        <v>0.26666666666666666</v>
      </c>
      <c r="O17" s="8">
        <v>0.26666666666666666</v>
      </c>
      <c r="P17" s="8">
        <v>0.22500000000000001</v>
      </c>
      <c r="Q17" s="8">
        <v>0.21666666666666667</v>
      </c>
      <c r="R17" s="8">
        <v>0.2</v>
      </c>
      <c r="S17" s="8">
        <v>0.2</v>
      </c>
      <c r="T17" s="9">
        <v>0.2</v>
      </c>
    </row>
    <row r="18" spans="3:20" x14ac:dyDescent="0.35">
      <c r="L18" s="6"/>
      <c r="O18" s="6"/>
      <c r="P18" s="6"/>
      <c r="Q18" s="6"/>
      <c r="R18" s="6"/>
      <c r="S18" s="6"/>
      <c r="T18" s="6"/>
    </row>
    <row r="19" spans="3:20" x14ac:dyDescent="0.35">
      <c r="C19" s="11" t="s">
        <v>40</v>
      </c>
      <c r="D19" s="11">
        <f>PI()/180</f>
        <v>1.7453292519943295E-2</v>
      </c>
      <c r="O19" s="6"/>
      <c r="P19" s="76" t="s">
        <v>24</v>
      </c>
      <c r="Q19" s="76">
        <v>-0.26666666666</v>
      </c>
      <c r="R19" s="6"/>
      <c r="S19" s="6"/>
      <c r="T19" s="6"/>
    </row>
    <row r="20" spans="3:20" x14ac:dyDescent="0.35">
      <c r="P20" s="76" t="s">
        <v>67</v>
      </c>
      <c r="Q20" s="76">
        <v>-0.53333333333300004</v>
      </c>
    </row>
    <row r="23" spans="3:20" x14ac:dyDescent="0.35">
      <c r="C23" s="10" t="s">
        <v>55</v>
      </c>
      <c r="D23" s="10" t="s">
        <v>56</v>
      </c>
      <c r="E23" s="10" t="s">
        <v>98</v>
      </c>
    </row>
    <row r="24" spans="3:20" x14ac:dyDescent="0.35">
      <c r="C24" s="10"/>
      <c r="D24" s="10" t="s">
        <v>57</v>
      </c>
      <c r="E24" s="10" t="s">
        <v>97</v>
      </c>
    </row>
    <row r="28" spans="3:20" x14ac:dyDescent="0.35">
      <c r="C28" t="s">
        <v>83</v>
      </c>
    </row>
    <row r="29" spans="3:20" x14ac:dyDescent="0.35">
      <c r="C29" t="s">
        <v>84</v>
      </c>
      <c r="D29">
        <v>48.875556000000003</v>
      </c>
      <c r="E29" t="s">
        <v>86</v>
      </c>
    </row>
    <row r="30" spans="3:20" x14ac:dyDescent="0.35">
      <c r="C30" t="s">
        <v>85</v>
      </c>
      <c r="D30">
        <v>2.0948030000000002</v>
      </c>
      <c r="E30" t="s">
        <v>87</v>
      </c>
    </row>
    <row r="31" spans="3:20" x14ac:dyDescent="0.35">
      <c r="C31" t="s">
        <v>88</v>
      </c>
      <c r="D31" t="s">
        <v>89</v>
      </c>
    </row>
  </sheetData>
  <mergeCells count="3">
    <mergeCell ref="L3:S3"/>
    <mergeCell ref="M4:M5"/>
    <mergeCell ref="N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Droite hauteur Soleil</vt:lpstr>
      <vt:lpstr>Meridienne Soleil</vt:lpstr>
      <vt:lpstr>Droite hauteur Etoile</vt:lpstr>
      <vt:lpstr>Droite hauteur Lune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dcterms:created xsi:type="dcterms:W3CDTF">2022-10-01T13:56:08Z</dcterms:created>
  <dcterms:modified xsi:type="dcterms:W3CDTF">2022-10-19T21:17:39Z</dcterms:modified>
</cp:coreProperties>
</file>