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s\WS\GitHub\NavAstro\NavAstro\XLS\"/>
    </mc:Choice>
  </mc:AlternateContent>
  <bookViews>
    <workbookView xWindow="-25740" yWindow="945" windowWidth="28800" windowHeight="11505" activeTab="1"/>
  </bookViews>
  <sheets>
    <sheet name="Droite hauteur" sheetId="1" r:id="rId1"/>
    <sheet name="Meridienne" sheetId="3" r:id="rId2"/>
    <sheet name="Constante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6" i="3" l="1"/>
  <c r="I62" i="3"/>
  <c r="AD68" i="3"/>
  <c r="AD67" i="3"/>
  <c r="AA67" i="3"/>
  <c r="Z67" i="3"/>
  <c r="AD69" i="3"/>
  <c r="AD63" i="3"/>
  <c r="AD62" i="3"/>
  <c r="AD64" i="3"/>
  <c r="G25" i="3"/>
  <c r="D11" i="3"/>
  <c r="D15" i="1"/>
  <c r="V94" i="3"/>
  <c r="V91" i="3"/>
  <c r="U91" i="3"/>
  <c r="D89" i="3"/>
  <c r="AB81" i="3"/>
  <c r="AA81" i="3"/>
  <c r="Z81" i="3"/>
  <c r="AA73" i="3"/>
  <c r="Z73" i="3"/>
  <c r="O64" i="3"/>
  <c r="L60" i="3"/>
  <c r="O56" i="3"/>
  <c r="G56" i="3"/>
  <c r="O52" i="3"/>
  <c r="G52" i="3"/>
  <c r="G48" i="3"/>
  <c r="L39" i="3"/>
  <c r="G39" i="3"/>
  <c r="L35" i="3"/>
  <c r="G35" i="3"/>
  <c r="M31" i="3"/>
  <c r="G31" i="3"/>
  <c r="G15" i="3"/>
  <c r="Z88" i="3" s="1"/>
  <c r="F89" i="3"/>
  <c r="H8" i="3"/>
  <c r="D8" i="3"/>
  <c r="I90" i="3" l="1"/>
  <c r="W91" i="3"/>
  <c r="F84" i="3"/>
  <c r="F83" i="3" s="1"/>
  <c r="F76" i="3"/>
  <c r="F75" i="3" s="1"/>
  <c r="AA89" i="3"/>
  <c r="AA90" i="3"/>
  <c r="Z90" i="3"/>
  <c r="Z89" i="3"/>
  <c r="O54" i="1"/>
  <c r="O62" i="1"/>
  <c r="G75" i="3" l="1"/>
  <c r="H75" i="3" s="1"/>
  <c r="G83" i="3"/>
  <c r="H83" i="3" s="1"/>
  <c r="AC93" i="3"/>
  <c r="V92" i="1"/>
  <c r="U89" i="1"/>
  <c r="W89" i="1" s="1"/>
  <c r="V89" i="1"/>
  <c r="AC94" i="3" l="1"/>
  <c r="Z95" i="3" s="1"/>
  <c r="I89" i="3" s="1"/>
  <c r="O91" i="3" s="1"/>
  <c r="I88" i="1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P6" i="2"/>
  <c r="Q6" i="2" s="1"/>
  <c r="R6" i="2" s="1"/>
  <c r="S6" i="2" s="1"/>
  <c r="T6" i="2" s="1"/>
  <c r="L58" i="1"/>
  <c r="O50" i="1"/>
  <c r="G54" i="1"/>
  <c r="G50" i="1"/>
  <c r="G46" i="1"/>
  <c r="D20" i="2"/>
  <c r="M29" i="1"/>
  <c r="G29" i="1"/>
  <c r="L37" i="1"/>
  <c r="G37" i="1"/>
  <c r="H12" i="1"/>
  <c r="L33" i="1"/>
  <c r="G33" i="1"/>
  <c r="D12" i="1"/>
  <c r="F87" i="1"/>
  <c r="G19" i="1"/>
  <c r="D87" i="1" s="1"/>
  <c r="AG7" i="1"/>
  <c r="AD7" i="1"/>
  <c r="AA7" i="1"/>
  <c r="F98" i="3" l="1"/>
  <c r="O90" i="3"/>
  <c r="P90" i="3" s="1"/>
  <c r="Q90" i="3" s="1"/>
  <c r="AA64" i="3"/>
  <c r="AB69" i="3"/>
  <c r="AA69" i="3" s="1"/>
  <c r="AC95" i="3"/>
  <c r="Z50" i="3"/>
  <c r="AA54" i="3"/>
  <c r="Z54" i="3" s="1"/>
  <c r="Z86" i="1"/>
  <c r="AD60" i="1"/>
  <c r="AD61" i="1" s="1"/>
  <c r="AD65" i="1"/>
  <c r="AD66" i="1" s="1"/>
  <c r="AJ7" i="1"/>
  <c r="K7" i="1" s="1"/>
  <c r="J98" i="3" l="1"/>
  <c r="F97" i="3"/>
  <c r="G97" i="3" s="1"/>
  <c r="Z69" i="3"/>
  <c r="Y69" i="3"/>
  <c r="Z64" i="3"/>
  <c r="Y64" i="3"/>
  <c r="AA88" i="1"/>
  <c r="Z88" i="1"/>
  <c r="AA87" i="1"/>
  <c r="Z87" i="1"/>
  <c r="L7" i="1"/>
  <c r="M7" i="1" s="1"/>
  <c r="H97" i="3" l="1"/>
  <c r="I68" i="3"/>
  <c r="J68" i="3" s="1"/>
  <c r="L68" i="3"/>
  <c r="K84" i="3"/>
  <c r="P64" i="3"/>
  <c r="Q64" i="3" s="1"/>
  <c r="L64" i="3"/>
  <c r="I64" i="3"/>
  <c r="J64" i="3" s="1"/>
  <c r="K64" i="3" s="1"/>
  <c r="AC91" i="1"/>
  <c r="K8" i="1"/>
  <c r="K68" i="3" l="1"/>
  <c r="AA52" i="1"/>
  <c r="Z52" i="1" s="1"/>
  <c r="Z48" i="1"/>
  <c r="AC92" i="1"/>
  <c r="Z93" i="1" s="1"/>
  <c r="I87" i="1" s="1"/>
  <c r="O89" i="1" s="1"/>
  <c r="AC93" i="1"/>
  <c r="AD62" i="1"/>
  <c r="AD67" i="1"/>
  <c r="AB67" i="1" s="1"/>
  <c r="AA67" i="1" s="1"/>
  <c r="I64" i="1" l="1"/>
  <c r="AA62" i="1"/>
  <c r="Y62" i="1" s="1"/>
  <c r="O88" i="1"/>
  <c r="P88" i="1" s="1"/>
  <c r="Q88" i="1" s="1"/>
  <c r="Y67" i="1"/>
  <c r="Z67" i="1"/>
  <c r="I60" i="1" l="1"/>
  <c r="Z71" i="1" s="1"/>
  <c r="Z62" i="1"/>
  <c r="I66" i="1"/>
  <c r="J66" i="1" s="1"/>
  <c r="K66" i="1" s="1"/>
  <c r="L66" i="1"/>
  <c r="AA71" i="1" l="1"/>
  <c r="F74" i="1" s="1"/>
  <c r="Z79" i="1"/>
  <c r="L62" i="1"/>
  <c r="P62" i="1"/>
  <c r="Q62" i="1" s="1"/>
  <c r="I62" i="1"/>
  <c r="J62" i="1" s="1"/>
  <c r="K62" i="1" s="1"/>
  <c r="AA79" i="1" l="1"/>
  <c r="F96" i="1"/>
  <c r="AB79" i="1"/>
  <c r="F73" i="1"/>
  <c r="G73" i="1" s="1"/>
  <c r="F82" i="1" l="1"/>
  <c r="K82" i="1" s="1"/>
  <c r="J96" i="1"/>
  <c r="F95" i="1"/>
  <c r="G95" i="1" s="1"/>
  <c r="H73" i="1"/>
  <c r="F81" i="1" l="1"/>
  <c r="G81" i="1" s="1"/>
  <c r="H81" i="1" s="1"/>
  <c r="H95" i="1"/>
</calcChain>
</file>

<file path=xl/sharedStrings.xml><?xml version="1.0" encoding="utf-8"?>
<sst xmlns="http://schemas.openxmlformats.org/spreadsheetml/2006/main" count="418" uniqueCount="109">
  <si>
    <t>a. Par le nautical almanach (par interval horaire)</t>
  </si>
  <si>
    <t>Almanach</t>
  </si>
  <si>
    <t>Date UT</t>
  </si>
  <si>
    <t>H. UT Montre</t>
  </si>
  <si>
    <t xml:space="preserve">h </t>
  </si>
  <si>
    <t>m</t>
  </si>
  <si>
    <t>s</t>
  </si>
  <si>
    <t>Err Montre</t>
  </si>
  <si>
    <t>Chrono</t>
  </si>
  <si>
    <t>H. UT Obs</t>
  </si>
  <si>
    <t>Heure decimale</t>
  </si>
  <si>
    <t>Droite de hauteur (Excel en francais - pb de nom de fonctions)</t>
  </si>
  <si>
    <t>Astre observé</t>
  </si>
  <si>
    <t>Hi</t>
  </si>
  <si>
    <t>°</t>
  </si>
  <si>
    <t>Astres observés</t>
  </si>
  <si>
    <t>Soleil</t>
  </si>
  <si>
    <t>G</t>
  </si>
  <si>
    <t>L (φ)</t>
  </si>
  <si>
    <t>Position 
Estimée</t>
  </si>
  <si>
    <t>Collimacon</t>
  </si>
  <si>
    <t>Œil</t>
  </si>
  <si>
    <t>Collimaçon
sextan</t>
  </si>
  <si>
    <t>sens</t>
  </si>
  <si>
    <t>Lune</t>
  </si>
  <si>
    <t>Etoile</t>
  </si>
  <si>
    <t>Polaire</t>
  </si>
  <si>
    <t>xx</t>
  </si>
  <si>
    <t xml:space="preserve">Longitude </t>
  </si>
  <si>
    <t>N</t>
  </si>
  <si>
    <t>S</t>
  </si>
  <si>
    <t>Latitude</t>
  </si>
  <si>
    <t>W</t>
  </si>
  <si>
    <t>E</t>
  </si>
  <si>
    <t>H. UT Basse</t>
  </si>
  <si>
    <t>H. UT Haute</t>
  </si>
  <si>
    <t>Declinaison
(Dec.)</t>
  </si>
  <si>
    <t>Angle horaire local
(GHA)</t>
  </si>
  <si>
    <t>==&gt; heure observation:</t>
  </si>
  <si>
    <t>Y = uX + v</t>
  </si>
  <si>
    <t>u = (Y1 - Y2) / (X1 - X2)</t>
  </si>
  <si>
    <t>v = Y1 - u X1</t>
  </si>
  <si>
    <t>u</t>
  </si>
  <si>
    <t xml:space="preserve">v </t>
  </si>
  <si>
    <t>X obs</t>
  </si>
  <si>
    <t>1. Declinaison et angle horaire</t>
  </si>
  <si>
    <t>2. Hauteur calculee</t>
  </si>
  <si>
    <t>Deg2Rad</t>
  </si>
  <si>
    <t>sin(D)Sin(L)</t>
  </si>
  <si>
    <t>Angle horaire local
(AHL  ou GHA)</t>
  </si>
  <si>
    <t>cos(D)cos(AHL)cos(L)</t>
  </si>
  <si>
    <t>Hc</t>
  </si>
  <si>
    <t>3. Azimut</t>
  </si>
  <si>
    <t>Az</t>
  </si>
  <si>
    <t>Sin(D)</t>
  </si>
  <si>
    <t>sin(L)sin(H)</t>
  </si>
  <si>
    <t>cos(L)cos(H)</t>
  </si>
  <si>
    <t>b. Par Greenwitch + Pas</t>
  </si>
  <si>
    <t>H. UT de reference</t>
  </si>
  <si>
    <t>Pas de Declinaison
(Var. Dec.)</t>
  </si>
  <si>
    <t>Pas de Angle Horaire
(Var. AH)</t>
  </si>
  <si>
    <t>METHODE ?</t>
  </si>
  <si>
    <t>Methode</t>
  </si>
  <si>
    <t>Par almanach nautique</t>
  </si>
  <si>
    <t>Par greenwitch + Pas</t>
  </si>
  <si>
    <t>a</t>
  </si>
  <si>
    <t>b</t>
  </si>
  <si>
    <t>4. Intercept</t>
  </si>
  <si>
    <t>-</t>
  </si>
  <si>
    <t>+</t>
  </si>
  <si>
    <t>Correction (Hauteur œil)</t>
  </si>
  <si>
    <t>Hv</t>
  </si>
  <si>
    <t>Correction bord soleil/Etoile</t>
  </si>
  <si>
    <t>Correction totale additive / bord inf soleil</t>
  </si>
  <si>
    <t>Hi (degre)</t>
  </si>
  <si>
    <t>Elevation œil (m)</t>
  </si>
  <si>
    <t>Pour xls / vlookup &amp; hlookup</t>
  </si>
  <si>
    <t>Bord sup soleil</t>
  </si>
  <si>
    <t>Hauteur Oeil</t>
  </si>
  <si>
    <t>Intercept</t>
  </si>
  <si>
    <t>si &lt; 0 a l'oppose de Pg</t>
  </si>
  <si>
    <t>si &gt; 0 VERS Pg (pied de l'astre sur la terre)</t>
  </si>
  <si>
    <t>AHL &lt; 180?</t>
  </si>
  <si>
    <t>Code couleur</t>
  </si>
  <si>
    <t>Valeur a saisir - Titre</t>
  </si>
  <si>
    <t>Valeur a saisir - Valeur</t>
  </si>
  <si>
    <t>Resultat intermediaire - Titre</t>
  </si>
  <si>
    <t>Resultat intermediaire - val</t>
  </si>
  <si>
    <t>Resultat Final - Titre</t>
  </si>
  <si>
    <t>Resultat Final - Valeur</t>
  </si>
  <si>
    <t>Mille</t>
  </si>
  <si>
    <t>Bord</t>
  </si>
  <si>
    <t>Inferieur</t>
  </si>
  <si>
    <t>Superieur</t>
  </si>
  <si>
    <t>sup</t>
  </si>
  <si>
    <t>Astre</t>
  </si>
  <si>
    <t>4 mars 1998</t>
  </si>
  <si>
    <t>maison marly</t>
  </si>
  <si>
    <t>lat</t>
  </si>
  <si>
    <t>log</t>
  </si>
  <si>
    <t>n</t>
  </si>
  <si>
    <t>e</t>
  </si>
  <si>
    <t>h</t>
  </si>
  <si>
    <t>100.26m</t>
  </si>
  <si>
    <t>Meridienne</t>
  </si>
  <si>
    <t>1. Heure de pass</t>
  </si>
  <si>
    <t>a. Passage a greenwitch</t>
  </si>
  <si>
    <t>Sens</t>
  </si>
  <si>
    <t>H. UT Mer. 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</si>
</sst>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sz val="11"/>
      <color theme="0" tint="-4.9989318521683403E-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lightUp">
        <fgColor rgb="FFFFFF00"/>
        <b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6">
    <xf numFmtId="0" fontId="0" fillId="0" borderId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13" applyNumberFormat="0" applyAlignment="0" applyProtection="0"/>
    <xf numFmtId="0" fontId="11" fillId="13" borderId="13" applyNumberFormat="0" applyAlignment="0" applyProtection="0"/>
    <xf numFmtId="0" fontId="7" fillId="14" borderId="14" applyNumberFormat="0" applyFont="0" applyAlignment="0" applyProtection="0"/>
  </cellStyleXfs>
  <cellXfs count="157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5" borderId="0" xfId="0" applyFill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0" fillId="2" borderId="0" xfId="0" applyFill="1" applyProtection="1">
      <protection locked="0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6" fillId="15" borderId="0" xfId="0" applyFont="1" applyFill="1"/>
    <xf numFmtId="0" fontId="11" fillId="13" borderId="13" xfId="4" applyAlignment="1">
      <alignment horizontal="center" vertical="top"/>
    </xf>
    <xf numFmtId="0" fontId="11" fillId="13" borderId="13" xfId="4" applyAlignment="1">
      <alignment horizontal="center" vertical="center"/>
    </xf>
    <xf numFmtId="0" fontId="11" fillId="13" borderId="13" xfId="4"/>
    <xf numFmtId="1" fontId="11" fillId="13" borderId="13" xfId="4" applyNumberFormat="1" applyAlignment="1">
      <alignment horizontal="center"/>
    </xf>
    <xf numFmtId="2" fontId="11" fillId="13" borderId="13" xfId="4" applyNumberFormat="1" applyAlignment="1">
      <alignment horizontal="center"/>
    </xf>
    <xf numFmtId="0" fontId="9" fillId="11" borderId="0" xfId="2"/>
    <xf numFmtId="2" fontId="11" fillId="13" borderId="13" xfId="4" applyNumberFormat="1"/>
    <xf numFmtId="0" fontId="11" fillId="13" borderId="13" xfId="4" quotePrefix="1"/>
    <xf numFmtId="164" fontId="11" fillId="13" borderId="13" xfId="4" applyNumberFormat="1"/>
    <xf numFmtId="0" fontId="10" fillId="12" borderId="13" xfId="3" applyAlignment="1">
      <alignment horizontal="center" vertical="top"/>
    </xf>
    <xf numFmtId="0" fontId="10" fillId="12" borderId="13" xfId="3"/>
    <xf numFmtId="0" fontId="16" fillId="15" borderId="4" xfId="0" applyFont="1" applyFill="1" applyBorder="1"/>
    <xf numFmtId="0" fontId="16" fillId="15" borderId="5" xfId="0" applyFont="1" applyFill="1" applyBorder="1"/>
    <xf numFmtId="0" fontId="16" fillId="15" borderId="6" xfId="0" applyFont="1" applyFill="1" applyBorder="1"/>
    <xf numFmtId="0" fontId="16" fillId="6" borderId="0" xfId="0" applyFont="1" applyFill="1"/>
    <xf numFmtId="1" fontId="11" fillId="13" borderId="16" xfId="4" applyNumberFormat="1" applyBorder="1" applyAlignment="1">
      <alignment horizontal="center"/>
    </xf>
    <xf numFmtId="2" fontId="11" fillId="13" borderId="16" xfId="4" applyNumberFormat="1" applyBorder="1" applyAlignment="1">
      <alignment horizontal="center"/>
    </xf>
    <xf numFmtId="2" fontId="10" fillId="16" borderId="13" xfId="3" applyNumberFormat="1" applyFill="1" applyAlignment="1">
      <alignment horizontal="center"/>
    </xf>
    <xf numFmtId="0" fontId="10" fillId="12" borderId="16" xfId="3" applyBorder="1" applyAlignment="1">
      <alignment horizontal="center" vertical="top"/>
    </xf>
    <xf numFmtId="0" fontId="11" fillId="13" borderId="15" xfId="4" applyBorder="1" applyAlignment="1">
      <alignment horizontal="center" vertical="center"/>
    </xf>
    <xf numFmtId="0" fontId="10" fillId="16" borderId="13" xfId="3" applyFill="1" applyAlignment="1">
      <alignment horizontal="center" vertical="center"/>
    </xf>
    <xf numFmtId="1" fontId="10" fillId="16" borderId="13" xfId="3" applyNumberFormat="1" applyFill="1" applyAlignment="1">
      <alignment horizontal="center"/>
    </xf>
    <xf numFmtId="0" fontId="2" fillId="14" borderId="14" xfId="5" applyFont="1"/>
    <xf numFmtId="0" fontId="0" fillId="5" borderId="0" xfId="0" applyFill="1"/>
    <xf numFmtId="2" fontId="10" fillId="16" borderId="13" xfId="3" applyNumberFormat="1" applyFill="1" applyBorder="1" applyAlignment="1">
      <alignment horizontal="center"/>
    </xf>
    <xf numFmtId="2" fontId="10" fillId="16" borderId="31" xfId="3" applyNumberFormat="1" applyFill="1" applyBorder="1" applyAlignment="1">
      <alignment horizontal="center"/>
    </xf>
    <xf numFmtId="0" fontId="13" fillId="12" borderId="28" xfId="3" applyFont="1" applyBorder="1" applyAlignment="1">
      <alignment horizontal="center" vertical="top"/>
    </xf>
    <xf numFmtId="0" fontId="13" fillId="12" borderId="35" xfId="3" applyFont="1" applyBorder="1" applyAlignment="1">
      <alignment horizontal="center" vertical="top"/>
    </xf>
    <xf numFmtId="0" fontId="10" fillId="12" borderId="13" xfId="3" applyBorder="1" applyAlignment="1">
      <alignment horizontal="center" vertical="top"/>
    </xf>
    <xf numFmtId="0" fontId="10" fillId="12" borderId="13" xfId="3" applyBorder="1"/>
    <xf numFmtId="0" fontId="10" fillId="12" borderId="31" xfId="3" applyBorder="1"/>
    <xf numFmtId="0" fontId="10" fillId="12" borderId="31" xfId="3" applyBorder="1" applyAlignment="1">
      <alignment horizontal="center" vertical="top"/>
    </xf>
    <xf numFmtId="0" fontId="10" fillId="16" borderId="37" xfId="3" applyFill="1" applyBorder="1"/>
    <xf numFmtId="0" fontId="10" fillId="12" borderId="38" xfId="3" applyBorder="1"/>
    <xf numFmtId="0" fontId="2" fillId="0" borderId="12" xfId="0" applyFont="1" applyBorder="1" applyAlignment="1">
      <alignment vertical="center"/>
    </xf>
    <xf numFmtId="0" fontId="2" fillId="0" borderId="11" xfId="0" applyFont="1" applyBorder="1"/>
    <xf numFmtId="0" fontId="8" fillId="10" borderId="10" xfId="1" applyBorder="1"/>
    <xf numFmtId="0" fontId="8" fillId="10" borderId="9" xfId="1" applyBorder="1"/>
    <xf numFmtId="0" fontId="8" fillId="10" borderId="2" xfId="1" applyBorder="1"/>
    <xf numFmtId="0" fontId="8" fillId="10" borderId="9" xfId="1" applyBorder="1" applyAlignment="1"/>
    <xf numFmtId="0" fontId="8" fillId="10" borderId="2" xfId="1" applyBorder="1" applyAlignment="1">
      <alignment horizontal="left"/>
    </xf>
    <xf numFmtId="0" fontId="10" fillId="16" borderId="13" xfId="3" applyFill="1" applyAlignment="1">
      <alignment horizontal="center" vertical="center"/>
    </xf>
    <xf numFmtId="2" fontId="11" fillId="13" borderId="13" xfId="4" applyNumberFormat="1" applyAlignment="1">
      <alignment horizontal="center"/>
    </xf>
    <xf numFmtId="0" fontId="11" fillId="13" borderId="13" xfId="4" applyAlignment="1">
      <alignment horizontal="center" vertical="top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1" fillId="13" borderId="1" xfId="4" applyFont="1" applyBorder="1" applyAlignment="1">
      <alignment horizontal="center"/>
    </xf>
    <xf numFmtId="0" fontId="8" fillId="10" borderId="1" xfId="1" applyBorder="1" applyAlignment="1">
      <alignment horizontal="center"/>
    </xf>
    <xf numFmtId="0" fontId="14" fillId="10" borderId="1" xfId="1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12" borderId="1" xfId="3" applyFont="1" applyBorder="1" applyAlignment="1">
      <alignment horizontal="center"/>
    </xf>
    <xf numFmtId="0" fontId="13" fillId="16" borderId="1" xfId="3" applyFont="1" applyFill="1" applyBorder="1" applyAlignment="1">
      <alignment horizontal="center"/>
    </xf>
    <xf numFmtId="0" fontId="12" fillId="13" borderId="1" xfId="4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6" fontId="11" fillId="13" borderId="26" xfId="4" applyNumberFormat="1" applyBorder="1" applyAlignment="1">
      <alignment horizontal="center"/>
    </xf>
    <xf numFmtId="0" fontId="13" fillId="12" borderId="22" xfId="3" applyFont="1" applyBorder="1" applyAlignment="1">
      <alignment horizontal="center" vertical="center" wrapText="1"/>
    </xf>
    <xf numFmtId="0" fontId="13" fillId="12" borderId="23" xfId="3" applyFont="1" applyBorder="1" applyAlignment="1">
      <alignment horizontal="center" vertical="center" wrapText="1"/>
    </xf>
    <xf numFmtId="0" fontId="13" fillId="12" borderId="30" xfId="3" applyFont="1" applyBorder="1" applyAlignment="1">
      <alignment horizontal="center" vertical="center" wrapText="1"/>
    </xf>
    <xf numFmtId="0" fontId="13" fillId="12" borderId="13" xfId="3" applyFont="1" applyBorder="1" applyAlignment="1">
      <alignment horizontal="center" vertical="center" wrapText="1"/>
    </xf>
    <xf numFmtId="0" fontId="13" fillId="12" borderId="25" xfId="3" applyFont="1" applyBorder="1" applyAlignment="1">
      <alignment horizontal="center" vertical="center" wrapText="1"/>
    </xf>
    <xf numFmtId="0" fontId="13" fillId="12" borderId="26" xfId="3" applyFont="1" applyBorder="1" applyAlignment="1">
      <alignment horizontal="center" vertical="center" wrapText="1"/>
    </xf>
    <xf numFmtId="0" fontId="13" fillId="16" borderId="24" xfId="3" applyFont="1" applyFill="1" applyBorder="1" applyAlignment="1">
      <alignment horizontal="center" vertical="center"/>
    </xf>
    <xf numFmtId="0" fontId="13" fillId="16" borderId="33" xfId="3" applyFont="1" applyFill="1" applyBorder="1" applyAlignment="1">
      <alignment horizontal="center" vertical="center"/>
    </xf>
    <xf numFmtId="0" fontId="13" fillId="16" borderId="22" xfId="3" applyFont="1" applyFill="1" applyBorder="1" applyAlignment="1">
      <alignment horizontal="center" vertical="center"/>
    </xf>
    <xf numFmtId="0" fontId="13" fillId="16" borderId="32" xfId="3" applyFont="1" applyFill="1" applyBorder="1" applyAlignment="1">
      <alignment horizontal="center" vertical="center"/>
    </xf>
    <xf numFmtId="0" fontId="13" fillId="16" borderId="23" xfId="3" applyFont="1" applyFill="1" applyBorder="1" applyAlignment="1">
      <alignment horizontal="center" vertical="center"/>
    </xf>
    <xf numFmtId="0" fontId="13" fillId="16" borderId="16" xfId="3" applyFont="1" applyFill="1" applyBorder="1" applyAlignment="1">
      <alignment horizontal="center" vertical="center"/>
    </xf>
    <xf numFmtId="0" fontId="13" fillId="12" borderId="23" xfId="3" applyFont="1" applyBorder="1" applyAlignment="1">
      <alignment horizontal="center"/>
    </xf>
    <xf numFmtId="0" fontId="13" fillId="12" borderId="24" xfId="3" applyFont="1" applyBorder="1" applyAlignment="1">
      <alignment horizontal="center"/>
    </xf>
    <xf numFmtId="0" fontId="13" fillId="12" borderId="13" xfId="3" applyFont="1" applyAlignment="1">
      <alignment horizontal="center"/>
    </xf>
    <xf numFmtId="0" fontId="11" fillId="13" borderId="13" xfId="4" applyAlignment="1">
      <alignment horizontal="center"/>
    </xf>
    <xf numFmtId="0" fontId="11" fillId="13" borderId="20" xfId="4" applyBorder="1" applyAlignment="1">
      <alignment horizontal="center" vertical="center"/>
    </xf>
    <xf numFmtId="0" fontId="11" fillId="13" borderId="13" xfId="4" applyAlignment="1">
      <alignment horizontal="center" vertical="center"/>
    </xf>
    <xf numFmtId="0" fontId="10" fillId="16" borderId="13" xfId="3" applyFill="1" applyBorder="1" applyAlignment="1">
      <alignment horizontal="center" vertical="center"/>
    </xf>
    <xf numFmtId="0" fontId="10" fillId="16" borderId="26" xfId="3" applyFill="1" applyBorder="1" applyAlignment="1">
      <alignment horizontal="center" vertical="center"/>
    </xf>
    <xf numFmtId="0" fontId="10" fillId="16" borderId="31" xfId="3" applyFill="1" applyBorder="1" applyAlignment="1">
      <alignment horizontal="center" vertical="center"/>
    </xf>
    <xf numFmtId="0" fontId="10" fillId="16" borderId="27" xfId="3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3" fillId="12" borderId="34" xfId="3" applyFont="1" applyBorder="1" applyAlignment="1">
      <alignment horizontal="center" vertical="center" wrapText="1"/>
    </xf>
    <xf numFmtId="0" fontId="13" fillId="12" borderId="28" xfId="3" applyFont="1" applyBorder="1" applyAlignment="1">
      <alignment horizontal="center" vertical="center" wrapText="1"/>
    </xf>
    <xf numFmtId="0" fontId="13" fillId="12" borderId="32" xfId="3" applyFont="1" applyBorder="1" applyAlignment="1">
      <alignment horizontal="center" vertical="center" wrapText="1"/>
    </xf>
    <xf numFmtId="0" fontId="13" fillId="12" borderId="16" xfId="3" applyFont="1" applyBorder="1" applyAlignment="1">
      <alignment horizontal="center" vertical="center" wrapText="1"/>
    </xf>
    <xf numFmtId="0" fontId="10" fillId="16" borderId="13" xfId="3" applyFill="1" applyAlignment="1">
      <alignment horizontal="center" vertical="center"/>
    </xf>
    <xf numFmtId="0" fontId="13" fillId="12" borderId="13" xfId="3" applyFont="1" applyAlignment="1">
      <alignment horizontal="center" vertical="center" wrapText="1"/>
    </xf>
    <xf numFmtId="0" fontId="13" fillId="12" borderId="13" xfId="3" applyFont="1" applyAlignment="1">
      <alignment horizontal="center" vertical="center"/>
    </xf>
    <xf numFmtId="0" fontId="13" fillId="12" borderId="4" xfId="3" applyFont="1" applyBorder="1" applyAlignment="1">
      <alignment horizontal="center"/>
    </xf>
    <xf numFmtId="0" fontId="13" fillId="12" borderId="37" xfId="3" applyFont="1" applyBorder="1" applyAlignment="1">
      <alignment horizontal="center"/>
    </xf>
    <xf numFmtId="0" fontId="13" fillId="12" borderId="22" xfId="3" applyFont="1" applyBorder="1" applyAlignment="1">
      <alignment horizontal="center" vertical="center"/>
    </xf>
    <xf numFmtId="0" fontId="13" fillId="12" borderId="23" xfId="3" applyFont="1" applyBorder="1" applyAlignment="1">
      <alignment horizontal="center" vertical="center"/>
    </xf>
    <xf numFmtId="0" fontId="13" fillId="12" borderId="30" xfId="3" applyFont="1" applyBorder="1" applyAlignment="1">
      <alignment horizontal="center" vertical="center"/>
    </xf>
    <xf numFmtId="0" fontId="13" fillId="12" borderId="13" xfId="3" applyFont="1" applyBorder="1" applyAlignment="1">
      <alignment horizontal="center" vertical="center"/>
    </xf>
    <xf numFmtId="0" fontId="13" fillId="12" borderId="25" xfId="3" applyFont="1" applyBorder="1" applyAlignment="1">
      <alignment horizontal="center" vertical="center"/>
    </xf>
    <xf numFmtId="0" fontId="13" fillId="12" borderId="26" xfId="3" applyFont="1" applyBorder="1" applyAlignment="1">
      <alignment horizontal="center" vertical="center"/>
    </xf>
    <xf numFmtId="0" fontId="10" fillId="16" borderId="7" xfId="3" applyFill="1" applyBorder="1" applyAlignment="1">
      <alignment horizontal="center" vertical="center"/>
    </xf>
    <xf numFmtId="0" fontId="10" fillId="16" borderId="29" xfId="3" applyFill="1" applyBorder="1" applyAlignment="1">
      <alignment horizontal="center" vertical="center"/>
    </xf>
    <xf numFmtId="0" fontId="10" fillId="16" borderId="0" xfId="3" applyFill="1" applyBorder="1" applyAlignment="1">
      <alignment horizontal="center" vertical="center"/>
    </xf>
    <xf numFmtId="0" fontId="10" fillId="16" borderId="21" xfId="3" applyFill="1" applyBorder="1" applyAlignment="1">
      <alignment horizontal="center" vertical="center"/>
    </xf>
    <xf numFmtId="0" fontId="10" fillId="16" borderId="3" xfId="3" applyFill="1" applyBorder="1" applyAlignment="1">
      <alignment horizontal="center" vertical="center"/>
    </xf>
    <xf numFmtId="0" fontId="10" fillId="16" borderId="36" xfId="3" applyFill="1" applyBorder="1" applyAlignment="1">
      <alignment horizontal="center" vertical="center"/>
    </xf>
    <xf numFmtId="0" fontId="13" fillId="12" borderId="39" xfId="3" applyFont="1" applyBorder="1" applyAlignment="1">
      <alignment horizontal="center" vertical="center"/>
    </xf>
    <xf numFmtId="0" fontId="13" fillId="12" borderId="40" xfId="3" applyFont="1" applyBorder="1" applyAlignment="1">
      <alignment horizontal="center" vertical="center"/>
    </xf>
    <xf numFmtId="0" fontId="10" fillId="16" borderId="40" xfId="3" applyFill="1" applyBorder="1" applyAlignment="1">
      <alignment horizontal="center"/>
    </xf>
    <xf numFmtId="0" fontId="10" fillId="16" borderId="38" xfId="3" applyFill="1" applyBorder="1" applyAlignment="1">
      <alignment horizontal="center"/>
    </xf>
    <xf numFmtId="2" fontId="11" fillId="13" borderId="26" xfId="4" applyNumberFormat="1" applyBorder="1" applyAlignment="1">
      <alignment horizontal="center"/>
    </xf>
    <xf numFmtId="2" fontId="11" fillId="13" borderId="27" xfId="4" applyNumberFormat="1" applyBorder="1" applyAlignment="1">
      <alignment horizontal="center"/>
    </xf>
    <xf numFmtId="166" fontId="11" fillId="13" borderId="13" xfId="4" applyNumberFormat="1" applyAlignment="1">
      <alignment horizontal="center"/>
    </xf>
    <xf numFmtId="0" fontId="11" fillId="13" borderId="13" xfId="4" applyAlignment="1">
      <alignment horizontal="center" vertical="center" wrapText="1"/>
    </xf>
    <xf numFmtId="0" fontId="10" fillId="12" borderId="13" xfId="3" applyAlignment="1">
      <alignment horizontal="center"/>
    </xf>
    <xf numFmtId="0" fontId="5" fillId="17" borderId="0" xfId="0" applyFont="1" applyFill="1" applyAlignment="1">
      <alignment horizontal="center"/>
    </xf>
    <xf numFmtId="165" fontId="11" fillId="13" borderId="13" xfId="4" applyNumberFormat="1" applyAlignment="1">
      <alignment horizontal="center"/>
    </xf>
    <xf numFmtId="2" fontId="11" fillId="13" borderId="13" xfId="4" applyNumberForma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1" fillId="13" borderId="13" xfId="4" applyAlignment="1">
      <alignment horizontal="center" vertical="top"/>
    </xf>
    <xf numFmtId="166" fontId="11" fillId="13" borderId="13" xfId="4" applyNumberFormat="1" applyAlignment="1">
      <alignment horizontal="center" vertical="top"/>
    </xf>
    <xf numFmtId="165" fontId="11" fillId="13" borderId="17" xfId="4" applyNumberFormat="1" applyBorder="1" applyAlignment="1">
      <alignment horizontal="center"/>
    </xf>
    <xf numFmtId="165" fontId="11" fillId="13" borderId="18" xfId="4" applyNumberFormat="1" applyBorder="1" applyAlignment="1">
      <alignment horizontal="center"/>
    </xf>
    <xf numFmtId="165" fontId="11" fillId="13" borderId="19" xfId="4" applyNumberFormat="1" applyBorder="1" applyAlignment="1">
      <alignment horizontal="center"/>
    </xf>
    <xf numFmtId="0" fontId="8" fillId="10" borderId="10" xfId="1" applyBorder="1" applyAlignment="1">
      <alignment horizontal="center"/>
    </xf>
    <xf numFmtId="0" fontId="8" fillId="10" borderId="9" xfId="1" applyBorder="1" applyAlignment="1">
      <alignment horizontal="center"/>
    </xf>
    <xf numFmtId="0" fontId="1" fillId="3" borderId="10" xfId="0" applyFont="1" applyFill="1" applyBorder="1" applyAlignment="1" applyProtection="1">
      <alignment horizontal="center"/>
      <protection locked="0"/>
    </xf>
    <xf numFmtId="0" fontId="1" fillId="3" borderId="9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8" borderId="0" xfId="0" applyFill="1"/>
    <xf numFmtId="0" fontId="0" fillId="18" borderId="0" xfId="0" quotePrefix="1" applyFill="1"/>
    <xf numFmtId="166" fontId="11" fillId="13" borderId="41" xfId="4" applyNumberFormat="1" applyBorder="1" applyAlignment="1">
      <alignment horizontal="center"/>
    </xf>
    <xf numFmtId="166" fontId="11" fillId="13" borderId="42" xfId="4" applyNumberFormat="1" applyBorder="1" applyAlignment="1">
      <alignment horizontal="center"/>
    </xf>
    <xf numFmtId="166" fontId="11" fillId="13" borderId="43" xfId="4" applyNumberFormat="1" applyBorder="1" applyAlignment="1">
      <alignment horizontal="center"/>
    </xf>
    <xf numFmtId="166" fontId="2" fillId="0" borderId="0" xfId="0" applyNumberFormat="1" applyFont="1"/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85</xdr:row>
      <xdr:rowOff>76200</xdr:rowOff>
    </xdr:from>
    <xdr:to>
      <xdr:col>4</xdr:col>
      <xdr:colOff>228600</xdr:colOff>
      <xdr:row>87</xdr:row>
      <xdr:rowOff>161925</xdr:rowOff>
    </xdr:to>
    <xdr:sp macro="" textlink="">
      <xdr:nvSpPr>
        <xdr:cNvPr id="2" name="Oval 1"/>
        <xdr:cNvSpPr/>
      </xdr:nvSpPr>
      <xdr:spPr>
        <a:xfrm>
          <a:off x="1343025" y="19459575"/>
          <a:ext cx="847725" cy="4667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104453</xdr:colOff>
      <xdr:row>85</xdr:row>
      <xdr:rowOff>144550</xdr:rowOff>
    </xdr:from>
    <xdr:to>
      <xdr:col>25</xdr:col>
      <xdr:colOff>247649</xdr:colOff>
      <xdr:row>86</xdr:row>
      <xdr:rowOff>123825</xdr:rowOff>
    </xdr:to>
    <xdr:cxnSp macro="">
      <xdr:nvCxnSpPr>
        <xdr:cNvPr id="4" name="Curved Connector 3"/>
        <xdr:cNvCxnSpPr>
          <a:stCxn id="2" idx="7"/>
        </xdr:cNvCxnSpPr>
      </xdr:nvCxnSpPr>
      <xdr:spPr>
        <a:xfrm rot="16200000" flipH="1">
          <a:off x="6772951" y="14821577"/>
          <a:ext cx="169775" cy="9582471"/>
        </a:xfrm>
        <a:prstGeom prst="curvedConnector4">
          <a:avLst>
            <a:gd name="adj1" fmla="val -375895"/>
            <a:gd name="adj2" fmla="val 50648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542926</xdr:colOff>
      <xdr:row>88</xdr:row>
      <xdr:rowOff>19050</xdr:rowOff>
    </xdr:from>
    <xdr:to>
      <xdr:col>26</xdr:col>
      <xdr:colOff>28575</xdr:colOff>
      <xdr:row>91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11944351" y="19973925"/>
          <a:ext cx="247649" cy="733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87</xdr:row>
      <xdr:rowOff>76200</xdr:rowOff>
    </xdr:from>
    <xdr:to>
      <xdr:col>4</xdr:col>
      <xdr:colOff>228600</xdr:colOff>
      <xdr:row>89</xdr:row>
      <xdr:rowOff>161925</xdr:rowOff>
    </xdr:to>
    <xdr:sp macro="" textlink="">
      <xdr:nvSpPr>
        <xdr:cNvPr id="2" name="Oval 1"/>
        <xdr:cNvSpPr/>
      </xdr:nvSpPr>
      <xdr:spPr>
        <a:xfrm>
          <a:off x="1419225" y="17745075"/>
          <a:ext cx="1000125" cy="4667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104453</xdr:colOff>
      <xdr:row>87</xdr:row>
      <xdr:rowOff>144550</xdr:rowOff>
    </xdr:from>
    <xdr:to>
      <xdr:col>25</xdr:col>
      <xdr:colOff>247649</xdr:colOff>
      <xdr:row>88</xdr:row>
      <xdr:rowOff>123825</xdr:rowOff>
    </xdr:to>
    <xdr:cxnSp macro="">
      <xdr:nvCxnSpPr>
        <xdr:cNvPr id="3" name="Curved Connector 2"/>
        <xdr:cNvCxnSpPr>
          <a:stCxn id="2" idx="7"/>
        </xdr:cNvCxnSpPr>
      </xdr:nvCxnSpPr>
      <xdr:spPr>
        <a:xfrm rot="16200000" flipH="1">
          <a:off x="7925476" y="12183152"/>
          <a:ext cx="169775" cy="11430321"/>
        </a:xfrm>
        <a:prstGeom prst="curvedConnector4">
          <a:avLst>
            <a:gd name="adj1" fmla="val -375895"/>
            <a:gd name="adj2" fmla="val 50648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542926</xdr:colOff>
      <xdr:row>90</xdr:row>
      <xdr:rowOff>19050</xdr:rowOff>
    </xdr:from>
    <xdr:to>
      <xdr:col>26</xdr:col>
      <xdr:colOff>28575</xdr:colOff>
      <xdr:row>93</xdr:row>
      <xdr:rowOff>180975</xdr:rowOff>
    </xdr:to>
    <xdr:cxnSp macro="">
      <xdr:nvCxnSpPr>
        <xdr:cNvPr id="4" name="Straight Arrow Connector 3"/>
        <xdr:cNvCxnSpPr/>
      </xdr:nvCxnSpPr>
      <xdr:spPr>
        <a:xfrm flipH="1">
          <a:off x="14020801" y="18259425"/>
          <a:ext cx="247649" cy="733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97"/>
  <sheetViews>
    <sheetView topLeftCell="A10" workbookViewId="0">
      <selection activeCell="D15" sqref="D15:G15"/>
    </sheetView>
  </sheetViews>
  <sheetFormatPr defaultColWidth="11.42578125" defaultRowHeight="15" x14ac:dyDescent="0.25"/>
  <cols>
    <col min="1" max="1" width="11.42578125" style="1"/>
    <col min="2" max="20" width="7.140625" style="1" customWidth="1"/>
    <col min="21" max="21" width="10.5703125" style="1" customWidth="1"/>
    <col min="22" max="22" width="10.140625" style="1" customWidth="1"/>
    <col min="23" max="16384" width="11.42578125" style="1"/>
  </cols>
  <sheetData>
    <row r="1" spans="2:36" ht="15.75" thickBot="1" x14ac:dyDescent="0.3"/>
    <row r="2" spans="2:36" ht="63" customHeight="1" thickBot="1" x14ac:dyDescent="0.3">
      <c r="B2" s="76" t="s">
        <v>11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65"/>
      <c r="R2" s="20" t="s">
        <v>83</v>
      </c>
      <c r="S2" s="20"/>
      <c r="Y2" s="65"/>
      <c r="Z2" s="66"/>
    </row>
    <row r="3" spans="2:36" ht="15.75" thickBot="1" x14ac:dyDescent="0.3">
      <c r="S3" s="73" t="s">
        <v>84</v>
      </c>
      <c r="T3" s="73"/>
      <c r="U3" s="73"/>
      <c r="V3" s="73"/>
      <c r="W3" s="73"/>
      <c r="X3" s="73"/>
    </row>
    <row r="4" spans="2:36" ht="53.25" customHeight="1" thickBot="1" x14ac:dyDescent="0.3">
      <c r="B4" s="70" t="s">
        <v>2</v>
      </c>
      <c r="C4" s="71"/>
      <c r="D4" s="71"/>
      <c r="E4" s="71"/>
      <c r="F4" s="71" t="s">
        <v>96</v>
      </c>
      <c r="G4" s="71"/>
      <c r="H4" s="71"/>
      <c r="I4" s="71"/>
      <c r="J4" s="71"/>
      <c r="K4" s="71"/>
      <c r="L4" s="71"/>
      <c r="M4" s="72"/>
      <c r="S4" s="74" t="s">
        <v>85</v>
      </c>
      <c r="T4" s="74"/>
      <c r="U4" s="74"/>
      <c r="V4" s="74"/>
      <c r="W4" s="74"/>
      <c r="X4" s="74"/>
    </row>
    <row r="5" spans="2:36" x14ac:dyDescent="0.25">
      <c r="B5" s="93" t="s">
        <v>3</v>
      </c>
      <c r="C5" s="93"/>
      <c r="D5" s="93"/>
      <c r="E5" s="93" t="s">
        <v>7</v>
      </c>
      <c r="F5" s="93"/>
      <c r="G5" s="93"/>
      <c r="H5" s="93" t="s">
        <v>8</v>
      </c>
      <c r="I5" s="93"/>
      <c r="J5" s="93"/>
      <c r="K5" s="94" t="s">
        <v>9</v>
      </c>
      <c r="L5" s="94"/>
      <c r="M5" s="94"/>
      <c r="S5" s="75" t="s">
        <v>86</v>
      </c>
      <c r="T5" s="75"/>
      <c r="U5" s="75"/>
      <c r="V5" s="75"/>
      <c r="W5" s="75"/>
      <c r="X5" s="75"/>
    </row>
    <row r="6" spans="2:36" ht="15.75" thickBot="1" x14ac:dyDescent="0.3">
      <c r="B6" s="39" t="s">
        <v>4</v>
      </c>
      <c r="C6" s="39" t="s">
        <v>5</v>
      </c>
      <c r="D6" s="39" t="s">
        <v>6</v>
      </c>
      <c r="E6" s="39" t="s">
        <v>4</v>
      </c>
      <c r="F6" s="39" t="s">
        <v>5</v>
      </c>
      <c r="G6" s="39" t="s">
        <v>6</v>
      </c>
      <c r="H6" s="39" t="s">
        <v>4</v>
      </c>
      <c r="I6" s="39" t="s">
        <v>5</v>
      </c>
      <c r="J6" s="39" t="s">
        <v>6</v>
      </c>
      <c r="K6" s="21" t="s">
        <v>4</v>
      </c>
      <c r="L6" s="21" t="s">
        <v>5</v>
      </c>
      <c r="M6" s="21" t="s">
        <v>6</v>
      </c>
      <c r="S6" s="67" t="s">
        <v>87</v>
      </c>
      <c r="T6" s="67"/>
      <c r="U6" s="67"/>
      <c r="V6" s="67"/>
      <c r="W6" s="67"/>
      <c r="X6" s="67"/>
      <c r="AA6" s="1" t="s">
        <v>10</v>
      </c>
      <c r="AD6" s="1" t="s">
        <v>10</v>
      </c>
      <c r="AG6" s="1" t="s">
        <v>10</v>
      </c>
      <c r="AJ6" s="1" t="s">
        <v>10</v>
      </c>
    </row>
    <row r="7" spans="2:36" x14ac:dyDescent="0.25">
      <c r="B7" s="87">
        <v>9</v>
      </c>
      <c r="C7" s="89">
        <v>56</v>
      </c>
      <c r="D7" s="85">
        <v>42</v>
      </c>
      <c r="E7" s="87">
        <v>0</v>
      </c>
      <c r="F7" s="89">
        <v>0</v>
      </c>
      <c r="G7" s="85">
        <v>0</v>
      </c>
      <c r="H7" s="87">
        <v>0</v>
      </c>
      <c r="I7" s="89">
        <v>0</v>
      </c>
      <c r="J7" s="85">
        <v>0</v>
      </c>
      <c r="K7" s="40">
        <f>INT(AJ7)</f>
        <v>9</v>
      </c>
      <c r="L7" s="22">
        <f>INT(60 * (AJ7-K7))</f>
        <v>56</v>
      </c>
      <c r="M7" s="22">
        <f>INT(3600 * (AJ7-K7-L7/60))</f>
        <v>42</v>
      </c>
      <c r="S7" s="68" t="s">
        <v>88</v>
      </c>
      <c r="T7" s="68"/>
      <c r="U7" s="68"/>
      <c r="V7" s="68"/>
      <c r="W7" s="68"/>
      <c r="X7" s="68"/>
      <c r="AA7" s="1">
        <f>B7+C7/60+D7/3600</f>
        <v>9.9450000000000003</v>
      </c>
      <c r="AD7" s="1">
        <f>E7+F7/60+G7/3600</f>
        <v>0</v>
      </c>
      <c r="AG7" s="1">
        <f>H7+I7/60+J7/3600</f>
        <v>0</v>
      </c>
      <c r="AJ7" s="1">
        <f>AA7+AD7+AG7</f>
        <v>9.9450000000000003</v>
      </c>
    </row>
    <row r="8" spans="2:36" ht="15.75" thickBot="1" x14ac:dyDescent="0.3">
      <c r="B8" s="88"/>
      <c r="C8" s="90"/>
      <c r="D8" s="86"/>
      <c r="E8" s="88"/>
      <c r="F8" s="90"/>
      <c r="G8" s="86"/>
      <c r="H8" s="88"/>
      <c r="I8" s="90"/>
      <c r="J8" s="86"/>
      <c r="K8" s="95">
        <f>K7+L7/60+M7/3600</f>
        <v>9.9450000000000003</v>
      </c>
      <c r="L8" s="96"/>
      <c r="M8" s="96"/>
      <c r="S8" s="69" t="s">
        <v>89</v>
      </c>
      <c r="T8" s="69"/>
      <c r="U8" s="69"/>
      <c r="V8" s="69"/>
      <c r="W8" s="69"/>
      <c r="X8" s="69"/>
    </row>
    <row r="9" spans="2:36" ht="15" customHeight="1" x14ac:dyDescent="0.25">
      <c r="B9" s="79" t="s">
        <v>19</v>
      </c>
      <c r="C9" s="80"/>
      <c r="D9" s="91" t="s">
        <v>18</v>
      </c>
      <c r="E9" s="91"/>
      <c r="F9" s="91"/>
      <c r="G9" s="91"/>
      <c r="H9" s="91" t="s">
        <v>17</v>
      </c>
      <c r="I9" s="91"/>
      <c r="J9" s="91"/>
      <c r="K9" s="92"/>
    </row>
    <row r="10" spans="2:36" x14ac:dyDescent="0.25">
      <c r="B10" s="81"/>
      <c r="C10" s="82"/>
      <c r="D10" s="49" t="s">
        <v>14</v>
      </c>
      <c r="E10" s="49" t="s">
        <v>5</v>
      </c>
      <c r="F10" s="49" t="s">
        <v>6</v>
      </c>
      <c r="G10" s="50" t="s">
        <v>23</v>
      </c>
      <c r="H10" s="49" t="s">
        <v>14</v>
      </c>
      <c r="I10" s="49" t="s">
        <v>5</v>
      </c>
      <c r="J10" s="49" t="s">
        <v>6</v>
      </c>
      <c r="K10" s="51" t="s">
        <v>23</v>
      </c>
    </row>
    <row r="11" spans="2:36" x14ac:dyDescent="0.25">
      <c r="B11" s="81"/>
      <c r="C11" s="82"/>
      <c r="D11" s="45">
        <v>48.875556000000003</v>
      </c>
      <c r="E11" s="45">
        <v>0</v>
      </c>
      <c r="F11" s="45">
        <v>0</v>
      </c>
      <c r="G11" s="97" t="s">
        <v>29</v>
      </c>
      <c r="H11" s="45">
        <v>2.0948030000000002</v>
      </c>
      <c r="I11" s="45">
        <v>0</v>
      </c>
      <c r="J11" s="45">
        <v>0</v>
      </c>
      <c r="K11" s="99" t="s">
        <v>33</v>
      </c>
    </row>
    <row r="12" spans="2:36" ht="15.75" thickBot="1" x14ac:dyDescent="0.3">
      <c r="B12" s="83"/>
      <c r="C12" s="84"/>
      <c r="D12" s="78">
        <f>(D11+E11/60+F11/3600) * VLOOKUP(G11,Constante!$D$15:$E$16,2)</f>
        <v>48.875556000000003</v>
      </c>
      <c r="E12" s="78"/>
      <c r="F12" s="78"/>
      <c r="G12" s="98"/>
      <c r="H12" s="78">
        <f>(H11+I11/60+J11/3600) * VLOOKUP(K11,Constante!$D$12:$E$13,2)</f>
        <v>2.0948030000000002</v>
      </c>
      <c r="I12" s="78"/>
      <c r="J12" s="78"/>
      <c r="K12" s="100"/>
    </row>
    <row r="13" spans="2:36" ht="15" customHeight="1" x14ac:dyDescent="0.25">
      <c r="B13" s="104" t="s">
        <v>22</v>
      </c>
      <c r="C13" s="105"/>
      <c r="D13" s="47" t="s">
        <v>107</v>
      </c>
      <c r="E13" s="47" t="s">
        <v>14</v>
      </c>
      <c r="F13" s="47" t="s">
        <v>5</v>
      </c>
      <c r="G13" s="48" t="s">
        <v>6</v>
      </c>
    </row>
    <row r="14" spans="2:36" ht="13.5" customHeight="1" x14ac:dyDescent="0.25">
      <c r="B14" s="81"/>
      <c r="C14" s="82"/>
      <c r="D14" s="45" t="s">
        <v>69</v>
      </c>
      <c r="E14" s="45">
        <v>0</v>
      </c>
      <c r="F14" s="45">
        <v>42</v>
      </c>
      <c r="G14" s="46">
        <v>0</v>
      </c>
    </row>
    <row r="15" spans="2:36" ht="15.75" thickBot="1" x14ac:dyDescent="0.3">
      <c r="B15" s="106"/>
      <c r="C15" s="107"/>
      <c r="D15" s="153">
        <f>(E14+F14/60+G14/3600) * VLOOKUP(D14,Constante!J12:K13,2)</f>
        <v>0.7</v>
      </c>
      <c r="E15" s="154"/>
      <c r="F15" s="154"/>
      <c r="G15" s="155"/>
    </row>
    <row r="16" spans="2:36" ht="19.5" customHeight="1" thickBot="1" x14ac:dyDescent="0.3">
      <c r="B16" s="113" t="s">
        <v>12</v>
      </c>
      <c r="C16" s="114"/>
      <c r="D16" s="114"/>
      <c r="E16" s="119" t="s">
        <v>16</v>
      </c>
      <c r="F16" s="120"/>
      <c r="G16" s="91" t="s">
        <v>13</v>
      </c>
      <c r="H16" s="91"/>
      <c r="I16" s="92"/>
      <c r="J16" s="125" t="s">
        <v>91</v>
      </c>
      <c r="K16" s="126"/>
      <c r="L16" s="127" t="s">
        <v>92</v>
      </c>
      <c r="M16" s="128"/>
    </row>
    <row r="17" spans="2:15" x14ac:dyDescent="0.25">
      <c r="B17" s="115"/>
      <c r="C17" s="116"/>
      <c r="D17" s="116"/>
      <c r="E17" s="121"/>
      <c r="F17" s="122"/>
      <c r="G17" s="49" t="s">
        <v>14</v>
      </c>
      <c r="H17" s="49" t="s">
        <v>5</v>
      </c>
      <c r="I17" s="52" t="s">
        <v>6</v>
      </c>
      <c r="J17" s="56"/>
    </row>
    <row r="18" spans="2:15" ht="15.75" thickBot="1" x14ac:dyDescent="0.3">
      <c r="B18" s="115"/>
      <c r="C18" s="116"/>
      <c r="D18" s="116"/>
      <c r="E18" s="121"/>
      <c r="F18" s="122"/>
      <c r="G18" s="45">
        <v>31</v>
      </c>
      <c r="H18" s="45">
        <v>17</v>
      </c>
      <c r="I18" s="46">
        <v>0</v>
      </c>
      <c r="J18" s="55"/>
    </row>
    <row r="19" spans="2:15" ht="15.75" thickBot="1" x14ac:dyDescent="0.3">
      <c r="B19" s="117"/>
      <c r="C19" s="118"/>
      <c r="D19" s="118"/>
      <c r="E19" s="123"/>
      <c r="F19" s="124"/>
      <c r="G19" s="129">
        <f>G18+H18/60+I18/3600</f>
        <v>31.283333333333335</v>
      </c>
      <c r="H19" s="129"/>
      <c r="I19" s="130"/>
      <c r="J19" s="111" t="s">
        <v>21</v>
      </c>
      <c r="K19" s="112"/>
      <c r="L19" s="53">
        <v>0</v>
      </c>
      <c r="M19" s="54" t="s">
        <v>5</v>
      </c>
    </row>
    <row r="23" spans="2:15" ht="15.75" thickBot="1" x14ac:dyDescent="0.3"/>
    <row r="24" spans="2:15" ht="15.75" thickBot="1" x14ac:dyDescent="0.3">
      <c r="B24" s="32" t="s">
        <v>45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4"/>
    </row>
    <row r="25" spans="2:15" x14ac:dyDescent="0.25">
      <c r="C25" s="35" t="s">
        <v>0</v>
      </c>
      <c r="D25" s="35"/>
      <c r="E25" s="35"/>
      <c r="F25" s="35"/>
      <c r="G25" s="35"/>
      <c r="H25" s="35"/>
      <c r="I25" s="35"/>
      <c r="J25" s="35"/>
    </row>
    <row r="26" spans="2:15" x14ac:dyDescent="0.25">
      <c r="D26" s="43" t="s">
        <v>1</v>
      </c>
      <c r="E26" s="43"/>
      <c r="G26" s="93" t="s">
        <v>34</v>
      </c>
      <c r="H26" s="93"/>
      <c r="I26" s="93"/>
      <c r="M26" s="93" t="s">
        <v>35</v>
      </c>
      <c r="N26" s="93"/>
      <c r="O26" s="93"/>
    </row>
    <row r="27" spans="2:15" x14ac:dyDescent="0.25">
      <c r="G27" s="30" t="s">
        <v>4</v>
      </c>
      <c r="H27" s="30" t="s">
        <v>5</v>
      </c>
      <c r="I27" s="30" t="s">
        <v>6</v>
      </c>
      <c r="M27" s="30" t="s">
        <v>4</v>
      </c>
      <c r="N27" s="30" t="s">
        <v>5</v>
      </c>
      <c r="O27" s="30" t="s">
        <v>6</v>
      </c>
    </row>
    <row r="28" spans="2:15" x14ac:dyDescent="0.25">
      <c r="G28" s="41">
        <v>9</v>
      </c>
      <c r="H28" s="41">
        <v>0</v>
      </c>
      <c r="I28" s="41">
        <v>0</v>
      </c>
      <c r="M28" s="41">
        <v>10</v>
      </c>
      <c r="N28" s="41">
        <v>0</v>
      </c>
      <c r="O28" s="41">
        <v>0</v>
      </c>
    </row>
    <row r="29" spans="2:15" x14ac:dyDescent="0.25">
      <c r="G29" s="96">
        <f>G28+H28/60+I28/3600</f>
        <v>9</v>
      </c>
      <c r="H29" s="96"/>
      <c r="I29" s="96"/>
      <c r="M29" s="96">
        <f>M28+N28/60+O28/3600</f>
        <v>10</v>
      </c>
      <c r="N29" s="96"/>
      <c r="O29" s="96"/>
    </row>
    <row r="31" spans="2:15" x14ac:dyDescent="0.25">
      <c r="D31" s="109" t="s">
        <v>36</v>
      </c>
      <c r="E31" s="110"/>
      <c r="F31" s="110"/>
      <c r="G31" s="30" t="s">
        <v>14</v>
      </c>
      <c r="H31" s="30" t="s">
        <v>5</v>
      </c>
      <c r="I31" s="30" t="s">
        <v>6</v>
      </c>
      <c r="J31" s="31" t="s">
        <v>23</v>
      </c>
      <c r="L31" s="30" t="s">
        <v>14</v>
      </c>
      <c r="M31" s="30" t="s">
        <v>5</v>
      </c>
      <c r="N31" s="30" t="s">
        <v>6</v>
      </c>
      <c r="O31" s="31" t="s">
        <v>23</v>
      </c>
    </row>
    <row r="32" spans="2:15" x14ac:dyDescent="0.25">
      <c r="D32" s="110"/>
      <c r="E32" s="110"/>
      <c r="F32" s="110"/>
      <c r="G32" s="38">
        <v>5</v>
      </c>
      <c r="H32" s="38">
        <v>33.200000000000003</v>
      </c>
      <c r="I32" s="38">
        <v>0</v>
      </c>
      <c r="J32" s="108" t="s">
        <v>30</v>
      </c>
      <c r="L32" s="38">
        <v>5</v>
      </c>
      <c r="M32" s="38">
        <v>34.200000000000003</v>
      </c>
      <c r="N32" s="38">
        <v>0</v>
      </c>
      <c r="O32" s="108" t="s">
        <v>30</v>
      </c>
    </row>
    <row r="33" spans="3:31" ht="15.75" thickBot="1" x14ac:dyDescent="0.3">
      <c r="D33" s="110"/>
      <c r="E33" s="110"/>
      <c r="F33" s="110"/>
      <c r="G33" s="131">
        <f>(G32+H32/60+I32/3600) * VLOOKUP(J32,Constante!$D$15:$E$16,2)</f>
        <v>-5.5533333333333337</v>
      </c>
      <c r="H33" s="131"/>
      <c r="I33" s="131"/>
      <c r="J33" s="108"/>
      <c r="L33" s="131">
        <f>(L32+M32/60+N32/3600) * VLOOKUP(O32,Constante!$D$15:$E$16,2)</f>
        <v>-5.57</v>
      </c>
      <c r="M33" s="131"/>
      <c r="N33" s="131"/>
      <c r="O33" s="108"/>
    </row>
    <row r="34" spans="3:31" x14ac:dyDescent="0.25">
      <c r="G34" s="101"/>
      <c r="H34" s="102"/>
      <c r="I34" s="102"/>
      <c r="J34" s="103"/>
      <c r="L34" s="101"/>
      <c r="M34" s="102"/>
      <c r="N34" s="102"/>
      <c r="O34" s="103"/>
    </row>
    <row r="35" spans="3:31" x14ac:dyDescent="0.25">
      <c r="D35" s="109" t="s">
        <v>37</v>
      </c>
      <c r="E35" s="110"/>
      <c r="F35" s="110"/>
      <c r="G35" s="30" t="s">
        <v>14</v>
      </c>
      <c r="H35" s="30" t="s">
        <v>5</v>
      </c>
      <c r="I35" s="30" t="s">
        <v>6</v>
      </c>
      <c r="J35" s="31" t="s">
        <v>23</v>
      </c>
      <c r="L35" s="30" t="s">
        <v>14</v>
      </c>
      <c r="M35" s="30" t="s">
        <v>5</v>
      </c>
      <c r="N35" s="30" t="s">
        <v>6</v>
      </c>
      <c r="O35" s="31" t="s">
        <v>23</v>
      </c>
    </row>
    <row r="36" spans="3:31" x14ac:dyDescent="0.25">
      <c r="D36" s="110"/>
      <c r="E36" s="110"/>
      <c r="F36" s="110"/>
      <c r="G36" s="38">
        <v>318</v>
      </c>
      <c r="H36" s="38">
        <v>2</v>
      </c>
      <c r="I36" s="38">
        <v>0</v>
      </c>
      <c r="J36" s="108" t="s">
        <v>33</v>
      </c>
      <c r="L36" s="38">
        <v>333</v>
      </c>
      <c r="M36" s="38">
        <v>2.1</v>
      </c>
      <c r="N36" s="38">
        <v>0</v>
      </c>
      <c r="O36" s="108" t="s">
        <v>33</v>
      </c>
    </row>
    <row r="37" spans="3:31" x14ac:dyDescent="0.25">
      <c r="D37" s="110"/>
      <c r="E37" s="110"/>
      <c r="F37" s="110"/>
      <c r="G37" s="131">
        <f>(G36+H36/60+I36/3600) * VLOOKUP(J36,Constante!$D$12:$E$13,2)</f>
        <v>318.03333333333336</v>
      </c>
      <c r="H37" s="131"/>
      <c r="I37" s="131"/>
      <c r="J37" s="108"/>
      <c r="L37" s="131">
        <f>(L36+M36/60+N36/3600) * VLOOKUP(O36,Constante!$D$12:$E$13,2)</f>
        <v>333.03500000000003</v>
      </c>
      <c r="M37" s="131"/>
      <c r="N37" s="131"/>
      <c r="O37" s="108"/>
    </row>
    <row r="38" spans="3:31" x14ac:dyDescent="0.25">
      <c r="Z38"/>
      <c r="AA38"/>
      <c r="AB38"/>
      <c r="AC38"/>
      <c r="AD38"/>
      <c r="AE38"/>
    </row>
    <row r="39" spans="3:31" x14ac:dyDescent="0.25">
      <c r="Z39"/>
      <c r="AA39"/>
      <c r="AB39"/>
      <c r="AC39"/>
      <c r="AD39"/>
      <c r="AE39"/>
    </row>
    <row r="40" spans="3:31" x14ac:dyDescent="0.25">
      <c r="Z40"/>
      <c r="AA40"/>
      <c r="AB40"/>
      <c r="AC40"/>
      <c r="AD40"/>
      <c r="AE40"/>
    </row>
    <row r="41" spans="3:31" x14ac:dyDescent="0.25">
      <c r="Z41"/>
      <c r="AA41"/>
      <c r="AB41"/>
      <c r="AC41"/>
      <c r="AD41"/>
      <c r="AE41"/>
    </row>
    <row r="42" spans="3:31" x14ac:dyDescent="0.25">
      <c r="C42" s="35" t="s">
        <v>57</v>
      </c>
      <c r="D42" s="35"/>
      <c r="E42" s="35"/>
      <c r="F42" s="35"/>
      <c r="G42" s="35"/>
      <c r="H42" s="35"/>
      <c r="I42" s="35"/>
      <c r="J42" s="35"/>
      <c r="L42"/>
      <c r="M42"/>
      <c r="N42"/>
      <c r="O42"/>
      <c r="Z42"/>
      <c r="AA42"/>
      <c r="AB42"/>
      <c r="AC42"/>
      <c r="AD42"/>
      <c r="AE42"/>
    </row>
    <row r="43" spans="3:31" x14ac:dyDescent="0.25">
      <c r="D43" s="43" t="s">
        <v>1</v>
      </c>
      <c r="E43" s="43"/>
      <c r="G43" s="93" t="s">
        <v>58</v>
      </c>
      <c r="H43" s="93"/>
      <c r="I43" s="93"/>
      <c r="L43"/>
      <c r="M43"/>
      <c r="N43"/>
      <c r="O43"/>
      <c r="Z43"/>
      <c r="AA43"/>
      <c r="AB43"/>
      <c r="AC43"/>
      <c r="AD43"/>
      <c r="AE43"/>
    </row>
    <row r="44" spans="3:31" x14ac:dyDescent="0.25">
      <c r="G44" s="30" t="s">
        <v>4</v>
      </c>
      <c r="H44" s="30" t="s">
        <v>5</v>
      </c>
      <c r="I44" s="30" t="s">
        <v>6</v>
      </c>
      <c r="L44"/>
      <c r="M44"/>
      <c r="N44"/>
      <c r="O44"/>
      <c r="Z44"/>
      <c r="AA44"/>
      <c r="AB44"/>
      <c r="AC44"/>
      <c r="AD44"/>
      <c r="AE44"/>
    </row>
    <row r="45" spans="3:31" x14ac:dyDescent="0.25">
      <c r="G45" s="41">
        <v>0</v>
      </c>
      <c r="H45" s="41">
        <v>0</v>
      </c>
      <c r="I45" s="41">
        <v>0</v>
      </c>
      <c r="L45"/>
      <c r="M45"/>
      <c r="N45"/>
      <c r="O45"/>
      <c r="Z45"/>
      <c r="AA45"/>
      <c r="AB45"/>
      <c r="AC45"/>
      <c r="AD45"/>
      <c r="AE45"/>
    </row>
    <row r="46" spans="3:31" x14ac:dyDescent="0.25">
      <c r="G46" s="96">
        <f>G45+H45/60+I45/3600</f>
        <v>0</v>
      </c>
      <c r="H46" s="96"/>
      <c r="I46" s="96"/>
      <c r="L46"/>
      <c r="M46"/>
      <c r="N46"/>
      <c r="O46"/>
      <c r="Z46"/>
      <c r="AA46"/>
      <c r="AB46"/>
      <c r="AC46"/>
      <c r="AD46"/>
      <c r="AE46"/>
    </row>
    <row r="47" spans="3:31" x14ac:dyDescent="0.25">
      <c r="K47"/>
      <c r="L47"/>
      <c r="M47"/>
      <c r="N47"/>
      <c r="O47"/>
      <c r="P47"/>
      <c r="Z47"/>
      <c r="AA47"/>
      <c r="AB47"/>
      <c r="AC47"/>
      <c r="AD47"/>
      <c r="AE47"/>
    </row>
    <row r="48" spans="3:31" x14ac:dyDescent="0.25">
      <c r="D48" s="109" t="s">
        <v>36</v>
      </c>
      <c r="E48" s="110"/>
      <c r="F48" s="110"/>
      <c r="G48" s="30" t="s">
        <v>14</v>
      </c>
      <c r="H48" s="30" t="s">
        <v>5</v>
      </c>
      <c r="I48" s="30" t="s">
        <v>6</v>
      </c>
      <c r="J48" s="31" t="s">
        <v>23</v>
      </c>
      <c r="K48"/>
      <c r="L48" s="109" t="s">
        <v>59</v>
      </c>
      <c r="M48" s="110"/>
      <c r="N48" s="110"/>
      <c r="O48" s="30" t="s">
        <v>14</v>
      </c>
      <c r="P48" s="30" t="s">
        <v>5</v>
      </c>
      <c r="Q48" s="30" t="s">
        <v>6</v>
      </c>
      <c r="R48" s="31" t="s">
        <v>23</v>
      </c>
      <c r="Z48">
        <f>G50+O50*(K8-G46)</f>
        <v>-6.4325833333333335</v>
      </c>
      <c r="AA48"/>
      <c r="AB48"/>
      <c r="AC48"/>
      <c r="AD48"/>
      <c r="AE48"/>
    </row>
    <row r="49" spans="3:31" x14ac:dyDescent="0.25">
      <c r="D49" s="110"/>
      <c r="E49" s="110"/>
      <c r="F49" s="110"/>
      <c r="G49" s="42">
        <v>6</v>
      </c>
      <c r="H49" s="38">
        <v>35.9</v>
      </c>
      <c r="I49" s="38">
        <v>0</v>
      </c>
      <c r="J49" s="108" t="s">
        <v>30</v>
      </c>
      <c r="K49"/>
      <c r="L49" s="110"/>
      <c r="M49" s="110"/>
      <c r="N49" s="110"/>
      <c r="O49" s="38">
        <v>0</v>
      </c>
      <c r="P49" s="38">
        <v>1</v>
      </c>
      <c r="Q49" s="38">
        <v>0</v>
      </c>
      <c r="R49" s="108" t="s">
        <v>29</v>
      </c>
      <c r="Z49"/>
      <c r="AA49"/>
      <c r="AB49"/>
      <c r="AC49"/>
      <c r="AD49"/>
      <c r="AE49"/>
    </row>
    <row r="50" spans="3:31" ht="15.75" thickBot="1" x14ac:dyDescent="0.3">
      <c r="D50" s="110"/>
      <c r="E50" s="110"/>
      <c r="F50" s="110"/>
      <c r="G50" s="131">
        <f>(G49+H49/60+I49/3600) * VLOOKUP(J49,Constante!$D$15:$E$16,2)</f>
        <v>-6.5983333333333336</v>
      </c>
      <c r="H50" s="131"/>
      <c r="I50" s="131"/>
      <c r="J50" s="108"/>
      <c r="K50"/>
      <c r="L50" s="110"/>
      <c r="M50" s="110"/>
      <c r="N50" s="110"/>
      <c r="O50" s="131">
        <f>(O49+P49/60+Q49/3600) * VLOOKUP(R49,Constante!$D$15:$E$16,2)</f>
        <v>1.6666666666666666E-2</v>
      </c>
      <c r="P50" s="131"/>
      <c r="Q50" s="131"/>
      <c r="R50" s="108"/>
      <c r="Z50"/>
      <c r="AA50"/>
      <c r="AB50"/>
      <c r="AC50"/>
      <c r="AD50"/>
      <c r="AE50"/>
    </row>
    <row r="51" spans="3:31" x14ac:dyDescent="0.25">
      <c r="G51" s="101"/>
      <c r="H51" s="102"/>
      <c r="I51" s="102"/>
      <c r="J51" s="103"/>
      <c r="K51"/>
      <c r="L51"/>
      <c r="M51"/>
      <c r="N51"/>
      <c r="O51"/>
      <c r="P51"/>
      <c r="Z51"/>
      <c r="AA51"/>
      <c r="AB51"/>
      <c r="AC51"/>
      <c r="AD51"/>
      <c r="AE51"/>
    </row>
    <row r="52" spans="3:31" x14ac:dyDescent="0.25">
      <c r="D52" s="109" t="s">
        <v>37</v>
      </c>
      <c r="E52" s="110"/>
      <c r="F52" s="110"/>
      <c r="G52" s="30" t="s">
        <v>14</v>
      </c>
      <c r="H52" s="30" t="s">
        <v>5</v>
      </c>
      <c r="I52" s="30" t="s">
        <v>6</v>
      </c>
      <c r="J52" s="31" t="s">
        <v>23</v>
      </c>
      <c r="K52"/>
      <c r="L52" s="109" t="s">
        <v>60</v>
      </c>
      <c r="M52" s="110"/>
      <c r="N52" s="110"/>
      <c r="O52" s="30" t="s">
        <v>14</v>
      </c>
      <c r="P52" s="30" t="s">
        <v>5</v>
      </c>
      <c r="Q52" s="30" t="s">
        <v>6</v>
      </c>
      <c r="R52" s="31" t="s">
        <v>23</v>
      </c>
      <c r="Z52">
        <f>IF(AA52&gt;360,AA52-360,IF(AA52&lt;0,AA52+360,AA52))</f>
        <v>326.22655666666668</v>
      </c>
      <c r="AA52">
        <f>G54+O54*(K8-G46)</f>
        <v>326.22655666666668</v>
      </c>
      <c r="AB52"/>
      <c r="AC52"/>
      <c r="AD52"/>
      <c r="AE52"/>
    </row>
    <row r="53" spans="3:31" x14ac:dyDescent="0.25">
      <c r="D53" s="110"/>
      <c r="E53" s="110"/>
      <c r="F53" s="110"/>
      <c r="G53" s="42">
        <v>177</v>
      </c>
      <c r="H53" s="38">
        <v>1.9</v>
      </c>
      <c r="I53" s="38">
        <v>0</v>
      </c>
      <c r="J53" s="108" t="s">
        <v>33</v>
      </c>
      <c r="K53"/>
      <c r="L53" s="110"/>
      <c r="M53" s="110"/>
      <c r="N53" s="110"/>
      <c r="O53" s="38">
        <v>15.002000000000001</v>
      </c>
      <c r="P53" s="38">
        <v>0</v>
      </c>
      <c r="Q53" s="38">
        <v>0</v>
      </c>
      <c r="R53" s="108" t="s">
        <v>33</v>
      </c>
      <c r="Z53"/>
      <c r="AA53"/>
      <c r="AB53"/>
      <c r="AC53"/>
      <c r="AD53"/>
      <c r="AE53"/>
    </row>
    <row r="54" spans="3:31" x14ac:dyDescent="0.25">
      <c r="D54" s="110"/>
      <c r="E54" s="110"/>
      <c r="F54" s="110"/>
      <c r="G54" s="131">
        <f>(G53+H53/60+I53/3600) * VLOOKUP(J53,Constante!$D$12:$E$13,2)</f>
        <v>177.03166666666667</v>
      </c>
      <c r="H54" s="131"/>
      <c r="I54" s="131"/>
      <c r="J54" s="108"/>
      <c r="K54"/>
      <c r="L54" s="110"/>
      <c r="M54" s="110"/>
      <c r="N54" s="110"/>
      <c r="O54" s="131">
        <f>(O53+P53/60+Q53/3600) * VLOOKUP(R53,Constante!$D$12:$E$13,2)</f>
        <v>15.002000000000001</v>
      </c>
      <c r="P54" s="131"/>
      <c r="Q54" s="131"/>
      <c r="R54" s="108"/>
      <c r="Z54"/>
      <c r="AA54"/>
      <c r="AB54"/>
      <c r="AC54"/>
      <c r="AD54"/>
      <c r="AE54"/>
    </row>
    <row r="55" spans="3:31" x14ac:dyDescent="0.25">
      <c r="Z55"/>
      <c r="AA55"/>
      <c r="AB55"/>
      <c r="AC55"/>
      <c r="AD55"/>
      <c r="AE55"/>
    </row>
    <row r="56" spans="3:31" x14ac:dyDescent="0.25">
      <c r="Z56"/>
      <c r="AA56"/>
      <c r="AB56"/>
      <c r="AC56"/>
      <c r="AD56"/>
      <c r="AE56"/>
    </row>
    <row r="57" spans="3:31" x14ac:dyDescent="0.25">
      <c r="Z57"/>
      <c r="AA57"/>
      <c r="AB57"/>
      <c r="AC57"/>
      <c r="AD57"/>
      <c r="AE57"/>
    </row>
    <row r="58" spans="3:31" x14ac:dyDescent="0.25">
      <c r="C58" s="134" t="s">
        <v>61</v>
      </c>
      <c r="D58" s="134"/>
      <c r="E58" s="134"/>
      <c r="F58" s="134"/>
      <c r="G58" s="134"/>
      <c r="H58" s="133" t="s">
        <v>63</v>
      </c>
      <c r="I58" s="133"/>
      <c r="J58" s="133"/>
      <c r="K58" s="133"/>
      <c r="L58" s="23" t="str">
        <f>VLOOKUP(H58,Constante!D24:E25,2)</f>
        <v>a</v>
      </c>
    </row>
    <row r="59" spans="3:31" x14ac:dyDescent="0.25">
      <c r="D59" s="2" t="s">
        <v>38</v>
      </c>
      <c r="AA59" s="1" t="s">
        <v>39</v>
      </c>
      <c r="AC59" s="1" t="s">
        <v>40</v>
      </c>
      <c r="AE59" s="1" t="s">
        <v>41</v>
      </c>
    </row>
    <row r="60" spans="3:31" ht="15.75" customHeight="1" x14ac:dyDescent="0.25">
      <c r="F60" s="132" t="s">
        <v>36</v>
      </c>
      <c r="G60" s="132"/>
      <c r="H60" s="132"/>
      <c r="I60" s="140">
        <f>IF(L58="a",AA62,Z48)</f>
        <v>-5.5690833333333334</v>
      </c>
      <c r="J60" s="140"/>
      <c r="K60" s="140"/>
      <c r="L60" s="140"/>
      <c r="AC60" s="1" t="s">
        <v>42</v>
      </c>
      <c r="AD60" s="1">
        <f>(G33-L33)/($G$29-$M$29)</f>
        <v>-1.6666666666666607E-2</v>
      </c>
    </row>
    <row r="61" spans="3:31" x14ac:dyDescent="0.25">
      <c r="F61" s="132"/>
      <c r="G61" s="132"/>
      <c r="H61" s="132"/>
      <c r="I61" s="21" t="s">
        <v>14</v>
      </c>
      <c r="J61" s="21" t="s">
        <v>5</v>
      </c>
      <c r="K61" s="21" t="s">
        <v>6</v>
      </c>
      <c r="L61" s="23" t="s">
        <v>23</v>
      </c>
      <c r="AC61" s="1" t="s">
        <v>43</v>
      </c>
      <c r="AD61" s="1">
        <f>G33-AD60*$G$29</f>
        <v>-5.4033333333333342</v>
      </c>
    </row>
    <row r="62" spans="3:31" ht="15.75" thickBot="1" x14ac:dyDescent="0.3">
      <c r="F62" s="132"/>
      <c r="G62" s="132"/>
      <c r="H62" s="132"/>
      <c r="I62" s="24">
        <f>INT(ABS(I60))</f>
        <v>5</v>
      </c>
      <c r="J62" s="24">
        <f>INT(60*(ABS(I60)-I62))</f>
        <v>34</v>
      </c>
      <c r="K62" s="24">
        <f>INT(3600*(ABS(I60)-I62-J62/60))</f>
        <v>8</v>
      </c>
      <c r="L62" s="23" t="str">
        <f>VLOOKUP(IF(I60&lt;0,-1,1),Constante!$F$15:$G$17,2)</f>
        <v>S</v>
      </c>
      <c r="O62" s="1">
        <f>6+20/60</f>
        <v>6.333333333333333</v>
      </c>
      <c r="P62" s="1">
        <f>O62+I60</f>
        <v>0.76424999999999965</v>
      </c>
      <c r="Q62" s="1">
        <f>P62*3600</f>
        <v>2751.2999999999988</v>
      </c>
      <c r="Y62" s="1">
        <f>IF(AA62&lt;0,-1,1)</f>
        <v>-1</v>
      </c>
      <c r="Z62" s="1">
        <f>ABS(AA62)</f>
        <v>5.5690833333333334</v>
      </c>
      <c r="AA62" s="1">
        <f>AD60*AD62+AD61</f>
        <v>-5.5690833333333334</v>
      </c>
      <c r="AC62" s="1" t="s">
        <v>44</v>
      </c>
      <c r="AD62" s="1">
        <f>$K$8</f>
        <v>9.9450000000000003</v>
      </c>
    </row>
    <row r="63" spans="3:31" ht="15.75" thickBot="1" x14ac:dyDescent="0.3">
      <c r="I63" s="137"/>
      <c r="J63" s="138"/>
      <c r="K63" s="138"/>
      <c r="L63" s="139"/>
    </row>
    <row r="64" spans="3:31" x14ac:dyDescent="0.25">
      <c r="F64" s="132" t="s">
        <v>49</v>
      </c>
      <c r="G64" s="96"/>
      <c r="H64" s="96"/>
      <c r="I64" s="141">
        <f>IF(L58="a",AA67,Z52)+H12</f>
        <v>334.30471133333339</v>
      </c>
      <c r="J64" s="140"/>
      <c r="K64" s="140"/>
      <c r="L64" s="140"/>
      <c r="AA64" s="1" t="s">
        <v>39</v>
      </c>
      <c r="AC64" s="1" t="s">
        <v>40</v>
      </c>
      <c r="AE64" s="1" t="s">
        <v>41</v>
      </c>
    </row>
    <row r="65" spans="2:30" x14ac:dyDescent="0.25">
      <c r="F65" s="96"/>
      <c r="G65" s="96"/>
      <c r="H65" s="96"/>
      <c r="I65" s="21" t="s">
        <v>14</v>
      </c>
      <c r="J65" s="21" t="s">
        <v>5</v>
      </c>
      <c r="K65" s="21" t="s">
        <v>6</v>
      </c>
      <c r="L65" s="23" t="s">
        <v>23</v>
      </c>
      <c r="AC65" s="1" t="s">
        <v>42</v>
      </c>
      <c r="AD65" s="1">
        <f>(G37-L37)/($G$29-$M$29)</f>
        <v>15.001666666666665</v>
      </c>
    </row>
    <row r="66" spans="2:30" x14ac:dyDescent="0.25">
      <c r="F66" s="96"/>
      <c r="G66" s="96"/>
      <c r="H66" s="96"/>
      <c r="I66" s="24">
        <f>INT(ABS(I64))</f>
        <v>334</v>
      </c>
      <c r="J66" s="24">
        <f>INT(60*(ABS(I64)-I66))</f>
        <v>18</v>
      </c>
      <c r="K66" s="24">
        <f>INT(3600*(ABS(I64)-I66-J66/60))</f>
        <v>16</v>
      </c>
      <c r="L66" s="23" t="str">
        <f>VLOOKUP(IF(I64&lt;0,-1,1),Constante!$F$12:$G$13,2)</f>
        <v>E</v>
      </c>
      <c r="AC66" s="1" t="s">
        <v>43</v>
      </c>
      <c r="AD66" s="1">
        <f>G37-AD65*$G$29</f>
        <v>183.01833333333337</v>
      </c>
    </row>
    <row r="67" spans="2:30" x14ac:dyDescent="0.25">
      <c r="Y67" s="1">
        <f>IF(AA67&lt;0,-1,1)</f>
        <v>1</v>
      </c>
      <c r="Z67" s="1">
        <f>ABS(AA67)</f>
        <v>332.20990833333337</v>
      </c>
      <c r="AA67" s="1">
        <f>IF(AB67&gt;360,AB67-360,IF(AB67&lt;0,AB67+360,AB67))</f>
        <v>332.20990833333337</v>
      </c>
      <c r="AB67" s="1">
        <f>AD65*AD67+AD66</f>
        <v>332.20990833333337</v>
      </c>
      <c r="AC67" s="1" t="s">
        <v>44</v>
      </c>
      <c r="AD67" s="1">
        <f>$K$8</f>
        <v>9.9450000000000003</v>
      </c>
    </row>
    <row r="69" spans="2:30" ht="15.75" thickBot="1" x14ac:dyDescent="0.3"/>
    <row r="70" spans="2:30" ht="15.75" thickBot="1" x14ac:dyDescent="0.3">
      <c r="B70" s="32" t="s">
        <v>46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4"/>
      <c r="Z70" s="1" t="s">
        <v>48</v>
      </c>
      <c r="AA70" s="1" t="s">
        <v>50</v>
      </c>
    </row>
    <row r="71" spans="2:30" x14ac:dyDescent="0.25">
      <c r="F71" s="94" t="s">
        <v>51</v>
      </c>
      <c r="G71" s="94"/>
      <c r="H71" s="94"/>
      <c r="Z71" s="1">
        <f>SIN(Constante!$D$20*'Droite hauteur'!I60)*SIN(Constante!$D$20*'Droite hauteur'!D12)</f>
        <v>-7.3102986268899564E-2</v>
      </c>
      <c r="AA71" s="1">
        <f>COS(Constante!$D$20*'Droite hauteur'!I60)*COS(Constante!$D$20*'Droite hauteur'!I64)*COS(Constante!$D$20*'Droite hauteur'!D12)</f>
        <v>0.58986141125769465</v>
      </c>
    </row>
    <row r="72" spans="2:30" x14ac:dyDescent="0.25">
      <c r="F72" s="21" t="s">
        <v>14</v>
      </c>
      <c r="G72" s="21" t="s">
        <v>5</v>
      </c>
      <c r="H72" s="21" t="s">
        <v>6</v>
      </c>
    </row>
    <row r="73" spans="2:30" x14ac:dyDescent="0.25">
      <c r="F73" s="24">
        <f>INT(ABS(F74))</f>
        <v>31</v>
      </c>
      <c r="G73" s="24">
        <f>INT(60*(ABS(F74)-F73))</f>
        <v>6</v>
      </c>
      <c r="H73" s="25">
        <f>ABS(F74)-F73-G73/60</f>
        <v>1.5063151361674437E-2</v>
      </c>
    </row>
    <row r="74" spans="2:30" x14ac:dyDescent="0.25">
      <c r="F74" s="135">
        <f>ASIN(Z71+AA71)/Constante!$D$20</f>
        <v>31.115063151361674</v>
      </c>
      <c r="G74" s="135"/>
      <c r="H74" s="135"/>
    </row>
    <row r="77" spans="2:30" ht="15.75" thickBot="1" x14ac:dyDescent="0.3"/>
    <row r="78" spans="2:30" ht="15.75" thickBot="1" x14ac:dyDescent="0.3">
      <c r="B78" s="32" t="s">
        <v>52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4"/>
      <c r="Z78" s="1" t="s">
        <v>54</v>
      </c>
      <c r="AA78" s="1" t="s">
        <v>55</v>
      </c>
      <c r="AB78" s="1" t="s">
        <v>56</v>
      </c>
    </row>
    <row r="79" spans="2:30" x14ac:dyDescent="0.25">
      <c r="F79" s="94" t="s">
        <v>53</v>
      </c>
      <c r="G79" s="94"/>
      <c r="H79" s="94"/>
      <c r="Z79" s="1">
        <f>SIN(Constante!D20*'Droite hauteur'!I60)</f>
        <v>-9.7045863235388358E-2</v>
      </c>
      <c r="AA79" s="1">
        <f>SIN(Constante!$D$20*'Droite hauteur'!D12)*SIN(Constante!$D$20*'Droite hauteur'!F74)</f>
        <v>0.38926526888287388</v>
      </c>
      <c r="AB79" s="1">
        <f>COS(Constante!$D$20*'Droite hauteur'!D12)*COS(Constante!$D$20*'Droite hauteur'!F74)</f>
        <v>0.56307468354061541</v>
      </c>
    </row>
    <row r="80" spans="2:30" x14ac:dyDescent="0.25">
      <c r="F80" s="21" t="s">
        <v>14</v>
      </c>
      <c r="G80" s="21" t="s">
        <v>5</v>
      </c>
      <c r="H80" s="21" t="s">
        <v>6</v>
      </c>
    </row>
    <row r="81" spans="2:30" x14ac:dyDescent="0.25">
      <c r="F81" s="24">
        <f>INT(ABS(F82))</f>
        <v>149</v>
      </c>
      <c r="G81" s="24">
        <f>INT(60*(ABS(F82)-F81))</f>
        <v>43</v>
      </c>
      <c r="H81" s="25">
        <f>ABS(F82)-F81-G81/60</f>
        <v>1.4600034634812187E-2</v>
      </c>
      <c r="J81" s="26" t="s">
        <v>82</v>
      </c>
      <c r="K81" s="26"/>
    </row>
    <row r="82" spans="2:30" x14ac:dyDescent="0.25">
      <c r="F82" s="136">
        <f>ACOS(((Z79-AA79)/AB79))/Constante!$D$20</f>
        <v>149.73126670130148</v>
      </c>
      <c r="G82" s="136"/>
      <c r="H82" s="136"/>
      <c r="J82" s="57"/>
      <c r="K82" s="58">
        <f>IF(I64&lt;180,ABS(F82-360),F82)</f>
        <v>149.73126670130148</v>
      </c>
      <c r="L82" s="59" t="s">
        <v>14</v>
      </c>
    </row>
    <row r="84" spans="2:30" ht="15.75" thickBot="1" x14ac:dyDescent="0.3"/>
    <row r="85" spans="2:30" ht="15.75" thickBot="1" x14ac:dyDescent="0.3">
      <c r="B85" s="32" t="s">
        <v>67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4"/>
    </row>
    <row r="86" spans="2:30" x14ac:dyDescent="0.25">
      <c r="D86" s="1" t="s">
        <v>13</v>
      </c>
      <c r="F86" t="s">
        <v>20</v>
      </c>
      <c r="G86"/>
      <c r="H86"/>
      <c r="I86" s="1" t="s">
        <v>70</v>
      </c>
      <c r="O86" s="94" t="s">
        <v>71</v>
      </c>
      <c r="P86" s="94"/>
      <c r="Q86" s="94"/>
      <c r="Z86" s="1">
        <f>MATCH(G19,Constante!M7:M19,1)</f>
        <v>10</v>
      </c>
    </row>
    <row r="87" spans="2:30" x14ac:dyDescent="0.25">
      <c r="D87" s="27">
        <f>G19</f>
        <v>31.283333333333335</v>
      </c>
      <c r="E87" s="28" t="s">
        <v>68</v>
      </c>
      <c r="F87" s="29">
        <f>D15</f>
        <v>0.7</v>
      </c>
      <c r="G87" s="23"/>
      <c r="H87" s="28" t="s">
        <v>69</v>
      </c>
      <c r="I87" s="23">
        <f>Z93</f>
        <v>0.24252222222222225</v>
      </c>
      <c r="O87" s="21" t="s">
        <v>14</v>
      </c>
      <c r="P87" s="21" t="s">
        <v>5</v>
      </c>
      <c r="Q87" s="21" t="s">
        <v>6</v>
      </c>
      <c r="Z87" s="1">
        <f>INDEX(Constante!M7:M18,Z86,1)</f>
        <v>30</v>
      </c>
      <c r="AA87" s="1">
        <f>INDEX(Constante!M7:M18,1+Z86,1)</f>
        <v>50</v>
      </c>
    </row>
    <row r="88" spans="2:30" x14ac:dyDescent="0.25">
      <c r="D88" s="23"/>
      <c r="E88" s="23"/>
      <c r="F88" s="23"/>
      <c r="G88" s="23"/>
      <c r="H88" s="28" t="s">
        <v>69</v>
      </c>
      <c r="I88" s="23">
        <f>IF(AND(V92,V89),Constante!N21,IF(V89,0,IF(W89,Constante!N20,888)))</f>
        <v>0</v>
      </c>
      <c r="O88" s="24">
        <f>INT(ABS(O89))</f>
        <v>30</v>
      </c>
      <c r="P88" s="24">
        <f>INT(60*(ABS(O89)-O88))</f>
        <v>49</v>
      </c>
      <c r="Q88" s="25">
        <f>ABS(O89)-O88-P88/60</f>
        <v>9.1888888888929099E-3</v>
      </c>
      <c r="U88" s="1" t="s">
        <v>24</v>
      </c>
      <c r="V88" s="1" t="s">
        <v>16</v>
      </c>
      <c r="W88" s="1" t="s">
        <v>95</v>
      </c>
      <c r="Z88" s="1">
        <f>INDEX(Constante!N7:T19,Z86,1+L19)</f>
        <v>0.24166666666666667</v>
      </c>
      <c r="AA88" s="1">
        <f>INDEX(Constante!N7:T19,1+Z86,1+L19)</f>
        <v>0.255</v>
      </c>
    </row>
    <row r="89" spans="2:30" x14ac:dyDescent="0.25">
      <c r="F89"/>
      <c r="G89"/>
      <c r="I89" s="1" t="s">
        <v>72</v>
      </c>
      <c r="O89" s="135">
        <f>D87-F87+I87+I88</f>
        <v>30.82585555555556</v>
      </c>
      <c r="P89" s="135"/>
      <c r="Q89" s="135"/>
      <c r="U89" s="1" t="b">
        <f>ISNUMBER(SEARCH(E16,Constante!D4))</f>
        <v>0</v>
      </c>
      <c r="V89" s="1" t="b">
        <f>ISNUMBER(SEARCH(E16,Constante!D3))</f>
        <v>1</v>
      </c>
      <c r="W89" s="1" t="b">
        <f>AND(NOT(U89),NOT(V89))</f>
        <v>0</v>
      </c>
    </row>
    <row r="90" spans="2:30" x14ac:dyDescent="0.25">
      <c r="Z90" s="1" t="s">
        <v>39</v>
      </c>
      <c r="AB90" s="1" t="s">
        <v>40</v>
      </c>
      <c r="AD90" s="1" t="s">
        <v>41</v>
      </c>
    </row>
    <row r="91" spans="2:30" x14ac:dyDescent="0.25">
      <c r="V91" s="1" t="s">
        <v>94</v>
      </c>
      <c r="AB91" s="1" t="s">
        <v>42</v>
      </c>
      <c r="AC91" s="1">
        <f>(Z88-AA88)/(Z87-AA87)</f>
        <v>6.6666666666666675E-4</v>
      </c>
    </row>
    <row r="92" spans="2:30" x14ac:dyDescent="0.25">
      <c r="D92" s="1" t="s">
        <v>79</v>
      </c>
      <c r="V92" s="1" t="b">
        <f>ISNUMBER(SEARCH(L16,Constante!G4))</f>
        <v>0</v>
      </c>
      <c r="AB92" s="1" t="s">
        <v>43</v>
      </c>
      <c r="AC92" s="1">
        <f>Z88-AC91*Z87</f>
        <v>0.22166666666666668</v>
      </c>
    </row>
    <row r="93" spans="2:30" x14ac:dyDescent="0.25">
      <c r="F93" s="94" t="s">
        <v>79</v>
      </c>
      <c r="G93" s="94"/>
      <c r="H93" s="94"/>
      <c r="Z93" s="1">
        <f>AC91*D87+AC92</f>
        <v>0.24252222222222225</v>
      </c>
      <c r="AB93" s="1" t="s">
        <v>44</v>
      </c>
      <c r="AC93" s="1">
        <f>$K$8</f>
        <v>9.9450000000000003</v>
      </c>
    </row>
    <row r="94" spans="2:30" x14ac:dyDescent="0.25">
      <c r="F94" s="21" t="s">
        <v>14</v>
      </c>
      <c r="G94" s="21" t="s">
        <v>5</v>
      </c>
      <c r="H94" s="21" t="s">
        <v>6</v>
      </c>
    </row>
    <row r="95" spans="2:30" x14ac:dyDescent="0.25">
      <c r="F95" s="36">
        <f>INT(ABS(F96))</f>
        <v>0</v>
      </c>
      <c r="G95" s="36">
        <f>INT(60*(ABS(F96)-F95))</f>
        <v>17</v>
      </c>
      <c r="H95" s="37">
        <f>ABS(F96)-F95-G95/60</f>
        <v>5.8742624727815551E-3</v>
      </c>
    </row>
    <row r="96" spans="2:30" x14ac:dyDescent="0.25">
      <c r="F96" s="142">
        <f>O89-F74</f>
        <v>-0.28920759580611488</v>
      </c>
      <c r="G96" s="143"/>
      <c r="H96" s="144"/>
      <c r="J96" s="145">
        <f>F96*60</f>
        <v>-17.352455748366893</v>
      </c>
      <c r="K96" s="146"/>
      <c r="L96" s="60"/>
      <c r="M96" s="61" t="s">
        <v>90</v>
      </c>
      <c r="N96" s="1" t="s">
        <v>81</v>
      </c>
    </row>
    <row r="97" spans="14:14" x14ac:dyDescent="0.25">
      <c r="N97" s="1" t="s">
        <v>80</v>
      </c>
    </row>
  </sheetData>
  <mergeCells count="86">
    <mergeCell ref="O86:Q86"/>
    <mergeCell ref="O89:Q89"/>
    <mergeCell ref="F93:H93"/>
    <mergeCell ref="F96:H96"/>
    <mergeCell ref="J96:K96"/>
    <mergeCell ref="R49:R50"/>
    <mergeCell ref="O50:Q50"/>
    <mergeCell ref="L52:N54"/>
    <mergeCell ref="R53:R54"/>
    <mergeCell ref="O54:Q54"/>
    <mergeCell ref="F71:H71"/>
    <mergeCell ref="F74:H74"/>
    <mergeCell ref="F79:H79"/>
    <mergeCell ref="F82:H82"/>
    <mergeCell ref="G43:I43"/>
    <mergeCell ref="G46:I46"/>
    <mergeCell ref="D48:F50"/>
    <mergeCell ref="I63:L63"/>
    <mergeCell ref="F64:H66"/>
    <mergeCell ref="I60:L60"/>
    <mergeCell ref="I64:L64"/>
    <mergeCell ref="G50:I50"/>
    <mergeCell ref="G51:J51"/>
    <mergeCell ref="D52:F54"/>
    <mergeCell ref="J53:J54"/>
    <mergeCell ref="G54:I54"/>
    <mergeCell ref="G29:I29"/>
    <mergeCell ref="C58:G58"/>
    <mergeCell ref="J49:J50"/>
    <mergeCell ref="J36:J37"/>
    <mergeCell ref="G33:I33"/>
    <mergeCell ref="G37:I37"/>
    <mergeCell ref="L34:O34"/>
    <mergeCell ref="O36:O37"/>
    <mergeCell ref="L37:N37"/>
    <mergeCell ref="D35:F37"/>
    <mergeCell ref="F60:H62"/>
    <mergeCell ref="H58:K58"/>
    <mergeCell ref="L48:N50"/>
    <mergeCell ref="M26:O26"/>
    <mergeCell ref="G34:J34"/>
    <mergeCell ref="B13:C15"/>
    <mergeCell ref="G26:I26"/>
    <mergeCell ref="M29:O29"/>
    <mergeCell ref="J32:J33"/>
    <mergeCell ref="D31:F33"/>
    <mergeCell ref="J19:K19"/>
    <mergeCell ref="B16:D19"/>
    <mergeCell ref="E16:F19"/>
    <mergeCell ref="J16:K16"/>
    <mergeCell ref="L16:M16"/>
    <mergeCell ref="G19:I19"/>
    <mergeCell ref="O32:O33"/>
    <mergeCell ref="L33:N33"/>
    <mergeCell ref="G16:I16"/>
    <mergeCell ref="B7:B8"/>
    <mergeCell ref="C7:C8"/>
    <mergeCell ref="D7:D8"/>
    <mergeCell ref="B5:D5"/>
    <mergeCell ref="E5:G5"/>
    <mergeCell ref="H5:J5"/>
    <mergeCell ref="D9:G9"/>
    <mergeCell ref="G11:G12"/>
    <mergeCell ref="H9:K9"/>
    <mergeCell ref="E7:E8"/>
    <mergeCell ref="F7:F8"/>
    <mergeCell ref="D15:G15"/>
    <mergeCell ref="S3:X3"/>
    <mergeCell ref="S4:X4"/>
    <mergeCell ref="S5:X5"/>
    <mergeCell ref="B2:P2"/>
    <mergeCell ref="H12:J12"/>
    <mergeCell ref="B9:C12"/>
    <mergeCell ref="G7:G8"/>
    <mergeCell ref="H7:H8"/>
    <mergeCell ref="I7:I8"/>
    <mergeCell ref="J7:J8"/>
    <mergeCell ref="D12:F12"/>
    <mergeCell ref="K5:M5"/>
    <mergeCell ref="K8:M8"/>
    <mergeCell ref="K11:K12"/>
    <mergeCell ref="S6:X6"/>
    <mergeCell ref="S7:X7"/>
    <mergeCell ref="S8:X8"/>
    <mergeCell ref="B4:E4"/>
    <mergeCell ref="F4:M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Astre visé">
          <x14:formula1>
            <xm:f>Constante!$D$3:$D$9</xm:f>
          </x14:formula1>
          <xm:sqref>E16</xm:sqref>
        </x14:dataValidation>
        <x14:dataValidation type="list" allowBlank="1" showInputMessage="1" showErrorMessage="1">
          <x14:formula1>
            <xm:f>Constante!$D$15:$D$16</xm:f>
          </x14:formula1>
          <xm:sqref>G11:G12 J32:J33 O32:O33 J49:J50 R49:R50</xm:sqref>
        </x14:dataValidation>
        <x14:dataValidation type="list" allowBlank="1" showInputMessage="1" showErrorMessage="1">
          <x14:formula1>
            <xm:f>Constante!$D$12:$D$13</xm:f>
          </x14:formula1>
          <xm:sqref>J53:J54 J36:J37 O36:O37 K11:K12 R53:R54</xm:sqref>
        </x14:dataValidation>
        <x14:dataValidation type="list" allowBlank="1" showInputMessage="1" showErrorMessage="1">
          <x14:formula1>
            <xm:f>Constante!$D$24:$D$25</xm:f>
          </x14:formula1>
          <xm:sqref>H58</xm:sqref>
        </x14:dataValidation>
        <x14:dataValidation type="list" allowBlank="1" showInputMessage="1" showErrorMessage="1">
          <x14:formula1>
            <xm:f>Constante!$K$3:$K$8</xm:f>
          </x14:formula1>
          <xm:sqref>L19</xm:sqref>
        </x14:dataValidation>
        <x14:dataValidation type="list" allowBlank="1" showInputMessage="1" showErrorMessage="1">
          <x14:formula1>
            <xm:f>Constante!$G$3:$G$4</xm:f>
          </x14:formula1>
          <xm:sqref>L16:M16</xm:sqref>
        </x14:dataValidation>
        <x14:dataValidation type="list" allowBlank="1" showInputMessage="1" showErrorMessage="1">
          <x14:formula1>
            <xm:f>Constante!$J$12:$J$13</xm:f>
          </x14:formula1>
          <xm:sqref>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9"/>
  <sheetViews>
    <sheetView tabSelected="1" topLeftCell="D41" workbookViewId="0">
      <selection activeCell="T61" sqref="T61"/>
    </sheetView>
  </sheetViews>
  <sheetFormatPr defaultColWidth="11.42578125" defaultRowHeight="15" x14ac:dyDescent="0.25"/>
  <cols>
    <col min="1" max="1" width="11.42578125" style="1"/>
    <col min="2" max="20" width="7.140625" style="1" customWidth="1"/>
    <col min="21" max="21" width="10.5703125" style="1" customWidth="1"/>
    <col min="22" max="22" width="10.140625" style="1" customWidth="1"/>
    <col min="23" max="16384" width="11.42578125" style="1"/>
  </cols>
  <sheetData>
    <row r="1" spans="2:26" ht="15.75" thickBot="1" x14ac:dyDescent="0.3"/>
    <row r="2" spans="2:26" ht="63" customHeight="1" thickBot="1" x14ac:dyDescent="0.3">
      <c r="B2" s="76" t="s">
        <v>104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65"/>
      <c r="R2" s="20" t="s">
        <v>83</v>
      </c>
      <c r="S2" s="20"/>
      <c r="Y2" s="65"/>
      <c r="Z2" s="66"/>
    </row>
    <row r="3" spans="2:26" ht="15.75" thickBot="1" x14ac:dyDescent="0.3">
      <c r="R3" s="73" t="s">
        <v>84</v>
      </c>
      <c r="S3" s="73"/>
      <c r="T3" s="73"/>
      <c r="U3" s="73"/>
      <c r="V3" s="73"/>
      <c r="W3" s="73"/>
    </row>
    <row r="4" spans="2:26" ht="53.25" customHeight="1" thickBot="1" x14ac:dyDescent="0.3">
      <c r="B4" s="70" t="s">
        <v>2</v>
      </c>
      <c r="C4" s="71"/>
      <c r="D4" s="71"/>
      <c r="E4" s="71"/>
      <c r="F4" s="71" t="s">
        <v>96</v>
      </c>
      <c r="G4" s="71"/>
      <c r="H4" s="71"/>
      <c r="I4" s="71"/>
      <c r="J4" s="71"/>
      <c r="K4" s="71"/>
      <c r="L4" s="71"/>
      <c r="M4" s="72"/>
      <c r="R4" s="74" t="s">
        <v>85</v>
      </c>
      <c r="S4" s="74"/>
      <c r="T4" s="74"/>
      <c r="U4" s="74"/>
      <c r="V4" s="74"/>
      <c r="W4" s="74"/>
    </row>
    <row r="5" spans="2:26" ht="15" customHeight="1" x14ac:dyDescent="0.25">
      <c r="B5" s="79" t="s">
        <v>19</v>
      </c>
      <c r="C5" s="80"/>
      <c r="D5" s="91" t="s">
        <v>18</v>
      </c>
      <c r="E5" s="91"/>
      <c r="F5" s="91"/>
      <c r="G5" s="91"/>
      <c r="H5" s="91" t="s">
        <v>17</v>
      </c>
      <c r="I5" s="91"/>
      <c r="J5" s="91"/>
      <c r="K5" s="92"/>
      <c r="R5" s="75" t="s">
        <v>86</v>
      </c>
      <c r="S5" s="75"/>
      <c r="T5" s="75"/>
      <c r="U5" s="75"/>
      <c r="V5" s="75"/>
      <c r="W5" s="75"/>
    </row>
    <row r="6" spans="2:26" x14ac:dyDescent="0.25">
      <c r="B6" s="81"/>
      <c r="C6" s="82"/>
      <c r="D6" s="49" t="s">
        <v>14</v>
      </c>
      <c r="E6" s="49" t="s">
        <v>5</v>
      </c>
      <c r="F6" s="49" t="s">
        <v>6</v>
      </c>
      <c r="G6" s="50" t="s">
        <v>23</v>
      </c>
      <c r="H6" s="49" t="s">
        <v>14</v>
      </c>
      <c r="I6" s="49" t="s">
        <v>5</v>
      </c>
      <c r="J6" s="49" t="s">
        <v>6</v>
      </c>
      <c r="K6" s="51" t="s">
        <v>23</v>
      </c>
      <c r="R6" s="67" t="s">
        <v>87</v>
      </c>
      <c r="S6" s="67"/>
      <c r="T6" s="67"/>
      <c r="U6" s="67"/>
      <c r="V6" s="67"/>
      <c r="W6" s="67"/>
    </row>
    <row r="7" spans="2:26" x14ac:dyDescent="0.25">
      <c r="B7" s="81"/>
      <c r="C7" s="82"/>
      <c r="D7" s="45">
        <v>48.875556000000003</v>
      </c>
      <c r="E7" s="45">
        <v>0</v>
      </c>
      <c r="F7" s="45">
        <v>0</v>
      </c>
      <c r="G7" s="97" t="s">
        <v>29</v>
      </c>
      <c r="H7" s="45">
        <v>2.0948030000000002</v>
      </c>
      <c r="I7" s="45">
        <v>0</v>
      </c>
      <c r="J7" s="45">
        <v>0</v>
      </c>
      <c r="K7" s="99" t="s">
        <v>33</v>
      </c>
      <c r="R7" s="68" t="s">
        <v>88</v>
      </c>
      <c r="S7" s="68"/>
      <c r="T7" s="68"/>
      <c r="U7" s="68"/>
      <c r="V7" s="68"/>
      <c r="W7" s="68"/>
    </row>
    <row r="8" spans="2:26" ht="15.75" thickBot="1" x14ac:dyDescent="0.3">
      <c r="B8" s="83"/>
      <c r="C8" s="84"/>
      <c r="D8" s="78">
        <f>(D7+E7/60+F7/3600) * VLOOKUP(G7,Constante!$D$15:$E$16,2)</f>
        <v>48.875556000000003</v>
      </c>
      <c r="E8" s="78"/>
      <c r="F8" s="78"/>
      <c r="G8" s="98"/>
      <c r="H8" s="78">
        <f>(H7+I7/60+J7/3600) * VLOOKUP(K7,Constante!$D$12:$E$13,2)</f>
        <v>2.0948030000000002</v>
      </c>
      <c r="I8" s="78"/>
      <c r="J8" s="78"/>
      <c r="K8" s="100"/>
      <c r="R8" s="69" t="s">
        <v>89</v>
      </c>
      <c r="S8" s="69"/>
      <c r="T8" s="69"/>
      <c r="U8" s="69"/>
      <c r="V8" s="69"/>
      <c r="W8" s="69"/>
    </row>
    <row r="9" spans="2:26" ht="15" customHeight="1" x14ac:dyDescent="0.25">
      <c r="B9" s="104" t="s">
        <v>22</v>
      </c>
      <c r="C9" s="105"/>
      <c r="D9" s="47" t="s">
        <v>107</v>
      </c>
      <c r="E9" s="47" t="s">
        <v>14</v>
      </c>
      <c r="F9" s="47" t="s">
        <v>5</v>
      </c>
      <c r="G9" s="48" t="s">
        <v>6</v>
      </c>
    </row>
    <row r="10" spans="2:26" ht="13.5" customHeight="1" x14ac:dyDescent="0.25">
      <c r="B10" s="81"/>
      <c r="C10" s="82"/>
      <c r="D10" s="45" t="s">
        <v>68</v>
      </c>
      <c r="E10" s="45">
        <v>0</v>
      </c>
      <c r="F10" s="45">
        <v>42</v>
      </c>
      <c r="G10" s="46">
        <v>0</v>
      </c>
    </row>
    <row r="11" spans="2:26" ht="15.75" thickBot="1" x14ac:dyDescent="0.3">
      <c r="B11" s="106"/>
      <c r="C11" s="107"/>
      <c r="D11" s="153">
        <f>(E10+F10/60+G10/3600) * VLOOKUP(D10,Constante!J12:K13,2)</f>
        <v>-0.7</v>
      </c>
      <c r="E11" s="154"/>
      <c r="F11" s="154"/>
      <c r="G11" s="155"/>
    </row>
    <row r="12" spans="2:26" ht="19.5" customHeight="1" thickBot="1" x14ac:dyDescent="0.3">
      <c r="B12" s="113" t="s">
        <v>12</v>
      </c>
      <c r="C12" s="114"/>
      <c r="D12" s="114"/>
      <c r="E12" s="119" t="s">
        <v>16</v>
      </c>
      <c r="F12" s="120"/>
      <c r="G12" s="91" t="s">
        <v>13</v>
      </c>
      <c r="H12" s="91"/>
      <c r="I12" s="92"/>
      <c r="J12" s="125" t="s">
        <v>91</v>
      </c>
      <c r="K12" s="126"/>
      <c r="L12" s="127" t="s">
        <v>92</v>
      </c>
      <c r="M12" s="128"/>
    </row>
    <row r="13" spans="2:26" x14ac:dyDescent="0.25">
      <c r="B13" s="115"/>
      <c r="C13" s="116"/>
      <c r="D13" s="116"/>
      <c r="E13" s="121"/>
      <c r="F13" s="122"/>
      <c r="G13" s="49" t="s">
        <v>14</v>
      </c>
      <c r="H13" s="49" t="s">
        <v>5</v>
      </c>
      <c r="I13" s="52" t="s">
        <v>6</v>
      </c>
      <c r="J13" s="56"/>
    </row>
    <row r="14" spans="2:26" ht="15.75" thickBot="1" x14ac:dyDescent="0.3">
      <c r="B14" s="115"/>
      <c r="C14" s="116"/>
      <c r="D14" s="116"/>
      <c r="E14" s="121"/>
      <c r="F14" s="122"/>
      <c r="G14" s="45">
        <v>31</v>
      </c>
      <c r="H14" s="45">
        <v>17</v>
      </c>
      <c r="I14" s="46">
        <v>0</v>
      </c>
      <c r="J14" s="55"/>
    </row>
    <row r="15" spans="2:26" ht="15.75" thickBot="1" x14ac:dyDescent="0.3">
      <c r="B15" s="117"/>
      <c r="C15" s="118"/>
      <c r="D15" s="118"/>
      <c r="E15" s="123"/>
      <c r="F15" s="124"/>
      <c r="G15" s="129">
        <f>G14+H14/60+I14/3600</f>
        <v>31.283333333333335</v>
      </c>
      <c r="H15" s="129"/>
      <c r="I15" s="130"/>
      <c r="J15" s="111" t="s">
        <v>21</v>
      </c>
      <c r="K15" s="112"/>
      <c r="L15" s="53">
        <v>0</v>
      </c>
      <c r="M15" s="54" t="s">
        <v>5</v>
      </c>
    </row>
    <row r="19" spans="2:15" ht="15.75" thickBot="1" x14ac:dyDescent="0.3"/>
    <row r="20" spans="2:15" ht="15.75" thickBot="1" x14ac:dyDescent="0.3">
      <c r="B20" s="32" t="s">
        <v>105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2:15" x14ac:dyDescent="0.25">
      <c r="B21"/>
      <c r="C21" s="35" t="s">
        <v>106</v>
      </c>
      <c r="D21" s="35"/>
      <c r="E21" s="35"/>
      <c r="F21" s="35"/>
      <c r="G21" s="35"/>
      <c r="H21" s="35"/>
      <c r="I21" s="35"/>
      <c r="J21" s="35"/>
      <c r="K21"/>
      <c r="L21"/>
      <c r="M21"/>
      <c r="N21"/>
      <c r="O21"/>
    </row>
    <row r="22" spans="2:15" x14ac:dyDescent="0.25">
      <c r="B22"/>
      <c r="C22"/>
      <c r="D22" s="43" t="s">
        <v>1</v>
      </c>
      <c r="E22" s="43"/>
      <c r="G22" s="93" t="s">
        <v>108</v>
      </c>
      <c r="H22" s="93"/>
      <c r="I22" s="93"/>
      <c r="J22"/>
      <c r="K22"/>
      <c r="L22"/>
      <c r="M22"/>
      <c r="N22"/>
      <c r="O22"/>
    </row>
    <row r="23" spans="2:15" x14ac:dyDescent="0.25">
      <c r="B23"/>
      <c r="C23"/>
      <c r="G23" s="30" t="s">
        <v>4</v>
      </c>
      <c r="H23" s="30" t="s">
        <v>5</v>
      </c>
      <c r="I23" s="30" t="s">
        <v>6</v>
      </c>
      <c r="J23"/>
      <c r="K23"/>
      <c r="L23"/>
      <c r="M23"/>
      <c r="N23"/>
      <c r="O23"/>
    </row>
    <row r="24" spans="2:15" x14ac:dyDescent="0.25">
      <c r="B24"/>
      <c r="C24"/>
      <c r="G24" s="62">
        <v>11</v>
      </c>
      <c r="H24" s="62">
        <v>48</v>
      </c>
      <c r="I24" s="62">
        <v>0</v>
      </c>
      <c r="J24"/>
      <c r="K24"/>
      <c r="L24"/>
      <c r="M24"/>
      <c r="N24"/>
      <c r="O24"/>
    </row>
    <row r="25" spans="2:15" x14ac:dyDescent="0.25">
      <c r="B25"/>
      <c r="C25"/>
      <c r="G25" s="96">
        <f>G24+H24/60+I24/3600</f>
        <v>11.8</v>
      </c>
      <c r="H25" s="96"/>
      <c r="I25" s="96"/>
      <c r="J25"/>
      <c r="K25"/>
      <c r="L25"/>
      <c r="M25"/>
      <c r="N25"/>
      <c r="O25"/>
    </row>
    <row r="26" spans="2:15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2:15" x14ac:dyDescent="0.25">
      <c r="C27" s="35" t="s">
        <v>0</v>
      </c>
      <c r="D27" s="35"/>
      <c r="E27" s="35"/>
      <c r="F27" s="35"/>
      <c r="G27" s="35"/>
      <c r="H27" s="35"/>
      <c r="I27" s="35"/>
      <c r="J27" s="35"/>
    </row>
    <row r="28" spans="2:15" x14ac:dyDescent="0.25">
      <c r="D28" s="43" t="s">
        <v>1</v>
      </c>
      <c r="E28" s="43"/>
      <c r="G28" s="93" t="s">
        <v>34</v>
      </c>
      <c r="H28" s="93"/>
      <c r="I28" s="93"/>
      <c r="M28" s="93" t="s">
        <v>35</v>
      </c>
      <c r="N28" s="93"/>
      <c r="O28" s="93"/>
    </row>
    <row r="29" spans="2:15" x14ac:dyDescent="0.25">
      <c r="G29" s="30" t="s">
        <v>4</v>
      </c>
      <c r="H29" s="30" t="s">
        <v>5</v>
      </c>
      <c r="I29" s="30" t="s">
        <v>6</v>
      </c>
      <c r="M29" s="30" t="s">
        <v>4</v>
      </c>
      <c r="N29" s="30" t="s">
        <v>5</v>
      </c>
      <c r="O29" s="30" t="s">
        <v>6</v>
      </c>
    </row>
    <row r="30" spans="2:15" x14ac:dyDescent="0.25">
      <c r="G30" s="62">
        <v>11</v>
      </c>
      <c r="H30" s="62">
        <v>0</v>
      </c>
      <c r="I30" s="62">
        <v>0</v>
      </c>
      <c r="M30" s="62">
        <v>12</v>
      </c>
      <c r="N30" s="62">
        <v>0</v>
      </c>
      <c r="O30" s="62">
        <v>0</v>
      </c>
    </row>
    <row r="31" spans="2:15" x14ac:dyDescent="0.25">
      <c r="G31" s="96">
        <f>G30+H30/60+I30/3600</f>
        <v>11</v>
      </c>
      <c r="H31" s="96"/>
      <c r="I31" s="96"/>
      <c r="M31" s="96">
        <f>M30+N30/60+O30/3600</f>
        <v>12</v>
      </c>
      <c r="N31" s="96"/>
      <c r="O31" s="96"/>
    </row>
    <row r="33" spans="3:31" x14ac:dyDescent="0.25">
      <c r="D33" s="109" t="s">
        <v>36</v>
      </c>
      <c r="E33" s="110"/>
      <c r="F33" s="110"/>
      <c r="G33" s="30" t="s">
        <v>14</v>
      </c>
      <c r="H33" s="30" t="s">
        <v>5</v>
      </c>
      <c r="I33" s="30" t="s">
        <v>6</v>
      </c>
      <c r="J33" s="31" t="s">
        <v>23</v>
      </c>
      <c r="L33" s="30" t="s">
        <v>14</v>
      </c>
      <c r="M33" s="30" t="s">
        <v>5</v>
      </c>
      <c r="N33" s="30" t="s">
        <v>6</v>
      </c>
      <c r="O33" s="31" t="s">
        <v>23</v>
      </c>
    </row>
    <row r="34" spans="3:31" x14ac:dyDescent="0.25">
      <c r="D34" s="110"/>
      <c r="E34" s="110"/>
      <c r="F34" s="110"/>
      <c r="G34" s="38">
        <v>5</v>
      </c>
      <c r="H34" s="38">
        <v>58</v>
      </c>
      <c r="I34" s="38">
        <v>0</v>
      </c>
      <c r="J34" s="108" t="s">
        <v>30</v>
      </c>
      <c r="L34" s="38">
        <v>5</v>
      </c>
      <c r="M34" s="38">
        <v>58.9</v>
      </c>
      <c r="N34" s="38">
        <v>0</v>
      </c>
      <c r="O34" s="108" t="s">
        <v>30</v>
      </c>
    </row>
    <row r="35" spans="3:31" ht="15.75" thickBot="1" x14ac:dyDescent="0.3">
      <c r="D35" s="110"/>
      <c r="E35" s="110"/>
      <c r="F35" s="110"/>
      <c r="G35" s="131">
        <f>(G34+H34/60+I34/3600) * VLOOKUP(J34,Constante!$D$15:$E$16,2)</f>
        <v>-5.9666666666666668</v>
      </c>
      <c r="H35" s="131"/>
      <c r="I35" s="131"/>
      <c r="J35" s="108"/>
      <c r="L35" s="131">
        <f>(L34+M34/60+N34/3600) * VLOOKUP(O34,Constante!$D$15:$E$16,2)</f>
        <v>-5.9816666666666665</v>
      </c>
      <c r="M35" s="131"/>
      <c r="N35" s="131"/>
      <c r="O35" s="108"/>
    </row>
    <row r="36" spans="3:31" x14ac:dyDescent="0.25">
      <c r="G36" s="101"/>
      <c r="H36" s="102"/>
      <c r="I36" s="102"/>
      <c r="J36" s="103"/>
      <c r="L36" s="101"/>
      <c r="M36" s="102"/>
      <c r="N36" s="102"/>
      <c r="O36" s="103"/>
    </row>
    <row r="37" spans="3:31" x14ac:dyDescent="0.25">
      <c r="D37" s="109" t="s">
        <v>37</v>
      </c>
      <c r="E37" s="110"/>
      <c r="F37" s="110"/>
      <c r="G37" s="30" t="s">
        <v>14</v>
      </c>
      <c r="H37" s="30" t="s">
        <v>5</v>
      </c>
      <c r="I37" s="30" t="s">
        <v>6</v>
      </c>
      <c r="J37" s="31" t="s">
        <v>23</v>
      </c>
      <c r="L37" s="30" t="s">
        <v>14</v>
      </c>
      <c r="M37" s="30" t="s">
        <v>5</v>
      </c>
      <c r="N37" s="30" t="s">
        <v>6</v>
      </c>
      <c r="O37" s="31" t="s">
        <v>23</v>
      </c>
    </row>
    <row r="38" spans="3:31" x14ac:dyDescent="0.25">
      <c r="D38" s="110"/>
      <c r="E38" s="110"/>
      <c r="F38" s="110"/>
      <c r="G38" s="38">
        <v>348</v>
      </c>
      <c r="H38" s="38">
        <v>6.6</v>
      </c>
      <c r="I38" s="38">
        <v>0</v>
      </c>
      <c r="J38" s="108" t="s">
        <v>33</v>
      </c>
      <c r="L38" s="38">
        <v>3</v>
      </c>
      <c r="M38" s="38">
        <v>6.8</v>
      </c>
      <c r="N38" s="38">
        <v>0</v>
      </c>
      <c r="O38" s="108" t="s">
        <v>33</v>
      </c>
    </row>
    <row r="39" spans="3:31" x14ac:dyDescent="0.25">
      <c r="D39" s="110"/>
      <c r="E39" s="110"/>
      <c r="F39" s="110"/>
      <c r="G39" s="131">
        <f>(G38+H38/60+I38/3600) * VLOOKUP(J38,Constante!$D$12:$E$13,2)</f>
        <v>348.11</v>
      </c>
      <c r="H39" s="131"/>
      <c r="I39" s="131"/>
      <c r="J39" s="108"/>
      <c r="L39" s="131">
        <f>(L38+M38/60+N38/3600) * VLOOKUP(O38,Constante!$D$12:$E$13,2)</f>
        <v>3.1133333333333333</v>
      </c>
      <c r="M39" s="131"/>
      <c r="N39" s="131"/>
      <c r="O39" s="108"/>
    </row>
    <row r="40" spans="3:31" x14ac:dyDescent="0.25">
      <c r="Z40"/>
      <c r="AA40"/>
      <c r="AB40"/>
      <c r="AC40"/>
      <c r="AD40"/>
      <c r="AE40"/>
    </row>
    <row r="41" spans="3:31" x14ac:dyDescent="0.25">
      <c r="Z41"/>
      <c r="AA41"/>
      <c r="AB41"/>
      <c r="AC41"/>
      <c r="AD41"/>
      <c r="AE41"/>
    </row>
    <row r="42" spans="3:31" x14ac:dyDescent="0.25">
      <c r="Z42"/>
      <c r="AA42"/>
      <c r="AB42"/>
      <c r="AC42"/>
      <c r="AD42"/>
      <c r="AE42"/>
    </row>
    <row r="43" spans="3:31" x14ac:dyDescent="0.25">
      <c r="Z43"/>
      <c r="AA43"/>
      <c r="AB43"/>
      <c r="AC43"/>
      <c r="AD43"/>
      <c r="AE43"/>
    </row>
    <row r="44" spans="3:31" x14ac:dyDescent="0.25">
      <c r="C44" s="35" t="s">
        <v>57</v>
      </c>
      <c r="D44" s="35"/>
      <c r="E44" s="35"/>
      <c r="F44" s="35"/>
      <c r="G44" s="35"/>
      <c r="H44" s="35"/>
      <c r="I44" s="35"/>
      <c r="J44" s="35"/>
      <c r="L44"/>
      <c r="M44"/>
      <c r="N44"/>
      <c r="O44"/>
      <c r="Z44"/>
      <c r="AA44"/>
      <c r="AB44"/>
      <c r="AC44"/>
      <c r="AD44"/>
      <c r="AE44"/>
    </row>
    <row r="45" spans="3:31" x14ac:dyDescent="0.25">
      <c r="D45" s="43" t="s">
        <v>1</v>
      </c>
      <c r="E45" s="43"/>
      <c r="G45" s="93" t="s">
        <v>58</v>
      </c>
      <c r="H45" s="93"/>
      <c r="I45" s="93"/>
      <c r="L45"/>
      <c r="M45"/>
      <c r="N45"/>
      <c r="O45"/>
      <c r="Z45"/>
      <c r="AA45"/>
      <c r="AB45"/>
      <c r="AC45"/>
      <c r="AD45"/>
      <c r="AE45"/>
    </row>
    <row r="46" spans="3:31" x14ac:dyDescent="0.25">
      <c r="G46" s="30" t="s">
        <v>4</v>
      </c>
      <c r="H46" s="30" t="s">
        <v>5</v>
      </c>
      <c r="I46" s="30" t="s">
        <v>6</v>
      </c>
      <c r="L46"/>
      <c r="M46"/>
      <c r="N46"/>
      <c r="O46"/>
      <c r="Z46"/>
      <c r="AA46"/>
      <c r="AB46"/>
      <c r="AC46"/>
      <c r="AD46"/>
      <c r="AE46"/>
    </row>
    <row r="47" spans="3:31" x14ac:dyDescent="0.25">
      <c r="G47" s="62">
        <v>0</v>
      </c>
      <c r="H47" s="62">
        <v>0</v>
      </c>
      <c r="I47" s="62">
        <v>0</v>
      </c>
      <c r="L47"/>
      <c r="M47"/>
      <c r="N47"/>
      <c r="O47"/>
      <c r="Z47"/>
      <c r="AA47"/>
      <c r="AB47"/>
      <c r="AC47"/>
      <c r="AD47"/>
      <c r="AE47"/>
    </row>
    <row r="48" spans="3:31" x14ac:dyDescent="0.25">
      <c r="G48" s="96">
        <f>G47+H47/60+I47/3600</f>
        <v>0</v>
      </c>
      <c r="H48" s="96"/>
      <c r="I48" s="96"/>
      <c r="L48"/>
      <c r="M48"/>
      <c r="N48"/>
      <c r="O48"/>
      <c r="Z48"/>
      <c r="AA48"/>
      <c r="AB48"/>
      <c r="AC48"/>
      <c r="AD48"/>
      <c r="AE48"/>
    </row>
    <row r="49" spans="3:31" x14ac:dyDescent="0.25">
      <c r="K49"/>
      <c r="L49"/>
      <c r="M49"/>
      <c r="N49"/>
      <c r="O49"/>
      <c r="P49"/>
      <c r="Z49"/>
      <c r="AA49"/>
      <c r="AB49"/>
      <c r="AC49"/>
      <c r="AD49"/>
      <c r="AE49"/>
    </row>
    <row r="50" spans="3:31" x14ac:dyDescent="0.25">
      <c r="D50" s="109" t="s">
        <v>36</v>
      </c>
      <c r="E50" s="110"/>
      <c r="F50" s="110"/>
      <c r="G50" s="30" t="s">
        <v>14</v>
      </c>
      <c r="H50" s="30" t="s">
        <v>5</v>
      </c>
      <c r="I50" s="30" t="s">
        <v>6</v>
      </c>
      <c r="J50" s="31" t="s">
        <v>23</v>
      </c>
      <c r="K50"/>
      <c r="L50" s="109" t="s">
        <v>59</v>
      </c>
      <c r="M50" s="110"/>
      <c r="N50" s="110"/>
      <c r="O50" s="30" t="s">
        <v>14</v>
      </c>
      <c r="P50" s="30" t="s">
        <v>5</v>
      </c>
      <c r="Q50" s="30" t="s">
        <v>6</v>
      </c>
      <c r="R50" s="31" t="s">
        <v>23</v>
      </c>
      <c r="Z50" t="e">
        <f>G52+O52*(#REF!-G48)</f>
        <v>#REF!</v>
      </c>
      <c r="AA50"/>
      <c r="AB50"/>
      <c r="AC50"/>
      <c r="AD50"/>
      <c r="AE50"/>
    </row>
    <row r="51" spans="3:31" x14ac:dyDescent="0.25">
      <c r="D51" s="110"/>
      <c r="E51" s="110"/>
      <c r="F51" s="110"/>
      <c r="G51" s="42">
        <v>6</v>
      </c>
      <c r="H51" s="38">
        <v>35.9</v>
      </c>
      <c r="I51" s="38">
        <v>0</v>
      </c>
      <c r="J51" s="108" t="s">
        <v>30</v>
      </c>
      <c r="K51"/>
      <c r="L51" s="110"/>
      <c r="M51" s="110"/>
      <c r="N51" s="110"/>
      <c r="O51" s="38">
        <v>0</v>
      </c>
      <c r="P51" s="38">
        <v>1</v>
      </c>
      <c r="Q51" s="38">
        <v>0</v>
      </c>
      <c r="R51" s="108" t="s">
        <v>29</v>
      </c>
      <c r="Z51"/>
      <c r="AA51"/>
      <c r="AB51"/>
      <c r="AC51"/>
      <c r="AD51"/>
      <c r="AE51"/>
    </row>
    <row r="52" spans="3:31" ht="15.75" thickBot="1" x14ac:dyDescent="0.3">
      <c r="D52" s="110"/>
      <c r="E52" s="110"/>
      <c r="F52" s="110"/>
      <c r="G52" s="131">
        <f>(G51+H51/60+I51/3600) * VLOOKUP(J51,Constante!$D$15:$E$16,2)</f>
        <v>-6.5983333333333336</v>
      </c>
      <c r="H52" s="131"/>
      <c r="I52" s="131"/>
      <c r="J52" s="108"/>
      <c r="K52"/>
      <c r="L52" s="110"/>
      <c r="M52" s="110"/>
      <c r="N52" s="110"/>
      <c r="O52" s="131">
        <f>(O51+P51/60+Q51/3600) * VLOOKUP(R51,Constante!$D$15:$E$16,2)</f>
        <v>1.6666666666666666E-2</v>
      </c>
      <c r="P52" s="131"/>
      <c r="Q52" s="131"/>
      <c r="R52" s="108"/>
      <c r="Z52"/>
      <c r="AA52"/>
      <c r="AB52"/>
      <c r="AC52"/>
      <c r="AD52"/>
      <c r="AE52"/>
    </row>
    <row r="53" spans="3:31" x14ac:dyDescent="0.25">
      <c r="G53" s="101"/>
      <c r="H53" s="102"/>
      <c r="I53" s="102"/>
      <c r="J53" s="103"/>
      <c r="K53"/>
      <c r="L53"/>
      <c r="M53"/>
      <c r="N53"/>
      <c r="O53"/>
      <c r="P53"/>
      <c r="Z53"/>
      <c r="AA53"/>
      <c r="AB53"/>
      <c r="AC53"/>
      <c r="AD53"/>
      <c r="AE53"/>
    </row>
    <row r="54" spans="3:31" x14ac:dyDescent="0.25">
      <c r="D54" s="109" t="s">
        <v>37</v>
      </c>
      <c r="E54" s="110"/>
      <c r="F54" s="110"/>
      <c r="G54" s="30" t="s">
        <v>14</v>
      </c>
      <c r="H54" s="30" t="s">
        <v>5</v>
      </c>
      <c r="I54" s="30" t="s">
        <v>6</v>
      </c>
      <c r="J54" s="31" t="s">
        <v>23</v>
      </c>
      <c r="K54"/>
      <c r="L54" s="109" t="s">
        <v>60</v>
      </c>
      <c r="M54" s="110"/>
      <c r="N54" s="110"/>
      <c r="O54" s="30" t="s">
        <v>14</v>
      </c>
      <c r="P54" s="30" t="s">
        <v>5</v>
      </c>
      <c r="Q54" s="30" t="s">
        <v>6</v>
      </c>
      <c r="R54" s="31" t="s">
        <v>23</v>
      </c>
      <c r="Z54" t="e">
        <f>IF(AA54&gt;360,AA54-360,IF(AA54&lt;0,AA54+360,AA54))</f>
        <v>#REF!</v>
      </c>
      <c r="AA54" t="e">
        <f>G56+O56*(#REF!-G48)</f>
        <v>#REF!</v>
      </c>
      <c r="AB54"/>
      <c r="AC54"/>
      <c r="AD54"/>
      <c r="AE54"/>
    </row>
    <row r="55" spans="3:31" x14ac:dyDescent="0.25">
      <c r="D55" s="110"/>
      <c r="E55" s="110"/>
      <c r="F55" s="110"/>
      <c r="G55" s="42">
        <v>177</v>
      </c>
      <c r="H55" s="38">
        <v>1.9</v>
      </c>
      <c r="I55" s="38">
        <v>0</v>
      </c>
      <c r="J55" s="108" t="s">
        <v>33</v>
      </c>
      <c r="K55"/>
      <c r="L55" s="110"/>
      <c r="M55" s="110"/>
      <c r="N55" s="110"/>
      <c r="O55" s="38">
        <v>15.002000000000001</v>
      </c>
      <c r="P55" s="38">
        <v>0</v>
      </c>
      <c r="Q55" s="38">
        <v>0</v>
      </c>
      <c r="R55" s="108" t="s">
        <v>33</v>
      </c>
      <c r="Z55"/>
      <c r="AA55"/>
      <c r="AB55"/>
      <c r="AC55"/>
      <c r="AD55"/>
      <c r="AE55"/>
    </row>
    <row r="56" spans="3:31" x14ac:dyDescent="0.25">
      <c r="D56" s="110"/>
      <c r="E56" s="110"/>
      <c r="F56" s="110"/>
      <c r="G56" s="131">
        <f>(G55+H55/60+I55/3600) * VLOOKUP(J55,Constante!$D$12:$E$13,2)</f>
        <v>177.03166666666667</v>
      </c>
      <c r="H56" s="131"/>
      <c r="I56" s="131"/>
      <c r="J56" s="108"/>
      <c r="K56"/>
      <c r="L56" s="110"/>
      <c r="M56" s="110"/>
      <c r="N56" s="110"/>
      <c r="O56" s="131">
        <f>(O55+P55/60+Q55/3600) * VLOOKUP(R55,Constante!$D$12:$E$13,2)</f>
        <v>15.002000000000001</v>
      </c>
      <c r="P56" s="131"/>
      <c r="Q56" s="131"/>
      <c r="R56" s="108"/>
      <c r="Z56"/>
      <c r="AA56"/>
      <c r="AB56"/>
      <c r="AC56"/>
      <c r="AD56"/>
      <c r="AE56"/>
    </row>
    <row r="57" spans="3:31" x14ac:dyDescent="0.25">
      <c r="Z57"/>
      <c r="AA57"/>
      <c r="AB57"/>
      <c r="AC57"/>
      <c r="AD57"/>
      <c r="AE57"/>
    </row>
    <row r="58" spans="3:31" x14ac:dyDescent="0.25">
      <c r="Z58"/>
      <c r="AA58"/>
      <c r="AB58"/>
      <c r="AC58"/>
      <c r="AD58"/>
      <c r="AE58"/>
    </row>
    <row r="59" spans="3:31" x14ac:dyDescent="0.25">
      <c r="Z59"/>
      <c r="AA59"/>
      <c r="AB59"/>
      <c r="AC59"/>
      <c r="AD59"/>
      <c r="AE59"/>
    </row>
    <row r="60" spans="3:31" x14ac:dyDescent="0.25">
      <c r="C60" s="134" t="s">
        <v>61</v>
      </c>
      <c r="D60" s="134"/>
      <c r="E60" s="134"/>
      <c r="F60" s="134"/>
      <c r="G60" s="134"/>
      <c r="H60" s="133" t="s">
        <v>63</v>
      </c>
      <c r="I60" s="133"/>
      <c r="J60" s="133"/>
      <c r="K60" s="133"/>
      <c r="L60" s="23" t="str">
        <f>VLOOKUP(H60,Constante!D24:E25,2)</f>
        <v>a</v>
      </c>
    </row>
    <row r="61" spans="3:31" x14ac:dyDescent="0.25">
      <c r="D61" s="2" t="s">
        <v>38</v>
      </c>
      <c r="AA61" s="1" t="s">
        <v>39</v>
      </c>
      <c r="AC61" s="1" t="s">
        <v>40</v>
      </c>
      <c r="AE61" s="1" t="s">
        <v>41</v>
      </c>
    </row>
    <row r="62" spans="3:31" ht="15.75" customHeight="1" x14ac:dyDescent="0.25">
      <c r="F62" s="132" t="s">
        <v>36</v>
      </c>
      <c r="G62" s="132"/>
      <c r="H62" s="132"/>
      <c r="I62" s="140">
        <f>IF(L60="a",AA64,Z50)</f>
        <v>-5.9786666666666664</v>
      </c>
      <c r="J62" s="140"/>
      <c r="K62" s="140"/>
      <c r="L62" s="140"/>
      <c r="AC62" s="1" t="s">
        <v>42</v>
      </c>
      <c r="AD62" s="1">
        <f>(G35-L35)/($G$31-$M$31)</f>
        <v>-1.499999999999968E-2</v>
      </c>
    </row>
    <row r="63" spans="3:31" x14ac:dyDescent="0.25">
      <c r="F63" s="132"/>
      <c r="G63" s="132"/>
      <c r="H63" s="132"/>
      <c r="I63" s="64" t="s">
        <v>14</v>
      </c>
      <c r="J63" s="64" t="s">
        <v>5</v>
      </c>
      <c r="K63" s="64" t="s">
        <v>6</v>
      </c>
      <c r="L63" s="23" t="s">
        <v>23</v>
      </c>
      <c r="AC63" s="1" t="s">
        <v>43</v>
      </c>
      <c r="AD63" s="1">
        <f>G35-AD62*$G$31</f>
        <v>-5.8016666666666703</v>
      </c>
    </row>
    <row r="64" spans="3:31" ht="15.75" thickBot="1" x14ac:dyDescent="0.3">
      <c r="F64" s="132"/>
      <c r="G64" s="132"/>
      <c r="H64" s="132"/>
      <c r="I64" s="24">
        <f>INT(ABS(I62))</f>
        <v>5</v>
      </c>
      <c r="J64" s="24">
        <f>INT(60*(ABS(I62)-I64))</f>
        <v>58</v>
      </c>
      <c r="K64" s="24">
        <f>INT(3600*(ABS(I62)-I64-J64/60))</f>
        <v>43</v>
      </c>
      <c r="L64" s="23" t="str">
        <f>VLOOKUP(IF(I62&lt;0,-1,1),Constante!$F$15:$G$17,2)</f>
        <v>S</v>
      </c>
      <c r="O64" s="1">
        <f>6+20/60</f>
        <v>6.333333333333333</v>
      </c>
      <c r="P64" s="1">
        <f>O64+I62</f>
        <v>0.35466666666666669</v>
      </c>
      <c r="Q64" s="1">
        <f>P64*3600</f>
        <v>1276.8000000000002</v>
      </c>
      <c r="Y64" s="1">
        <f>IF(AA64&lt;0,-1,1)</f>
        <v>-1</v>
      </c>
      <c r="Z64" s="1">
        <f>ABS(AA64)</f>
        <v>5.9786666666666664</v>
      </c>
      <c r="AA64" s="1">
        <f>AD62*AD64+AD63</f>
        <v>-5.9786666666666664</v>
      </c>
      <c r="AC64" s="1" t="s">
        <v>44</v>
      </c>
      <c r="AD64" s="1">
        <f>G25</f>
        <v>11.8</v>
      </c>
    </row>
    <row r="65" spans="2:31" ht="15.75" thickBot="1" x14ac:dyDescent="0.3">
      <c r="I65" s="137"/>
      <c r="J65" s="138"/>
      <c r="K65" s="138"/>
      <c r="L65" s="139"/>
    </row>
    <row r="66" spans="2:31" x14ac:dyDescent="0.25">
      <c r="F66" s="132" t="s">
        <v>49</v>
      </c>
      <c r="G66" s="96"/>
      <c r="H66" s="96"/>
      <c r="I66" s="141">
        <f>IF(L60="a",AA69,Z54)</f>
        <v>0.11266666666665515</v>
      </c>
      <c r="J66" s="140"/>
      <c r="K66" s="140"/>
      <c r="L66" s="140"/>
      <c r="AA66" s="1" t="s">
        <v>39</v>
      </c>
      <c r="AC66" s="1" t="s">
        <v>40</v>
      </c>
      <c r="AE66" s="1" t="s">
        <v>41</v>
      </c>
    </row>
    <row r="67" spans="2:31" x14ac:dyDescent="0.25">
      <c r="F67" s="96"/>
      <c r="G67" s="96"/>
      <c r="H67" s="96"/>
      <c r="I67" s="64" t="s">
        <v>14</v>
      </c>
      <c r="J67" s="64" t="s">
        <v>5</v>
      </c>
      <c r="K67" s="64" t="s">
        <v>6</v>
      </c>
      <c r="L67" s="23" t="s">
        <v>23</v>
      </c>
      <c r="Z67" s="156">
        <f>G39</f>
        <v>348.11</v>
      </c>
      <c r="AA67" s="1">
        <f>IF(L39&gt;G39,L39,L39+360)</f>
        <v>363.11333333333334</v>
      </c>
      <c r="AC67" s="1" t="s">
        <v>42</v>
      </c>
      <c r="AD67" s="1">
        <f>(Z67-AA67)/($G$31-$M$31)</f>
        <v>15.00333333333333</v>
      </c>
    </row>
    <row r="68" spans="2:31" x14ac:dyDescent="0.25">
      <c r="F68" s="96"/>
      <c r="G68" s="96"/>
      <c r="H68" s="96"/>
      <c r="I68" s="24">
        <f>INT(ABS(I66))</f>
        <v>0</v>
      </c>
      <c r="J68" s="24">
        <f>INT(60*(ABS(I66)-I68))</f>
        <v>6</v>
      </c>
      <c r="K68" s="24">
        <f>INT(3600*(ABS(I66)-I68-J68/60))</f>
        <v>45</v>
      </c>
      <c r="L68" s="23" t="str">
        <f>VLOOKUP(IF(I66&lt;0,-1,1),Constante!$F$12:$G$13,2)</f>
        <v>E</v>
      </c>
      <c r="AC68" s="1" t="s">
        <v>43</v>
      </c>
      <c r="AD68" s="1">
        <f>G39-AD67*$G$31</f>
        <v>183.07333333333338</v>
      </c>
    </row>
    <row r="69" spans="2:31" x14ac:dyDescent="0.25">
      <c r="Y69" s="1">
        <f>IF(AA69&lt;0,-1,1)</f>
        <v>1</v>
      </c>
      <c r="Z69" s="1">
        <f>ABS(AA69)</f>
        <v>0.11266666666665515</v>
      </c>
      <c r="AA69" s="1">
        <f>IF(AB69&gt;360,AB69-360,IF(AB69&lt;0,AB69+360,AB69))</f>
        <v>0.11266666666665515</v>
      </c>
      <c r="AB69" s="1">
        <f>AD67*AD69+AD68</f>
        <v>360.11266666666666</v>
      </c>
      <c r="AC69" s="1" t="s">
        <v>44</v>
      </c>
      <c r="AD69" s="1">
        <f>G25</f>
        <v>11.8</v>
      </c>
    </row>
    <row r="71" spans="2:31" ht="15.75" thickBot="1" x14ac:dyDescent="0.3"/>
    <row r="72" spans="2:31" ht="15.75" thickBot="1" x14ac:dyDescent="0.3">
      <c r="B72" s="32" t="s">
        <v>46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4"/>
      <c r="Z72" s="1" t="s">
        <v>48</v>
      </c>
      <c r="AA72" s="1" t="s">
        <v>50</v>
      </c>
    </row>
    <row r="73" spans="2:31" x14ac:dyDescent="0.25">
      <c r="F73" s="94" t="s">
        <v>51</v>
      </c>
      <c r="G73" s="94"/>
      <c r="H73" s="94"/>
      <c r="Z73" s="1">
        <f>SIN(Constante!$D$20*'Droite hauteur'!I60)*SIN(Constante!$D$20*'Droite hauteur'!D12)</f>
        <v>-7.3102986268899564E-2</v>
      </c>
      <c r="AA73" s="1">
        <f>COS(Constante!$D$20*'Droite hauteur'!I60)*COS(Constante!$D$20*'Droite hauteur'!I64)*COS(Constante!$D$20*'Droite hauteur'!D12)</f>
        <v>0.58986141125769465</v>
      </c>
    </row>
    <row r="74" spans="2:31" x14ac:dyDescent="0.25">
      <c r="F74" s="64" t="s">
        <v>14</v>
      </c>
      <c r="G74" s="64" t="s">
        <v>5</v>
      </c>
      <c r="H74" s="64" t="s">
        <v>6</v>
      </c>
    </row>
    <row r="75" spans="2:31" x14ac:dyDescent="0.25">
      <c r="F75" s="24">
        <f>INT(ABS(F76))</f>
        <v>31</v>
      </c>
      <c r="G75" s="24">
        <f>INT(60*(ABS(F76)-F75))</f>
        <v>6</v>
      </c>
      <c r="H75" s="63">
        <f>ABS(F76)-F75-G75/60</f>
        <v>1.5063151361674437E-2</v>
      </c>
    </row>
    <row r="76" spans="2:31" x14ac:dyDescent="0.25">
      <c r="F76" s="135">
        <f>ASIN(Z73+AA73)/Constante!$D$20</f>
        <v>31.115063151361674</v>
      </c>
      <c r="G76" s="135"/>
      <c r="H76" s="135"/>
    </row>
    <row r="79" spans="2:31" ht="15.75" thickBot="1" x14ac:dyDescent="0.3"/>
    <row r="80" spans="2:31" ht="15.75" thickBot="1" x14ac:dyDescent="0.3">
      <c r="B80" s="32" t="s">
        <v>52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4"/>
      <c r="Z80" s="1" t="s">
        <v>54</v>
      </c>
      <c r="AA80" s="1" t="s">
        <v>55</v>
      </c>
      <c r="AB80" s="1" t="s">
        <v>56</v>
      </c>
    </row>
    <row r="81" spans="2:30" x14ac:dyDescent="0.25">
      <c r="F81" s="94" t="s">
        <v>53</v>
      </c>
      <c r="G81" s="94"/>
      <c r="H81" s="94"/>
      <c r="Z81" s="1">
        <f>SIN(Constante!D20*'Droite hauteur'!I60)</f>
        <v>-9.7045863235388358E-2</v>
      </c>
      <c r="AA81" s="1">
        <f>SIN(Constante!$D$20*'Droite hauteur'!D12)*SIN(Constante!$D$20*'Droite hauteur'!F74)</f>
        <v>0.38926526888287388</v>
      </c>
      <c r="AB81" s="1">
        <f>COS(Constante!$D$20*'Droite hauteur'!D12)*COS(Constante!$D$20*'Droite hauteur'!F74)</f>
        <v>0.56307468354061541</v>
      </c>
    </row>
    <row r="82" spans="2:30" x14ac:dyDescent="0.25">
      <c r="F82" s="64" t="s">
        <v>14</v>
      </c>
      <c r="G82" s="64" t="s">
        <v>5</v>
      </c>
      <c r="H82" s="64" t="s">
        <v>6</v>
      </c>
    </row>
    <row r="83" spans="2:30" x14ac:dyDescent="0.25">
      <c r="F83" s="24">
        <f>INT(ABS(F84))</f>
        <v>149</v>
      </c>
      <c r="G83" s="24">
        <f>INT(60*(ABS(F84)-F83))</f>
        <v>43</v>
      </c>
      <c r="H83" s="63">
        <f>ABS(F84)-F83-G83/60</f>
        <v>1.4600034634812187E-2</v>
      </c>
      <c r="J83" s="26" t="s">
        <v>82</v>
      </c>
      <c r="K83" s="26"/>
    </row>
    <row r="84" spans="2:30" x14ac:dyDescent="0.25">
      <c r="F84" s="136">
        <f>ACOS(((Z81-AA81)/AB81))/Constante!$D$20</f>
        <v>149.73126670130148</v>
      </c>
      <c r="G84" s="136"/>
      <c r="H84" s="136"/>
      <c r="J84" s="57"/>
      <c r="K84" s="58">
        <f>IF(I66&lt;180,ABS(F84-360),F84)</f>
        <v>210.26873329869852</v>
      </c>
      <c r="L84" s="59" t="s">
        <v>14</v>
      </c>
    </row>
    <row r="86" spans="2:30" ht="15.75" thickBot="1" x14ac:dyDescent="0.3"/>
    <row r="87" spans="2:30" ht="15.75" thickBot="1" x14ac:dyDescent="0.3">
      <c r="B87" s="32" t="s">
        <v>67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4"/>
    </row>
    <row r="88" spans="2:30" x14ac:dyDescent="0.25">
      <c r="D88" s="1" t="s">
        <v>13</v>
      </c>
      <c r="F88" t="s">
        <v>20</v>
      </c>
      <c r="G88"/>
      <c r="H88"/>
      <c r="I88" s="1" t="s">
        <v>70</v>
      </c>
      <c r="O88" s="94" t="s">
        <v>71</v>
      </c>
      <c r="P88" s="94"/>
      <c r="Q88" s="94"/>
      <c r="Z88" s="1">
        <f>MATCH(G15,Constante!M7:M19,1)</f>
        <v>10</v>
      </c>
    </row>
    <row r="89" spans="2:30" x14ac:dyDescent="0.25">
      <c r="D89" s="27">
        <f>G15</f>
        <v>31.283333333333335</v>
      </c>
      <c r="E89" s="28" t="s">
        <v>68</v>
      </c>
      <c r="F89" s="29">
        <f>E11</f>
        <v>0</v>
      </c>
      <c r="G89" s="23"/>
      <c r="H89" s="28" t="s">
        <v>69</v>
      </c>
      <c r="I89" s="23">
        <f>Z95</f>
        <v>0.24252222222222225</v>
      </c>
      <c r="O89" s="64" t="s">
        <v>14</v>
      </c>
      <c r="P89" s="64" t="s">
        <v>5</v>
      </c>
      <c r="Q89" s="64" t="s">
        <v>6</v>
      </c>
      <c r="Z89" s="1">
        <f>INDEX(Constante!M7:M18,Z88,1)</f>
        <v>30</v>
      </c>
      <c r="AA89" s="1">
        <f>INDEX(Constante!M7:M18,1+Z88,1)</f>
        <v>50</v>
      </c>
    </row>
    <row r="90" spans="2:30" x14ac:dyDescent="0.25">
      <c r="D90" s="23"/>
      <c r="E90" s="23"/>
      <c r="F90" s="23"/>
      <c r="G90" s="23"/>
      <c r="H90" s="28" t="s">
        <v>69</v>
      </c>
      <c r="I90" s="23">
        <f>IF(AND(V94,V91),Constante!N21,IF(V91,0,IF(W91,Constante!N20,888)))</f>
        <v>0</v>
      </c>
      <c r="O90" s="24">
        <f>INT(ABS(O91))</f>
        <v>31</v>
      </c>
      <c r="P90" s="24">
        <f>INT(60*(ABS(O91)-O90))</f>
        <v>31</v>
      </c>
      <c r="Q90" s="63">
        <f>ABS(O91)-O90-P90/60</f>
        <v>9.1888888888921327E-3</v>
      </c>
      <c r="U90" s="1" t="s">
        <v>24</v>
      </c>
      <c r="V90" s="1" t="s">
        <v>16</v>
      </c>
      <c r="W90" s="1" t="s">
        <v>95</v>
      </c>
      <c r="Z90" s="1">
        <f>INDEX(Constante!N7:T19,Z88,1+L15)</f>
        <v>0.24166666666666667</v>
      </c>
      <c r="AA90" s="1">
        <f>INDEX(Constante!N7:T19,1+Z88,1+L15)</f>
        <v>0.255</v>
      </c>
    </row>
    <row r="91" spans="2:30" x14ac:dyDescent="0.25">
      <c r="F91"/>
      <c r="G91"/>
      <c r="I91" s="1" t="s">
        <v>72</v>
      </c>
      <c r="O91" s="135">
        <f>D89-F89+I89+I90</f>
        <v>31.525855555555559</v>
      </c>
      <c r="P91" s="135"/>
      <c r="Q91" s="135"/>
      <c r="U91" s="1" t="b">
        <f>ISNUMBER(SEARCH(E12,Constante!D4))</f>
        <v>0</v>
      </c>
      <c r="V91" s="1" t="b">
        <f>ISNUMBER(SEARCH(E12,Constante!D3))</f>
        <v>1</v>
      </c>
      <c r="W91" s="1" t="b">
        <f>AND(NOT(U91),NOT(V91))</f>
        <v>0</v>
      </c>
    </row>
    <row r="92" spans="2:30" x14ac:dyDescent="0.25">
      <c r="Z92" s="1" t="s">
        <v>39</v>
      </c>
      <c r="AB92" s="1" t="s">
        <v>40</v>
      </c>
      <c r="AD92" s="1" t="s">
        <v>41</v>
      </c>
    </row>
    <row r="93" spans="2:30" x14ac:dyDescent="0.25">
      <c r="V93" s="1" t="s">
        <v>94</v>
      </c>
      <c r="AB93" s="1" t="s">
        <v>42</v>
      </c>
      <c r="AC93" s="1">
        <f>(Z90-AA90)/(Z89-AA89)</f>
        <v>6.6666666666666675E-4</v>
      </c>
    </row>
    <row r="94" spans="2:30" x14ac:dyDescent="0.25">
      <c r="D94" s="1" t="s">
        <v>79</v>
      </c>
      <c r="V94" s="1" t="b">
        <f>ISNUMBER(SEARCH(L12,Constante!G4))</f>
        <v>0</v>
      </c>
      <c r="AB94" s="1" t="s">
        <v>43</v>
      </c>
      <c r="AC94" s="1">
        <f>Z90-AC93*Z89</f>
        <v>0.22166666666666668</v>
      </c>
    </row>
    <row r="95" spans="2:30" x14ac:dyDescent="0.25">
      <c r="F95" s="94" t="s">
        <v>79</v>
      </c>
      <c r="G95" s="94"/>
      <c r="H95" s="94"/>
      <c r="Z95" s="1">
        <f>AC93*D89+AC94</f>
        <v>0.24252222222222225</v>
      </c>
      <c r="AB95" s="1" t="s">
        <v>44</v>
      </c>
      <c r="AC95" s="1" t="e">
        <f>#REF!</f>
        <v>#REF!</v>
      </c>
    </row>
    <row r="96" spans="2:30" x14ac:dyDescent="0.25">
      <c r="F96" s="64" t="s">
        <v>14</v>
      </c>
      <c r="G96" s="64" t="s">
        <v>5</v>
      </c>
      <c r="H96" s="64" t="s">
        <v>6</v>
      </c>
    </row>
    <row r="97" spans="6:14" x14ac:dyDescent="0.25">
      <c r="F97" s="36">
        <f>INT(ABS(F98))</f>
        <v>0</v>
      </c>
      <c r="G97" s="36">
        <f>INT(60*(ABS(F98)-F97))</f>
        <v>24</v>
      </c>
      <c r="H97" s="37">
        <f>ABS(F98)-F97-G97/60</f>
        <v>1.0792404193884386E-2</v>
      </c>
    </row>
    <row r="98" spans="6:14" x14ac:dyDescent="0.25">
      <c r="F98" s="142">
        <f>O91-F76</f>
        <v>0.41079240419388441</v>
      </c>
      <c r="G98" s="143"/>
      <c r="H98" s="144"/>
      <c r="J98" s="145">
        <f>F98*60</f>
        <v>24.647544251633065</v>
      </c>
      <c r="K98" s="146"/>
      <c r="L98" s="60"/>
      <c r="M98" s="61" t="s">
        <v>90</v>
      </c>
      <c r="N98" s="1" t="s">
        <v>81</v>
      </c>
    </row>
    <row r="99" spans="6:14" x14ac:dyDescent="0.25">
      <c r="N99" s="1" t="s">
        <v>80</v>
      </c>
    </row>
  </sheetData>
  <mergeCells count="74">
    <mergeCell ref="F95:H95"/>
    <mergeCell ref="F98:H98"/>
    <mergeCell ref="J98:K98"/>
    <mergeCell ref="D11:G11"/>
    <mergeCell ref="G22:I22"/>
    <mergeCell ref="G25:I25"/>
    <mergeCell ref="F73:H73"/>
    <mergeCell ref="F76:H76"/>
    <mergeCell ref="F81:H81"/>
    <mergeCell ref="F84:H84"/>
    <mergeCell ref="O88:Q88"/>
    <mergeCell ref="O91:Q91"/>
    <mergeCell ref="C60:G60"/>
    <mergeCell ref="H60:K60"/>
    <mergeCell ref="F62:H64"/>
    <mergeCell ref="I62:L62"/>
    <mergeCell ref="I65:L65"/>
    <mergeCell ref="F66:H68"/>
    <mergeCell ref="I66:L66"/>
    <mergeCell ref="G53:J53"/>
    <mergeCell ref="D54:F56"/>
    <mergeCell ref="L54:N56"/>
    <mergeCell ref="J55:J56"/>
    <mergeCell ref="R55:R56"/>
    <mergeCell ref="G56:I56"/>
    <mergeCell ref="O56:Q56"/>
    <mergeCell ref="G48:I48"/>
    <mergeCell ref="D50:F52"/>
    <mergeCell ref="L50:N52"/>
    <mergeCell ref="J51:J52"/>
    <mergeCell ref="R51:R52"/>
    <mergeCell ref="G52:I52"/>
    <mergeCell ref="O52:Q52"/>
    <mergeCell ref="D37:F39"/>
    <mergeCell ref="J38:J39"/>
    <mergeCell ref="O38:O39"/>
    <mergeCell ref="G39:I39"/>
    <mergeCell ref="L39:N39"/>
    <mergeCell ref="G45:I45"/>
    <mergeCell ref="D33:F35"/>
    <mergeCell ref="J34:J35"/>
    <mergeCell ref="O34:O35"/>
    <mergeCell ref="G35:I35"/>
    <mergeCell ref="L35:N35"/>
    <mergeCell ref="G36:J36"/>
    <mergeCell ref="L36:O36"/>
    <mergeCell ref="L12:M12"/>
    <mergeCell ref="G15:I15"/>
    <mergeCell ref="J15:K15"/>
    <mergeCell ref="G28:I28"/>
    <mergeCell ref="M28:O28"/>
    <mergeCell ref="G31:I31"/>
    <mergeCell ref="M31:O31"/>
    <mergeCell ref="B9:C11"/>
    <mergeCell ref="B12:D15"/>
    <mergeCell ref="E12:F15"/>
    <mergeCell ref="G12:I12"/>
    <mergeCell ref="J12:K12"/>
    <mergeCell ref="R7:W7"/>
    <mergeCell ref="R8:W8"/>
    <mergeCell ref="B5:C8"/>
    <mergeCell ref="D5:G5"/>
    <mergeCell ref="H5:K5"/>
    <mergeCell ref="G7:G8"/>
    <mergeCell ref="K7:K8"/>
    <mergeCell ref="D8:F8"/>
    <mergeCell ref="H8:J8"/>
    <mergeCell ref="R6:W6"/>
    <mergeCell ref="B2:P2"/>
    <mergeCell ref="R3:W3"/>
    <mergeCell ref="B4:E4"/>
    <mergeCell ref="F4:M4"/>
    <mergeCell ref="R4:W4"/>
    <mergeCell ref="R5:W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Constante!$G$3:$G$4</xm:f>
          </x14:formula1>
          <xm:sqref>L12:M12</xm:sqref>
        </x14:dataValidation>
        <x14:dataValidation type="list" allowBlank="1" showInputMessage="1" showErrorMessage="1">
          <x14:formula1>
            <xm:f>Constante!$K$3:$K$8</xm:f>
          </x14:formula1>
          <xm:sqref>L15</xm:sqref>
        </x14:dataValidation>
        <x14:dataValidation type="list" allowBlank="1" showInputMessage="1" showErrorMessage="1">
          <x14:formula1>
            <xm:f>Constante!$D$24:$D$25</xm:f>
          </x14:formula1>
          <xm:sqref>H60</xm:sqref>
        </x14:dataValidation>
        <x14:dataValidation type="list" allowBlank="1" showInputMessage="1" showErrorMessage="1">
          <x14:formula1>
            <xm:f>Constante!$D$12:$D$13</xm:f>
          </x14:formula1>
          <xm:sqref>J55:J56 J38:J39 O38:O39 K7:K8 R55:R56</xm:sqref>
        </x14:dataValidation>
        <x14:dataValidation type="list" allowBlank="1" showInputMessage="1" showErrorMessage="1">
          <x14:formula1>
            <xm:f>Constante!$D$15:$D$16</xm:f>
          </x14:formula1>
          <xm:sqref>G7:G8 J34:J35 O34:O35 J51:J52 R51:R52</xm:sqref>
        </x14:dataValidation>
        <x14:dataValidation type="list" allowBlank="1" showInputMessage="1" showErrorMessage="1" promptTitle="Astre visé">
          <x14:formula1>
            <xm:f>Constante!$D$3:$D$9</xm:f>
          </x14:formula1>
          <xm:sqref>E12</xm:sqref>
        </x14:dataValidation>
        <x14:dataValidation type="list" allowBlank="1" showInputMessage="1" showErrorMessage="1">
          <x14:formula1>
            <xm:f>Constante!$J$12:$J$13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32"/>
  <sheetViews>
    <sheetView workbookViewId="0">
      <selection activeCell="K14" sqref="K14"/>
    </sheetView>
  </sheetViews>
  <sheetFormatPr defaultColWidth="11.42578125" defaultRowHeight="15" x14ac:dyDescent="0.25"/>
  <cols>
    <col min="3" max="3" width="17" customWidth="1"/>
    <col min="5" max="5" width="3.5703125" customWidth="1"/>
  </cols>
  <sheetData>
    <row r="3" spans="3:21" x14ac:dyDescent="0.25">
      <c r="C3" s="14" t="s">
        <v>15</v>
      </c>
      <c r="D3" s="14" t="s">
        <v>16</v>
      </c>
      <c r="F3" s="44" t="s">
        <v>91</v>
      </c>
      <c r="G3" s="44" t="s">
        <v>92</v>
      </c>
      <c r="J3" s="5" t="s">
        <v>78</v>
      </c>
      <c r="K3" s="5">
        <v>0</v>
      </c>
      <c r="L3" s="147" t="s">
        <v>73</v>
      </c>
      <c r="M3" s="148"/>
      <c r="N3" s="148"/>
      <c r="O3" s="148"/>
      <c r="P3" s="148"/>
      <c r="Q3" s="148"/>
      <c r="R3" s="148"/>
      <c r="S3" s="149"/>
      <c r="T3" s="6"/>
      <c r="U3" s="6"/>
    </row>
    <row r="4" spans="3:21" x14ac:dyDescent="0.25">
      <c r="C4" s="14"/>
      <c r="D4" s="14" t="s">
        <v>24</v>
      </c>
      <c r="F4" s="44"/>
      <c r="G4" s="44" t="s">
        <v>93</v>
      </c>
      <c r="J4" s="5"/>
      <c r="K4" s="5">
        <v>1</v>
      </c>
      <c r="L4" s="6"/>
      <c r="M4" s="150" t="s">
        <v>74</v>
      </c>
      <c r="N4" s="150" t="s">
        <v>75</v>
      </c>
      <c r="O4" s="150"/>
      <c r="P4" s="150"/>
      <c r="Q4" s="150"/>
      <c r="R4" s="150"/>
      <c r="S4" s="7"/>
      <c r="T4" s="6"/>
      <c r="U4" s="6"/>
    </row>
    <row r="5" spans="3:21" x14ac:dyDescent="0.25">
      <c r="C5" s="14"/>
      <c r="D5" s="14" t="s">
        <v>26</v>
      </c>
      <c r="J5" s="5"/>
      <c r="K5" s="5">
        <v>2</v>
      </c>
      <c r="L5" s="6"/>
      <c r="M5" s="150"/>
      <c r="N5" s="8">
        <v>0</v>
      </c>
      <c r="O5" s="8">
        <v>1</v>
      </c>
      <c r="P5" s="8">
        <v>2</v>
      </c>
      <c r="Q5" s="8">
        <v>3</v>
      </c>
      <c r="R5" s="8">
        <v>4</v>
      </c>
      <c r="S5" s="8">
        <v>5</v>
      </c>
      <c r="T5" s="9">
        <v>1000</v>
      </c>
      <c r="U5" s="6"/>
    </row>
    <row r="6" spans="3:21" x14ac:dyDescent="0.25">
      <c r="C6" s="14"/>
      <c r="D6" s="14" t="s">
        <v>27</v>
      </c>
      <c r="J6" s="5"/>
      <c r="K6" s="5">
        <v>3</v>
      </c>
      <c r="L6" s="10" t="s">
        <v>76</v>
      </c>
      <c r="M6" s="11"/>
      <c r="N6" s="11">
        <v>1</v>
      </c>
      <c r="O6" s="11">
        <v>2</v>
      </c>
      <c r="P6" s="11">
        <f>O6+1</f>
        <v>3</v>
      </c>
      <c r="Q6" s="11">
        <f>P6+1</f>
        <v>4</v>
      </c>
      <c r="R6" s="11">
        <f>Q6+1</f>
        <v>5</v>
      </c>
      <c r="S6" s="11">
        <f>R6+1</f>
        <v>6</v>
      </c>
      <c r="T6" s="11">
        <f>S6+1</f>
        <v>7</v>
      </c>
      <c r="U6" s="6"/>
    </row>
    <row r="7" spans="3:21" x14ac:dyDescent="0.25">
      <c r="C7" s="14"/>
      <c r="D7" s="14" t="s">
        <v>27</v>
      </c>
      <c r="J7" s="5"/>
      <c r="K7" s="5">
        <v>4</v>
      </c>
      <c r="L7" s="6"/>
      <c r="M7" s="8">
        <v>0</v>
      </c>
      <c r="N7" s="8">
        <v>0.09</v>
      </c>
      <c r="O7" s="8">
        <v>0.08</v>
      </c>
      <c r="P7" s="8">
        <v>7.0000000000000007E-2</v>
      </c>
      <c r="Q7" s="8">
        <v>0.06</v>
      </c>
      <c r="R7" s="8">
        <v>0.05</v>
      </c>
      <c r="S7" s="8">
        <v>0.04</v>
      </c>
      <c r="T7" s="9">
        <v>0.03</v>
      </c>
      <c r="U7" s="12">
        <v>1</v>
      </c>
    </row>
    <row r="8" spans="3:21" x14ac:dyDescent="0.25">
      <c r="C8" s="14"/>
      <c r="D8" s="14" t="s">
        <v>27</v>
      </c>
      <c r="J8" s="5"/>
      <c r="K8" s="5">
        <v>5</v>
      </c>
      <c r="L8" s="6"/>
      <c r="M8" s="8">
        <v>6</v>
      </c>
      <c r="N8" s="8">
        <v>0.125</v>
      </c>
      <c r="O8" s="8">
        <v>0.125</v>
      </c>
      <c r="P8" s="8">
        <v>8.3333333333333329E-2</v>
      </c>
      <c r="Q8" s="8">
        <v>7.4999999999999997E-2</v>
      </c>
      <c r="R8" s="8">
        <v>6.6666666666666666E-2</v>
      </c>
      <c r="S8" s="8">
        <v>5.8333333333333334E-2</v>
      </c>
      <c r="T8" s="9">
        <v>5.8333333333333334E-2</v>
      </c>
      <c r="U8" s="12">
        <v>1</v>
      </c>
    </row>
    <row r="9" spans="3:21" x14ac:dyDescent="0.25">
      <c r="C9" s="14"/>
      <c r="D9" s="14" t="s">
        <v>27</v>
      </c>
      <c r="L9" s="6"/>
      <c r="M9" s="8">
        <v>7</v>
      </c>
      <c r="N9" s="8">
        <v>0.14499999999999999</v>
      </c>
      <c r="O9" s="8">
        <v>0.14499999999999999</v>
      </c>
      <c r="P9" s="8">
        <v>0.1</v>
      </c>
      <c r="Q9" s="8">
        <v>9.166666666666666E-2</v>
      </c>
      <c r="R9" s="8">
        <v>8.3333333333333329E-2</v>
      </c>
      <c r="S9" s="8">
        <v>7.4999999999999997E-2</v>
      </c>
      <c r="T9" s="9">
        <v>7.4999999999999997E-2</v>
      </c>
      <c r="U9" s="12">
        <f>U8+1</f>
        <v>2</v>
      </c>
    </row>
    <row r="10" spans="3:21" x14ac:dyDescent="0.25">
      <c r="L10" s="6"/>
      <c r="M10" s="8">
        <v>8</v>
      </c>
      <c r="N10" s="8">
        <v>0.16</v>
      </c>
      <c r="O10" s="8">
        <v>0.16</v>
      </c>
      <c r="P10" s="8">
        <v>0.11666666666666667</v>
      </c>
      <c r="Q10" s="8">
        <v>0.10833333333333334</v>
      </c>
      <c r="R10" s="8">
        <v>0.1</v>
      </c>
      <c r="S10" s="8">
        <v>9.166666666666666E-2</v>
      </c>
      <c r="T10" s="9">
        <v>9.166666666666666E-2</v>
      </c>
      <c r="U10" s="12">
        <f t="shared" ref="U10:U19" si="0">U9+1</f>
        <v>3</v>
      </c>
    </row>
    <row r="11" spans="3:21" x14ac:dyDescent="0.25">
      <c r="L11" s="6"/>
      <c r="M11" s="8">
        <v>9</v>
      </c>
      <c r="N11" s="8">
        <v>0.17166666666666669</v>
      </c>
      <c r="O11" s="8">
        <v>0.17166666666666669</v>
      </c>
      <c r="P11" s="8">
        <v>0.13333333333333333</v>
      </c>
      <c r="Q11" s="8">
        <v>0.11666666666666667</v>
      </c>
      <c r="R11" s="8">
        <v>0.10833333333333334</v>
      </c>
      <c r="S11" s="8">
        <v>0.1</v>
      </c>
      <c r="T11" s="9">
        <v>0.1</v>
      </c>
      <c r="U11" s="12">
        <f t="shared" si="0"/>
        <v>4</v>
      </c>
    </row>
    <row r="12" spans="3:21" x14ac:dyDescent="0.25">
      <c r="C12" s="15" t="s">
        <v>28</v>
      </c>
      <c r="D12" s="16" t="s">
        <v>33</v>
      </c>
      <c r="E12" s="17">
        <v>1</v>
      </c>
      <c r="F12" s="15">
        <v>-1</v>
      </c>
      <c r="G12" s="15" t="s">
        <v>32</v>
      </c>
      <c r="I12" s="151" t="s">
        <v>20</v>
      </c>
      <c r="J12" s="152" t="s">
        <v>68</v>
      </c>
      <c r="K12" s="151">
        <v>-1</v>
      </c>
      <c r="L12" s="6"/>
      <c r="M12" s="8">
        <v>10</v>
      </c>
      <c r="N12" s="8">
        <v>0.18000000000000002</v>
      </c>
      <c r="O12" s="8">
        <v>0.18000000000000002</v>
      </c>
      <c r="P12" s="8">
        <v>0.14166666666666666</v>
      </c>
      <c r="Q12" s="8">
        <v>0.13333333333333333</v>
      </c>
      <c r="R12" s="8">
        <v>0.11666666666666667</v>
      </c>
      <c r="S12" s="8">
        <v>0.11666666666666667</v>
      </c>
      <c r="T12" s="9">
        <v>0.11666666666666667</v>
      </c>
      <c r="U12" s="12">
        <f t="shared" si="0"/>
        <v>5</v>
      </c>
    </row>
    <row r="13" spans="3:21" x14ac:dyDescent="0.25">
      <c r="C13" s="15"/>
      <c r="D13" s="16" t="s">
        <v>32</v>
      </c>
      <c r="E13" s="17">
        <v>-1</v>
      </c>
      <c r="F13" s="15">
        <v>1</v>
      </c>
      <c r="G13" s="15" t="s">
        <v>33</v>
      </c>
      <c r="I13" s="151"/>
      <c r="J13" s="152" t="s">
        <v>69</v>
      </c>
      <c r="K13" s="151">
        <v>1</v>
      </c>
      <c r="L13" s="6"/>
      <c r="M13" s="8">
        <v>12</v>
      </c>
      <c r="N13" s="8">
        <v>0.19499999999999998</v>
      </c>
      <c r="O13" s="8">
        <v>0.19499999999999998</v>
      </c>
      <c r="P13" s="8">
        <v>0.15</v>
      </c>
      <c r="Q13" s="8">
        <v>0.14166666666666666</v>
      </c>
      <c r="R13" s="8">
        <v>0.13333333333333333</v>
      </c>
      <c r="S13" s="8">
        <v>0.125</v>
      </c>
      <c r="T13" s="9">
        <v>0.125</v>
      </c>
      <c r="U13" s="12">
        <f t="shared" si="0"/>
        <v>6</v>
      </c>
    </row>
    <row r="14" spans="3:21" x14ac:dyDescent="0.25">
      <c r="D14" s="3"/>
      <c r="E14" s="4"/>
      <c r="L14" s="6"/>
      <c r="M14" s="8">
        <v>15</v>
      </c>
      <c r="N14" s="8">
        <v>0.21</v>
      </c>
      <c r="O14" s="8">
        <v>0.21</v>
      </c>
      <c r="P14" s="8">
        <v>0.16666666666666666</v>
      </c>
      <c r="Q14" s="8">
        <v>0.15833333333333333</v>
      </c>
      <c r="R14" s="8">
        <v>0.15</v>
      </c>
      <c r="S14" s="8">
        <v>0.14166666666666666</v>
      </c>
      <c r="T14" s="9">
        <v>0.14166666666666666</v>
      </c>
      <c r="U14" s="12">
        <f t="shared" si="0"/>
        <v>7</v>
      </c>
    </row>
    <row r="15" spans="3:21" x14ac:dyDescent="0.25">
      <c r="C15" s="14" t="s">
        <v>31</v>
      </c>
      <c r="D15" s="18" t="s">
        <v>29</v>
      </c>
      <c r="E15" s="19">
        <v>1</v>
      </c>
      <c r="F15" s="14">
        <v>-1</v>
      </c>
      <c r="G15" s="14" t="s">
        <v>30</v>
      </c>
      <c r="L15" s="6"/>
      <c r="M15" s="8">
        <v>20</v>
      </c>
      <c r="N15" s="8">
        <v>0.22500000000000001</v>
      </c>
      <c r="O15" s="8">
        <v>0.22500000000000001</v>
      </c>
      <c r="P15" s="8">
        <v>0.18333333333333332</v>
      </c>
      <c r="Q15" s="8">
        <v>0.17499999999999999</v>
      </c>
      <c r="R15" s="8">
        <v>0.16666666666666666</v>
      </c>
      <c r="S15" s="8">
        <v>0.15833333333333333</v>
      </c>
      <c r="T15" s="9">
        <v>0.15833333333333333</v>
      </c>
      <c r="U15" s="12">
        <f t="shared" si="0"/>
        <v>8</v>
      </c>
    </row>
    <row r="16" spans="3:21" x14ac:dyDescent="0.25">
      <c r="C16" s="14"/>
      <c r="D16" s="18" t="s">
        <v>30</v>
      </c>
      <c r="E16" s="19">
        <v>-1</v>
      </c>
      <c r="F16" s="14">
        <v>1</v>
      </c>
      <c r="G16" s="14" t="s">
        <v>29</v>
      </c>
      <c r="L16" s="6"/>
      <c r="M16" s="8">
        <v>30</v>
      </c>
      <c r="N16" s="8">
        <v>0.24166666666666667</v>
      </c>
      <c r="O16" s="8">
        <v>0.24166666666666667</v>
      </c>
      <c r="P16" s="8">
        <v>0.2</v>
      </c>
      <c r="Q16" s="8">
        <v>0.18333333333333332</v>
      </c>
      <c r="R16" s="8">
        <v>0.18333333333333332</v>
      </c>
      <c r="S16" s="8">
        <v>0.17499999999999999</v>
      </c>
      <c r="T16" s="9">
        <v>0.17499999999999999</v>
      </c>
      <c r="U16" s="12">
        <f t="shared" si="0"/>
        <v>9</v>
      </c>
    </row>
    <row r="17" spans="3:21" x14ac:dyDescent="0.25">
      <c r="L17" s="6"/>
      <c r="M17" s="8">
        <v>50</v>
      </c>
      <c r="N17" s="8">
        <v>0.255</v>
      </c>
      <c r="O17" s="8">
        <v>0.255</v>
      </c>
      <c r="P17" s="8">
        <v>0.21666666666666667</v>
      </c>
      <c r="Q17" s="8">
        <v>0.2</v>
      </c>
      <c r="R17" s="8">
        <v>0.2</v>
      </c>
      <c r="S17" s="8">
        <v>0.18333333333333332</v>
      </c>
      <c r="T17" s="9">
        <v>0.18333333333333332</v>
      </c>
      <c r="U17" s="12">
        <f t="shared" si="0"/>
        <v>10</v>
      </c>
    </row>
    <row r="18" spans="3:21" x14ac:dyDescent="0.25">
      <c r="L18" s="6"/>
      <c r="M18" s="8">
        <v>90</v>
      </c>
      <c r="N18" s="8">
        <v>0.26666666666666666</v>
      </c>
      <c r="O18" s="8">
        <v>0.26666666666666666</v>
      </c>
      <c r="P18" s="8">
        <v>0.22500000000000001</v>
      </c>
      <c r="Q18" s="8">
        <v>0.21666666666666667</v>
      </c>
      <c r="R18" s="8">
        <v>0.2</v>
      </c>
      <c r="S18" s="8">
        <v>0.2</v>
      </c>
      <c r="T18" s="9">
        <v>0.2</v>
      </c>
      <c r="U18" s="12">
        <f t="shared" si="0"/>
        <v>11</v>
      </c>
    </row>
    <row r="19" spans="3:21" x14ac:dyDescent="0.25">
      <c r="L19" s="6"/>
      <c r="M19" s="9">
        <v>180</v>
      </c>
      <c r="N19" s="9">
        <v>0.26666666666666666</v>
      </c>
      <c r="O19" s="9">
        <v>0.26666666666666666</v>
      </c>
      <c r="P19" s="9">
        <v>0.22500000000000001</v>
      </c>
      <c r="Q19" s="9">
        <v>0.21666666666666667</v>
      </c>
      <c r="R19" s="9">
        <v>0.2</v>
      </c>
      <c r="S19" s="9">
        <v>0.2</v>
      </c>
      <c r="T19" s="9">
        <v>0.2</v>
      </c>
      <c r="U19" s="12">
        <f t="shared" si="0"/>
        <v>12</v>
      </c>
    </row>
    <row r="20" spans="3:21" x14ac:dyDescent="0.25">
      <c r="C20" s="15" t="s">
        <v>47</v>
      </c>
      <c r="D20" s="15">
        <f>PI()/180</f>
        <v>1.7453292519943295E-2</v>
      </c>
      <c r="L20" s="6"/>
      <c r="M20" s="13" t="s">
        <v>25</v>
      </c>
      <c r="N20" s="13">
        <v>-0.26666666666</v>
      </c>
      <c r="O20" s="6"/>
      <c r="P20" s="6"/>
      <c r="Q20" s="6"/>
      <c r="R20" s="6"/>
      <c r="S20" s="6"/>
      <c r="T20" s="6"/>
      <c r="U20" s="6"/>
    </row>
    <row r="21" spans="3:21" x14ac:dyDescent="0.25">
      <c r="M21" s="13" t="s">
        <v>77</v>
      </c>
      <c r="N21" s="13">
        <v>-0.53333333333300004</v>
      </c>
      <c r="O21" s="6"/>
      <c r="P21" s="6"/>
      <c r="Q21" s="6"/>
      <c r="R21" s="6"/>
      <c r="S21" s="6"/>
      <c r="T21" s="6"/>
      <c r="U21" s="6"/>
    </row>
    <row r="24" spans="3:21" x14ac:dyDescent="0.25">
      <c r="C24" s="14" t="s">
        <v>62</v>
      </c>
      <c r="D24" s="14" t="s">
        <v>63</v>
      </c>
      <c r="E24" s="14" t="s">
        <v>65</v>
      </c>
    </row>
    <row r="25" spans="3:21" x14ac:dyDescent="0.25">
      <c r="C25" s="14"/>
      <c r="D25" s="14" t="s">
        <v>64</v>
      </c>
      <c r="E25" s="14" t="s">
        <v>66</v>
      </c>
    </row>
    <row r="29" spans="3:21" x14ac:dyDescent="0.25">
      <c r="C29" t="s">
        <v>97</v>
      </c>
    </row>
    <row r="30" spans="3:21" x14ac:dyDescent="0.25">
      <c r="C30" t="s">
        <v>98</v>
      </c>
      <c r="D30">
        <v>48.875556000000003</v>
      </c>
      <c r="E30" t="s">
        <v>100</v>
      </c>
    </row>
    <row r="31" spans="3:21" x14ac:dyDescent="0.25">
      <c r="C31" t="s">
        <v>99</v>
      </c>
      <c r="D31">
        <v>2.0948030000000002</v>
      </c>
      <c r="E31" t="s">
        <v>101</v>
      </c>
    </row>
    <row r="32" spans="3:21" x14ac:dyDescent="0.25">
      <c r="C32" t="s">
        <v>102</v>
      </c>
      <c r="D32" t="s">
        <v>103</v>
      </c>
    </row>
  </sheetData>
  <mergeCells count="3">
    <mergeCell ref="L3:S3"/>
    <mergeCell ref="M4:M5"/>
    <mergeCell ref="N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Droite hauteur</vt:lpstr>
      <vt:lpstr>Meridienne</vt:lpstr>
      <vt:lpstr>Constante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FAGES Pierre</cp:lastModifiedBy>
  <dcterms:created xsi:type="dcterms:W3CDTF">2022-10-01T13:56:08Z</dcterms:created>
  <dcterms:modified xsi:type="dcterms:W3CDTF">2022-10-07T10:42:16Z</dcterms:modified>
</cp:coreProperties>
</file>