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-25740" yWindow="945" windowWidth="28800" windowHeight="11505" activeTab="1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6" l="1"/>
  <c r="T113" i="6"/>
  <c r="T112" i="6"/>
  <c r="V96" i="6"/>
  <c r="V94" i="6"/>
  <c r="U94" i="6"/>
  <c r="V93" i="6"/>
  <c r="T93" i="6"/>
  <c r="S93" i="6"/>
  <c r="U93" i="6" s="1"/>
  <c r="Y92" i="6" s="1"/>
  <c r="I94" i="6" s="1"/>
  <c r="AE72" i="6"/>
  <c r="AD72" i="6"/>
  <c r="AC72" i="6"/>
  <c r="L58" i="6"/>
  <c r="I64" i="6" s="1"/>
  <c r="O54" i="6"/>
  <c r="G54" i="6"/>
  <c r="O50" i="6"/>
  <c r="G50" i="6"/>
  <c r="G46" i="6"/>
  <c r="L37" i="6"/>
  <c r="X37" i="6" s="1"/>
  <c r="G37" i="6"/>
  <c r="L33" i="6"/>
  <c r="G33" i="6"/>
  <c r="M29" i="6"/>
  <c r="G29" i="6"/>
  <c r="G19" i="6"/>
  <c r="D93" i="6" s="1"/>
  <c r="D15" i="6"/>
  <c r="F93" i="6" s="1"/>
  <c r="H12" i="6"/>
  <c r="S113" i="6" s="1"/>
  <c r="D12" i="6"/>
  <c r="X83" i="6" s="1"/>
  <c r="X84" i="6" s="1"/>
  <c r="AG7" i="6"/>
  <c r="AD7" i="6"/>
  <c r="AA7" i="6"/>
  <c r="AJ7" i="6" s="1"/>
  <c r="V99" i="6" l="1"/>
  <c r="K7" i="6"/>
  <c r="L7" i="6" s="1"/>
  <c r="I66" i="6"/>
  <c r="J66" i="6" s="1"/>
  <c r="K113" i="6"/>
  <c r="Z83" i="6"/>
  <c r="Z84" i="6" s="1"/>
  <c r="Z70" i="6"/>
  <c r="Z71" i="6" s="1"/>
  <c r="L66" i="6"/>
  <c r="L113" i="6" s="1"/>
  <c r="S112" i="6"/>
  <c r="X70" i="6"/>
  <c r="X71" i="6" s="1"/>
  <c r="T113" i="5"/>
  <c r="T112" i="5"/>
  <c r="V96" i="5"/>
  <c r="V94" i="5"/>
  <c r="U94" i="5"/>
  <c r="V93" i="5"/>
  <c r="T93" i="5"/>
  <c r="U93" i="5" s="1"/>
  <c r="Y92" i="5" s="1"/>
  <c r="I94" i="5" s="1"/>
  <c r="S93" i="5"/>
  <c r="L58" i="5"/>
  <c r="I64" i="5" s="1"/>
  <c r="O54" i="5"/>
  <c r="G54" i="5"/>
  <c r="O50" i="5"/>
  <c r="G50" i="5"/>
  <c r="G46" i="5"/>
  <c r="L37" i="5"/>
  <c r="X37" i="5" s="1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I64" i="4" s="1"/>
  <c r="O54" i="4"/>
  <c r="G54" i="4"/>
  <c r="O50" i="4"/>
  <c r="G50" i="4"/>
  <c r="G46" i="4"/>
  <c r="L37" i="4"/>
  <c r="X37" i="4" s="1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X84" i="4" s="1"/>
  <c r="AG7" i="4"/>
  <c r="AD7" i="4"/>
  <c r="AA7" i="4"/>
  <c r="AJ7" i="4" s="1"/>
  <c r="T113" i="1"/>
  <c r="T112" i="1"/>
  <c r="V94" i="1"/>
  <c r="U94" i="1"/>
  <c r="V96" i="1"/>
  <c r="K66" i="6" l="1"/>
  <c r="M7" i="6"/>
  <c r="K8" i="6"/>
  <c r="Y99" i="6"/>
  <c r="X99" i="6"/>
  <c r="W99" i="6"/>
  <c r="V99" i="5"/>
  <c r="K7" i="5"/>
  <c r="L7" i="5"/>
  <c r="M7" i="5"/>
  <c r="I66" i="5"/>
  <c r="J66" i="5" s="1"/>
  <c r="K66" i="5" s="1"/>
  <c r="K113" i="5"/>
  <c r="Z70" i="5"/>
  <c r="Z71" i="5" s="1"/>
  <c r="Z83" i="5"/>
  <c r="Z84" i="5" s="1"/>
  <c r="L66" i="5"/>
  <c r="L113" i="5" s="1"/>
  <c r="X83" i="5"/>
  <c r="X84" i="5" s="1"/>
  <c r="X70" i="5"/>
  <c r="X71" i="5" s="1"/>
  <c r="V99" i="4"/>
  <c r="K7" i="4"/>
  <c r="I66" i="4"/>
  <c r="K113" i="4"/>
  <c r="Z83" i="4"/>
  <c r="Z84" i="4" s="1"/>
  <c r="Z70" i="4"/>
  <c r="Z71" i="4" s="1"/>
  <c r="L66" i="4"/>
  <c r="L113" i="4" s="1"/>
  <c r="S112" i="4"/>
  <c r="X70" i="4"/>
  <c r="X71" i="4" s="1"/>
  <c r="L58" i="1"/>
  <c r="V100" i="6" l="1"/>
  <c r="V101" i="6" s="1"/>
  <c r="I93" i="6" s="1"/>
  <c r="O95" i="6" s="1"/>
  <c r="R46" i="6"/>
  <c r="R29" i="6"/>
  <c r="Z99" i="6"/>
  <c r="AA99" i="6"/>
  <c r="Y99" i="5"/>
  <c r="X99" i="5"/>
  <c r="W99" i="5"/>
  <c r="K8" i="5"/>
  <c r="K66" i="4"/>
  <c r="J66" i="4"/>
  <c r="L7" i="4"/>
  <c r="K8" i="4" s="1"/>
  <c r="M7" i="4"/>
  <c r="Y99" i="4"/>
  <c r="X99" i="4"/>
  <c r="W99" i="4"/>
  <c r="D15" i="1"/>
  <c r="O94" i="6" l="1"/>
  <c r="P94" i="6" s="1"/>
  <c r="Q94" i="6" s="1"/>
  <c r="I60" i="6"/>
  <c r="V54" i="6"/>
  <c r="U54" i="6" s="1"/>
  <c r="V37" i="6"/>
  <c r="U37" i="6" s="1"/>
  <c r="U33" i="6"/>
  <c r="R46" i="5"/>
  <c r="R29" i="5"/>
  <c r="Z99" i="5"/>
  <c r="V100" i="5" s="1"/>
  <c r="V101" i="5" s="1"/>
  <c r="I93" i="5" s="1"/>
  <c r="O95" i="5" s="1"/>
  <c r="AA99" i="5"/>
  <c r="R46" i="4"/>
  <c r="R29" i="4"/>
  <c r="Z99" i="4"/>
  <c r="V100" i="4" s="1"/>
  <c r="V101" i="4" s="1"/>
  <c r="I93" i="4" s="1"/>
  <c r="O95" i="4" s="1"/>
  <c r="AA99" i="4"/>
  <c r="O54" i="1"/>
  <c r="L62" i="6" l="1"/>
  <c r="L112" i="6" s="1"/>
  <c r="V83" i="6"/>
  <c r="V84" i="6" s="1"/>
  <c r="V85" i="6" s="1"/>
  <c r="V70" i="6"/>
  <c r="V71" i="6" s="1"/>
  <c r="I62" i="6"/>
  <c r="J62" i="6" s="1"/>
  <c r="K62" i="6" s="1"/>
  <c r="K112" i="6"/>
  <c r="O94" i="5"/>
  <c r="P94" i="5" s="1"/>
  <c r="U33" i="5"/>
  <c r="V37" i="5"/>
  <c r="U37" i="5" s="1"/>
  <c r="U50" i="5"/>
  <c r="I60" i="5" s="1"/>
  <c r="V54" i="5"/>
  <c r="U54" i="5" s="1"/>
  <c r="O94" i="4"/>
  <c r="U33" i="4"/>
  <c r="V37" i="4"/>
  <c r="U37" i="4" s="1"/>
  <c r="U50" i="4"/>
  <c r="I60" i="4" s="1"/>
  <c r="V54" i="4"/>
  <c r="U54" i="4" s="1"/>
  <c r="V93" i="1"/>
  <c r="S93" i="1"/>
  <c r="T93" i="1"/>
  <c r="V72" i="6" l="1"/>
  <c r="V73" i="6"/>
  <c r="L62" i="5"/>
  <c r="L112" i="5" s="1"/>
  <c r="V83" i="5"/>
  <c r="V84" i="5" s="1"/>
  <c r="V85" i="5" s="1"/>
  <c r="V70" i="5"/>
  <c r="V71" i="5" s="1"/>
  <c r="K112" i="5"/>
  <c r="AC72" i="5"/>
  <c r="I62" i="5"/>
  <c r="J62" i="5" s="1"/>
  <c r="K62" i="5" s="1"/>
  <c r="Q94" i="5"/>
  <c r="Q94" i="4"/>
  <c r="L62" i="4"/>
  <c r="L112" i="4" s="1"/>
  <c r="V83" i="4"/>
  <c r="V84" i="4" s="1"/>
  <c r="V85" i="4" s="1"/>
  <c r="V70" i="4"/>
  <c r="V71" i="4" s="1"/>
  <c r="AC72" i="4"/>
  <c r="I62" i="4"/>
  <c r="K112" i="4"/>
  <c r="P94" i="4"/>
  <c r="U93" i="1"/>
  <c r="Y92" i="1" s="1"/>
  <c r="I94" i="1" s="1"/>
  <c r="O50" i="1"/>
  <c r="G54" i="1"/>
  <c r="G50" i="1"/>
  <c r="G46" i="1"/>
  <c r="D19" i="2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V74" i="6" l="1"/>
  <c r="F74" i="6" s="1"/>
  <c r="V73" i="5"/>
  <c r="V72" i="5"/>
  <c r="K62" i="4"/>
  <c r="V73" i="4"/>
  <c r="V72" i="4"/>
  <c r="V74" i="4" s="1"/>
  <c r="F74" i="4" s="1"/>
  <c r="J62" i="4"/>
  <c r="X99" i="1"/>
  <c r="Y99" i="1"/>
  <c r="W99" i="1"/>
  <c r="X70" i="1"/>
  <c r="X71" i="1" s="1"/>
  <c r="X83" i="1"/>
  <c r="X84" i="1" s="1"/>
  <c r="X37" i="1"/>
  <c r="AJ7" i="1"/>
  <c r="K7" i="1" s="1"/>
  <c r="AB83" i="6" l="1"/>
  <c r="AB84" i="6" s="1"/>
  <c r="F73" i="6"/>
  <c r="G73" i="6" s="1"/>
  <c r="H73" i="6" s="1"/>
  <c r="F109" i="6"/>
  <c r="V74" i="5"/>
  <c r="F74" i="5" s="1"/>
  <c r="AB83" i="4"/>
  <c r="AB84" i="4" s="1"/>
  <c r="F73" i="4"/>
  <c r="G73" i="4" s="1"/>
  <c r="H73" i="4" s="1"/>
  <c r="AD72" i="4"/>
  <c r="AE72" i="4"/>
  <c r="F109" i="4"/>
  <c r="Z99" i="1"/>
  <c r="V100" i="1" s="1"/>
  <c r="AA99" i="1"/>
  <c r="L7" i="1"/>
  <c r="M7" i="1" s="1"/>
  <c r="J109" i="6" l="1"/>
  <c r="F108" i="6"/>
  <c r="V86" i="6"/>
  <c r="V87" i="6"/>
  <c r="AB83" i="5"/>
  <c r="AB84" i="5" s="1"/>
  <c r="F73" i="5"/>
  <c r="AD72" i="5"/>
  <c r="AE72" i="5"/>
  <c r="F109" i="5"/>
  <c r="J109" i="4"/>
  <c r="F108" i="4"/>
  <c r="V86" i="4"/>
  <c r="V87" i="4"/>
  <c r="V101" i="1"/>
  <c r="I93" i="1" s="1"/>
  <c r="K8" i="1"/>
  <c r="V88" i="6" l="1"/>
  <c r="F86" i="6" s="1"/>
  <c r="G108" i="6"/>
  <c r="H108" i="6" s="1"/>
  <c r="F85" i="6"/>
  <c r="K86" i="6"/>
  <c r="H73" i="5"/>
  <c r="G73" i="5"/>
  <c r="J109" i="5"/>
  <c r="F108" i="5"/>
  <c r="V86" i="5"/>
  <c r="V88" i="5" s="1"/>
  <c r="F86" i="5" s="1"/>
  <c r="V87" i="5"/>
  <c r="H108" i="4"/>
  <c r="G108" i="4"/>
  <c r="V88" i="4"/>
  <c r="F86" i="4" s="1"/>
  <c r="R46" i="1"/>
  <c r="R29" i="1"/>
  <c r="O95" i="1"/>
  <c r="G85" i="6" l="1"/>
  <c r="H85" i="6" s="1"/>
  <c r="F85" i="5"/>
  <c r="G85" i="5" s="1"/>
  <c r="H85" i="5" s="1"/>
  <c r="K86" i="5"/>
  <c r="G108" i="5"/>
  <c r="H108" i="5" s="1"/>
  <c r="F85" i="4"/>
  <c r="K86" i="4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H85" i="4" l="1"/>
  <c r="G85" i="4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AB83" i="1" l="1"/>
  <c r="AB84" i="1" s="1"/>
  <c r="AE72" i="1"/>
  <c r="AD72" i="1"/>
  <c r="AC72" i="1"/>
  <c r="L62" i="1"/>
  <c r="L112" i="1" s="1"/>
  <c r="I62" i="1"/>
  <c r="J62" i="1" s="1"/>
  <c r="K62" i="1" s="1"/>
  <c r="V87" i="1" l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le temps  est trouvee par M' = M + v * (t - t0)
                     Avec M' = 360° 
                donc t = t0 + (360 - M(0)) / V    
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3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<sst xmlns="http://schemas.openxmlformats.org/spreadsheetml/2006/main" count="963" uniqueCount="128">
  <si>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</si>
  <si>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</si>
  <si>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</si>
  <si>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</si>
  <si>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</si>
  <si>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</si>
  <si>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</si>
  <si>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</si>
  <si>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</si>
  <si>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</si>
  <si>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</si>
  <si>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</si>
  <si>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</si>
  <si>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</si>
  <si>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</si>
  <si>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</si>
  <si>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</si>
  <si>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</si>
  <si>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</si>
  <si>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</si>
  <si>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</si>
  <si>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</si>
  <si>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</si>
  <si>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</si>
  <si>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</si>
  <si>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</si>
  <si>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</si>
  <si>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</si>
  <si>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</si>
  <si>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</si>
  <si>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</si>
  <si>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</si>
  <si>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</si>
  <si>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</si>
  <si>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</si>
  <si>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</si>
  <si>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</si>
  <si>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</si>
  <si>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</si>
  <si>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</si>
  <si>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</si>
  <si>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</si>
  <si>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</si>
  <si>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</si>
  <si>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</si>
  <si>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</si>
  <si>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</si>
  <si>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</si>
  <si>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</si>
  <si>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</si>
  <si>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</si>
  <si>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</si>
  <si>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</si>
  <si>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</si>
  <si>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</si>
  <si>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</si>
  <si>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</si>
  <si>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</si>
  <si>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</si>
  <si>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</si>
  <si>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</si>
  <si>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</si>
  <si>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</si>
  <si>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</si>
  <si>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</si>
  <si>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</si>
  <si>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</si>
  <si>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</si>
  <si>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</si>
  <si>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</si>
  <si>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</si>
  <si>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</si>
  <si>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</si>
  <si>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</si>
  <si>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</si>
  <si>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</si>
  <si>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</si>
  <si>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</si>
  <si>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</si>
  <si>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</si>
  <si>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</si>
  <si>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</si>
  <si>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</si>
  <si>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</si>
  <si>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</si>
  <si>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</si>
  <si>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</si>
  <si>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</si>
  <si>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</si>
  <si>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</si>
  <si>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</si>
  <si>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</si>
  <si>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</si>
  <si>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</si>
  <si>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</si>
  <si>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</si>
  <si>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</si>
  <si>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</si>
  <si>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</si>
  <si>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</si>
  <si>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</si>
  <si>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</si>
  <si>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</si>
  <si>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</si>
  <si>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</si>
  <si>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</si>
  <si>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</si>
  <si>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</si>
  <si>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</si>
  <si>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</si>
  <si>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</si>
  <si>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</si>
  <si>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</si>
  <si>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</si>
  <si>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</si>
  <si>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</si>
  <si>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</si>
  <si>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</si>
  <si>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</si>
  <si>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</si>
  <si>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</si>
  <si>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</si>
  <si>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</si>
  <si>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</si>
  <si>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</si>
  <si>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</si>
  <si>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1. Heure du passage a greenwitch du soleil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</si>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</sst>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13" borderId="13" xfId="4" applyAlignment="1">
      <alignment horizont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center"/>
    </xf>
    <xf numFmtId="0" fontId="11" fillId="13" borderId="13" xfId="4" applyAlignment="1">
      <alignment horizontal="center" vertical="top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11" borderId="1" xfId="2" applyBorder="1" applyAlignment="1">
      <alignment vertical="center"/>
    </xf>
    <xf numFmtId="165" fontId="9" fillId="11" borderId="1" xfId="2" applyNumberFormat="1" applyBorder="1" applyAlignment="1">
      <alignment vertical="center"/>
    </xf>
    <xf numFmtId="0" fontId="9" fillId="11" borderId="1" xfId="2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11" fillId="13" borderId="13" xfId="4" applyAlignment="1">
      <alignment horizontal="center" vertical="center"/>
    </xf>
    <xf numFmtId="165" fontId="11" fillId="13" borderId="13" xfId="4" applyNumberFormat="1" applyAlignment="1">
      <alignment horizontal="center"/>
    </xf>
    <xf numFmtId="0" fontId="11" fillId="13" borderId="13" xfId="4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8" fillId="10" borderId="1" xfId="1" applyBorder="1" applyAlignment="1">
      <alignment horizont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2" fontId="11" fillId="13" borderId="13" xfId="4" applyNumberFormat="1" applyAlignment="1">
      <alignment horizontal="center"/>
    </xf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0" fontId="11" fillId="20" borderId="13" xfId="4" applyFill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11" fillId="13" borderId="13" xfId="4" applyNumberFormat="1" applyAlignment="1">
      <alignment horizontal="center" vertical="top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13" fillId="12" borderId="13" xfId="3" applyFont="1" applyAlignment="1">
      <alignment horizont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1" fillId="13" borderId="20" xfId="4" applyBorder="1" applyAlignment="1">
      <alignment horizontal="center" vertical="center"/>
    </xf>
    <xf numFmtId="0" fontId="14" fillId="10" borderId="1" xfId="1" applyFon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2" borderId="1" xfId="3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/>
    </xf>
    <xf numFmtId="0" fontId="12" fillId="13" borderId="1" xfId="4" applyFont="1" applyBorder="1" applyAlignment="1">
      <alignment horizont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7">
    <cellStyle name="Bad" xfId="6" builtinId="27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4" name="Oval 3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/>
        <xdr:cNvCxnSpPr>
          <a:stCxn id="4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/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workbookViewId="0">
      <selection activeCell="AA26" sqref="AA26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67" t="s">
        <v>10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56"/>
      <c r="R2" s="16" t="s">
        <v>71</v>
      </c>
      <c r="S2" s="16"/>
      <c r="Y2" s="56"/>
      <c r="Z2" s="57"/>
    </row>
    <row r="3" spans="2:36" ht="15.75" thickBot="1" x14ac:dyDescent="0.3">
      <c r="S3" s="169" t="s">
        <v>72</v>
      </c>
      <c r="T3" s="169"/>
      <c r="U3" s="169"/>
      <c r="V3" s="169"/>
      <c r="W3" s="169"/>
      <c r="X3" s="16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0" t="s">
        <v>82</v>
      </c>
      <c r="L4" s="170"/>
      <c r="M4" s="170"/>
      <c r="S4" s="171" t="s">
        <v>73</v>
      </c>
      <c r="T4" s="171"/>
      <c r="U4" s="171"/>
      <c r="V4" s="171"/>
      <c r="W4" s="171"/>
      <c r="X4" s="171"/>
    </row>
    <row r="5" spans="2:36" x14ac:dyDescent="0.25">
      <c r="B5" s="117" t="s">
        <v>2</v>
      </c>
      <c r="C5" s="117"/>
      <c r="D5" s="117"/>
      <c r="E5" s="117" t="s">
        <v>6</v>
      </c>
      <c r="F5" s="117"/>
      <c r="G5" s="117"/>
      <c r="H5" s="117" t="s">
        <v>7</v>
      </c>
      <c r="I5" s="117"/>
      <c r="J5" s="117"/>
      <c r="K5" s="91" t="s">
        <v>8</v>
      </c>
      <c r="L5" s="91"/>
      <c r="M5" s="91"/>
      <c r="S5" s="172" t="s">
        <v>74</v>
      </c>
      <c r="T5" s="172"/>
      <c r="U5" s="172"/>
      <c r="V5" s="172"/>
      <c r="W5" s="172"/>
      <c r="X5" s="17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60" t="s">
        <v>75</v>
      </c>
      <c r="T6" s="160"/>
      <c r="U6" s="160"/>
      <c r="V6" s="160"/>
      <c r="W6" s="160"/>
      <c r="X6" s="160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61">
        <v>9</v>
      </c>
      <c r="C7" s="163">
        <v>56</v>
      </c>
      <c r="D7" s="165">
        <v>42</v>
      </c>
      <c r="E7" s="161">
        <v>0</v>
      </c>
      <c r="F7" s="163">
        <v>0</v>
      </c>
      <c r="G7" s="165">
        <v>0</v>
      </c>
      <c r="H7" s="161">
        <v>0</v>
      </c>
      <c r="I7" s="163">
        <v>0</v>
      </c>
      <c r="J7" s="165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95" t="s">
        <v>76</v>
      </c>
      <c r="T7" s="95"/>
      <c r="U7" s="95"/>
      <c r="V7" s="95"/>
      <c r="W7" s="95"/>
      <c r="X7" s="9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62"/>
      <c r="C8" s="164"/>
      <c r="D8" s="166"/>
      <c r="E8" s="162"/>
      <c r="F8" s="164"/>
      <c r="G8" s="166"/>
      <c r="H8" s="162"/>
      <c r="I8" s="164"/>
      <c r="J8" s="166"/>
      <c r="K8" s="149">
        <f>K7+L7/60+M7/3600</f>
        <v>9.9450000000000003</v>
      </c>
      <c r="L8" s="89"/>
      <c r="M8" s="89"/>
      <c r="S8" s="150" t="s">
        <v>77</v>
      </c>
      <c r="T8" s="150"/>
      <c r="U8" s="150"/>
      <c r="V8" s="150"/>
      <c r="W8" s="150"/>
      <c r="X8" s="150"/>
    </row>
    <row r="9" spans="2:36" ht="15" customHeight="1" x14ac:dyDescent="0.25">
      <c r="B9" s="151" t="s">
        <v>18</v>
      </c>
      <c r="C9" s="152"/>
      <c r="D9" s="145" t="s">
        <v>17</v>
      </c>
      <c r="E9" s="145"/>
      <c r="F9" s="145"/>
      <c r="G9" s="145"/>
      <c r="H9" s="145" t="s">
        <v>16</v>
      </c>
      <c r="I9" s="145"/>
      <c r="J9" s="145"/>
      <c r="K9" s="146"/>
    </row>
    <row r="10" spans="2:36" x14ac:dyDescent="0.25">
      <c r="B10" s="126"/>
      <c r="C10" s="12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26"/>
      <c r="C11" s="127"/>
      <c r="D11" s="41">
        <v>48.875556000000003</v>
      </c>
      <c r="E11" s="41">
        <v>0</v>
      </c>
      <c r="F11" s="41">
        <v>0</v>
      </c>
      <c r="G11" s="155" t="s">
        <v>28</v>
      </c>
      <c r="H11" s="41">
        <v>2.0948030000000002</v>
      </c>
      <c r="I11" s="41">
        <v>0</v>
      </c>
      <c r="J11" s="41">
        <v>0</v>
      </c>
      <c r="K11" s="157" t="s">
        <v>32</v>
      </c>
    </row>
    <row r="12" spans="2:36" ht="15.75" thickBot="1" x14ac:dyDescent="0.3">
      <c r="B12" s="153"/>
      <c r="C12" s="154"/>
      <c r="D12" s="159">
        <f>(D11+E11/60+F11/3600) * VLOOKUP(G11,Constante!$D$15:$E$16,2)</f>
        <v>48.875556000000003</v>
      </c>
      <c r="E12" s="159"/>
      <c r="F12" s="159"/>
      <c r="G12" s="156"/>
      <c r="H12" s="159">
        <f>(H11+I11/60+J11/3600) * VLOOKUP(K11,Constante!$D$12:$E$13,2)</f>
        <v>2.0948030000000002</v>
      </c>
      <c r="I12" s="159"/>
      <c r="J12" s="159"/>
      <c r="K12" s="158"/>
    </row>
    <row r="13" spans="2:36" ht="15" customHeight="1" x14ac:dyDescent="0.25">
      <c r="B13" s="124" t="s">
        <v>21</v>
      </c>
      <c r="C13" s="125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26"/>
      <c r="C14" s="12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45" t="s">
        <v>12</v>
      </c>
      <c r="H16" s="145"/>
      <c r="I16" s="146"/>
      <c r="J16" s="147" t="s">
        <v>78</v>
      </c>
      <c r="K16" s="148"/>
      <c r="L16" s="118" t="s">
        <v>79</v>
      </c>
      <c r="M16" s="119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20">
        <f>G18+H18/60+I18/3600</f>
        <v>31.283333333333335</v>
      </c>
      <c r="H19" s="120"/>
      <c r="I19" s="121"/>
      <c r="J19" s="122" t="s">
        <v>20</v>
      </c>
      <c r="K19" s="12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117" t="s">
        <v>33</v>
      </c>
      <c r="H26" s="117"/>
      <c r="I26" s="117"/>
      <c r="M26" s="117" t="s">
        <v>34</v>
      </c>
      <c r="N26" s="117"/>
      <c r="O26" s="117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89">
        <f>G28+H28/60+I28/3600</f>
        <v>9</v>
      </c>
      <c r="H29" s="89"/>
      <c r="I29" s="89"/>
      <c r="M29" s="89">
        <f>M28+N28/60+O28/3600</f>
        <v>10</v>
      </c>
      <c r="N29" s="89"/>
      <c r="O29" s="89"/>
      <c r="Q29" s="19" t="s">
        <v>93</v>
      </c>
      <c r="R29" s="19">
        <f>(K8-M29)/(G29-M29)</f>
        <v>5.4999999999999716E-2</v>
      </c>
    </row>
    <row r="31" spans="2:18" x14ac:dyDescent="0.25">
      <c r="D31" s="113" t="s">
        <v>35</v>
      </c>
      <c r="E31" s="114"/>
      <c r="F31" s="11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14"/>
      <c r="E32" s="114"/>
      <c r="F32" s="114"/>
      <c r="G32" s="34">
        <v>5</v>
      </c>
      <c r="H32" s="34">
        <v>33.200000000000003</v>
      </c>
      <c r="I32" s="34">
        <v>0</v>
      </c>
      <c r="J32" s="115" t="s">
        <v>29</v>
      </c>
      <c r="L32" s="34">
        <v>5</v>
      </c>
      <c r="M32" s="34">
        <v>34.200000000000003</v>
      </c>
      <c r="N32" s="34">
        <v>0</v>
      </c>
      <c r="O32" s="115" t="s">
        <v>29</v>
      </c>
    </row>
    <row r="33" spans="3:31" ht="15.75" thickBot="1" x14ac:dyDescent="0.3">
      <c r="D33" s="114"/>
      <c r="E33" s="114"/>
      <c r="F33" s="114"/>
      <c r="G33" s="116">
        <f>(G32+H32/60+I32/3600) * VLOOKUP(J32,Constante!$D$15:$E$16,2)</f>
        <v>-5.5533333333333337</v>
      </c>
      <c r="H33" s="116"/>
      <c r="I33" s="116"/>
      <c r="J33" s="115"/>
      <c r="L33" s="116">
        <f>(L32+M32/60+N32/3600) * VLOOKUP(O32,Constante!$D$15:$E$16,2)</f>
        <v>-5.57</v>
      </c>
      <c r="M33" s="116"/>
      <c r="N33" s="116"/>
      <c r="O33" s="115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10"/>
      <c r="H34" s="111"/>
      <c r="I34" s="111"/>
      <c r="J34" s="112"/>
      <c r="L34" s="110"/>
      <c r="M34" s="111"/>
      <c r="N34" s="111"/>
      <c r="O34" s="112"/>
    </row>
    <row r="35" spans="3:31" x14ac:dyDescent="0.25">
      <c r="D35" s="113" t="s">
        <v>36</v>
      </c>
      <c r="E35" s="114"/>
      <c r="F35" s="11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14"/>
      <c r="E36" s="114"/>
      <c r="F36" s="114"/>
      <c r="G36" s="34">
        <v>359</v>
      </c>
      <c r="H36" s="34">
        <v>2</v>
      </c>
      <c r="I36" s="34">
        <v>0</v>
      </c>
      <c r="J36" s="115" t="s">
        <v>32</v>
      </c>
      <c r="L36" s="34">
        <v>20</v>
      </c>
      <c r="M36" s="34">
        <v>2.1</v>
      </c>
      <c r="N36" s="34">
        <v>0</v>
      </c>
      <c r="O36" s="115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14"/>
      <c r="E37" s="114"/>
      <c r="F37" s="114"/>
      <c r="G37" s="116">
        <f>(G36+H36/60+I36/3600) * VLOOKUP(J36,Constante!$D$12:$E$13,2)</f>
        <v>359.03333333333336</v>
      </c>
      <c r="H37" s="116"/>
      <c r="I37" s="116"/>
      <c r="J37" s="115"/>
      <c r="L37" s="116">
        <f>(L36+M36/60+N36/3600) * VLOOKUP(O36,Constante!$D$12:$E$13,2)</f>
        <v>20.035</v>
      </c>
      <c r="M37" s="116"/>
      <c r="N37" s="116"/>
      <c r="O37" s="115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117" t="s">
        <v>51</v>
      </c>
      <c r="H43" s="117"/>
      <c r="I43" s="117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9">
        <f>G45+H45/60+I45/3600</f>
        <v>0</v>
      </c>
      <c r="H46" s="89"/>
      <c r="I46" s="89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13" t="s">
        <v>35</v>
      </c>
      <c r="E48" s="114"/>
      <c r="F48" s="11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3" t="s">
        <v>52</v>
      </c>
      <c r="M48" s="114"/>
      <c r="N48" s="11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14"/>
      <c r="E49" s="114"/>
      <c r="F49" s="114"/>
      <c r="G49" s="38">
        <v>6</v>
      </c>
      <c r="H49" s="34">
        <v>35.9</v>
      </c>
      <c r="I49" s="34">
        <v>0</v>
      </c>
      <c r="J49" s="115" t="s">
        <v>29</v>
      </c>
      <c r="K49"/>
      <c r="L49" s="114"/>
      <c r="M49" s="114"/>
      <c r="N49" s="114"/>
      <c r="O49" s="34">
        <v>0</v>
      </c>
      <c r="P49" s="34">
        <v>1</v>
      </c>
      <c r="Q49" s="34">
        <v>0</v>
      </c>
      <c r="R49" s="115" t="s">
        <v>28</v>
      </c>
      <c r="Z49"/>
      <c r="AA49"/>
      <c r="AB49"/>
      <c r="AC49"/>
      <c r="AD49"/>
      <c r="AE49"/>
    </row>
    <row r="50" spans="3:31" ht="15.75" thickBot="1" x14ac:dyDescent="0.3">
      <c r="D50" s="114"/>
      <c r="E50" s="114"/>
      <c r="F50" s="114"/>
      <c r="G50" s="116">
        <f>(G49+H49/60+I49/3600) * VLOOKUP(J49,Constante!$D$15:$E$16,2)</f>
        <v>-6.5983333333333336</v>
      </c>
      <c r="H50" s="116"/>
      <c r="I50" s="116"/>
      <c r="J50" s="115"/>
      <c r="K50"/>
      <c r="L50" s="114"/>
      <c r="M50" s="114"/>
      <c r="N50" s="114"/>
      <c r="O50" s="116">
        <f>(O49+P49/60+Q49/3600) * VLOOKUP(R49,Constante!$D$15:$E$16,2)</f>
        <v>1.6666666666666666E-2</v>
      </c>
      <c r="P50" s="116"/>
      <c r="Q50" s="116"/>
      <c r="R50" s="115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10"/>
      <c r="H51" s="111"/>
      <c r="I51" s="111"/>
      <c r="J51" s="112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13" t="s">
        <v>36</v>
      </c>
      <c r="E52" s="114"/>
      <c r="F52" s="11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3" t="s">
        <v>53</v>
      </c>
      <c r="M52" s="114"/>
      <c r="N52" s="11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14"/>
      <c r="E53" s="114"/>
      <c r="F53" s="114"/>
      <c r="G53" s="38">
        <v>177</v>
      </c>
      <c r="H53" s="34">
        <v>1.9</v>
      </c>
      <c r="I53" s="34">
        <v>0</v>
      </c>
      <c r="J53" s="115" t="s">
        <v>32</v>
      </c>
      <c r="K53"/>
      <c r="L53" s="114"/>
      <c r="M53" s="114"/>
      <c r="N53" s="114"/>
      <c r="O53" s="34">
        <v>15.002000000000001</v>
      </c>
      <c r="P53" s="34">
        <v>0</v>
      </c>
      <c r="Q53" s="34">
        <v>0</v>
      </c>
      <c r="R53" s="115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14"/>
      <c r="E54" s="114"/>
      <c r="F54" s="114"/>
      <c r="G54" s="116">
        <f>(G53+H53/60+I53/3600) * VLOOKUP(J53,Constante!$D$12:$E$13,2)</f>
        <v>177.03166666666667</v>
      </c>
      <c r="H54" s="116"/>
      <c r="I54" s="116"/>
      <c r="J54" s="115"/>
      <c r="K54"/>
      <c r="L54" s="114"/>
      <c r="M54" s="114"/>
      <c r="N54" s="114"/>
      <c r="O54" s="116">
        <f>(O53+P53/60+Q53/3600) * VLOOKUP(R53,Constante!$D$12:$E$13,2)</f>
        <v>15.002000000000001</v>
      </c>
      <c r="P54" s="116"/>
      <c r="Q54" s="116"/>
      <c r="R54" s="115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02" t="s">
        <v>54</v>
      </c>
      <c r="D58" s="102"/>
      <c r="E58" s="102"/>
      <c r="F58" s="102"/>
      <c r="G58" s="102"/>
      <c r="H58" s="103" t="s">
        <v>57</v>
      </c>
      <c r="I58" s="103"/>
      <c r="J58" s="103"/>
      <c r="K58" s="103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04" t="s">
        <v>35</v>
      </c>
      <c r="G60" s="104"/>
      <c r="H60" s="104"/>
      <c r="I60" s="105">
        <f>IF(L58=Constante!E23,U33,U50)</f>
        <v>-6.4325833333333335</v>
      </c>
      <c r="J60" s="105"/>
      <c r="K60" s="105"/>
      <c r="L60" s="105"/>
    </row>
    <row r="61" spans="3:31" x14ac:dyDescent="0.25">
      <c r="F61" s="104"/>
      <c r="G61" s="104"/>
      <c r="H61" s="104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04"/>
      <c r="G62" s="104"/>
      <c r="H62" s="104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06"/>
      <c r="J63" s="107"/>
      <c r="K63" s="107"/>
      <c r="L63" s="108"/>
    </row>
    <row r="64" spans="3:31" x14ac:dyDescent="0.25">
      <c r="F64" s="104" t="s">
        <v>42</v>
      </c>
      <c r="G64" s="89"/>
      <c r="H64" s="89"/>
      <c r="I64" s="109">
        <f>IF(L58="a",AA67,Z52)+H12</f>
        <v>2.0948030000000002</v>
      </c>
      <c r="J64" s="105"/>
      <c r="K64" s="105"/>
      <c r="L64" s="105"/>
    </row>
    <row r="65" spans="2:31" x14ac:dyDescent="0.25">
      <c r="F65" s="89"/>
      <c r="G65" s="89"/>
      <c r="H65" s="89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89"/>
      <c r="G66" s="89"/>
      <c r="H66" s="89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99" t="s">
        <v>103</v>
      </c>
      <c r="U71" s="100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90">
        <f>V74/Constante!$D$19</f>
        <v>34.661430958715577</v>
      </c>
      <c r="G74" s="90"/>
      <c r="H74" s="90"/>
      <c r="S74" s="19" t="s">
        <v>44</v>
      </c>
      <c r="T74" s="101" t="s">
        <v>103</v>
      </c>
      <c r="U74" s="101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99" t="s">
        <v>103</v>
      </c>
      <c r="U84" s="100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96" t="s">
        <v>105</v>
      </c>
      <c r="U85" s="97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98">
        <f>V88/Constante!$D$19</f>
        <v>177.46898521244154</v>
      </c>
      <c r="G86" s="98"/>
      <c r="H86" s="98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6" t="s">
        <v>106</v>
      </c>
      <c r="U86" s="97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96" t="s">
        <v>108</v>
      </c>
      <c r="U87" s="97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99" t="s">
        <v>103</v>
      </c>
      <c r="U88" s="100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63" t="s">
        <v>23</v>
      </c>
      <c r="T92" s="63" t="s">
        <v>15</v>
      </c>
      <c r="U92" s="63" t="s">
        <v>81</v>
      </c>
      <c r="V92" s="63" t="s">
        <v>110</v>
      </c>
      <c r="W92" s="88" t="s">
        <v>121</v>
      </c>
      <c r="X92" s="89" t="s">
        <v>120</v>
      </c>
      <c r="Y92" s="89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9"/>
      <c r="X93" s="89"/>
      <c r="Y93" s="89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9"/>
      <c r="X94" s="89"/>
      <c r="Y94" s="89"/>
    </row>
    <row r="95" spans="2:29" x14ac:dyDescent="0.25">
      <c r="F95"/>
      <c r="G95"/>
      <c r="I95" s="1" t="s">
        <v>63</v>
      </c>
      <c r="O95" s="90">
        <f>D93-F93+I93+I94</f>
        <v>30.82585555555556</v>
      </c>
      <c r="P95" s="90"/>
      <c r="Q95" s="9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92">
        <f>O95-F74</f>
        <v>-3.8355754031600178</v>
      </c>
      <c r="G109" s="93"/>
      <c r="H109" s="94"/>
      <c r="J109" s="95">
        <f>F109*60</f>
        <v>-230.13452418960105</v>
      </c>
      <c r="K109" s="95"/>
      <c r="L109" s="95" t="s">
        <v>125</v>
      </c>
      <c r="M109" s="95"/>
    </row>
    <row r="112" spans="4:27" x14ac:dyDescent="0.25">
      <c r="G112" s="85" t="s">
        <v>122</v>
      </c>
      <c r="H112" s="85"/>
      <c r="I112" s="85"/>
      <c r="J112" s="83" t="s">
        <v>17</v>
      </c>
      <c r="K112" s="83">
        <f>ABS(I60)</f>
        <v>6.4325833333333335</v>
      </c>
      <c r="L112" s="83" t="str">
        <f>L62</f>
        <v>S</v>
      </c>
      <c r="M112" s="86" t="s">
        <v>123</v>
      </c>
      <c r="N112" s="87"/>
      <c r="O112" s="85" t="s">
        <v>124</v>
      </c>
      <c r="P112" s="85"/>
      <c r="Q112" s="85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85"/>
      <c r="H113" s="85"/>
      <c r="I113" s="85"/>
      <c r="J113" s="83" t="s">
        <v>16</v>
      </c>
      <c r="K113" s="83">
        <f>ABS(I64)</f>
        <v>2.0948030000000002</v>
      </c>
      <c r="L113" s="83" t="str">
        <f>L66</f>
        <v>E</v>
      </c>
      <c r="M113" s="86"/>
      <c r="N113" s="87"/>
      <c r="O113" s="85"/>
      <c r="P113" s="85"/>
      <c r="Q113" s="85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G112:I113"/>
    <mergeCell ref="M112:N113"/>
    <mergeCell ref="O112:Q113"/>
    <mergeCell ref="W92:W94"/>
    <mergeCell ref="X92:X9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abSelected="1" topLeftCell="A34" workbookViewId="0">
      <selection activeCell="T52" sqref="T52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67" t="s">
        <v>10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56"/>
      <c r="R2" s="16" t="s">
        <v>71</v>
      </c>
      <c r="S2" s="16"/>
      <c r="Y2" s="56"/>
      <c r="Z2" s="57"/>
    </row>
    <row r="3" spans="2:36" ht="15.75" thickBot="1" x14ac:dyDescent="0.3">
      <c r="S3" s="169" t="s">
        <v>72</v>
      </c>
      <c r="T3" s="169"/>
      <c r="U3" s="169"/>
      <c r="V3" s="169"/>
      <c r="W3" s="169"/>
      <c r="X3" s="16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0" t="s">
        <v>82</v>
      </c>
      <c r="L4" s="170"/>
      <c r="M4" s="170"/>
      <c r="S4" s="171" t="s">
        <v>73</v>
      </c>
      <c r="T4" s="171"/>
      <c r="U4" s="171"/>
      <c r="V4" s="171"/>
      <c r="W4" s="171"/>
      <c r="X4" s="171"/>
    </row>
    <row r="5" spans="2:36" x14ac:dyDescent="0.25">
      <c r="B5" s="117" t="s">
        <v>2</v>
      </c>
      <c r="C5" s="117"/>
      <c r="D5" s="117"/>
      <c r="E5" s="117" t="s">
        <v>6</v>
      </c>
      <c r="F5" s="117"/>
      <c r="G5" s="117"/>
      <c r="H5" s="117" t="s">
        <v>7</v>
      </c>
      <c r="I5" s="117"/>
      <c r="J5" s="117"/>
      <c r="K5" s="91" t="s">
        <v>8</v>
      </c>
      <c r="L5" s="91"/>
      <c r="M5" s="91"/>
      <c r="S5" s="172" t="s">
        <v>74</v>
      </c>
      <c r="T5" s="172"/>
      <c r="U5" s="172"/>
      <c r="V5" s="172"/>
      <c r="W5" s="172"/>
      <c r="X5" s="17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75" t="s">
        <v>3</v>
      </c>
      <c r="L6" s="75" t="s">
        <v>4</v>
      </c>
      <c r="M6" s="75" t="s">
        <v>5</v>
      </c>
      <c r="S6" s="160" t="s">
        <v>75</v>
      </c>
      <c r="T6" s="160"/>
      <c r="U6" s="160"/>
      <c r="V6" s="160"/>
      <c r="W6" s="160"/>
      <c r="X6" s="160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61">
        <v>9</v>
      </c>
      <c r="C7" s="163">
        <v>56</v>
      </c>
      <c r="D7" s="165">
        <v>42</v>
      </c>
      <c r="E7" s="161">
        <v>0</v>
      </c>
      <c r="F7" s="163">
        <v>0</v>
      </c>
      <c r="G7" s="165">
        <v>0</v>
      </c>
      <c r="H7" s="161">
        <v>0</v>
      </c>
      <c r="I7" s="163">
        <v>0</v>
      </c>
      <c r="J7" s="165">
        <v>0</v>
      </c>
      <c r="K7" s="36">
        <f>INT(AJ7)</f>
        <v>9</v>
      </c>
      <c r="L7" s="74">
        <f>INT(60 * (AJ7-K7))</f>
        <v>56</v>
      </c>
      <c r="M7" s="74">
        <f>INT(3600 * (AJ7-K7-L7/60))</f>
        <v>42</v>
      </c>
      <c r="S7" s="95" t="s">
        <v>76</v>
      </c>
      <c r="T7" s="95"/>
      <c r="U7" s="95"/>
      <c r="V7" s="95"/>
      <c r="W7" s="95"/>
      <c r="X7" s="9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62"/>
      <c r="C8" s="164"/>
      <c r="D8" s="166"/>
      <c r="E8" s="162"/>
      <c r="F8" s="164"/>
      <c r="G8" s="166"/>
      <c r="H8" s="162"/>
      <c r="I8" s="164"/>
      <c r="J8" s="166"/>
      <c r="K8" s="149">
        <f>K7+L7/60+M7/3600</f>
        <v>9.9450000000000003</v>
      </c>
      <c r="L8" s="89"/>
      <c r="M8" s="89"/>
      <c r="S8" s="150" t="s">
        <v>77</v>
      </c>
      <c r="T8" s="150"/>
      <c r="U8" s="150"/>
      <c r="V8" s="150"/>
      <c r="W8" s="150"/>
      <c r="X8" s="150"/>
    </row>
    <row r="9" spans="2:36" ht="15" customHeight="1" x14ac:dyDescent="0.25">
      <c r="B9" s="151" t="s">
        <v>18</v>
      </c>
      <c r="C9" s="152"/>
      <c r="D9" s="145" t="s">
        <v>17</v>
      </c>
      <c r="E9" s="145"/>
      <c r="F9" s="145"/>
      <c r="G9" s="145"/>
      <c r="H9" s="145" t="s">
        <v>16</v>
      </c>
      <c r="I9" s="145"/>
      <c r="J9" s="145"/>
      <c r="K9" s="146"/>
    </row>
    <row r="10" spans="2:36" x14ac:dyDescent="0.25">
      <c r="B10" s="126"/>
      <c r="C10" s="12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26"/>
      <c r="C11" s="127"/>
      <c r="D11" s="41">
        <v>48.875556000000003</v>
      </c>
      <c r="E11" s="41">
        <v>0</v>
      </c>
      <c r="F11" s="41">
        <v>0</v>
      </c>
      <c r="G11" s="155" t="s">
        <v>28</v>
      </c>
      <c r="H11" s="41">
        <v>2.0948030000000002</v>
      </c>
      <c r="I11" s="41">
        <v>0</v>
      </c>
      <c r="J11" s="41">
        <v>0</v>
      </c>
      <c r="K11" s="157" t="s">
        <v>32</v>
      </c>
    </row>
    <row r="12" spans="2:36" ht="15.75" thickBot="1" x14ac:dyDescent="0.3">
      <c r="B12" s="153"/>
      <c r="C12" s="154"/>
      <c r="D12" s="159">
        <f>(D11+E11/60+F11/3600) * VLOOKUP(G11,Constante!$D$15:$E$16,2)</f>
        <v>48.875556000000003</v>
      </c>
      <c r="E12" s="159"/>
      <c r="F12" s="159"/>
      <c r="G12" s="156"/>
      <c r="H12" s="159">
        <f>(H11+I11/60+J11/3600) * VLOOKUP(K11,Constante!$D$12:$E$13,2)</f>
        <v>2.0948030000000002</v>
      </c>
      <c r="I12" s="159"/>
      <c r="J12" s="159"/>
      <c r="K12" s="158"/>
    </row>
    <row r="13" spans="2:36" ht="15" customHeight="1" x14ac:dyDescent="0.25">
      <c r="B13" s="124" t="s">
        <v>21</v>
      </c>
      <c r="C13" s="125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26"/>
      <c r="C14" s="12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45" t="s">
        <v>12</v>
      </c>
      <c r="H16" s="145"/>
      <c r="I16" s="146"/>
      <c r="J16" s="147" t="s">
        <v>78</v>
      </c>
      <c r="K16" s="148"/>
      <c r="L16" s="118" t="s">
        <v>79</v>
      </c>
      <c r="M16" s="119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20">
        <f>G18+H18/60+I18/3600</f>
        <v>31.283333333333335</v>
      </c>
      <c r="H19" s="120"/>
      <c r="I19" s="121"/>
      <c r="J19" s="122" t="s">
        <v>20</v>
      </c>
      <c r="K19" s="12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126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117" t="s">
        <v>33</v>
      </c>
      <c r="H26" s="117"/>
      <c r="I26" s="117"/>
      <c r="M26" s="117" t="s">
        <v>34</v>
      </c>
      <c r="N26" s="117"/>
      <c r="O26" s="117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72">
        <v>9</v>
      </c>
      <c r="H28" s="72">
        <v>0</v>
      </c>
      <c r="I28" s="72">
        <v>0</v>
      </c>
      <c r="M28" s="72">
        <v>10</v>
      </c>
      <c r="N28" s="72">
        <v>0</v>
      </c>
      <c r="O28" s="72">
        <v>0</v>
      </c>
    </row>
    <row r="29" spans="2:18" x14ac:dyDescent="0.25">
      <c r="G29" s="89">
        <f>G28+H28/60+I28/3600</f>
        <v>9</v>
      </c>
      <c r="H29" s="89"/>
      <c r="I29" s="89"/>
      <c r="M29" s="89">
        <f>M28+N28/60+O28/3600</f>
        <v>10</v>
      </c>
      <c r="N29" s="89"/>
      <c r="O29" s="89"/>
      <c r="Q29" s="19" t="s">
        <v>93</v>
      </c>
      <c r="R29" s="19">
        <f>(K8-M29)/(G29-M29)</f>
        <v>5.4999999999999716E-2</v>
      </c>
    </row>
    <row r="31" spans="2:18" x14ac:dyDescent="0.25">
      <c r="D31" s="113" t="s">
        <v>35</v>
      </c>
      <c r="E31" s="114"/>
      <c r="F31" s="11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14"/>
      <c r="E32" s="114"/>
      <c r="F32" s="114"/>
      <c r="G32" s="34">
        <v>5</v>
      </c>
      <c r="H32" s="34">
        <v>33.200000000000003</v>
      </c>
      <c r="I32" s="34">
        <v>0</v>
      </c>
      <c r="J32" s="115" t="s">
        <v>29</v>
      </c>
      <c r="L32" s="34">
        <v>5</v>
      </c>
      <c r="M32" s="34">
        <v>34.200000000000003</v>
      </c>
      <c r="N32" s="34">
        <v>0</v>
      </c>
      <c r="O32" s="115" t="s">
        <v>29</v>
      </c>
    </row>
    <row r="33" spans="3:31" ht="15.75" thickBot="1" x14ac:dyDescent="0.3">
      <c r="D33" s="114"/>
      <c r="E33" s="114"/>
      <c r="F33" s="114"/>
      <c r="G33" s="116">
        <f>(G32+H32/60+I32/3600) * VLOOKUP(J32,Constante!$D$15:$E$16,2)</f>
        <v>-5.5533333333333337</v>
      </c>
      <c r="H33" s="116"/>
      <c r="I33" s="116"/>
      <c r="J33" s="115"/>
      <c r="L33" s="116">
        <f>(L32+M32/60+N32/3600) * VLOOKUP(O32,Constante!$D$15:$E$16,2)</f>
        <v>-5.57</v>
      </c>
      <c r="M33" s="116"/>
      <c r="N33" s="116"/>
      <c r="O33" s="115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10"/>
      <c r="H34" s="111"/>
      <c r="I34" s="111"/>
      <c r="J34" s="112"/>
      <c r="L34" s="110"/>
      <c r="M34" s="111"/>
      <c r="N34" s="111"/>
      <c r="O34" s="112"/>
    </row>
    <row r="35" spans="3:31" x14ac:dyDescent="0.25">
      <c r="D35" s="113" t="s">
        <v>36</v>
      </c>
      <c r="E35" s="114"/>
      <c r="F35" s="11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14"/>
      <c r="E36" s="114"/>
      <c r="F36" s="114"/>
      <c r="G36" s="34">
        <v>359</v>
      </c>
      <c r="H36" s="34">
        <v>2</v>
      </c>
      <c r="I36" s="34">
        <v>0</v>
      </c>
      <c r="J36" s="115" t="s">
        <v>32</v>
      </c>
      <c r="L36" s="34">
        <v>20</v>
      </c>
      <c r="M36" s="34">
        <v>2.1</v>
      </c>
      <c r="N36" s="34">
        <v>0</v>
      </c>
      <c r="O36" s="115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14"/>
      <c r="E37" s="114"/>
      <c r="F37" s="114"/>
      <c r="G37" s="116">
        <f>(G36+H36/60+I36/3600) * VLOOKUP(J36,Constante!$D$12:$E$13,2)</f>
        <v>359.03333333333336</v>
      </c>
      <c r="H37" s="116"/>
      <c r="I37" s="116"/>
      <c r="J37" s="115"/>
      <c r="L37" s="116">
        <f>(L36+M36/60+N36/3600) * VLOOKUP(O36,Constante!$D$12:$E$13,2)</f>
        <v>20.035</v>
      </c>
      <c r="M37" s="116"/>
      <c r="N37" s="116"/>
      <c r="O37" s="115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117" t="s">
        <v>51</v>
      </c>
      <c r="H43" s="117"/>
      <c r="I43" s="117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72">
        <v>0</v>
      </c>
      <c r="H45" s="72">
        <v>0</v>
      </c>
      <c r="I45" s="72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9">
        <f>G45+H45/60+I45/3600</f>
        <v>0</v>
      </c>
      <c r="H46" s="89"/>
      <c r="I46" s="89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13" t="s">
        <v>35</v>
      </c>
      <c r="E48" s="114"/>
      <c r="F48" s="11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3" t="s">
        <v>52</v>
      </c>
      <c r="M48" s="114"/>
      <c r="N48" s="11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14"/>
      <c r="E49" s="114"/>
      <c r="F49" s="114"/>
      <c r="G49" s="38">
        <v>6</v>
      </c>
      <c r="H49" s="34">
        <v>35.9</v>
      </c>
      <c r="I49" s="34">
        <v>0</v>
      </c>
      <c r="J49" s="115" t="s">
        <v>29</v>
      </c>
      <c r="K49"/>
      <c r="L49" s="114"/>
      <c r="M49" s="114"/>
      <c r="N49" s="114"/>
      <c r="O49" s="34">
        <v>0</v>
      </c>
      <c r="P49" s="34">
        <v>1</v>
      </c>
      <c r="Q49" s="34">
        <v>0</v>
      </c>
      <c r="R49" s="115" t="s">
        <v>28</v>
      </c>
      <c r="Z49"/>
      <c r="AA49"/>
      <c r="AB49"/>
      <c r="AC49"/>
      <c r="AD49"/>
      <c r="AE49"/>
    </row>
    <row r="50" spans="3:31" ht="15.75" thickBot="1" x14ac:dyDescent="0.3">
      <c r="D50" s="114"/>
      <c r="E50" s="114"/>
      <c r="F50" s="114"/>
      <c r="G50" s="116">
        <f>(G49+H49/60+I49/3600) * VLOOKUP(J49,Constante!$D$15:$E$16,2)</f>
        <v>-6.5983333333333336</v>
      </c>
      <c r="H50" s="116"/>
      <c r="I50" s="116"/>
      <c r="J50" s="115"/>
      <c r="K50"/>
      <c r="L50" s="114"/>
      <c r="M50" s="114"/>
      <c r="N50" s="114"/>
      <c r="O50" s="116">
        <f>(O49+P49/60+Q49/3600) * VLOOKUP(R49,Constante!$D$15:$E$16,2)</f>
        <v>1.6666666666666666E-2</v>
      </c>
      <c r="P50" s="116"/>
      <c r="Q50" s="116"/>
      <c r="R50" s="115"/>
      <c r="T50" s="19" t="s">
        <v>127</v>
      </c>
      <c r="U50" s="19">
        <f>G46+(360 - G54)/O54</f>
        <v>12.196262720526152</v>
      </c>
      <c r="Z50"/>
      <c r="AA50"/>
      <c r="AB50"/>
      <c r="AC50"/>
      <c r="AD50"/>
      <c r="AE50"/>
    </row>
    <row r="51" spans="3:31" x14ac:dyDescent="0.25">
      <c r="G51" s="110"/>
      <c r="H51" s="111"/>
      <c r="I51" s="111"/>
      <c r="J51" s="112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13" t="s">
        <v>36</v>
      </c>
      <c r="E52" s="114"/>
      <c r="F52" s="11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3" t="s">
        <v>53</v>
      </c>
      <c r="M52" s="114"/>
      <c r="N52" s="11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14"/>
      <c r="E53" s="114"/>
      <c r="F53" s="114"/>
      <c r="G53" s="38">
        <v>177</v>
      </c>
      <c r="H53" s="34">
        <v>1.9</v>
      </c>
      <c r="I53" s="34">
        <v>0</v>
      </c>
      <c r="J53" s="115" t="s">
        <v>32</v>
      </c>
      <c r="K53"/>
      <c r="L53" s="114"/>
      <c r="M53" s="114"/>
      <c r="N53" s="114"/>
      <c r="O53" s="34">
        <v>15.002000000000001</v>
      </c>
      <c r="P53" s="34">
        <v>0</v>
      </c>
      <c r="Q53" s="34">
        <v>0</v>
      </c>
      <c r="R53" s="115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14"/>
      <c r="E54" s="114"/>
      <c r="F54" s="114"/>
      <c r="G54" s="116">
        <f>(G53+H53/60+I53/3600) * VLOOKUP(J53,Constante!$D$12:$E$13,2)</f>
        <v>177.03166666666667</v>
      </c>
      <c r="H54" s="116"/>
      <c r="I54" s="116"/>
      <c r="J54" s="115"/>
      <c r="K54"/>
      <c r="L54" s="114"/>
      <c r="M54" s="114"/>
      <c r="N54" s="114"/>
      <c r="O54" s="116">
        <f>(O53+P53/60+Q53/3600) * VLOOKUP(R53,Constante!$D$12:$E$13,2)</f>
        <v>15.002000000000001</v>
      </c>
      <c r="P54" s="116"/>
      <c r="Q54" s="116"/>
      <c r="R54" s="115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02" t="s">
        <v>54</v>
      </c>
      <c r="D58" s="102"/>
      <c r="E58" s="102"/>
      <c r="F58" s="102"/>
      <c r="G58" s="102"/>
      <c r="H58" s="103" t="s">
        <v>57</v>
      </c>
      <c r="I58" s="103"/>
      <c r="J58" s="103"/>
      <c r="K58" s="103"/>
      <c r="L58" s="71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04" t="s">
        <v>35</v>
      </c>
      <c r="G60" s="104"/>
      <c r="H60" s="104"/>
      <c r="I60" s="105">
        <f>IF(L58=Constante!E23,U33,U50)</f>
        <v>12.196262720526152</v>
      </c>
      <c r="J60" s="105"/>
      <c r="K60" s="105"/>
      <c r="L60" s="105"/>
    </row>
    <row r="61" spans="3:31" x14ac:dyDescent="0.25">
      <c r="F61" s="104"/>
      <c r="G61" s="104"/>
      <c r="H61" s="104"/>
      <c r="I61" s="75" t="s">
        <v>13</v>
      </c>
      <c r="J61" s="75" t="s">
        <v>4</v>
      </c>
      <c r="K61" s="75" t="s">
        <v>5</v>
      </c>
      <c r="L61" s="19" t="s">
        <v>22</v>
      </c>
    </row>
    <row r="62" spans="3:31" ht="15.75" thickBot="1" x14ac:dyDescent="0.3">
      <c r="F62" s="104"/>
      <c r="G62" s="104"/>
      <c r="H62" s="104"/>
      <c r="I62" s="20">
        <f>INT(ABS(I60))</f>
        <v>12</v>
      </c>
      <c r="J62" s="20">
        <f>INT(60*(ABS(I60)-I62))</f>
        <v>11</v>
      </c>
      <c r="K62" s="20">
        <f>INT(3600*(ABS(I60)-I62-J62/60))</f>
        <v>46</v>
      </c>
      <c r="L62" s="19" t="str">
        <f>VLOOKUP(IF(I60&lt;0,-1,1),Constante!$F$15:$G$17,2)</f>
        <v>N</v>
      </c>
    </row>
    <row r="63" spans="3:31" ht="15.75" thickBot="1" x14ac:dyDescent="0.3">
      <c r="I63" s="106"/>
      <c r="J63" s="107"/>
      <c r="K63" s="107"/>
      <c r="L63" s="108"/>
    </row>
    <row r="64" spans="3:31" x14ac:dyDescent="0.25">
      <c r="F64" s="104" t="s">
        <v>42</v>
      </c>
      <c r="G64" s="89"/>
      <c r="H64" s="89"/>
      <c r="I64" s="109">
        <f>IF(L58="a",AA67,Z52)+H12</f>
        <v>2.0948030000000002</v>
      </c>
      <c r="J64" s="105"/>
      <c r="K64" s="105"/>
      <c r="L64" s="105"/>
    </row>
    <row r="65" spans="2:31" x14ac:dyDescent="0.25">
      <c r="F65" s="89"/>
      <c r="G65" s="89"/>
      <c r="H65" s="89"/>
      <c r="I65" s="75" t="s">
        <v>13</v>
      </c>
      <c r="J65" s="75" t="s">
        <v>4</v>
      </c>
      <c r="K65" s="75" t="s">
        <v>5</v>
      </c>
      <c r="L65" s="19" t="s">
        <v>22</v>
      </c>
    </row>
    <row r="66" spans="2:31" x14ac:dyDescent="0.25">
      <c r="F66" s="89"/>
      <c r="G66" s="89"/>
      <c r="H66" s="89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12.196262720526152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99" t="s">
        <v>103</v>
      </c>
      <c r="U71" s="100"/>
      <c r="V71" s="69">
        <f>V70*Constante!$D$19</f>
        <v>0.21286494091142236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75" t="s">
        <v>13</v>
      </c>
      <c r="G72" s="75" t="s">
        <v>4</v>
      </c>
      <c r="H72" s="75" t="s">
        <v>5</v>
      </c>
      <c r="S72" s="19" t="s">
        <v>102</v>
      </c>
      <c r="T72" s="19" t="s">
        <v>41</v>
      </c>
      <c r="U72" s="19"/>
      <c r="V72" s="19">
        <f>SIN(V71)*SIN(X71)</f>
        <v>0.15913932325834326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x14ac:dyDescent="0.25">
      <c r="F73" s="20">
        <f>INT(ABS(F74))</f>
        <v>53</v>
      </c>
      <c r="G73" s="20">
        <f>INT(60*(ABS(F74)-F73))</f>
        <v>16</v>
      </c>
      <c r="H73" s="73">
        <f>ABS(F74)-F73-G73/60</f>
        <v>1.285223160259269E-2</v>
      </c>
      <c r="S73" s="19" t="s">
        <v>104</v>
      </c>
      <c r="T73" s="19" t="s">
        <v>43</v>
      </c>
      <c r="U73" s="19"/>
      <c r="V73" s="19">
        <f>COS(V71)*COS(Z71)*COS(X71)</f>
        <v>0.64242264109019009</v>
      </c>
      <c r="W73" s="19"/>
      <c r="X73" s="19"/>
      <c r="Y73" s="19"/>
      <c r="Z73" s="19"/>
      <c r="AA73" s="19"/>
    </row>
    <row r="74" spans="2:31" x14ac:dyDescent="0.25">
      <c r="F74" s="90">
        <f>V74/Constante!$D$19</f>
        <v>53.279518898269259</v>
      </c>
      <c r="G74" s="90"/>
      <c r="H74" s="90"/>
      <c r="S74" s="19" t="s">
        <v>44</v>
      </c>
      <c r="T74" s="101" t="s">
        <v>103</v>
      </c>
      <c r="U74" s="101"/>
      <c r="V74" s="69">
        <f>ASIN(V72+V73)</f>
        <v>0.92990302865334029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12.196262720526152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53.279518898269259</v>
      </c>
      <c r="AC83" s="19"/>
    </row>
    <row r="84" spans="2:29" x14ac:dyDescent="0.25">
      <c r="F84" s="75" t="s">
        <v>13</v>
      </c>
      <c r="G84" s="75" t="s">
        <v>4</v>
      </c>
      <c r="H84" s="75" t="s">
        <v>5</v>
      </c>
      <c r="S84" s="19"/>
      <c r="T84" s="99" t="s">
        <v>103</v>
      </c>
      <c r="U84" s="100"/>
      <c r="V84" s="69">
        <f>V83*Constante!$D$19</f>
        <v>0.21286494091142236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0.92990302865334029</v>
      </c>
      <c r="AC84" s="69"/>
    </row>
    <row r="85" spans="2:29" x14ac:dyDescent="0.25">
      <c r="F85" s="20">
        <f>INT(ABS(F86))</f>
        <v>176</v>
      </c>
      <c r="G85" s="20">
        <f>INT(60*(ABS(F86)-F85))</f>
        <v>34</v>
      </c>
      <c r="H85" s="73">
        <f>ABS(F86)-F85-G85/60</f>
        <v>7.5990300985286918E-3</v>
      </c>
      <c r="J85" s="22" t="s">
        <v>70</v>
      </c>
      <c r="K85" s="22"/>
      <c r="S85" s="19" t="s">
        <v>102</v>
      </c>
      <c r="T85" s="96" t="s">
        <v>105</v>
      </c>
      <c r="U85" s="97"/>
      <c r="V85" s="19">
        <f>SIN(V84)</f>
        <v>0.21126104128624015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98">
        <f>V88/Constante!$D$19</f>
        <v>176.5742656967652</v>
      </c>
      <c r="G86" s="98"/>
      <c r="H86" s="98"/>
      <c r="J86" s="53"/>
      <c r="K86" s="54">
        <f>IF(I64&lt;180,ABS(F86-360),F86)</f>
        <v>183.4257343032348</v>
      </c>
      <c r="L86" s="55" t="s">
        <v>13</v>
      </c>
      <c r="S86" s="19" t="s">
        <v>104</v>
      </c>
      <c r="T86" s="96" t="s">
        <v>106</v>
      </c>
      <c r="U86" s="97"/>
      <c r="V86" s="19">
        <f>SIN(X84)*SIN(AB84)</f>
        <v>0.60380289607311577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96" t="s">
        <v>108</v>
      </c>
      <c r="U87" s="97"/>
      <c r="V87" s="19">
        <f>COS(X84)*COS(AB84)</f>
        <v>0.39324454744956178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99" t="s">
        <v>103</v>
      </c>
      <c r="U88" s="100"/>
      <c r="V88" s="69">
        <f>ACOS(((V85-V86)/V87))</f>
        <v>3.0818023106998318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71" t="s">
        <v>23</v>
      </c>
      <c r="T92" s="71" t="s">
        <v>15</v>
      </c>
      <c r="U92" s="71" t="s">
        <v>81</v>
      </c>
      <c r="V92" s="71" t="s">
        <v>110</v>
      </c>
      <c r="W92" s="88" t="s">
        <v>121</v>
      </c>
      <c r="X92" s="89" t="s">
        <v>120</v>
      </c>
      <c r="Y92" s="89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75" t="s">
        <v>13</v>
      </c>
      <c r="P93" s="75" t="s">
        <v>4</v>
      </c>
      <c r="Q93" s="75" t="s">
        <v>5</v>
      </c>
      <c r="S93" s="71" t="b">
        <f>ISNUMBER(SEARCH(E16,Constante!D4))</f>
        <v>0</v>
      </c>
      <c r="T93" s="71" t="b">
        <f>ISNUMBER(SEARCH(E16,Constante!D3))</f>
        <v>1</v>
      </c>
      <c r="U93" s="71" t="b">
        <f>AND(NOT(S93),NOT(T93))</f>
        <v>0</v>
      </c>
      <c r="V93" s="71" t="b">
        <f>ISNUMBER(SEARCH(L16,Constante!G4))</f>
        <v>0</v>
      </c>
      <c r="W93" s="89"/>
      <c r="X93" s="89"/>
      <c r="Y93" s="89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73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9"/>
      <c r="X94" s="89"/>
      <c r="Y94" s="89"/>
    </row>
    <row r="95" spans="2:29" x14ac:dyDescent="0.25">
      <c r="F95"/>
      <c r="G95"/>
      <c r="I95" s="1" t="s">
        <v>63</v>
      </c>
      <c r="O95" s="90">
        <f>D93-F93+I93+I94</f>
        <v>30.82585555555556</v>
      </c>
      <c r="P95" s="90"/>
      <c r="Q95" s="9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75" t="s">
        <v>13</v>
      </c>
      <c r="G107" s="75" t="s">
        <v>4</v>
      </c>
      <c r="H107" s="75" t="s">
        <v>5</v>
      </c>
    </row>
    <row r="108" spans="4:27" x14ac:dyDescent="0.25">
      <c r="F108" s="32">
        <f>INT(ABS(F109))</f>
        <v>22</v>
      </c>
      <c r="G108" s="32">
        <f>INT(60*(ABS(F109)-F108))</f>
        <v>27</v>
      </c>
      <c r="H108" s="33">
        <f>ABS(F109)-F108-G108/60</f>
        <v>3.6633427136997798E-3</v>
      </c>
    </row>
    <row r="109" spans="4:27" x14ac:dyDescent="0.25">
      <c r="F109" s="92">
        <f>O95-F74</f>
        <v>-22.4536633427137</v>
      </c>
      <c r="G109" s="93"/>
      <c r="H109" s="94"/>
      <c r="J109" s="95">
        <f>F109*60</f>
        <v>-1347.219800562822</v>
      </c>
      <c r="K109" s="95"/>
      <c r="L109" s="95" t="s">
        <v>125</v>
      </c>
      <c r="M109" s="95"/>
    </row>
    <row r="112" spans="4:27" x14ac:dyDescent="0.25">
      <c r="G112" s="85" t="s">
        <v>122</v>
      </c>
      <c r="H112" s="85"/>
      <c r="I112" s="85"/>
      <c r="J112" s="83" t="s">
        <v>17</v>
      </c>
      <c r="K112" s="83">
        <f>ABS(I60)</f>
        <v>12.196262720526152</v>
      </c>
      <c r="L112" s="83" t="str">
        <f>L62</f>
        <v>N</v>
      </c>
      <c r="M112" s="86" t="s">
        <v>123</v>
      </c>
      <c r="N112" s="87"/>
      <c r="O112" s="85" t="s">
        <v>124</v>
      </c>
      <c r="P112" s="85"/>
      <c r="Q112" s="85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85"/>
      <c r="H113" s="85"/>
      <c r="I113" s="85"/>
      <c r="J113" s="83" t="s">
        <v>16</v>
      </c>
      <c r="K113" s="83">
        <f>ABS(I64)</f>
        <v>2.0948030000000002</v>
      </c>
      <c r="L113" s="83" t="str">
        <f>L66</f>
        <v>E</v>
      </c>
      <c r="M113" s="86"/>
      <c r="N113" s="87"/>
      <c r="O113" s="85"/>
      <c r="P113" s="85"/>
      <c r="Q113" s="85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W92:W94"/>
    <mergeCell ref="X92:X94"/>
    <mergeCell ref="S7:X7"/>
    <mergeCell ref="S8:X8"/>
    <mergeCell ref="R49:R50"/>
    <mergeCell ref="R53:R54"/>
    <mergeCell ref="T71:U71"/>
    <mergeCell ref="B2:P2"/>
    <mergeCell ref="S3:X3"/>
    <mergeCell ref="S4:X4"/>
    <mergeCell ref="S5:X5"/>
    <mergeCell ref="S6:X6"/>
    <mergeCell ref="J7:J8"/>
    <mergeCell ref="K4:M4"/>
    <mergeCell ref="B5:D5"/>
    <mergeCell ref="E5:G5"/>
    <mergeCell ref="H5:J5"/>
    <mergeCell ref="K5:M5"/>
    <mergeCell ref="K8:M8"/>
    <mergeCell ref="B9:C12"/>
    <mergeCell ref="D9:G9"/>
    <mergeCell ref="H9:K9"/>
    <mergeCell ref="G11:G12"/>
    <mergeCell ref="K11:K12"/>
    <mergeCell ref="D12:F12"/>
    <mergeCell ref="H12:J12"/>
    <mergeCell ref="B7:B8"/>
    <mergeCell ref="C7:C8"/>
    <mergeCell ref="D7:D8"/>
    <mergeCell ref="E7:E8"/>
    <mergeCell ref="F7:F8"/>
    <mergeCell ref="G7:G8"/>
    <mergeCell ref="H7:H8"/>
    <mergeCell ref="I7:I8"/>
    <mergeCell ref="B13:C15"/>
    <mergeCell ref="D15:G15"/>
    <mergeCell ref="B16:D19"/>
    <mergeCell ref="E16:F19"/>
    <mergeCell ref="G16:I16"/>
    <mergeCell ref="G34:J34"/>
    <mergeCell ref="L34:O34"/>
    <mergeCell ref="L16:M16"/>
    <mergeCell ref="G19:I19"/>
    <mergeCell ref="J19:K19"/>
    <mergeCell ref="G26:I26"/>
    <mergeCell ref="M26:O26"/>
    <mergeCell ref="G29:I29"/>
    <mergeCell ref="M29:O29"/>
    <mergeCell ref="J16:K16"/>
    <mergeCell ref="D31:F33"/>
    <mergeCell ref="J32:J33"/>
    <mergeCell ref="O32:O33"/>
    <mergeCell ref="G33:I33"/>
    <mergeCell ref="L33:N33"/>
    <mergeCell ref="G50:I50"/>
    <mergeCell ref="O50:Q50"/>
    <mergeCell ref="D35:F37"/>
    <mergeCell ref="J36:J37"/>
    <mergeCell ref="O36:O37"/>
    <mergeCell ref="G37:I37"/>
    <mergeCell ref="L37:N37"/>
    <mergeCell ref="G43:I43"/>
    <mergeCell ref="G51:J51"/>
    <mergeCell ref="D52:F54"/>
    <mergeCell ref="L52:N54"/>
    <mergeCell ref="J53:J54"/>
    <mergeCell ref="G54:I54"/>
    <mergeCell ref="O54:Q54"/>
    <mergeCell ref="G46:I46"/>
    <mergeCell ref="D48:F50"/>
    <mergeCell ref="L48:N50"/>
    <mergeCell ref="J49:J50"/>
    <mergeCell ref="C58:G58"/>
    <mergeCell ref="H58:K58"/>
    <mergeCell ref="F60:H62"/>
    <mergeCell ref="I60:L60"/>
    <mergeCell ref="I63:L63"/>
    <mergeCell ref="O92:Q92"/>
    <mergeCell ref="F71:H71"/>
    <mergeCell ref="F74:H74"/>
    <mergeCell ref="F83:H83"/>
    <mergeCell ref="F64:H66"/>
    <mergeCell ref="I64:L64"/>
    <mergeCell ref="T74:U74"/>
    <mergeCell ref="T84:U84"/>
    <mergeCell ref="T85:U85"/>
    <mergeCell ref="T86:U86"/>
    <mergeCell ref="T87:U87"/>
    <mergeCell ref="T88:U88"/>
    <mergeCell ref="G112:I113"/>
    <mergeCell ref="M112:N113"/>
    <mergeCell ref="O112:Q113"/>
    <mergeCell ref="Y92:Y94"/>
    <mergeCell ref="O95:Q95"/>
    <mergeCell ref="F106:H106"/>
    <mergeCell ref="F109:H109"/>
    <mergeCell ref="J109:K109"/>
    <mergeCell ref="L109:M109"/>
    <mergeCell ref="F86:H86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67" t="s">
        <v>10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56"/>
      <c r="R2" s="16" t="s">
        <v>71</v>
      </c>
      <c r="S2" s="16"/>
      <c r="Y2" s="56"/>
      <c r="Z2" s="57"/>
    </row>
    <row r="3" spans="2:36" ht="15.75" thickBot="1" x14ac:dyDescent="0.3">
      <c r="S3" s="169" t="s">
        <v>72</v>
      </c>
      <c r="T3" s="169"/>
      <c r="U3" s="169"/>
      <c r="V3" s="169"/>
      <c r="W3" s="169"/>
      <c r="X3" s="16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0" t="s">
        <v>82</v>
      </c>
      <c r="L4" s="170"/>
      <c r="M4" s="170"/>
      <c r="S4" s="171" t="s">
        <v>73</v>
      </c>
      <c r="T4" s="171"/>
      <c r="U4" s="171"/>
      <c r="V4" s="171"/>
      <c r="W4" s="171"/>
      <c r="X4" s="171"/>
    </row>
    <row r="5" spans="2:36" x14ac:dyDescent="0.25">
      <c r="B5" s="117" t="s">
        <v>2</v>
      </c>
      <c r="C5" s="117"/>
      <c r="D5" s="117"/>
      <c r="E5" s="117" t="s">
        <v>6</v>
      </c>
      <c r="F5" s="117"/>
      <c r="G5" s="117"/>
      <c r="H5" s="117" t="s">
        <v>7</v>
      </c>
      <c r="I5" s="117"/>
      <c r="J5" s="117"/>
      <c r="K5" s="91" t="s">
        <v>8</v>
      </c>
      <c r="L5" s="91"/>
      <c r="M5" s="91"/>
      <c r="S5" s="172" t="s">
        <v>74</v>
      </c>
      <c r="T5" s="172"/>
      <c r="U5" s="172"/>
      <c r="V5" s="172"/>
      <c r="W5" s="172"/>
      <c r="X5" s="17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60" t="s">
        <v>75</v>
      </c>
      <c r="T6" s="160"/>
      <c r="U6" s="160"/>
      <c r="V6" s="160"/>
      <c r="W6" s="160"/>
      <c r="X6" s="160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61">
        <v>9</v>
      </c>
      <c r="C7" s="163">
        <v>56</v>
      </c>
      <c r="D7" s="165">
        <v>42</v>
      </c>
      <c r="E7" s="161">
        <v>0</v>
      </c>
      <c r="F7" s="163">
        <v>0</v>
      </c>
      <c r="G7" s="165">
        <v>0</v>
      </c>
      <c r="H7" s="161">
        <v>0</v>
      </c>
      <c r="I7" s="163">
        <v>0</v>
      </c>
      <c r="J7" s="165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95" t="s">
        <v>76</v>
      </c>
      <c r="T7" s="95"/>
      <c r="U7" s="95"/>
      <c r="V7" s="95"/>
      <c r="W7" s="95"/>
      <c r="X7" s="9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62"/>
      <c r="C8" s="164"/>
      <c r="D8" s="166"/>
      <c r="E8" s="162"/>
      <c r="F8" s="164"/>
      <c r="G8" s="166"/>
      <c r="H8" s="162"/>
      <c r="I8" s="164"/>
      <c r="J8" s="166"/>
      <c r="K8" s="149">
        <f>K7+L7/60+M7/3600</f>
        <v>9.9450000000000003</v>
      </c>
      <c r="L8" s="89"/>
      <c r="M8" s="89"/>
      <c r="S8" s="150" t="s">
        <v>77</v>
      </c>
      <c r="T8" s="150"/>
      <c r="U8" s="150"/>
      <c r="V8" s="150"/>
      <c r="W8" s="150"/>
      <c r="X8" s="150"/>
    </row>
    <row r="9" spans="2:36" ht="15" customHeight="1" x14ac:dyDescent="0.25">
      <c r="B9" s="151" t="s">
        <v>18</v>
      </c>
      <c r="C9" s="152"/>
      <c r="D9" s="145" t="s">
        <v>17</v>
      </c>
      <c r="E9" s="145"/>
      <c r="F9" s="145"/>
      <c r="G9" s="145"/>
      <c r="H9" s="145" t="s">
        <v>16</v>
      </c>
      <c r="I9" s="145"/>
      <c r="J9" s="145"/>
      <c r="K9" s="146"/>
    </row>
    <row r="10" spans="2:36" x14ac:dyDescent="0.25">
      <c r="B10" s="126"/>
      <c r="C10" s="12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26"/>
      <c r="C11" s="127"/>
      <c r="D11" s="41">
        <v>48.875556000000003</v>
      </c>
      <c r="E11" s="41">
        <v>0</v>
      </c>
      <c r="F11" s="41">
        <v>0</v>
      </c>
      <c r="G11" s="155" t="s">
        <v>28</v>
      </c>
      <c r="H11" s="41">
        <v>2.0948030000000002</v>
      </c>
      <c r="I11" s="41">
        <v>0</v>
      </c>
      <c r="J11" s="41">
        <v>0</v>
      </c>
      <c r="K11" s="157" t="s">
        <v>32</v>
      </c>
    </row>
    <row r="12" spans="2:36" ht="15.75" thickBot="1" x14ac:dyDescent="0.3">
      <c r="B12" s="153"/>
      <c r="C12" s="154"/>
      <c r="D12" s="159">
        <f>(D11+E11/60+F11/3600) * VLOOKUP(G11,Constante!$D$15:$E$16,2)</f>
        <v>48.875556000000003</v>
      </c>
      <c r="E12" s="159"/>
      <c r="F12" s="159"/>
      <c r="G12" s="156"/>
      <c r="H12" s="159">
        <f>(H11+I11/60+J11/3600) * VLOOKUP(K11,Constante!$D$12:$E$13,2)</f>
        <v>2.0948030000000002</v>
      </c>
      <c r="I12" s="159"/>
      <c r="J12" s="159"/>
      <c r="K12" s="158"/>
    </row>
    <row r="13" spans="2:36" ht="15" customHeight="1" x14ac:dyDescent="0.25">
      <c r="B13" s="124" t="s">
        <v>21</v>
      </c>
      <c r="C13" s="125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26"/>
      <c r="C14" s="12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45" t="s">
        <v>12</v>
      </c>
      <c r="H16" s="145"/>
      <c r="I16" s="146"/>
      <c r="J16" s="147" t="s">
        <v>78</v>
      </c>
      <c r="K16" s="148"/>
      <c r="L16" s="118" t="s">
        <v>79</v>
      </c>
      <c r="M16" s="119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20">
        <f>G18+H18/60+I18/3600</f>
        <v>31.283333333333335</v>
      </c>
      <c r="H19" s="120"/>
      <c r="I19" s="121"/>
      <c r="J19" s="122" t="s">
        <v>20</v>
      </c>
      <c r="K19" s="12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117" t="s">
        <v>33</v>
      </c>
      <c r="H26" s="117"/>
      <c r="I26" s="117"/>
      <c r="M26" s="117" t="s">
        <v>34</v>
      </c>
      <c r="N26" s="117"/>
      <c r="O26" s="117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89">
        <f>G28+H28/60+I28/3600</f>
        <v>9</v>
      </c>
      <c r="H29" s="89"/>
      <c r="I29" s="89"/>
      <c r="M29" s="89">
        <f>M28+N28/60+O28/3600</f>
        <v>10</v>
      </c>
      <c r="N29" s="89"/>
      <c r="O29" s="89"/>
      <c r="Q29" s="19" t="s">
        <v>93</v>
      </c>
      <c r="R29" s="19">
        <f>(K8-M29)/(G29-M29)</f>
        <v>5.4999999999999716E-2</v>
      </c>
    </row>
    <row r="31" spans="2:18" x14ac:dyDescent="0.25">
      <c r="D31" s="113" t="s">
        <v>35</v>
      </c>
      <c r="E31" s="114"/>
      <c r="F31" s="11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14"/>
      <c r="E32" s="114"/>
      <c r="F32" s="114"/>
      <c r="G32" s="34">
        <v>5</v>
      </c>
      <c r="H32" s="34">
        <v>33.200000000000003</v>
      </c>
      <c r="I32" s="34">
        <v>0</v>
      </c>
      <c r="J32" s="115" t="s">
        <v>29</v>
      </c>
      <c r="L32" s="34">
        <v>5</v>
      </c>
      <c r="M32" s="34">
        <v>34.200000000000003</v>
      </c>
      <c r="N32" s="34">
        <v>0</v>
      </c>
      <c r="O32" s="115" t="s">
        <v>29</v>
      </c>
    </row>
    <row r="33" spans="3:31" ht="15.75" thickBot="1" x14ac:dyDescent="0.3">
      <c r="D33" s="114"/>
      <c r="E33" s="114"/>
      <c r="F33" s="114"/>
      <c r="G33" s="116">
        <f>(G32+H32/60+I32/3600) * VLOOKUP(J32,Constante!$D$15:$E$16,2)</f>
        <v>-5.5533333333333337</v>
      </c>
      <c r="H33" s="116"/>
      <c r="I33" s="116"/>
      <c r="J33" s="115"/>
      <c r="L33" s="116">
        <f>(L32+M32/60+N32/3600) * VLOOKUP(O32,Constante!$D$15:$E$16,2)</f>
        <v>-5.57</v>
      </c>
      <c r="M33" s="116"/>
      <c r="N33" s="116"/>
      <c r="O33" s="115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10"/>
      <c r="H34" s="111"/>
      <c r="I34" s="111"/>
      <c r="J34" s="112"/>
      <c r="L34" s="110"/>
      <c r="M34" s="111"/>
      <c r="N34" s="111"/>
      <c r="O34" s="112"/>
    </row>
    <row r="35" spans="3:31" x14ac:dyDescent="0.25">
      <c r="D35" s="113" t="s">
        <v>36</v>
      </c>
      <c r="E35" s="114"/>
      <c r="F35" s="11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14"/>
      <c r="E36" s="114"/>
      <c r="F36" s="114"/>
      <c r="G36" s="34">
        <v>359</v>
      </c>
      <c r="H36" s="34">
        <v>2</v>
      </c>
      <c r="I36" s="34">
        <v>0</v>
      </c>
      <c r="J36" s="115" t="s">
        <v>32</v>
      </c>
      <c r="L36" s="34">
        <v>20</v>
      </c>
      <c r="M36" s="34">
        <v>2.1</v>
      </c>
      <c r="N36" s="34">
        <v>0</v>
      </c>
      <c r="O36" s="115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14"/>
      <c r="E37" s="114"/>
      <c r="F37" s="114"/>
      <c r="G37" s="116">
        <f>(G36+H36/60+I36/3600) * VLOOKUP(J36,Constante!$D$12:$E$13,2)</f>
        <v>359.03333333333336</v>
      </c>
      <c r="H37" s="116"/>
      <c r="I37" s="116"/>
      <c r="J37" s="115"/>
      <c r="L37" s="116">
        <f>(L36+M36/60+N36/3600) * VLOOKUP(O36,Constante!$D$12:$E$13,2)</f>
        <v>20.035</v>
      </c>
      <c r="M37" s="116"/>
      <c r="N37" s="116"/>
      <c r="O37" s="115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117" t="s">
        <v>51</v>
      </c>
      <c r="H43" s="117"/>
      <c r="I43" s="117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9">
        <f>G45+H45/60+I45/3600</f>
        <v>0</v>
      </c>
      <c r="H46" s="89"/>
      <c r="I46" s="89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13" t="s">
        <v>35</v>
      </c>
      <c r="E48" s="114"/>
      <c r="F48" s="11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3" t="s">
        <v>52</v>
      </c>
      <c r="M48" s="114"/>
      <c r="N48" s="11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14"/>
      <c r="E49" s="114"/>
      <c r="F49" s="114"/>
      <c r="G49" s="38">
        <v>6</v>
      </c>
      <c r="H49" s="34">
        <v>35.9</v>
      </c>
      <c r="I49" s="34">
        <v>0</v>
      </c>
      <c r="J49" s="115" t="s">
        <v>29</v>
      </c>
      <c r="K49"/>
      <c r="L49" s="114"/>
      <c r="M49" s="114"/>
      <c r="N49" s="114"/>
      <c r="O49" s="34">
        <v>0</v>
      </c>
      <c r="P49" s="34">
        <v>1</v>
      </c>
      <c r="Q49" s="34">
        <v>0</v>
      </c>
      <c r="R49" s="115" t="s">
        <v>28</v>
      </c>
      <c r="Z49"/>
      <c r="AA49"/>
      <c r="AB49"/>
      <c r="AC49"/>
      <c r="AD49"/>
      <c r="AE49"/>
    </row>
    <row r="50" spans="3:31" ht="15.75" thickBot="1" x14ac:dyDescent="0.3">
      <c r="D50" s="114"/>
      <c r="E50" s="114"/>
      <c r="F50" s="114"/>
      <c r="G50" s="116">
        <f>(G49+H49/60+I49/3600) * VLOOKUP(J49,Constante!$D$15:$E$16,2)</f>
        <v>-6.5983333333333336</v>
      </c>
      <c r="H50" s="116"/>
      <c r="I50" s="116"/>
      <c r="J50" s="115"/>
      <c r="K50"/>
      <c r="L50" s="114"/>
      <c r="M50" s="114"/>
      <c r="N50" s="114"/>
      <c r="O50" s="116">
        <f>(O49+P49/60+Q49/3600) * VLOOKUP(R49,Constante!$D$15:$E$16,2)</f>
        <v>1.6666666666666666E-2</v>
      </c>
      <c r="P50" s="116"/>
      <c r="Q50" s="116"/>
      <c r="R50" s="115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10"/>
      <c r="H51" s="111"/>
      <c r="I51" s="111"/>
      <c r="J51" s="112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13" t="s">
        <v>36</v>
      </c>
      <c r="E52" s="114"/>
      <c r="F52" s="11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3" t="s">
        <v>53</v>
      </c>
      <c r="M52" s="114"/>
      <c r="N52" s="11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14"/>
      <c r="E53" s="114"/>
      <c r="F53" s="114"/>
      <c r="G53" s="38">
        <v>177</v>
      </c>
      <c r="H53" s="34">
        <v>1.9</v>
      </c>
      <c r="I53" s="34">
        <v>0</v>
      </c>
      <c r="J53" s="115" t="s">
        <v>32</v>
      </c>
      <c r="K53"/>
      <c r="L53" s="114"/>
      <c r="M53" s="114"/>
      <c r="N53" s="114"/>
      <c r="O53" s="34">
        <v>15.002000000000001</v>
      </c>
      <c r="P53" s="34">
        <v>0</v>
      </c>
      <c r="Q53" s="34">
        <v>0</v>
      </c>
      <c r="R53" s="115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14"/>
      <c r="E54" s="114"/>
      <c r="F54" s="114"/>
      <c r="G54" s="116">
        <f>(G53+H53/60+I53/3600) * VLOOKUP(J53,Constante!$D$12:$E$13,2)</f>
        <v>177.03166666666667</v>
      </c>
      <c r="H54" s="116"/>
      <c r="I54" s="116"/>
      <c r="J54" s="115"/>
      <c r="K54"/>
      <c r="L54" s="114"/>
      <c r="M54" s="114"/>
      <c r="N54" s="114"/>
      <c r="O54" s="116">
        <f>(O53+P53/60+Q53/3600) * VLOOKUP(R53,Constante!$D$12:$E$13,2)</f>
        <v>15.002000000000001</v>
      </c>
      <c r="P54" s="116"/>
      <c r="Q54" s="116"/>
      <c r="R54" s="115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02" t="s">
        <v>54</v>
      </c>
      <c r="D58" s="102"/>
      <c r="E58" s="102"/>
      <c r="F58" s="102"/>
      <c r="G58" s="102"/>
      <c r="H58" s="103" t="s">
        <v>57</v>
      </c>
      <c r="I58" s="103"/>
      <c r="J58" s="103"/>
      <c r="K58" s="103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04" t="s">
        <v>35</v>
      </c>
      <c r="G60" s="104"/>
      <c r="H60" s="104"/>
      <c r="I60" s="105">
        <f>IF(L58=Constante!E23,U33,U50)</f>
        <v>-6.4325833333333335</v>
      </c>
      <c r="J60" s="105"/>
      <c r="K60" s="105"/>
      <c r="L60" s="105"/>
    </row>
    <row r="61" spans="3:31" x14ac:dyDescent="0.25">
      <c r="F61" s="104"/>
      <c r="G61" s="104"/>
      <c r="H61" s="104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04"/>
      <c r="G62" s="104"/>
      <c r="H62" s="104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06"/>
      <c r="J63" s="107"/>
      <c r="K63" s="107"/>
      <c r="L63" s="108"/>
    </row>
    <row r="64" spans="3:31" x14ac:dyDescent="0.25">
      <c r="F64" s="104" t="s">
        <v>42</v>
      </c>
      <c r="G64" s="89"/>
      <c r="H64" s="89"/>
      <c r="I64" s="109">
        <f>IF(L58="a",AA67,Z52)+H12</f>
        <v>2.0948030000000002</v>
      </c>
      <c r="J64" s="105"/>
      <c r="K64" s="105"/>
      <c r="L64" s="105"/>
    </row>
    <row r="65" spans="2:31" x14ac:dyDescent="0.25">
      <c r="F65" s="89"/>
      <c r="G65" s="89"/>
      <c r="H65" s="89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89"/>
      <c r="G66" s="89"/>
      <c r="H66" s="89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99" t="s">
        <v>103</v>
      </c>
      <c r="U71" s="100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90">
        <f>V74/Constante!$D$19</f>
        <v>34.661430958715577</v>
      </c>
      <c r="G74" s="90"/>
      <c r="H74" s="90"/>
      <c r="S74" s="19" t="s">
        <v>44</v>
      </c>
      <c r="T74" s="101" t="s">
        <v>103</v>
      </c>
      <c r="U74" s="101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99" t="s">
        <v>103</v>
      </c>
      <c r="U84" s="100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96" t="s">
        <v>105</v>
      </c>
      <c r="U85" s="97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98">
        <f>V88/Constante!$D$19</f>
        <v>177.46898521244154</v>
      </c>
      <c r="G86" s="98"/>
      <c r="H86" s="98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6" t="s">
        <v>106</v>
      </c>
      <c r="U86" s="97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96" t="s">
        <v>108</v>
      </c>
      <c r="U87" s="97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99" t="s">
        <v>103</v>
      </c>
      <c r="U88" s="100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63" t="s">
        <v>23</v>
      </c>
      <c r="T92" s="63" t="s">
        <v>15</v>
      </c>
      <c r="U92" s="63" t="s">
        <v>81</v>
      </c>
      <c r="V92" s="63" t="s">
        <v>110</v>
      </c>
      <c r="W92" s="88" t="s">
        <v>121</v>
      </c>
      <c r="X92" s="89" t="s">
        <v>120</v>
      </c>
      <c r="Y92" s="89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9"/>
      <c r="X93" s="89"/>
      <c r="Y93" s="89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9"/>
      <c r="X94" s="89"/>
      <c r="Y94" s="89"/>
    </row>
    <row r="95" spans="2:29" x14ac:dyDescent="0.25">
      <c r="F95"/>
      <c r="G95"/>
      <c r="I95" s="1" t="s">
        <v>63</v>
      </c>
      <c r="O95" s="90">
        <f>D93-F93+I93+I94</f>
        <v>30.82585555555556</v>
      </c>
      <c r="P95" s="90"/>
      <c r="Q95" s="9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92">
        <f>O95-F74</f>
        <v>-3.8355754031600178</v>
      </c>
      <c r="G109" s="93"/>
      <c r="H109" s="94"/>
      <c r="J109" s="95">
        <f>F109*60</f>
        <v>-230.13452418960105</v>
      </c>
      <c r="K109" s="95"/>
      <c r="L109" s="95" t="s">
        <v>125</v>
      </c>
      <c r="M109" s="95"/>
    </row>
    <row r="112" spans="4:27" x14ac:dyDescent="0.25">
      <c r="G112" s="85" t="s">
        <v>122</v>
      </c>
      <c r="H112" s="85"/>
      <c r="I112" s="85"/>
      <c r="J112" s="83" t="s">
        <v>17</v>
      </c>
      <c r="K112" s="83">
        <f>ABS(I60)</f>
        <v>6.4325833333333335</v>
      </c>
      <c r="L112" s="83" t="str">
        <f>L62</f>
        <v>S</v>
      </c>
      <c r="M112" s="86" t="s">
        <v>123</v>
      </c>
      <c r="N112" s="87"/>
      <c r="O112" s="85" t="s">
        <v>124</v>
      </c>
      <c r="P112" s="85"/>
      <c r="Q112" s="85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85"/>
      <c r="H113" s="85"/>
      <c r="I113" s="85"/>
      <c r="J113" s="83" t="s">
        <v>16</v>
      </c>
      <c r="K113" s="83">
        <f>ABS(I64)</f>
        <v>2.0948030000000002</v>
      </c>
      <c r="L113" s="83" t="str">
        <f>L66</f>
        <v>E</v>
      </c>
      <c r="M113" s="86"/>
      <c r="N113" s="87"/>
      <c r="O113" s="85"/>
      <c r="P113" s="85"/>
      <c r="Q113" s="85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G112:I113"/>
    <mergeCell ref="M112:N113"/>
    <mergeCell ref="O112:Q113"/>
    <mergeCell ref="W92:W94"/>
    <mergeCell ref="X92:X9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167" t="s">
        <v>10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56"/>
      <c r="R2" s="16" t="s">
        <v>71</v>
      </c>
      <c r="S2" s="16"/>
      <c r="Y2" s="56"/>
      <c r="Z2" s="57"/>
    </row>
    <row r="3" spans="2:36" ht="15.75" thickBot="1" x14ac:dyDescent="0.3">
      <c r="S3" s="169" t="s">
        <v>72</v>
      </c>
      <c r="T3" s="169"/>
      <c r="U3" s="169"/>
      <c r="V3" s="169"/>
      <c r="W3" s="169"/>
      <c r="X3" s="16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70" t="s">
        <v>82</v>
      </c>
      <c r="L4" s="170"/>
      <c r="M4" s="170"/>
      <c r="S4" s="171" t="s">
        <v>73</v>
      </c>
      <c r="T4" s="171"/>
      <c r="U4" s="171"/>
      <c r="V4" s="171"/>
      <c r="W4" s="171"/>
      <c r="X4" s="171"/>
    </row>
    <row r="5" spans="2:36" x14ac:dyDescent="0.25">
      <c r="B5" s="117" t="s">
        <v>2</v>
      </c>
      <c r="C5" s="117"/>
      <c r="D5" s="117"/>
      <c r="E5" s="117" t="s">
        <v>6</v>
      </c>
      <c r="F5" s="117"/>
      <c r="G5" s="117"/>
      <c r="H5" s="117" t="s">
        <v>7</v>
      </c>
      <c r="I5" s="117"/>
      <c r="J5" s="117"/>
      <c r="K5" s="91" t="s">
        <v>8</v>
      </c>
      <c r="L5" s="91"/>
      <c r="M5" s="91"/>
      <c r="S5" s="172" t="s">
        <v>74</v>
      </c>
      <c r="T5" s="172"/>
      <c r="U5" s="172"/>
      <c r="V5" s="172"/>
      <c r="W5" s="172"/>
      <c r="X5" s="17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160" t="s">
        <v>75</v>
      </c>
      <c r="T6" s="160"/>
      <c r="U6" s="160"/>
      <c r="V6" s="160"/>
      <c r="W6" s="160"/>
      <c r="X6" s="160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61">
        <v>9</v>
      </c>
      <c r="C7" s="163">
        <v>56</v>
      </c>
      <c r="D7" s="165">
        <v>42</v>
      </c>
      <c r="E7" s="161">
        <v>0</v>
      </c>
      <c r="F7" s="163">
        <v>0</v>
      </c>
      <c r="G7" s="165">
        <v>0</v>
      </c>
      <c r="H7" s="161">
        <v>0</v>
      </c>
      <c r="I7" s="163">
        <v>0</v>
      </c>
      <c r="J7" s="165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95" t="s">
        <v>76</v>
      </c>
      <c r="T7" s="95"/>
      <c r="U7" s="95"/>
      <c r="V7" s="95"/>
      <c r="W7" s="95"/>
      <c r="X7" s="95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62"/>
      <c r="C8" s="164"/>
      <c r="D8" s="166"/>
      <c r="E8" s="162"/>
      <c r="F8" s="164"/>
      <c r="G8" s="166"/>
      <c r="H8" s="162"/>
      <c r="I8" s="164"/>
      <c r="J8" s="166"/>
      <c r="K8" s="149">
        <f>K7+L7/60+M7/3600</f>
        <v>9.9450000000000003</v>
      </c>
      <c r="L8" s="89"/>
      <c r="M8" s="89"/>
      <c r="S8" s="150" t="s">
        <v>77</v>
      </c>
      <c r="T8" s="150"/>
      <c r="U8" s="150"/>
      <c r="V8" s="150"/>
      <c r="W8" s="150"/>
      <c r="X8" s="150"/>
    </row>
    <row r="9" spans="2:36" ht="15" customHeight="1" x14ac:dyDescent="0.25">
      <c r="B9" s="151" t="s">
        <v>18</v>
      </c>
      <c r="C9" s="152"/>
      <c r="D9" s="145" t="s">
        <v>17</v>
      </c>
      <c r="E9" s="145"/>
      <c r="F9" s="145"/>
      <c r="G9" s="145"/>
      <c r="H9" s="145" t="s">
        <v>16</v>
      </c>
      <c r="I9" s="145"/>
      <c r="J9" s="145"/>
      <c r="K9" s="146"/>
    </row>
    <row r="10" spans="2:36" x14ac:dyDescent="0.25">
      <c r="B10" s="126"/>
      <c r="C10" s="12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26"/>
      <c r="C11" s="127"/>
      <c r="D11" s="41">
        <v>48.875556000000003</v>
      </c>
      <c r="E11" s="41">
        <v>0</v>
      </c>
      <c r="F11" s="41">
        <v>0</v>
      </c>
      <c r="G11" s="155" t="s">
        <v>28</v>
      </c>
      <c r="H11" s="41">
        <v>2.0948030000000002</v>
      </c>
      <c r="I11" s="41">
        <v>0</v>
      </c>
      <c r="J11" s="41">
        <v>0</v>
      </c>
      <c r="K11" s="157" t="s">
        <v>32</v>
      </c>
    </row>
    <row r="12" spans="2:36" ht="15.75" thickBot="1" x14ac:dyDescent="0.3">
      <c r="B12" s="153"/>
      <c r="C12" s="154"/>
      <c r="D12" s="159">
        <f>(D11+E11/60+F11/3600) * VLOOKUP(G11,Constante!$D$15:$E$16,2)</f>
        <v>48.875556000000003</v>
      </c>
      <c r="E12" s="159"/>
      <c r="F12" s="159"/>
      <c r="G12" s="156"/>
      <c r="H12" s="159">
        <f>(H11+I11/60+J11/3600) * VLOOKUP(K11,Constante!$D$12:$E$13,2)</f>
        <v>2.0948030000000002</v>
      </c>
      <c r="I12" s="159"/>
      <c r="J12" s="159"/>
      <c r="K12" s="158"/>
    </row>
    <row r="13" spans="2:36" ht="15" customHeight="1" x14ac:dyDescent="0.25">
      <c r="B13" s="124" t="s">
        <v>21</v>
      </c>
      <c r="C13" s="125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26"/>
      <c r="C14" s="12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28"/>
      <c r="C15" s="129"/>
      <c r="D15" s="130">
        <f>(E14+F14/60+G14/3600) * VLOOKUP(D14,Constante!J12:K13,2)</f>
        <v>0.7</v>
      </c>
      <c r="E15" s="131"/>
      <c r="F15" s="131"/>
      <c r="G15" s="132"/>
    </row>
    <row r="16" spans="2:36" ht="19.5" customHeight="1" thickBot="1" x14ac:dyDescent="0.3">
      <c r="B16" s="133" t="s">
        <v>11</v>
      </c>
      <c r="C16" s="134"/>
      <c r="D16" s="134"/>
      <c r="E16" s="139" t="s">
        <v>15</v>
      </c>
      <c r="F16" s="140"/>
      <c r="G16" s="145" t="s">
        <v>12</v>
      </c>
      <c r="H16" s="145"/>
      <c r="I16" s="146"/>
      <c r="J16" s="147" t="s">
        <v>78</v>
      </c>
      <c r="K16" s="148"/>
      <c r="L16" s="118" t="s">
        <v>79</v>
      </c>
      <c r="M16" s="119"/>
    </row>
    <row r="17" spans="2:18" x14ac:dyDescent="0.25">
      <c r="B17" s="135"/>
      <c r="C17" s="136"/>
      <c r="D17" s="136"/>
      <c r="E17" s="141"/>
      <c r="F17" s="142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5"/>
      <c r="C18" s="136"/>
      <c r="D18" s="136"/>
      <c r="E18" s="141"/>
      <c r="F18" s="142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37"/>
      <c r="C19" s="138"/>
      <c r="D19" s="138"/>
      <c r="E19" s="143"/>
      <c r="F19" s="144"/>
      <c r="G19" s="120">
        <f>G18+H18/60+I18/3600</f>
        <v>31.283333333333335</v>
      </c>
      <c r="H19" s="120"/>
      <c r="I19" s="121"/>
      <c r="J19" s="122" t="s">
        <v>20</v>
      </c>
      <c r="K19" s="12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117" t="s">
        <v>33</v>
      </c>
      <c r="H26" s="117"/>
      <c r="I26" s="117"/>
      <c r="M26" s="117" t="s">
        <v>34</v>
      </c>
      <c r="N26" s="117"/>
      <c r="O26" s="117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x14ac:dyDescent="0.25">
      <c r="G29" s="89">
        <f>G28+H28/60+I28/3600</f>
        <v>9</v>
      </c>
      <c r="H29" s="89"/>
      <c r="I29" s="89"/>
      <c r="M29" s="89">
        <f>M28+N28/60+O28/3600</f>
        <v>10</v>
      </c>
      <c r="N29" s="89"/>
      <c r="O29" s="89"/>
      <c r="Q29" s="19" t="s">
        <v>93</v>
      </c>
      <c r="R29" s="19">
        <f>(K8-M29)/(G29-M29)</f>
        <v>5.4999999999999716E-2</v>
      </c>
    </row>
    <row r="31" spans="2:18" x14ac:dyDescent="0.25">
      <c r="D31" s="113" t="s">
        <v>35</v>
      </c>
      <c r="E31" s="114"/>
      <c r="F31" s="114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14"/>
      <c r="E32" s="114"/>
      <c r="F32" s="114"/>
      <c r="G32" s="34">
        <v>5</v>
      </c>
      <c r="H32" s="34">
        <v>33.200000000000003</v>
      </c>
      <c r="I32" s="34">
        <v>0</v>
      </c>
      <c r="J32" s="115" t="s">
        <v>29</v>
      </c>
      <c r="L32" s="34">
        <v>5</v>
      </c>
      <c r="M32" s="34">
        <v>34.200000000000003</v>
      </c>
      <c r="N32" s="34">
        <v>0</v>
      </c>
      <c r="O32" s="115" t="s">
        <v>29</v>
      </c>
    </row>
    <row r="33" spans="3:31" ht="15.75" thickBot="1" x14ac:dyDescent="0.3">
      <c r="D33" s="114"/>
      <c r="E33" s="114"/>
      <c r="F33" s="114"/>
      <c r="G33" s="116">
        <f>(G32+H32/60+I32/3600) * VLOOKUP(J32,Constante!$D$15:$E$16,2)</f>
        <v>-5.5533333333333337</v>
      </c>
      <c r="H33" s="116"/>
      <c r="I33" s="116"/>
      <c r="J33" s="115"/>
      <c r="L33" s="116">
        <f>(L32+M32/60+N32/3600) * VLOOKUP(O32,Constante!$D$15:$E$16,2)</f>
        <v>-5.57</v>
      </c>
      <c r="M33" s="116"/>
      <c r="N33" s="116"/>
      <c r="O33" s="115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10"/>
      <c r="H34" s="111"/>
      <c r="I34" s="111"/>
      <c r="J34" s="112"/>
      <c r="L34" s="110"/>
      <c r="M34" s="111"/>
      <c r="N34" s="111"/>
      <c r="O34" s="112"/>
    </row>
    <row r="35" spans="3:31" x14ac:dyDescent="0.25">
      <c r="D35" s="113" t="s">
        <v>36</v>
      </c>
      <c r="E35" s="114"/>
      <c r="F35" s="114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14"/>
      <c r="E36" s="114"/>
      <c r="F36" s="114"/>
      <c r="G36" s="34">
        <v>359</v>
      </c>
      <c r="H36" s="34">
        <v>2</v>
      </c>
      <c r="I36" s="34">
        <v>0</v>
      </c>
      <c r="J36" s="115" t="s">
        <v>32</v>
      </c>
      <c r="L36" s="34">
        <v>20</v>
      </c>
      <c r="M36" s="34">
        <v>2.1</v>
      </c>
      <c r="N36" s="34">
        <v>0</v>
      </c>
      <c r="O36" s="115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14"/>
      <c r="E37" s="114"/>
      <c r="F37" s="114"/>
      <c r="G37" s="116">
        <f>(G36+H36/60+I36/3600) * VLOOKUP(J36,Constante!$D$12:$E$13,2)</f>
        <v>359.03333333333336</v>
      </c>
      <c r="H37" s="116"/>
      <c r="I37" s="116"/>
      <c r="J37" s="115"/>
      <c r="L37" s="116">
        <f>(L36+M36/60+N36/3600) * VLOOKUP(O36,Constante!$D$12:$E$13,2)</f>
        <v>20.035</v>
      </c>
      <c r="M37" s="116"/>
      <c r="N37" s="116"/>
      <c r="O37" s="115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117" t="s">
        <v>51</v>
      </c>
      <c r="H43" s="117"/>
      <c r="I43" s="117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89">
        <f>G45+H45/60+I45/3600</f>
        <v>0</v>
      </c>
      <c r="H46" s="89"/>
      <c r="I46" s="89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13" t="s">
        <v>35</v>
      </c>
      <c r="E48" s="114"/>
      <c r="F48" s="114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13" t="s">
        <v>52</v>
      </c>
      <c r="M48" s="114"/>
      <c r="N48" s="114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14"/>
      <c r="E49" s="114"/>
      <c r="F49" s="114"/>
      <c r="G49" s="38">
        <v>6</v>
      </c>
      <c r="H49" s="34">
        <v>35.9</v>
      </c>
      <c r="I49" s="34">
        <v>0</v>
      </c>
      <c r="J49" s="115" t="s">
        <v>29</v>
      </c>
      <c r="K49"/>
      <c r="L49" s="114"/>
      <c r="M49" s="114"/>
      <c r="N49" s="114"/>
      <c r="O49" s="34">
        <v>0</v>
      </c>
      <c r="P49" s="34">
        <v>1</v>
      </c>
      <c r="Q49" s="34">
        <v>0</v>
      </c>
      <c r="R49" s="115" t="s">
        <v>28</v>
      </c>
      <c r="Z49"/>
      <c r="AA49"/>
      <c r="AB49"/>
      <c r="AC49"/>
      <c r="AD49"/>
      <c r="AE49"/>
    </row>
    <row r="50" spans="3:31" ht="15.75" thickBot="1" x14ac:dyDescent="0.3">
      <c r="D50" s="114"/>
      <c r="E50" s="114"/>
      <c r="F50" s="114"/>
      <c r="G50" s="116">
        <f>(G49+H49/60+I49/3600) * VLOOKUP(J49,Constante!$D$15:$E$16,2)</f>
        <v>-6.5983333333333336</v>
      </c>
      <c r="H50" s="116"/>
      <c r="I50" s="116"/>
      <c r="J50" s="115"/>
      <c r="K50"/>
      <c r="L50" s="114"/>
      <c r="M50" s="114"/>
      <c r="N50" s="114"/>
      <c r="O50" s="116">
        <f>(O49+P49/60+Q49/3600) * VLOOKUP(R49,Constante!$D$15:$E$16,2)</f>
        <v>1.6666666666666666E-2</v>
      </c>
      <c r="P50" s="116"/>
      <c r="Q50" s="116"/>
      <c r="R50" s="115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10"/>
      <c r="H51" s="111"/>
      <c r="I51" s="111"/>
      <c r="J51" s="112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13" t="s">
        <v>36</v>
      </c>
      <c r="E52" s="114"/>
      <c r="F52" s="114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13" t="s">
        <v>53</v>
      </c>
      <c r="M52" s="114"/>
      <c r="N52" s="114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14"/>
      <c r="E53" s="114"/>
      <c r="F53" s="114"/>
      <c r="G53" s="38">
        <v>177</v>
      </c>
      <c r="H53" s="34">
        <v>1.9</v>
      </c>
      <c r="I53" s="34">
        <v>0</v>
      </c>
      <c r="J53" s="115" t="s">
        <v>32</v>
      </c>
      <c r="K53"/>
      <c r="L53" s="114"/>
      <c r="M53" s="114"/>
      <c r="N53" s="114"/>
      <c r="O53" s="34">
        <v>15.002000000000001</v>
      </c>
      <c r="P53" s="34">
        <v>0</v>
      </c>
      <c r="Q53" s="34">
        <v>0</v>
      </c>
      <c r="R53" s="115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14"/>
      <c r="E54" s="114"/>
      <c r="F54" s="114"/>
      <c r="G54" s="116">
        <f>(G53+H53/60+I53/3600) * VLOOKUP(J53,Constante!$D$12:$E$13,2)</f>
        <v>177.03166666666667</v>
      </c>
      <c r="H54" s="116"/>
      <c r="I54" s="116"/>
      <c r="J54" s="115"/>
      <c r="K54"/>
      <c r="L54" s="114"/>
      <c r="M54" s="114"/>
      <c r="N54" s="114"/>
      <c r="O54" s="116">
        <f>(O53+P53/60+Q53/3600) * VLOOKUP(R53,Constante!$D$12:$E$13,2)</f>
        <v>15.002000000000001</v>
      </c>
      <c r="P54" s="116"/>
      <c r="Q54" s="116"/>
      <c r="R54" s="115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02" t="s">
        <v>54</v>
      </c>
      <c r="D58" s="102"/>
      <c r="E58" s="102"/>
      <c r="F58" s="102"/>
      <c r="G58" s="102"/>
      <c r="H58" s="103" t="s">
        <v>57</v>
      </c>
      <c r="I58" s="103"/>
      <c r="J58" s="103"/>
      <c r="K58" s="103"/>
      <c r="L58" s="58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04" t="s">
        <v>35</v>
      </c>
      <c r="G60" s="104"/>
      <c r="H60" s="104"/>
      <c r="I60" s="105">
        <f>IF(L58=Constante!E23,U33,U50)</f>
        <v>-6.4325833333333335</v>
      </c>
      <c r="J60" s="105"/>
      <c r="K60" s="105"/>
      <c r="L60" s="105"/>
    </row>
    <row r="61" spans="3:31" x14ac:dyDescent="0.25">
      <c r="F61" s="104"/>
      <c r="G61" s="104"/>
      <c r="H61" s="104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.75" thickBot="1" x14ac:dyDescent="0.3">
      <c r="F62" s="104"/>
      <c r="G62" s="104"/>
      <c r="H62" s="104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06"/>
      <c r="J63" s="107"/>
      <c r="K63" s="107"/>
      <c r="L63" s="108"/>
    </row>
    <row r="64" spans="3:31" x14ac:dyDescent="0.25">
      <c r="F64" s="104" t="s">
        <v>42</v>
      </c>
      <c r="G64" s="89"/>
      <c r="H64" s="89"/>
      <c r="I64" s="109">
        <f>IF(L58="a",AA67,Z52)+H12</f>
        <v>2.0948030000000002</v>
      </c>
      <c r="J64" s="105"/>
      <c r="K64" s="105"/>
      <c r="L64" s="105"/>
    </row>
    <row r="65" spans="2:31" x14ac:dyDescent="0.25">
      <c r="F65" s="89"/>
      <c r="G65" s="89"/>
      <c r="H65" s="89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x14ac:dyDescent="0.25">
      <c r="F66" s="89"/>
      <c r="G66" s="89"/>
      <c r="H66" s="89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99" t="s">
        <v>103</v>
      </c>
      <c r="U71" s="100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90">
        <f>V74/Constante!$D$19</f>
        <v>34.661430958715577</v>
      </c>
      <c r="G74" s="90"/>
      <c r="H74" s="90"/>
      <c r="S74" s="19" t="s">
        <v>44</v>
      </c>
      <c r="T74" s="101" t="s">
        <v>103</v>
      </c>
      <c r="U74" s="101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17" t="s">
        <v>13</v>
      </c>
      <c r="G84" s="17" t="s">
        <v>4</v>
      </c>
      <c r="H84" s="17" t="s">
        <v>5</v>
      </c>
      <c r="S84" s="19"/>
      <c r="T84" s="99" t="s">
        <v>103</v>
      </c>
      <c r="U84" s="100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96" t="s">
        <v>105</v>
      </c>
      <c r="U85" s="97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98">
        <f>V88/Constante!$D$19</f>
        <v>177.46898521244154</v>
      </c>
      <c r="G86" s="98"/>
      <c r="H86" s="98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96" t="s">
        <v>106</v>
      </c>
      <c r="U86" s="97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96" t="s">
        <v>108</v>
      </c>
      <c r="U87" s="97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99" t="s">
        <v>103</v>
      </c>
      <c r="U88" s="100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63" t="s">
        <v>23</v>
      </c>
      <c r="T92" s="63" t="s">
        <v>15</v>
      </c>
      <c r="U92" s="63" t="s">
        <v>81</v>
      </c>
      <c r="V92" s="63" t="s">
        <v>110</v>
      </c>
      <c r="W92" s="88" t="s">
        <v>121</v>
      </c>
      <c r="X92" s="89" t="s">
        <v>120</v>
      </c>
      <c r="Y92" s="89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89"/>
      <c r="X93" s="89"/>
      <c r="Y93" s="89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89"/>
      <c r="X94" s="89"/>
      <c r="Y94" s="89"/>
    </row>
    <row r="95" spans="2:29" x14ac:dyDescent="0.25">
      <c r="F95"/>
      <c r="G95"/>
      <c r="I95" s="1" t="s">
        <v>63</v>
      </c>
      <c r="O95" s="90">
        <f>D93-F93+I93+I94</f>
        <v>30.82585555555556</v>
      </c>
      <c r="P95" s="90"/>
      <c r="Q95" s="90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17" t="s">
        <v>13</v>
      </c>
      <c r="G107" s="17" t="s">
        <v>4</v>
      </c>
      <c r="H107" s="1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92">
        <f>O95-F74</f>
        <v>-3.8355754031600178</v>
      </c>
      <c r="G109" s="93"/>
      <c r="H109" s="94"/>
      <c r="J109" s="95">
        <f>F109*60</f>
        <v>-230.13452418960105</v>
      </c>
      <c r="K109" s="95"/>
      <c r="L109" s="95" t="s">
        <v>125</v>
      </c>
      <c r="M109" s="95"/>
    </row>
    <row r="112" spans="4:27" x14ac:dyDescent="0.25">
      <c r="G112" s="85" t="s">
        <v>122</v>
      </c>
      <c r="H112" s="85"/>
      <c r="I112" s="85"/>
      <c r="J112" s="83" t="s">
        <v>17</v>
      </c>
      <c r="K112" s="83">
        <f>ABS(I60)</f>
        <v>6.4325833333333335</v>
      </c>
      <c r="L112" s="83" t="str">
        <f>L62</f>
        <v>S</v>
      </c>
      <c r="M112" s="86" t="s">
        <v>123</v>
      </c>
      <c r="N112" s="87"/>
      <c r="O112" s="85" t="s">
        <v>124</v>
      </c>
      <c r="P112" s="85"/>
      <c r="Q112" s="85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85"/>
      <c r="H113" s="85"/>
      <c r="I113" s="85"/>
      <c r="J113" s="83" t="s">
        <v>16</v>
      </c>
      <c r="K113" s="83">
        <f>ABS(I64)</f>
        <v>2.0948030000000002</v>
      </c>
      <c r="L113" s="83" t="str">
        <f>L66</f>
        <v>E</v>
      </c>
      <c r="M113" s="86"/>
      <c r="N113" s="87"/>
      <c r="O113" s="85"/>
      <c r="P113" s="85"/>
      <c r="Q113" s="85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T88:U88"/>
    <mergeCell ref="T86:U86"/>
    <mergeCell ref="T87:U87"/>
    <mergeCell ref="T74:U74"/>
    <mergeCell ref="T71:U71"/>
    <mergeCell ref="T85:U85"/>
    <mergeCell ref="T84:U84"/>
    <mergeCell ref="R49:R50"/>
    <mergeCell ref="O50:Q50"/>
    <mergeCell ref="L52:N54"/>
    <mergeCell ref="R53:R54"/>
    <mergeCell ref="O54:Q54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G29:I29"/>
    <mergeCell ref="C58:G58"/>
    <mergeCell ref="J49:J50"/>
    <mergeCell ref="J36:J37"/>
    <mergeCell ref="G33:I33"/>
    <mergeCell ref="G37:I37"/>
    <mergeCell ref="L34:O34"/>
    <mergeCell ref="O36:O37"/>
    <mergeCell ref="L37:N37"/>
    <mergeCell ref="D35:F37"/>
    <mergeCell ref="F60:H62"/>
    <mergeCell ref="H58:K58"/>
    <mergeCell ref="L48:N50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B7:B8"/>
    <mergeCell ref="C7:C8"/>
    <mergeCell ref="D7:D8"/>
    <mergeCell ref="B5:D5"/>
    <mergeCell ref="E5:G5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M112:N113"/>
    <mergeCell ref="O112:Q113"/>
    <mergeCell ref="G112:I113"/>
    <mergeCell ref="X92:X94"/>
    <mergeCell ref="Y92:Y94"/>
    <mergeCell ref="W92:W94"/>
    <mergeCell ref="O92:Q92"/>
    <mergeCell ref="O95:Q95"/>
    <mergeCell ref="F106:H106"/>
    <mergeCell ref="F109:H109"/>
    <mergeCell ref="J109:K109"/>
    <mergeCell ref="L109:M109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1"/>
  <sheetViews>
    <sheetView topLeftCell="B1" workbookViewId="0">
      <selection activeCell="M6" sqref="M6"/>
    </sheetView>
  </sheetViews>
  <sheetFormatPr defaultColWidth="11.42578125" defaultRowHeight="15" x14ac:dyDescent="0.25"/>
  <cols>
    <col min="3" max="3" width="17" customWidth="1"/>
    <col min="5" max="5" width="3.5703125" customWidth="1"/>
  </cols>
  <sheetData>
    <row r="3" spans="3:20" x14ac:dyDescent="0.2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73" t="s">
        <v>64</v>
      </c>
      <c r="M3" s="174"/>
      <c r="N3" s="174"/>
      <c r="O3" s="174"/>
      <c r="P3" s="174"/>
      <c r="Q3" s="174"/>
      <c r="R3" s="174"/>
      <c r="S3" s="175"/>
      <c r="T3" s="6"/>
    </row>
    <row r="4" spans="3:20" x14ac:dyDescent="0.2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76" t="s">
        <v>65</v>
      </c>
      <c r="N4" s="177" t="s">
        <v>66</v>
      </c>
      <c r="O4" s="177"/>
      <c r="P4" s="177"/>
      <c r="Q4" s="177"/>
      <c r="R4" s="177"/>
      <c r="S4" s="7"/>
      <c r="T4" s="6"/>
    </row>
    <row r="5" spans="3:20" x14ac:dyDescent="0.25">
      <c r="C5" s="10"/>
      <c r="D5" s="10" t="s">
        <v>25</v>
      </c>
      <c r="J5" s="5"/>
      <c r="K5" s="5">
        <v>2</v>
      </c>
      <c r="L5" s="6"/>
      <c r="M5" s="176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25">
      <c r="C6" s="10"/>
      <c r="D6" s="10" t="s">
        <v>26</v>
      </c>
      <c r="J6" s="5"/>
      <c r="K6" s="5">
        <v>3</v>
      </c>
      <c r="L6" s="6"/>
      <c r="M6" s="76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25">
      <c r="C7" s="10"/>
      <c r="D7" s="10" t="s">
        <v>26</v>
      </c>
      <c r="J7" s="5"/>
      <c r="K7" s="5">
        <v>4</v>
      </c>
      <c r="L7" s="6"/>
      <c r="M7" s="76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25">
      <c r="C8" s="10"/>
      <c r="D8" s="10" t="s">
        <v>26</v>
      </c>
      <c r="J8" s="5"/>
      <c r="K8" s="5">
        <v>5</v>
      </c>
      <c r="L8" s="6"/>
      <c r="M8" s="76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25">
      <c r="C9" s="10"/>
      <c r="D9" s="10" t="s">
        <v>26</v>
      </c>
      <c r="L9" s="6"/>
      <c r="M9" s="76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25">
      <c r="L10" s="6"/>
      <c r="M10" s="76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25">
      <c r="L11" s="6"/>
      <c r="M11" s="76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2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76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2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76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25">
      <c r="D14" s="3"/>
      <c r="E14" s="4"/>
      <c r="L14" s="6"/>
      <c r="M14" s="76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2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76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2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76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25">
      <c r="L17" s="6"/>
      <c r="M17" s="76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25">
      <c r="L18" s="6"/>
      <c r="O18" s="6"/>
      <c r="P18" s="6"/>
      <c r="Q18" s="6"/>
      <c r="R18" s="6"/>
      <c r="S18" s="6"/>
      <c r="T18" s="6"/>
    </row>
    <row r="19" spans="3:20" x14ac:dyDescent="0.25">
      <c r="C19" s="11" t="s">
        <v>40</v>
      </c>
      <c r="D19" s="11">
        <f>PI()/180</f>
        <v>1.7453292519943295E-2</v>
      </c>
      <c r="O19" s="6"/>
      <c r="P19" s="77" t="s">
        <v>24</v>
      </c>
      <c r="Q19" s="77">
        <v>-0.26666666666</v>
      </c>
      <c r="R19" s="6"/>
      <c r="S19" s="6"/>
      <c r="T19" s="6"/>
    </row>
    <row r="20" spans="3:20" x14ac:dyDescent="0.25">
      <c r="P20" s="77" t="s">
        <v>67</v>
      </c>
      <c r="Q20" s="77">
        <v>-0.53333333333300004</v>
      </c>
    </row>
    <row r="23" spans="3:20" x14ac:dyDescent="0.25">
      <c r="C23" s="10" t="s">
        <v>55</v>
      </c>
      <c r="D23" s="10" t="s">
        <v>56</v>
      </c>
      <c r="E23" s="10" t="s">
        <v>98</v>
      </c>
    </row>
    <row r="24" spans="3:20" x14ac:dyDescent="0.25">
      <c r="C24" s="10"/>
      <c r="D24" s="10" t="s">
        <v>57</v>
      </c>
      <c r="E24" s="10" t="s">
        <v>97</v>
      </c>
    </row>
    <row r="28" spans="3:20" x14ac:dyDescent="0.25">
      <c r="C28" t="s">
        <v>83</v>
      </c>
    </row>
    <row r="29" spans="3:20" x14ac:dyDescent="0.25">
      <c r="C29" t="s">
        <v>84</v>
      </c>
      <c r="D29">
        <v>48.875556000000003</v>
      </c>
      <c r="E29" t="s">
        <v>86</v>
      </c>
    </row>
    <row r="30" spans="3:20" x14ac:dyDescent="0.25">
      <c r="C30" t="s">
        <v>85</v>
      </c>
      <c r="D30">
        <v>2.0948030000000002</v>
      </c>
      <c r="E30" t="s">
        <v>87</v>
      </c>
    </row>
    <row r="31" spans="3:20" x14ac:dyDescent="0.2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FAGES Pierre</cp:lastModifiedBy>
  <dcterms:created xsi:type="dcterms:W3CDTF">2022-10-01T13:56:08Z</dcterms:created>
  <dcterms:modified xsi:type="dcterms:W3CDTF">2022-10-17T14:25:39Z</dcterms:modified>
</cp:coreProperties>
</file>