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Spaces\WS\GitHub\NavAstro\NavAstro\XLS\"/>
    </mc:Choice>
  </mc:AlternateContent>
  <bookViews>
    <workbookView xWindow="-25740" yWindow="945" windowWidth="28800" windowHeight="11505" activeTab="1"/>
  </bookViews>
  <sheets>
    <sheet name="Droite hauteur Soleil" sheetId="4" r:id="rId1"/>
    <sheet name="Meridienne Soleil" sheetId="6" r:id="rId2"/>
    <sheet name="Droite hauteur Etoile" sheetId="5" r:id="rId3"/>
    <sheet name="Droite hauteur Lune" sheetId="1" r:id="rId4"/>
    <sheet name="Constante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6" i="6" l="1"/>
  <c r="W50" i="6"/>
  <c r="V50" i="6" s="1"/>
  <c r="V48" i="6"/>
  <c r="U33" i="6"/>
  <c r="V33" i="6"/>
  <c r="U29" i="6"/>
  <c r="R26" i="6"/>
  <c r="R25" i="6"/>
  <c r="L33" i="6" l="1"/>
  <c r="X33" i="6" s="1"/>
  <c r="G33" i="6"/>
  <c r="L29" i="6"/>
  <c r="G29" i="6"/>
  <c r="M25" i="6"/>
  <c r="G25" i="6"/>
  <c r="W50" i="4"/>
  <c r="R46" i="4"/>
  <c r="L60" i="6" l="1"/>
  <c r="I62" i="6" s="1"/>
  <c r="G57" i="6"/>
  <c r="T109" i="6" l="1"/>
  <c r="T108" i="6"/>
  <c r="V92" i="6"/>
  <c r="V90" i="6"/>
  <c r="U90" i="6"/>
  <c r="V89" i="6"/>
  <c r="T89" i="6"/>
  <c r="S89" i="6"/>
  <c r="O50" i="6"/>
  <c r="G50" i="6"/>
  <c r="O46" i="6"/>
  <c r="G46" i="6"/>
  <c r="G42" i="6"/>
  <c r="G15" i="6"/>
  <c r="D95" i="6" s="1"/>
  <c r="D11" i="6"/>
  <c r="F95" i="6" s="1"/>
  <c r="H8" i="6"/>
  <c r="S109" i="6" s="1"/>
  <c r="D8" i="6"/>
  <c r="X79" i="6" s="1"/>
  <c r="X80" i="6" s="1"/>
  <c r="AG120" i="6"/>
  <c r="AD120" i="6"/>
  <c r="AA120" i="6"/>
  <c r="U89" i="6" l="1"/>
  <c r="Y94" i="6" s="1"/>
  <c r="I96" i="6" s="1"/>
  <c r="AJ120" i="6"/>
  <c r="V95" i="6"/>
  <c r="K120" i="6"/>
  <c r="L120" i="6" s="1"/>
  <c r="I68" i="6"/>
  <c r="J68" i="6" s="1"/>
  <c r="K115" i="6"/>
  <c r="Z85" i="6"/>
  <c r="Z86" i="6" s="1"/>
  <c r="Z72" i="6"/>
  <c r="Z73" i="6" s="1"/>
  <c r="L68" i="6"/>
  <c r="L115" i="6" s="1"/>
  <c r="S108" i="6"/>
  <c r="X66" i="6"/>
  <c r="X67" i="6" s="1"/>
  <c r="T113" i="5"/>
  <c r="T112" i="5"/>
  <c r="V96" i="5"/>
  <c r="V94" i="5"/>
  <c r="U94" i="5"/>
  <c r="V93" i="5"/>
  <c r="T93" i="5"/>
  <c r="U93" i="5" s="1"/>
  <c r="Y92" i="5" s="1"/>
  <c r="I94" i="5" s="1"/>
  <c r="S93" i="5"/>
  <c r="L58" i="5"/>
  <c r="I64" i="5" s="1"/>
  <c r="O54" i="5"/>
  <c r="G54" i="5"/>
  <c r="O50" i="5"/>
  <c r="G50" i="5"/>
  <c r="G46" i="5"/>
  <c r="L37" i="5"/>
  <c r="X37" i="5" s="1"/>
  <c r="G37" i="5"/>
  <c r="L33" i="5"/>
  <c r="G33" i="5"/>
  <c r="M29" i="5"/>
  <c r="G29" i="5"/>
  <c r="G19" i="5"/>
  <c r="D93" i="5" s="1"/>
  <c r="D15" i="5"/>
  <c r="F93" i="5" s="1"/>
  <c r="H12" i="5"/>
  <c r="S113" i="5" s="1"/>
  <c r="D12" i="5"/>
  <c r="S112" i="5" s="1"/>
  <c r="AG7" i="5"/>
  <c r="AD7" i="5"/>
  <c r="AA7" i="5"/>
  <c r="AJ7" i="5" s="1"/>
  <c r="T113" i="4"/>
  <c r="T112" i="4"/>
  <c r="V96" i="4"/>
  <c r="V94" i="4"/>
  <c r="U94" i="4"/>
  <c r="V93" i="4"/>
  <c r="T93" i="4"/>
  <c r="S93" i="4"/>
  <c r="U93" i="4" s="1"/>
  <c r="Y92" i="4" s="1"/>
  <c r="I94" i="4" s="1"/>
  <c r="L58" i="4"/>
  <c r="I64" i="4" s="1"/>
  <c r="O54" i="4"/>
  <c r="G54" i="4"/>
  <c r="O50" i="4"/>
  <c r="G50" i="4"/>
  <c r="G46" i="4"/>
  <c r="L37" i="4"/>
  <c r="X37" i="4" s="1"/>
  <c r="G37" i="4"/>
  <c r="L33" i="4"/>
  <c r="G33" i="4"/>
  <c r="M29" i="4"/>
  <c r="G29" i="4"/>
  <c r="G19" i="4"/>
  <c r="D93" i="4" s="1"/>
  <c r="D15" i="4"/>
  <c r="F93" i="4" s="1"/>
  <c r="H12" i="4"/>
  <c r="S113" i="4" s="1"/>
  <c r="D12" i="4"/>
  <c r="X83" i="4" s="1"/>
  <c r="X84" i="4" s="1"/>
  <c r="AG7" i="4"/>
  <c r="AD7" i="4"/>
  <c r="AA7" i="4"/>
  <c r="AJ7" i="4" s="1"/>
  <c r="T113" i="1"/>
  <c r="T112" i="1"/>
  <c r="V94" i="1"/>
  <c r="U94" i="1"/>
  <c r="V96" i="1"/>
  <c r="K68" i="6" l="1"/>
  <c r="M120" i="6"/>
  <c r="K121" i="6" s="1"/>
  <c r="Y101" i="6"/>
  <c r="X95" i="6"/>
  <c r="W95" i="6"/>
  <c r="V99" i="5"/>
  <c r="K7" i="5"/>
  <c r="L7" i="5"/>
  <c r="M7" i="5"/>
  <c r="I66" i="5"/>
  <c r="J66" i="5" s="1"/>
  <c r="K66" i="5" s="1"/>
  <c r="K113" i="5"/>
  <c r="Z70" i="5"/>
  <c r="Z71" i="5" s="1"/>
  <c r="Z83" i="5"/>
  <c r="Z84" i="5" s="1"/>
  <c r="L66" i="5"/>
  <c r="L113" i="5" s="1"/>
  <c r="X83" i="5"/>
  <c r="X84" i="5" s="1"/>
  <c r="X70" i="5"/>
  <c r="X71" i="5" s="1"/>
  <c r="V99" i="4"/>
  <c r="K7" i="4"/>
  <c r="I66" i="4"/>
  <c r="K113" i="4"/>
  <c r="Z83" i="4"/>
  <c r="Z84" i="4" s="1"/>
  <c r="Z70" i="4"/>
  <c r="Z71" i="4" s="1"/>
  <c r="L66" i="4"/>
  <c r="L113" i="4" s="1"/>
  <c r="S112" i="4"/>
  <c r="X70" i="4"/>
  <c r="X71" i="4" s="1"/>
  <c r="L58" i="1"/>
  <c r="Z101" i="6" l="1"/>
  <c r="V96" i="6" s="1"/>
  <c r="AA101" i="6"/>
  <c r="Y99" i="5"/>
  <c r="X99" i="5"/>
  <c r="W99" i="5"/>
  <c r="K8" i="5"/>
  <c r="J66" i="4"/>
  <c r="K66" i="4" s="1"/>
  <c r="L7" i="4"/>
  <c r="M7" i="4" s="1"/>
  <c r="Y99" i="4"/>
  <c r="X99" i="4"/>
  <c r="W99" i="4"/>
  <c r="D15" i="1"/>
  <c r="K8" i="4" l="1"/>
  <c r="R29" i="4" s="1"/>
  <c r="V37" i="4" s="1"/>
  <c r="V97" i="6"/>
  <c r="I95" i="6" s="1"/>
  <c r="O97" i="6" s="1"/>
  <c r="O96" i="6" s="1"/>
  <c r="P96" i="6" s="1"/>
  <c r="Q96" i="6" s="1"/>
  <c r="R46" i="5"/>
  <c r="R29" i="5"/>
  <c r="Z99" i="5"/>
  <c r="V100" i="5" s="1"/>
  <c r="V101" i="5" s="1"/>
  <c r="I93" i="5" s="1"/>
  <c r="O95" i="5" s="1"/>
  <c r="AA99" i="5"/>
  <c r="Z99" i="4"/>
  <c r="V100" i="4" s="1"/>
  <c r="V101" i="4" s="1"/>
  <c r="I93" i="4" s="1"/>
  <c r="O95" i="4" s="1"/>
  <c r="AA99" i="4"/>
  <c r="O54" i="1"/>
  <c r="L64" i="6" l="1"/>
  <c r="L114" i="6" s="1"/>
  <c r="V79" i="6"/>
  <c r="V80" i="6" s="1"/>
  <c r="V81" i="6" s="1"/>
  <c r="V66" i="6"/>
  <c r="V67" i="6" s="1"/>
  <c r="I64" i="6"/>
  <c r="J64" i="6" s="1"/>
  <c r="K64" i="6" s="1"/>
  <c r="K114" i="6"/>
  <c r="O94" i="5"/>
  <c r="P94" i="5" s="1"/>
  <c r="U33" i="5"/>
  <c r="V37" i="5"/>
  <c r="U37" i="5" s="1"/>
  <c r="U50" i="5"/>
  <c r="I60" i="5" s="1"/>
  <c r="V54" i="5"/>
  <c r="U54" i="5" s="1"/>
  <c r="O94" i="4"/>
  <c r="U33" i="4"/>
  <c r="U37" i="4"/>
  <c r="I60" i="4"/>
  <c r="AC74" i="6" s="1"/>
  <c r="V54" i="4"/>
  <c r="U54" i="4" s="1"/>
  <c r="V93" i="1"/>
  <c r="S93" i="1"/>
  <c r="T93" i="1"/>
  <c r="V68" i="6" l="1"/>
  <c r="V69" i="6"/>
  <c r="L62" i="5"/>
  <c r="L112" i="5" s="1"/>
  <c r="V83" i="5"/>
  <c r="V84" i="5" s="1"/>
  <c r="V85" i="5" s="1"/>
  <c r="V70" i="5"/>
  <c r="V71" i="5" s="1"/>
  <c r="K112" i="5"/>
  <c r="AC72" i="5"/>
  <c r="I62" i="5"/>
  <c r="J62" i="5" s="1"/>
  <c r="K62" i="5" s="1"/>
  <c r="Q94" i="5"/>
  <c r="Q94" i="4"/>
  <c r="L62" i="4"/>
  <c r="L112" i="4" s="1"/>
  <c r="V83" i="4"/>
  <c r="V84" i="4" s="1"/>
  <c r="V85" i="4" s="1"/>
  <c r="V70" i="4"/>
  <c r="V71" i="4" s="1"/>
  <c r="AC72" i="4"/>
  <c r="I62" i="4"/>
  <c r="K112" i="4"/>
  <c r="P94" i="4"/>
  <c r="U93" i="1"/>
  <c r="Y92" i="1" s="1"/>
  <c r="I94" i="1" s="1"/>
  <c r="O50" i="1"/>
  <c r="G54" i="1"/>
  <c r="G50" i="1"/>
  <c r="G46" i="1"/>
  <c r="D19" i="2"/>
  <c r="M29" i="1"/>
  <c r="G29" i="1"/>
  <c r="L37" i="1"/>
  <c r="G37" i="1"/>
  <c r="H12" i="1"/>
  <c r="S113" i="1" s="1"/>
  <c r="L33" i="1"/>
  <c r="G33" i="1"/>
  <c r="D12" i="1"/>
  <c r="S112" i="1" s="1"/>
  <c r="F93" i="1"/>
  <c r="G19" i="1"/>
  <c r="D93" i="1" s="1"/>
  <c r="V99" i="1" s="1"/>
  <c r="AG7" i="1"/>
  <c r="AD7" i="1"/>
  <c r="AA7" i="1"/>
  <c r="V70" i="6" l="1"/>
  <c r="F76" i="6" s="1"/>
  <c r="V73" i="5"/>
  <c r="V72" i="5"/>
  <c r="V73" i="4"/>
  <c r="V72" i="4"/>
  <c r="J62" i="4"/>
  <c r="K62" i="4" s="1"/>
  <c r="X99" i="1"/>
  <c r="Y99" i="1"/>
  <c r="W99" i="1"/>
  <c r="X70" i="1"/>
  <c r="X71" i="1" s="1"/>
  <c r="X83" i="1"/>
  <c r="X84" i="1" s="1"/>
  <c r="X37" i="1"/>
  <c r="AJ7" i="1"/>
  <c r="K7" i="1" s="1"/>
  <c r="V74" i="4" l="1"/>
  <c r="F74" i="4" s="1"/>
  <c r="AB85" i="6"/>
  <c r="AB86" i="6" s="1"/>
  <c r="F75" i="6"/>
  <c r="G75" i="6" s="1"/>
  <c r="H75" i="6" s="1"/>
  <c r="F111" i="6"/>
  <c r="V74" i="5"/>
  <c r="F74" i="5" s="1"/>
  <c r="Z99" i="1"/>
  <c r="V100" i="1" s="1"/>
  <c r="AA99" i="1"/>
  <c r="L7" i="1"/>
  <c r="M7" i="1" s="1"/>
  <c r="AD74" i="6" l="1"/>
  <c r="AE74" i="6"/>
  <c r="F73" i="4"/>
  <c r="G73" i="4" s="1"/>
  <c r="H73" i="4" s="1"/>
  <c r="AE72" i="4"/>
  <c r="AD72" i="4"/>
  <c r="AB83" i="4"/>
  <c r="AB84" i="4" s="1"/>
  <c r="V86" i="4" s="1"/>
  <c r="F109" i="4"/>
  <c r="F108" i="4" s="1"/>
  <c r="J111" i="6"/>
  <c r="F110" i="6"/>
  <c r="V82" i="6"/>
  <c r="V83" i="6"/>
  <c r="AB83" i="5"/>
  <c r="AB84" i="5" s="1"/>
  <c r="F73" i="5"/>
  <c r="AD72" i="5"/>
  <c r="AE72" i="5"/>
  <c r="F109" i="5"/>
  <c r="V101" i="1"/>
  <c r="I93" i="1" s="1"/>
  <c r="K8" i="1"/>
  <c r="J109" i="4" l="1"/>
  <c r="V87" i="4"/>
  <c r="V88" i="4" s="1"/>
  <c r="F86" i="4" s="1"/>
  <c r="V84" i="6"/>
  <c r="F88" i="6" s="1"/>
  <c r="F87" i="6" s="1"/>
  <c r="G110" i="6"/>
  <c r="H110" i="6" s="1"/>
  <c r="H73" i="5"/>
  <c r="G73" i="5"/>
  <c r="J109" i="5"/>
  <c r="F108" i="5"/>
  <c r="V86" i="5"/>
  <c r="V88" i="5" s="1"/>
  <c r="F86" i="5" s="1"/>
  <c r="V87" i="5"/>
  <c r="G108" i="4"/>
  <c r="H108" i="4" s="1"/>
  <c r="R46" i="1"/>
  <c r="R29" i="1"/>
  <c r="O95" i="1"/>
  <c r="K88" i="6" l="1"/>
  <c r="G87" i="6"/>
  <c r="H87" i="6" s="1"/>
  <c r="F85" i="5"/>
  <c r="G85" i="5" s="1"/>
  <c r="H85" i="5" s="1"/>
  <c r="K86" i="5"/>
  <c r="G108" i="5"/>
  <c r="H108" i="5" s="1"/>
  <c r="F85" i="4"/>
  <c r="K86" i="4"/>
  <c r="U33" i="1"/>
  <c r="V37" i="1"/>
  <c r="U37" i="1" s="1"/>
  <c r="V54" i="1"/>
  <c r="U54" i="1" s="1"/>
  <c r="U50" i="1"/>
  <c r="I60" i="1" s="1"/>
  <c r="I64" i="1"/>
  <c r="K113" i="1" s="1"/>
  <c r="O94" i="1"/>
  <c r="P94" i="1" s="1"/>
  <c r="Q94" i="1" s="1"/>
  <c r="G85" i="4" l="1"/>
  <c r="H85" i="4" s="1"/>
  <c r="V83" i="1"/>
  <c r="V84" i="1" s="1"/>
  <c r="V85" i="1" s="1"/>
  <c r="K112" i="1"/>
  <c r="V70" i="1"/>
  <c r="V71" i="1" s="1"/>
  <c r="V72" i="1" s="1"/>
  <c r="Z83" i="1"/>
  <c r="Z84" i="1" s="1"/>
  <c r="Z70" i="1"/>
  <c r="Z71" i="1" s="1"/>
  <c r="V73" i="1" s="1"/>
  <c r="V74" i="1" s="1"/>
  <c r="F74" i="1" s="1"/>
  <c r="I66" i="1"/>
  <c r="J66" i="1" s="1"/>
  <c r="K66" i="1" s="1"/>
  <c r="L66" i="1"/>
  <c r="L113" i="1" s="1"/>
  <c r="AB83" i="1" l="1"/>
  <c r="AB84" i="1" s="1"/>
  <c r="AE72" i="1"/>
  <c r="AD72" i="1"/>
  <c r="AC72" i="1"/>
  <c r="L62" i="1"/>
  <c r="L112" i="1" s="1"/>
  <c r="I62" i="1"/>
  <c r="J62" i="1" s="1"/>
  <c r="K62" i="1" s="1"/>
  <c r="V87" i="1" l="1"/>
  <c r="V86" i="1"/>
  <c r="V88" i="1" l="1"/>
  <c r="F86" i="1" s="1"/>
  <c r="F109" i="1"/>
  <c r="J109" i="1" s="1"/>
  <c r="F73" i="1"/>
  <c r="G73" i="1" s="1"/>
  <c r="H73" i="1" s="1"/>
  <c r="F108" i="1" l="1"/>
  <c r="G108" i="1" s="1"/>
  <c r="K86" i="1"/>
  <c r="F85" i="1" l="1"/>
  <c r="G85" i="1" s="1"/>
  <c r="H85" i="1" s="1"/>
  <c r="H108" i="1"/>
</calcChain>
</file>

<file path=xl/comments1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M(t) = (1 - k) * M(t0) + k * M(t1)
                      k = (t - t0) / (t1 - t0) 
   2. par une position et une vitesse angulaire
        --&gt; la position est trouvee par M' = M + v * (t - t0)
                     k = t - t0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t0) / (t1 - t0)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t0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2.xml><?xml version="1.0" encoding="utf-8"?>
<comments xmlns="http://schemas.openxmlformats.org/spreadsheetml/2006/main">
  <authors>
    <author>FAGES Pierre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On cherche l'heure de passage du soleil a greenwitch (son heure de culmination)
3 possibilites :
 1. par interval horaire (avant et apres le passage du 0°)
 2. par une position et une vitesse
 3. par carrement l'heure de passage … le plus simple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on cherche t pour lequel M(t) = 360 et 
                      k = (t - t0) / (t1 - t0) 
                      M(t) = 360 = (1 - k) * M(t0) + k * M(t1) 
        donc k = (M(t0) - 360) / ( M(t0) - M(t1) )
                t = k (t1 - t0) + t0 
           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le temps  est trouvee par M' = M + v * (t - t0)
                     Avec M' = 360° 
                donc t = t0 + (360 - M(0)) / V    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3. Directement dans l'amanach    
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5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88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97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1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  <comment ref="K118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</commentList>
</comments>
</file>

<file path=xl/comments3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4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sharedStrings.xml><?xml version="1.0" encoding="utf-8"?>
<sst xmlns="http://schemas.openxmlformats.org/spreadsheetml/2006/main" count="962" uniqueCount="136">
  <si>
    <t>a. Par le nautical almanach (par interval horaire)</t>
  </si>
  <si>
    <t>Almanach</t>
  </si>
  <si>
    <t>H. UT Montre</t>
  </si>
  <si>
    <t xml:space="preserve">h </t>
  </si>
  <si>
    <t>m</t>
  </si>
  <si>
    <t>s</t>
  </si>
  <si>
    <t>Err Montre</t>
  </si>
  <si>
    <t>Chrono</t>
  </si>
  <si>
    <t>H. UT Obs</t>
  </si>
  <si>
    <t>Heure decimale</t>
  </si>
  <si>
    <t>Droite de hauteur (Excel en francais - pb de nom de fonctions)</t>
  </si>
  <si>
    <t>Astre observé</t>
  </si>
  <si>
    <t>Hi</t>
  </si>
  <si>
    <t>°</t>
  </si>
  <si>
    <t>Astres observés</t>
  </si>
  <si>
    <t>Soleil</t>
  </si>
  <si>
    <t>G</t>
  </si>
  <si>
    <t>L (φ)</t>
  </si>
  <si>
    <t>Position 
Estimée</t>
  </si>
  <si>
    <t>Collimacon</t>
  </si>
  <si>
    <t>Œil</t>
  </si>
  <si>
    <t>Collimaçon
sextan</t>
  </si>
  <si>
    <t>sens</t>
  </si>
  <si>
    <t>Lune</t>
  </si>
  <si>
    <t>Etoile</t>
  </si>
  <si>
    <t>Polaire</t>
  </si>
  <si>
    <t>xx</t>
  </si>
  <si>
    <t xml:space="preserve">Longitude </t>
  </si>
  <si>
    <t>N</t>
  </si>
  <si>
    <t>S</t>
  </si>
  <si>
    <t>Latitude</t>
  </si>
  <si>
    <t>W</t>
  </si>
  <si>
    <t>E</t>
  </si>
  <si>
    <t>H. UT Basse</t>
  </si>
  <si>
    <t>H. UT Haute</t>
  </si>
  <si>
    <t>Declinaison
(Dec.)</t>
  </si>
  <si>
    <t>Angle horaire local
(GHA)</t>
  </si>
  <si>
    <t>==&gt; heure observation:</t>
  </si>
  <si>
    <t>1. Declinaison et angle horaire</t>
  </si>
  <si>
    <t>2. Hauteur calculee</t>
  </si>
  <si>
    <t>Deg2Rad</t>
  </si>
  <si>
    <t>sin(D)Sin(L)</t>
  </si>
  <si>
    <t>Angle horaire local
(AHL  ou GHA)</t>
  </si>
  <si>
    <t>cos(D)cos(AHL)cos(L)</t>
  </si>
  <si>
    <t>Hc</t>
  </si>
  <si>
    <t>3. Azimut</t>
  </si>
  <si>
    <t>Az</t>
  </si>
  <si>
    <t>Sin(D)</t>
  </si>
  <si>
    <t>sin(L)sin(H)</t>
  </si>
  <si>
    <t>cos(L)cos(H)</t>
  </si>
  <si>
    <t>b. Par Greenwitch + Pas</t>
  </si>
  <si>
    <t>H. UT de reference</t>
  </si>
  <si>
    <t>Pas de Declinaison
(Var. Dec.)</t>
  </si>
  <si>
    <t>Pas de Angle Horaire
(Var. AH)</t>
  </si>
  <si>
    <t>METHODE ?</t>
  </si>
  <si>
    <t>Methode</t>
  </si>
  <si>
    <t>Par almanach nautique</t>
  </si>
  <si>
    <t>Par greenwitch + Pas</t>
  </si>
  <si>
    <t>4. Intercept</t>
  </si>
  <si>
    <t>-</t>
  </si>
  <si>
    <t>+</t>
  </si>
  <si>
    <t>Correction (Hauteur œil)</t>
  </si>
  <si>
    <t>Hv</t>
  </si>
  <si>
    <t>Correction bord soleil/Etoile</t>
  </si>
  <si>
    <t>Correction totale additive / bord inf soleil</t>
  </si>
  <si>
    <t>Hi (degre)</t>
  </si>
  <si>
    <t>Elevation œil (m)</t>
  </si>
  <si>
    <t>Bord sup soleil</t>
  </si>
  <si>
    <t>Hauteur Oeil</t>
  </si>
  <si>
    <t>Intercept</t>
  </si>
  <si>
    <t>AHL &lt; 180?</t>
  </si>
  <si>
    <t>Code couleur</t>
  </si>
  <si>
    <t>Valeur a saisir - Titre</t>
  </si>
  <si>
    <t>Valeur a saisir - Valeur</t>
  </si>
  <si>
    <t>Resultat intermediaire - Titre</t>
  </si>
  <si>
    <t>Resultat intermediaire - val</t>
  </si>
  <si>
    <t>Resultat Final - Titre</t>
  </si>
  <si>
    <t>Resultat Final - Valeur</t>
  </si>
  <si>
    <t>Bord</t>
  </si>
  <si>
    <t>Inferieur</t>
  </si>
  <si>
    <t>Superieur</t>
  </si>
  <si>
    <t>Astre</t>
  </si>
  <si>
    <t>4 mars 1998</t>
  </si>
  <si>
    <t>maison marly</t>
  </si>
  <si>
    <t>lat</t>
  </si>
  <si>
    <t>log</t>
  </si>
  <si>
    <t>n</t>
  </si>
  <si>
    <t>e</t>
  </si>
  <si>
    <t>h</t>
  </si>
  <si>
    <t>100.26m</t>
  </si>
  <si>
    <t>Sens</t>
  </si>
  <si>
    <t>Date (attention tout en UT)</t>
  </si>
  <si>
    <t>M(t)</t>
  </si>
  <si>
    <t>k</t>
  </si>
  <si>
    <t>q</t>
  </si>
  <si>
    <t>M(t) mod 360</t>
  </si>
  <si>
    <t>M(t1) mod 360</t>
  </si>
  <si>
    <t>Cas B</t>
  </si>
  <si>
    <t>Cas A</t>
  </si>
  <si>
    <t>Declinaison calculee</t>
  </si>
  <si>
    <t>Latitude estimee</t>
  </si>
  <si>
    <t>Angle horaire local</t>
  </si>
  <si>
    <t>k1</t>
  </si>
  <si>
    <t>en radian</t>
  </si>
  <si>
    <t>k2</t>
  </si>
  <si>
    <t>sin(D)</t>
  </si>
  <si>
    <t>sin(L)sin(Hc)</t>
  </si>
  <si>
    <t>k3</t>
  </si>
  <si>
    <t>cos(L)cos(Hc)</t>
  </si>
  <si>
    <t>attention passage 0/360</t>
  </si>
  <si>
    <t>bord sup</t>
  </si>
  <si>
    <t>Correction Œil</t>
  </si>
  <si>
    <t>H(œil)</t>
  </si>
  <si>
    <t>Interval</t>
  </si>
  <si>
    <t>borne basse</t>
  </si>
  <si>
    <t>borne haute</t>
  </si>
  <si>
    <t>index cell</t>
  </si>
  <si>
    <t>Hc val</t>
  </si>
  <si>
    <t>Correction Val</t>
  </si>
  <si>
    <t>Hc Val</t>
  </si>
  <si>
    <t>Correction</t>
  </si>
  <si>
    <t>=&gt;</t>
  </si>
  <si>
    <t>Info position Pg</t>
  </si>
  <si>
    <t>↔</t>
  </si>
  <si>
    <t>Info position estimée</t>
  </si>
  <si>
    <t>Mille Naut.</t>
  </si>
  <si>
    <t>1. Heure du passage a greenwitch du soleil</t>
  </si>
  <si>
    <t>t</t>
  </si>
  <si>
    <t>c. Par directement l'heure de pasage au meridien</t>
  </si>
  <si>
    <t>Par Valeur</t>
  </si>
  <si>
    <t>Cas C</t>
  </si>
  <si>
    <t>Méridienne Soleil - Latitude / Longitude</t>
  </si>
  <si>
    <t>Declinaison (t)</t>
  </si>
  <si>
    <t>Longitude / Angle Horaire Local (t)</t>
  </si>
  <si>
    <t>AHL(t)</t>
  </si>
  <si>
    <t>Check doit etre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</si>
</sst>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8"/>
      <color theme="1"/>
      <name val="Times New Roman"/>
      <family val="1"/>
    </font>
    <font>
      <sz val="11"/>
      <color theme="0"/>
      <name val="Times New Roman"/>
      <family val="1"/>
    </font>
    <font>
      <b/>
      <sz val="20"/>
      <color theme="1"/>
      <name val="Times New Roman"/>
      <family val="1"/>
    </font>
    <font>
      <b/>
      <sz val="12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lightUp">
        <fgColor rgb="FFFFFF00"/>
        <b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13" applyNumberFormat="0" applyAlignment="0" applyProtection="0"/>
    <xf numFmtId="0" fontId="11" fillId="13" borderId="13" applyNumberFormat="0" applyAlignment="0" applyProtection="0"/>
    <xf numFmtId="0" fontId="7" fillId="14" borderId="14" applyNumberFormat="0" applyFont="0" applyAlignment="0" applyProtection="0"/>
    <xf numFmtId="0" fontId="23" fillId="19" borderId="0" applyNumberFormat="0" applyBorder="0" applyAlignment="0" applyProtection="0"/>
  </cellStyleXfs>
  <cellXfs count="192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6" fillId="15" borderId="0" xfId="0" applyFont="1" applyFill="1"/>
    <xf numFmtId="0" fontId="11" fillId="13" borderId="13" xfId="4" applyAlignment="1">
      <alignment horizontal="center" vertical="top"/>
    </xf>
    <xf numFmtId="0" fontId="11" fillId="13" borderId="13" xfId="4" applyAlignment="1">
      <alignment horizontal="center" vertical="center"/>
    </xf>
    <xf numFmtId="0" fontId="11" fillId="13" borderId="13" xfId="4"/>
    <xf numFmtId="1" fontId="11" fillId="13" borderId="13" xfId="4" applyNumberFormat="1" applyAlignment="1">
      <alignment horizontal="center"/>
    </xf>
    <xf numFmtId="2" fontId="11" fillId="13" borderId="13" xfId="4" applyNumberFormat="1" applyAlignment="1">
      <alignment horizontal="center"/>
    </xf>
    <xf numFmtId="0" fontId="9" fillId="11" borderId="0" xfId="2"/>
    <xf numFmtId="2" fontId="11" fillId="13" borderId="13" xfId="4" applyNumberFormat="1"/>
    <xf numFmtId="0" fontId="11" fillId="13" borderId="13" xfId="4" quotePrefix="1"/>
    <xf numFmtId="164" fontId="11" fillId="13" borderId="13" xfId="4" applyNumberFormat="1"/>
    <xf numFmtId="0" fontId="10" fillId="12" borderId="13" xfId="3" applyAlignment="1">
      <alignment horizontal="center" vertical="top"/>
    </xf>
    <xf numFmtId="0" fontId="10" fillId="12" borderId="13" xfId="3"/>
    <xf numFmtId="0" fontId="16" fillId="15" borderId="4" xfId="0" applyFont="1" applyFill="1" applyBorder="1"/>
    <xf numFmtId="0" fontId="16" fillId="15" borderId="5" xfId="0" applyFont="1" applyFill="1" applyBorder="1"/>
    <xf numFmtId="0" fontId="16" fillId="15" borderId="6" xfId="0" applyFont="1" applyFill="1" applyBorder="1"/>
    <xf numFmtId="0" fontId="16" fillId="6" borderId="0" xfId="0" applyFont="1" applyFill="1"/>
    <xf numFmtId="1" fontId="11" fillId="13" borderId="16" xfId="4" applyNumberFormat="1" applyBorder="1" applyAlignment="1">
      <alignment horizontal="center"/>
    </xf>
    <xf numFmtId="2" fontId="11" fillId="13" borderId="16" xfId="4" applyNumberFormat="1" applyBorder="1" applyAlignment="1">
      <alignment horizontal="center"/>
    </xf>
    <xf numFmtId="2" fontId="10" fillId="16" borderId="13" xfId="3" applyNumberFormat="1" applyFill="1" applyAlignment="1">
      <alignment horizontal="center"/>
    </xf>
    <xf numFmtId="0" fontId="10" fillId="12" borderId="16" xfId="3" applyBorder="1" applyAlignment="1">
      <alignment horizontal="center" vertical="top"/>
    </xf>
    <xf numFmtId="0" fontId="11" fillId="13" borderId="15" xfId="4" applyBorder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" fontId="10" fillId="16" borderId="13" xfId="3" applyNumberFormat="1" applyFill="1" applyAlignment="1">
      <alignment horizontal="center"/>
    </xf>
    <xf numFmtId="0" fontId="2" fillId="14" borderId="14" xfId="5" applyFont="1"/>
    <xf numFmtId="0" fontId="0" fillId="5" borderId="0" xfId="0" applyFill="1"/>
    <xf numFmtId="2" fontId="10" fillId="16" borderId="13" xfId="3" applyNumberFormat="1" applyFill="1" applyBorder="1" applyAlignment="1">
      <alignment horizontal="center"/>
    </xf>
    <xf numFmtId="2" fontId="10" fillId="16" borderId="31" xfId="3" applyNumberFormat="1" applyFill="1" applyBorder="1" applyAlignment="1">
      <alignment horizontal="center"/>
    </xf>
    <xf numFmtId="0" fontId="13" fillId="12" borderId="28" xfId="3" applyFont="1" applyBorder="1" applyAlignment="1">
      <alignment horizontal="center" vertical="top"/>
    </xf>
    <xf numFmtId="0" fontId="13" fillId="12" borderId="35" xfId="3" applyFont="1" applyBorder="1" applyAlignment="1">
      <alignment horizontal="center" vertical="top"/>
    </xf>
    <xf numFmtId="0" fontId="10" fillId="12" borderId="13" xfId="3" applyBorder="1" applyAlignment="1">
      <alignment horizontal="center" vertical="top"/>
    </xf>
    <xf numFmtId="0" fontId="10" fillId="12" borderId="13" xfId="3" applyBorder="1"/>
    <xf numFmtId="0" fontId="10" fillId="12" borderId="31" xfId="3" applyBorder="1"/>
    <xf numFmtId="0" fontId="10" fillId="12" borderId="31" xfId="3" applyBorder="1" applyAlignment="1">
      <alignment horizontal="center" vertical="top"/>
    </xf>
    <xf numFmtId="0" fontId="10" fillId="16" borderId="37" xfId="3" applyFill="1" applyBorder="1"/>
    <xf numFmtId="0" fontId="10" fillId="12" borderId="38" xfId="3" applyBorder="1"/>
    <xf numFmtId="0" fontId="2" fillId="0" borderId="12" xfId="0" applyFont="1" applyBorder="1" applyAlignment="1">
      <alignment vertical="center"/>
    </xf>
    <xf numFmtId="0" fontId="2" fillId="0" borderId="11" xfId="0" applyFont="1" applyBorder="1"/>
    <xf numFmtId="0" fontId="8" fillId="10" borderId="10" xfId="1" applyBorder="1"/>
    <xf numFmtId="0" fontId="8" fillId="10" borderId="9" xfId="1" applyBorder="1"/>
    <xf numFmtId="0" fontId="8" fillId="10" borderId="2" xfId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1" fillId="13" borderId="13" xfId="4" applyAlignment="1">
      <alignment horizontal="center"/>
    </xf>
    <xf numFmtId="0" fontId="0" fillId="18" borderId="0" xfId="0" applyFill="1"/>
    <xf numFmtId="0" fontId="0" fillId="18" borderId="0" xfId="0" quotePrefix="1" applyFill="1"/>
    <xf numFmtId="0" fontId="15" fillId="0" borderId="5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1" fillId="13" borderId="13" xfId="4" applyAlignment="1">
      <alignment horizontal="center"/>
    </xf>
    <xf numFmtId="0" fontId="11" fillId="13" borderId="13" xfId="4" applyAlignment="1">
      <alignment horizontal="center" vertic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top"/>
    </xf>
    <xf numFmtId="166" fontId="11" fillId="13" borderId="13" xfId="4" applyNumberFormat="1"/>
    <xf numFmtId="0" fontId="11" fillId="20" borderId="13" xfId="4" applyFill="1"/>
    <xf numFmtId="0" fontId="23" fillId="19" borderId="0" xfId="6"/>
    <xf numFmtId="0" fontId="11" fillId="13" borderId="13" xfId="4" applyAlignment="1">
      <alignment horizont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center"/>
    </xf>
    <xf numFmtId="0" fontId="11" fillId="13" borderId="13" xfId="4" applyAlignment="1">
      <alignment horizontal="center" vertical="top"/>
    </xf>
    <xf numFmtId="0" fontId="0" fillId="18" borderId="1" xfId="0" applyFill="1" applyBorder="1" applyAlignment="1" applyProtection="1">
      <alignment horizontal="center"/>
      <protection locked="0"/>
    </xf>
    <xf numFmtId="0" fontId="0" fillId="21" borderId="0" xfId="0" applyFill="1" applyProtection="1">
      <protection locked="0"/>
    </xf>
    <xf numFmtId="0" fontId="2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22" borderId="1" xfId="0" applyNumberFormat="1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9" fillId="11" borderId="1" xfId="2" applyBorder="1" applyAlignment="1">
      <alignment vertical="center"/>
    </xf>
    <xf numFmtId="165" fontId="9" fillId="11" borderId="1" xfId="2" applyNumberFormat="1" applyBorder="1" applyAlignment="1">
      <alignment vertical="center"/>
    </xf>
    <xf numFmtId="0" fontId="10" fillId="16" borderId="13" xfId="3" applyFill="1" applyAlignment="1">
      <alignment horizontal="center" vertical="center"/>
    </xf>
    <xf numFmtId="0" fontId="10" fillId="16" borderId="13" xfId="3" applyFill="1" applyAlignment="1">
      <alignment horizontal="center" vertical="center"/>
    </xf>
    <xf numFmtId="0" fontId="11" fillId="13" borderId="38" xfId="4" applyBorder="1"/>
    <xf numFmtId="0" fontId="11" fillId="13" borderId="15" xfId="4" applyBorder="1"/>
    <xf numFmtId="0" fontId="11" fillId="13" borderId="16" xfId="4" applyBorder="1"/>
    <xf numFmtId="0" fontId="11" fillId="13" borderId="39" xfId="4" applyBorder="1"/>
    <xf numFmtId="0" fontId="11" fillId="13" borderId="4" xfId="4" applyBorder="1" applyAlignment="1">
      <alignment horizontal="center"/>
    </xf>
    <xf numFmtId="0" fontId="11" fillId="13" borderId="5" xfId="4" applyBorder="1" applyAlignment="1">
      <alignment horizontal="center"/>
    </xf>
    <xf numFmtId="0" fontId="11" fillId="13" borderId="37" xfId="4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3" fillId="12" borderId="1" xfId="3" applyFont="1" applyBorder="1" applyAlignment="1">
      <alignment horizontal="center"/>
    </xf>
    <xf numFmtId="0" fontId="18" fillId="16" borderId="1" xfId="3" applyFont="1" applyFill="1" applyBorder="1" applyAlignment="1">
      <alignment horizontal="center" vertical="center"/>
    </xf>
    <xf numFmtId="0" fontId="13" fillId="16" borderId="1" xfId="3" applyFont="1" applyFill="1" applyBorder="1" applyAlignment="1">
      <alignment horizontal="center"/>
    </xf>
    <xf numFmtId="0" fontId="13" fillId="12" borderId="13" xfId="3" applyFont="1" applyAlignment="1">
      <alignment horizontal="center"/>
    </xf>
    <xf numFmtId="0" fontId="11" fillId="13" borderId="13" xfId="4" applyAlignment="1">
      <alignment horizontal="center"/>
    </xf>
    <xf numFmtId="0" fontId="12" fillId="13" borderId="1" xfId="4" applyFont="1" applyBorder="1" applyAlignment="1">
      <alignment horizontal="center"/>
    </xf>
    <xf numFmtId="0" fontId="11" fillId="13" borderId="1" xfId="4" applyFont="1" applyBorder="1" applyAlignment="1">
      <alignment horizontal="center"/>
    </xf>
    <xf numFmtId="0" fontId="13" fillId="16" borderId="22" xfId="3" applyFont="1" applyFill="1" applyBorder="1" applyAlignment="1">
      <alignment horizontal="center" vertical="center"/>
    </xf>
    <xf numFmtId="0" fontId="13" fillId="16" borderId="32" xfId="3" applyFont="1" applyFill="1" applyBorder="1" applyAlignment="1">
      <alignment horizontal="center" vertical="center"/>
    </xf>
    <xf numFmtId="0" fontId="13" fillId="16" borderId="23" xfId="3" applyFont="1" applyFill="1" applyBorder="1" applyAlignment="1">
      <alignment horizontal="center" vertical="center"/>
    </xf>
    <xf numFmtId="0" fontId="13" fillId="16" borderId="16" xfId="3" applyFont="1" applyFill="1" applyBorder="1" applyAlignment="1">
      <alignment horizontal="center" vertical="center"/>
    </xf>
    <xf numFmtId="0" fontId="13" fillId="16" borderId="24" xfId="3" applyFont="1" applyFill="1" applyBorder="1" applyAlignment="1">
      <alignment horizontal="center" vertical="center"/>
    </xf>
    <xf numFmtId="0" fontId="13" fillId="16" borderId="33" xfId="3" applyFont="1" applyFill="1" applyBorder="1" applyAlignment="1">
      <alignment horizontal="center" vertical="center"/>
    </xf>
    <xf numFmtId="0" fontId="8" fillId="10" borderId="1" xfId="1" applyBorder="1" applyAlignment="1">
      <alignment horizontal="center"/>
    </xf>
    <xf numFmtId="0" fontId="11" fillId="13" borderId="20" xfId="4" applyBorder="1" applyAlignment="1">
      <alignment horizontal="center" vertical="center"/>
    </xf>
    <xf numFmtId="0" fontId="11" fillId="13" borderId="13" xfId="4" applyAlignment="1">
      <alignment horizontal="center" vertical="center"/>
    </xf>
    <xf numFmtId="0" fontId="14" fillId="10" borderId="1" xfId="1" applyFont="1" applyBorder="1" applyAlignment="1">
      <alignment horizontal="center"/>
    </xf>
    <xf numFmtId="0" fontId="13" fillId="12" borderId="22" xfId="3" applyFont="1" applyBorder="1" applyAlignment="1">
      <alignment horizontal="center" vertical="center" wrapText="1"/>
    </xf>
    <xf numFmtId="0" fontId="13" fillId="12" borderId="23" xfId="3" applyFont="1" applyBorder="1" applyAlignment="1">
      <alignment horizontal="center" vertical="center" wrapText="1"/>
    </xf>
    <xf numFmtId="0" fontId="13" fillId="12" borderId="30" xfId="3" applyFont="1" applyBorder="1" applyAlignment="1">
      <alignment horizontal="center" vertical="center" wrapText="1"/>
    </xf>
    <xf numFmtId="0" fontId="13" fillId="12" borderId="13" xfId="3" applyFont="1" applyBorder="1" applyAlignment="1">
      <alignment horizontal="center" vertical="center" wrapText="1"/>
    </xf>
    <xf numFmtId="0" fontId="13" fillId="12" borderId="25" xfId="3" applyFont="1" applyBorder="1" applyAlignment="1">
      <alignment horizontal="center" vertical="center" wrapText="1"/>
    </xf>
    <xf numFmtId="0" fontId="13" fillId="12" borderId="26" xfId="3" applyFont="1" applyBorder="1" applyAlignment="1">
      <alignment horizontal="center" vertical="center" wrapText="1"/>
    </xf>
    <xf numFmtId="0" fontId="13" fillId="12" borderId="23" xfId="3" applyFont="1" applyBorder="1" applyAlignment="1">
      <alignment horizontal="center"/>
    </xf>
    <xf numFmtId="0" fontId="13" fillId="12" borderId="24" xfId="3" applyFont="1" applyBorder="1" applyAlignment="1">
      <alignment horizontal="center"/>
    </xf>
    <xf numFmtId="0" fontId="10" fillId="16" borderId="13" xfId="3" applyFill="1" applyBorder="1" applyAlignment="1">
      <alignment horizontal="center" vertical="center"/>
    </xf>
    <xf numFmtId="0" fontId="10" fillId="16" borderId="26" xfId="3" applyFill="1" applyBorder="1" applyAlignment="1">
      <alignment horizontal="center" vertical="center"/>
    </xf>
    <xf numFmtId="0" fontId="10" fillId="16" borderId="31" xfId="3" applyFill="1" applyBorder="1" applyAlignment="1">
      <alignment horizontal="center" vertical="center"/>
    </xf>
    <xf numFmtId="0" fontId="10" fillId="16" borderId="27" xfId="3" applyFill="1" applyBorder="1" applyAlignment="1">
      <alignment horizontal="center" vertical="center"/>
    </xf>
    <xf numFmtId="166" fontId="11" fillId="13" borderId="26" xfId="4" applyNumberFormat="1" applyBorder="1" applyAlignment="1">
      <alignment horizontal="center"/>
    </xf>
    <xf numFmtId="0" fontId="13" fillId="12" borderId="34" xfId="3" applyFont="1" applyBorder="1" applyAlignment="1">
      <alignment horizontal="center" vertical="center" wrapText="1"/>
    </xf>
    <xf numFmtId="0" fontId="13" fillId="12" borderId="28" xfId="3" applyFont="1" applyBorder="1" applyAlignment="1">
      <alignment horizontal="center" vertical="center" wrapText="1"/>
    </xf>
    <xf numFmtId="0" fontId="13" fillId="12" borderId="32" xfId="3" applyFont="1" applyBorder="1" applyAlignment="1">
      <alignment horizontal="center" vertical="center" wrapText="1"/>
    </xf>
    <xf numFmtId="0" fontId="13" fillId="12" borderId="16" xfId="3" applyFont="1" applyBorder="1" applyAlignment="1">
      <alignment horizontal="center" vertical="center" wrapText="1"/>
    </xf>
    <xf numFmtId="166" fontId="11" fillId="13" borderId="41" xfId="4" applyNumberFormat="1" applyBorder="1" applyAlignment="1">
      <alignment horizontal="center"/>
    </xf>
    <xf numFmtId="166" fontId="11" fillId="13" borderId="42" xfId="4" applyNumberFormat="1" applyBorder="1" applyAlignment="1">
      <alignment horizontal="center"/>
    </xf>
    <xf numFmtId="166" fontId="11" fillId="13" borderId="43" xfId="4" applyNumberFormat="1" applyBorder="1" applyAlignment="1">
      <alignment horizontal="center"/>
    </xf>
    <xf numFmtId="0" fontId="13" fillId="12" borderId="22" xfId="3" applyFont="1" applyBorder="1" applyAlignment="1">
      <alignment horizontal="center" vertical="center"/>
    </xf>
    <xf numFmtId="0" fontId="13" fillId="12" borderId="23" xfId="3" applyFont="1" applyBorder="1" applyAlignment="1">
      <alignment horizontal="center" vertical="center"/>
    </xf>
    <xf numFmtId="0" fontId="13" fillId="12" borderId="30" xfId="3" applyFont="1" applyBorder="1" applyAlignment="1">
      <alignment horizontal="center" vertical="center"/>
    </xf>
    <xf numFmtId="0" fontId="13" fillId="12" borderId="13" xfId="3" applyFont="1" applyBorder="1" applyAlignment="1">
      <alignment horizontal="center" vertical="center"/>
    </xf>
    <xf numFmtId="0" fontId="13" fillId="12" borderId="25" xfId="3" applyFont="1" applyBorder="1" applyAlignment="1">
      <alignment horizontal="center" vertical="center"/>
    </xf>
    <xf numFmtId="0" fontId="13" fillId="12" borderId="26" xfId="3" applyFont="1" applyBorder="1" applyAlignment="1">
      <alignment horizontal="center" vertical="center"/>
    </xf>
    <xf numFmtId="0" fontId="10" fillId="16" borderId="7" xfId="3" applyFill="1" applyBorder="1" applyAlignment="1">
      <alignment horizontal="center" vertical="center"/>
    </xf>
    <xf numFmtId="0" fontId="10" fillId="16" borderId="29" xfId="3" applyFill="1" applyBorder="1" applyAlignment="1">
      <alignment horizontal="center" vertical="center"/>
    </xf>
    <xf numFmtId="0" fontId="10" fillId="16" borderId="0" xfId="3" applyFill="1" applyBorder="1" applyAlignment="1">
      <alignment horizontal="center" vertical="center"/>
    </xf>
    <xf numFmtId="0" fontId="10" fillId="16" borderId="21" xfId="3" applyFill="1" applyBorder="1" applyAlignment="1">
      <alignment horizontal="center" vertical="center"/>
    </xf>
    <xf numFmtId="0" fontId="10" fillId="16" borderId="3" xfId="3" applyFill="1" applyBorder="1" applyAlignment="1">
      <alignment horizontal="center" vertical="center"/>
    </xf>
    <xf numFmtId="0" fontId="10" fillId="16" borderId="36" xfId="3" applyFill="1" applyBorder="1" applyAlignment="1">
      <alignment horizontal="center" vertical="center"/>
    </xf>
    <xf numFmtId="0" fontId="13" fillId="12" borderId="39" xfId="3" applyFont="1" applyBorder="1" applyAlignment="1">
      <alignment horizontal="center" vertical="center"/>
    </xf>
    <xf numFmtId="0" fontId="13" fillId="12" borderId="40" xfId="3" applyFont="1" applyBorder="1" applyAlignment="1">
      <alignment horizontal="center" vertical="center"/>
    </xf>
    <xf numFmtId="0" fontId="10" fillId="16" borderId="40" xfId="3" applyFill="1" applyBorder="1" applyAlignment="1">
      <alignment horizontal="center"/>
    </xf>
    <xf numFmtId="0" fontId="10" fillId="16" borderId="38" xfId="3" applyFill="1" applyBorder="1" applyAlignment="1">
      <alignment horizontal="center"/>
    </xf>
    <xf numFmtId="2" fontId="11" fillId="13" borderId="26" xfId="4" applyNumberFormat="1" applyBorder="1" applyAlignment="1">
      <alignment horizontal="center"/>
    </xf>
    <xf numFmtId="2" fontId="11" fillId="13" borderId="27" xfId="4" applyNumberFormat="1" applyBorder="1" applyAlignment="1">
      <alignment horizontal="center"/>
    </xf>
    <xf numFmtId="0" fontId="13" fillId="12" borderId="4" xfId="3" applyFont="1" applyBorder="1" applyAlignment="1">
      <alignment horizontal="center"/>
    </xf>
    <xf numFmtId="0" fontId="13" fillId="12" borderId="37" xfId="3" applyFont="1" applyBorder="1" applyAlignment="1">
      <alignment horizontal="center"/>
    </xf>
    <xf numFmtId="0" fontId="13" fillId="12" borderId="13" xfId="3" applyFont="1" applyAlignment="1">
      <alignment horizontal="center" vertical="center" wrapText="1"/>
    </xf>
    <xf numFmtId="0" fontId="13" fillId="12" borderId="13" xfId="3" applyFont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66" fontId="11" fillId="13" borderId="13" xfId="4" applyNumberFormat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1" fillId="20" borderId="44" xfId="4" applyFill="1" applyBorder="1" applyAlignment="1">
      <alignment horizontal="center"/>
    </xf>
    <xf numFmtId="0" fontId="11" fillId="20" borderId="15" xfId="4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10" fillId="12" borderId="13" xfId="3" applyAlignment="1">
      <alignment horizontal="center"/>
    </xf>
    <xf numFmtId="0" fontId="11" fillId="13" borderId="13" xfId="4" applyAlignment="1">
      <alignment horizontal="center" vertical="center" wrapText="1"/>
    </xf>
    <xf numFmtId="0" fontId="11" fillId="13" borderId="13" xfId="4" applyAlignment="1">
      <alignment horizontal="center" vertical="top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6" fontId="11" fillId="13" borderId="13" xfId="4" applyNumberFormat="1" applyAlignment="1">
      <alignment horizontal="center" vertical="top"/>
    </xf>
    <xf numFmtId="165" fontId="11" fillId="13" borderId="13" xfId="4" applyNumberFormat="1" applyAlignment="1">
      <alignment horizontal="center"/>
    </xf>
    <xf numFmtId="0" fontId="11" fillId="20" borderId="13" xfId="4" applyFill="1" applyAlignment="1">
      <alignment horizontal="center"/>
    </xf>
    <xf numFmtId="0" fontId="11" fillId="13" borderId="44" xfId="4" applyBorder="1" applyAlignment="1">
      <alignment horizontal="center"/>
    </xf>
    <xf numFmtId="0" fontId="11" fillId="13" borderId="15" xfId="4" applyBorder="1" applyAlignment="1">
      <alignment horizontal="center"/>
    </xf>
    <xf numFmtId="2" fontId="11" fillId="13" borderId="13" xfId="4" applyNumberFormat="1" applyAlignment="1">
      <alignment horizontal="center"/>
    </xf>
    <xf numFmtId="165" fontId="11" fillId="13" borderId="17" xfId="4" applyNumberFormat="1" applyBorder="1" applyAlignment="1">
      <alignment horizontal="center"/>
    </xf>
    <xf numFmtId="165" fontId="11" fillId="13" borderId="18" xfId="4" applyNumberFormat="1" applyBorder="1" applyAlignment="1">
      <alignment horizontal="center"/>
    </xf>
    <xf numFmtId="165" fontId="11" fillId="13" borderId="19" xfId="4" applyNumberFormat="1" applyBorder="1" applyAlignment="1">
      <alignment horizontal="center"/>
    </xf>
    <xf numFmtId="0" fontId="9" fillId="11" borderId="1" xfId="2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1" fillId="13" borderId="13" xfId="4" quotePrefix="1" applyAlignment="1">
      <alignment horizontal="center" vertical="center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3" borderId="47" xfId="4" applyBorder="1" applyAlignment="1">
      <alignment horizontal="center"/>
    </xf>
    <xf numFmtId="0" fontId="11" fillId="13" borderId="0" xfId="4" applyBorder="1" applyAlignment="1">
      <alignment horizontal="center"/>
    </xf>
    <xf numFmtId="0" fontId="23" fillId="19" borderId="13" xfId="6" applyBorder="1"/>
    <xf numFmtId="0" fontId="23" fillId="19" borderId="48" xfId="6" applyBorder="1" applyAlignment="1">
      <alignment horizontal="center"/>
    </xf>
    <xf numFmtId="0" fontId="23" fillId="19" borderId="38" xfId="6" applyBorder="1"/>
  </cellXfs>
  <cellStyles count="7">
    <cellStyle name="Bad" xfId="6" builtinId="27"/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93</xdr:row>
      <xdr:rowOff>76200</xdr:rowOff>
    </xdr:from>
    <xdr:to>
      <xdr:col>4</xdr:col>
      <xdr:colOff>228600</xdr:colOff>
      <xdr:row>95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94</xdr:row>
      <xdr:rowOff>119063</xdr:rowOff>
    </xdr:from>
    <xdr:to>
      <xdr:col>19</xdr:col>
      <xdr:colOff>400050</xdr:colOff>
      <xdr:row>98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93</xdr:row>
      <xdr:rowOff>76200</xdr:rowOff>
    </xdr:from>
    <xdr:to>
      <xdr:col>4</xdr:col>
      <xdr:colOff>228600</xdr:colOff>
      <xdr:row>95</xdr:row>
      <xdr:rowOff>161925</xdr:rowOff>
    </xdr:to>
    <xdr:sp macro="" textlink="">
      <xdr:nvSpPr>
        <xdr:cNvPr id="4" name="Oval 3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94</xdr:row>
      <xdr:rowOff>119063</xdr:rowOff>
    </xdr:from>
    <xdr:to>
      <xdr:col>19</xdr:col>
      <xdr:colOff>400050</xdr:colOff>
      <xdr:row>98</xdr:row>
      <xdr:rowOff>85725</xdr:rowOff>
    </xdr:to>
    <xdr:cxnSp macro="">
      <xdr:nvCxnSpPr>
        <xdr:cNvPr id="5" name="Straight Arrow Connector 4"/>
        <xdr:cNvCxnSpPr>
          <a:stCxn id="4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7602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5" name="Straight Arrow Connector 4"/>
        <xdr:cNvCxnSpPr>
          <a:stCxn id="2" idx="6"/>
        </xdr:cNvCxnSpPr>
      </xdr:nvCxnSpPr>
      <xdr:spPr>
        <a:xfrm>
          <a:off x="2419350" y="18978563"/>
          <a:ext cx="7315200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7" workbookViewId="0">
      <selection activeCell="R29" sqref="R29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94" t="s">
        <v>10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56"/>
      <c r="R2" s="16" t="s">
        <v>71</v>
      </c>
      <c r="S2" s="16"/>
      <c r="Y2" s="56"/>
      <c r="Z2" s="57"/>
    </row>
    <row r="3" spans="2:36" ht="15.75" thickBot="1" x14ac:dyDescent="0.3">
      <c r="S3" s="96" t="s">
        <v>72</v>
      </c>
      <c r="T3" s="96"/>
      <c r="U3" s="96"/>
      <c r="V3" s="96"/>
      <c r="W3" s="96"/>
      <c r="X3" s="96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97" t="s">
        <v>82</v>
      </c>
      <c r="L4" s="97"/>
      <c r="M4" s="97"/>
      <c r="S4" s="98" t="s">
        <v>73</v>
      </c>
      <c r="T4" s="98"/>
      <c r="U4" s="98"/>
      <c r="V4" s="98"/>
      <c r="W4" s="98"/>
      <c r="X4" s="98"/>
    </row>
    <row r="5" spans="2:36" x14ac:dyDescent="0.25">
      <c r="B5" s="99" t="s">
        <v>2</v>
      </c>
      <c r="C5" s="99"/>
      <c r="D5" s="99"/>
      <c r="E5" s="99" t="s">
        <v>6</v>
      </c>
      <c r="F5" s="99"/>
      <c r="G5" s="99"/>
      <c r="H5" s="99" t="s">
        <v>7</v>
      </c>
      <c r="I5" s="99"/>
      <c r="J5" s="99"/>
      <c r="K5" s="100" t="s">
        <v>8</v>
      </c>
      <c r="L5" s="100"/>
      <c r="M5" s="100"/>
      <c r="S5" s="101" t="s">
        <v>74</v>
      </c>
      <c r="T5" s="101"/>
      <c r="U5" s="101"/>
      <c r="V5" s="101"/>
      <c r="W5" s="101"/>
      <c r="X5" s="101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02" t="s">
        <v>75</v>
      </c>
      <c r="T6" s="102"/>
      <c r="U6" s="102"/>
      <c r="V6" s="102"/>
      <c r="W6" s="102"/>
      <c r="X6" s="102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03">
        <v>9</v>
      </c>
      <c r="C7" s="105">
        <v>59</v>
      </c>
      <c r="D7" s="107">
        <v>42</v>
      </c>
      <c r="E7" s="103">
        <v>0</v>
      </c>
      <c r="F7" s="105">
        <v>0</v>
      </c>
      <c r="G7" s="107">
        <v>0</v>
      </c>
      <c r="H7" s="103">
        <v>0</v>
      </c>
      <c r="I7" s="105">
        <v>0</v>
      </c>
      <c r="J7" s="107">
        <v>0</v>
      </c>
      <c r="K7" s="36">
        <f>INT(AJ7)</f>
        <v>9</v>
      </c>
      <c r="L7" s="64">
        <f>INT(60 * (AJ7-K7))</f>
        <v>59</v>
      </c>
      <c r="M7" s="64">
        <f>INT(3600 * (AJ7-K7-L7/60))</f>
        <v>41</v>
      </c>
      <c r="S7" s="109" t="s">
        <v>76</v>
      </c>
      <c r="T7" s="109"/>
      <c r="U7" s="109"/>
      <c r="V7" s="109"/>
      <c r="W7" s="109"/>
      <c r="X7" s="109"/>
      <c r="AA7" s="1">
        <f>B7+C7/60+D7/3600</f>
        <v>9.9949999999999992</v>
      </c>
      <c r="AD7" s="1">
        <f>E7+F7/60+G7/3600</f>
        <v>0</v>
      </c>
      <c r="AG7" s="1">
        <f>H7+I7/60+J7/3600</f>
        <v>0</v>
      </c>
      <c r="AJ7" s="1">
        <f>AA7+AD7+AG7</f>
        <v>9.9949999999999992</v>
      </c>
    </row>
    <row r="8" spans="2:36" ht="15.75" thickBot="1" x14ac:dyDescent="0.3">
      <c r="B8" s="104"/>
      <c r="C8" s="106"/>
      <c r="D8" s="108"/>
      <c r="E8" s="104"/>
      <c r="F8" s="106"/>
      <c r="G8" s="108"/>
      <c r="H8" s="104"/>
      <c r="I8" s="106"/>
      <c r="J8" s="108"/>
      <c r="K8" s="110">
        <f>K7+L7/60+M7/3600</f>
        <v>9.9947222222222205</v>
      </c>
      <c r="L8" s="111"/>
      <c r="M8" s="111"/>
      <c r="S8" s="112" t="s">
        <v>77</v>
      </c>
      <c r="T8" s="112"/>
      <c r="U8" s="112"/>
      <c r="V8" s="112"/>
      <c r="W8" s="112"/>
      <c r="X8" s="112"/>
    </row>
    <row r="9" spans="2:36" ht="15" customHeight="1" x14ac:dyDescent="0.25">
      <c r="B9" s="113" t="s">
        <v>18</v>
      </c>
      <c r="C9" s="114"/>
      <c r="D9" s="119" t="s">
        <v>17</v>
      </c>
      <c r="E9" s="119"/>
      <c r="F9" s="119"/>
      <c r="G9" s="119"/>
      <c r="H9" s="119" t="s">
        <v>16</v>
      </c>
      <c r="I9" s="119"/>
      <c r="J9" s="119"/>
      <c r="K9" s="120"/>
    </row>
    <row r="10" spans="2:36" x14ac:dyDescent="0.25">
      <c r="B10" s="115"/>
      <c r="C10" s="116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15"/>
      <c r="C11" s="116"/>
      <c r="D11" s="41">
        <v>48.875556000000003</v>
      </c>
      <c r="E11" s="41">
        <v>0</v>
      </c>
      <c r="F11" s="41">
        <v>0</v>
      </c>
      <c r="G11" s="121" t="s">
        <v>28</v>
      </c>
      <c r="H11" s="41">
        <v>2.0948030000000002</v>
      </c>
      <c r="I11" s="41">
        <v>0</v>
      </c>
      <c r="J11" s="41">
        <v>0</v>
      </c>
      <c r="K11" s="123" t="s">
        <v>32</v>
      </c>
    </row>
    <row r="12" spans="2:36" ht="15.75" thickBot="1" x14ac:dyDescent="0.3">
      <c r="B12" s="117"/>
      <c r="C12" s="118"/>
      <c r="D12" s="125">
        <f>(D11+E11/60+F11/3600) * VLOOKUP(G11,Constante!$D$15:$E$16,2)</f>
        <v>48.875556000000003</v>
      </c>
      <c r="E12" s="125"/>
      <c r="F12" s="125"/>
      <c r="G12" s="122"/>
      <c r="H12" s="125">
        <f>(H11+I11/60+J11/3600) * VLOOKUP(K11,Constante!$D$12:$E$13,2)</f>
        <v>2.0948030000000002</v>
      </c>
      <c r="I12" s="125"/>
      <c r="J12" s="125"/>
      <c r="K12" s="124"/>
    </row>
    <row r="13" spans="2:36" ht="15" customHeight="1" x14ac:dyDescent="0.25">
      <c r="B13" s="126" t="s">
        <v>21</v>
      </c>
      <c r="C13" s="127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15"/>
      <c r="C14" s="116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28"/>
      <c r="C15" s="129"/>
      <c r="D15" s="130">
        <f>(E14+F14/60+G14/3600) * VLOOKUP(D14,Constante!J12:K13,2)</f>
        <v>0.7</v>
      </c>
      <c r="E15" s="131"/>
      <c r="F15" s="131"/>
      <c r="G15" s="132"/>
    </row>
    <row r="16" spans="2:36" ht="19.5" customHeight="1" thickBot="1" x14ac:dyDescent="0.3">
      <c r="B16" s="133" t="s">
        <v>11</v>
      </c>
      <c r="C16" s="134"/>
      <c r="D16" s="134"/>
      <c r="E16" s="139" t="s">
        <v>15</v>
      </c>
      <c r="F16" s="140"/>
      <c r="G16" s="119" t="s">
        <v>12</v>
      </c>
      <c r="H16" s="119"/>
      <c r="I16" s="120"/>
      <c r="J16" s="145" t="s">
        <v>78</v>
      </c>
      <c r="K16" s="146"/>
      <c r="L16" s="147" t="s">
        <v>79</v>
      </c>
      <c r="M16" s="148"/>
    </row>
    <row r="17" spans="2:18" x14ac:dyDescent="0.25">
      <c r="B17" s="135"/>
      <c r="C17" s="136"/>
      <c r="D17" s="136"/>
      <c r="E17" s="141"/>
      <c r="F17" s="142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35"/>
      <c r="C18" s="136"/>
      <c r="D18" s="136"/>
      <c r="E18" s="141"/>
      <c r="F18" s="142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37"/>
      <c r="C19" s="138"/>
      <c r="D19" s="138"/>
      <c r="E19" s="143"/>
      <c r="F19" s="144"/>
      <c r="G19" s="149">
        <f>G18+H18/60+I18/3600</f>
        <v>31.283333333333335</v>
      </c>
      <c r="H19" s="149"/>
      <c r="I19" s="150"/>
      <c r="J19" s="151" t="s">
        <v>20</v>
      </c>
      <c r="K19" s="152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99" t="s">
        <v>33</v>
      </c>
      <c r="H26" s="99"/>
      <c r="I26" s="99"/>
      <c r="M26" s="99" t="s">
        <v>34</v>
      </c>
      <c r="N26" s="99"/>
      <c r="O26" s="99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x14ac:dyDescent="0.25">
      <c r="G29" s="111">
        <f>G28+H28/60+I28/3600</f>
        <v>9</v>
      </c>
      <c r="H29" s="111"/>
      <c r="I29" s="111"/>
      <c r="M29" s="111">
        <f>M28+N28/60+O28/3600</f>
        <v>10</v>
      </c>
      <c r="N29" s="111"/>
      <c r="O29" s="111"/>
      <c r="Q29" s="19" t="s">
        <v>93</v>
      </c>
      <c r="R29" s="19">
        <f>(K8-G29)/(M29-G29)</f>
        <v>0.99472222222222051</v>
      </c>
    </row>
    <row r="31" spans="2:18" x14ac:dyDescent="0.25">
      <c r="D31" s="153" t="s">
        <v>35</v>
      </c>
      <c r="E31" s="154"/>
      <c r="F31" s="15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ht="15.75" thickBot="1" x14ac:dyDescent="0.3">
      <c r="D32" s="154"/>
      <c r="E32" s="154"/>
      <c r="F32" s="154"/>
      <c r="G32" s="34">
        <v>5</v>
      </c>
      <c r="H32" s="34">
        <v>33.200000000000003</v>
      </c>
      <c r="I32" s="34">
        <v>0</v>
      </c>
      <c r="J32" s="155" t="s">
        <v>29</v>
      </c>
      <c r="L32" s="34">
        <v>5</v>
      </c>
      <c r="M32" s="34">
        <v>34.200000000000003</v>
      </c>
      <c r="N32" s="34">
        <v>0</v>
      </c>
      <c r="O32" s="155" t="s">
        <v>28</v>
      </c>
    </row>
    <row r="33" spans="3:31" ht="15.75" thickBot="1" x14ac:dyDescent="0.3">
      <c r="D33" s="154"/>
      <c r="E33" s="154"/>
      <c r="F33" s="154"/>
      <c r="G33" s="156">
        <f>(G32+H32/60+I32/3600) * VLOOKUP(J32,Constante!$D$15:$E$16,2)</f>
        <v>-5.5533333333333337</v>
      </c>
      <c r="H33" s="156"/>
      <c r="I33" s="156"/>
      <c r="J33" s="155"/>
      <c r="L33" s="156">
        <f>(L32+M32/60+N32/3600) * VLOOKUP(O32,Constante!$D$15:$E$16,2)</f>
        <v>5.57</v>
      </c>
      <c r="M33" s="156"/>
      <c r="N33" s="156"/>
      <c r="O33" s="155"/>
      <c r="Q33" s="91" t="s">
        <v>132</v>
      </c>
      <c r="R33" s="92"/>
      <c r="S33" s="92"/>
      <c r="T33" s="93"/>
      <c r="U33" s="87">
        <f>(1-$R$29)*$G33+$R$29*$L33</f>
        <v>5.5112935185184995</v>
      </c>
    </row>
    <row r="34" spans="3:31" x14ac:dyDescent="0.25">
      <c r="G34" s="157"/>
      <c r="H34" s="158"/>
      <c r="I34" s="158"/>
      <c r="J34" s="159"/>
      <c r="L34" s="157"/>
      <c r="M34" s="158"/>
      <c r="N34" s="158"/>
      <c r="O34" s="159"/>
    </row>
    <row r="35" spans="3:31" x14ac:dyDescent="0.25">
      <c r="D35" s="153" t="s">
        <v>36</v>
      </c>
      <c r="E35" s="154"/>
      <c r="F35" s="154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ht="15.75" thickBot="1" x14ac:dyDescent="0.3">
      <c r="D36" s="154"/>
      <c r="E36" s="154"/>
      <c r="F36" s="154"/>
      <c r="G36" s="34">
        <v>359</v>
      </c>
      <c r="H36" s="34">
        <v>2</v>
      </c>
      <c r="I36" s="34">
        <v>0</v>
      </c>
      <c r="J36" s="155" t="s">
        <v>32</v>
      </c>
      <c r="L36" s="34">
        <v>20</v>
      </c>
      <c r="M36" s="34">
        <v>2.1</v>
      </c>
      <c r="N36" s="34">
        <v>0</v>
      </c>
      <c r="O36" s="155" t="s">
        <v>32</v>
      </c>
      <c r="Q36"/>
      <c r="R36"/>
      <c r="S36"/>
      <c r="T36" s="89"/>
      <c r="U36" s="89" t="s">
        <v>95</v>
      </c>
      <c r="V36" s="19" t="s">
        <v>92</v>
      </c>
      <c r="W36" s="19"/>
      <c r="X36" s="19" t="s">
        <v>96</v>
      </c>
      <c r="Y36" s="19"/>
    </row>
    <row r="37" spans="3:31" ht="15.75" thickBot="1" x14ac:dyDescent="0.3">
      <c r="D37" s="154"/>
      <c r="E37" s="154"/>
      <c r="F37" s="154"/>
      <c r="G37" s="156">
        <f>(G36+H36/60+I36/3600) * VLOOKUP(J36,Constante!$D$12:$E$13,2)</f>
        <v>359.03333333333336</v>
      </c>
      <c r="H37" s="156"/>
      <c r="I37" s="156"/>
      <c r="J37" s="155"/>
      <c r="L37" s="156">
        <f>(L36+M36/60+N36/3600) * VLOOKUP(O36,Constante!$D$12:$E$13,2)</f>
        <v>20.035</v>
      </c>
      <c r="M37" s="156"/>
      <c r="N37" s="156"/>
      <c r="O37" s="155"/>
      <c r="Q37" s="91" t="s">
        <v>133</v>
      </c>
      <c r="R37" s="92"/>
      <c r="S37" s="92"/>
      <c r="T37" s="93"/>
      <c r="U37" s="87">
        <f>IF(V37&gt;360,V37-360,IF(V37&lt;0,V37+360,V37))</f>
        <v>19.924157870370323</v>
      </c>
      <c r="V37" s="88">
        <f>(1-$R$29)*$G37+$R$29*$X$37</f>
        <v>379.92415787037032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O39"/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99" t="s">
        <v>51</v>
      </c>
      <c r="H43" s="99"/>
      <c r="I43" s="99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111">
        <f>G45+H45/60+I45/3600</f>
        <v>0</v>
      </c>
      <c r="H46" s="111"/>
      <c r="I46" s="111"/>
      <c r="L46"/>
      <c r="M46"/>
      <c r="N46"/>
      <c r="O46"/>
      <c r="Q46" s="19" t="s">
        <v>94</v>
      </c>
      <c r="R46" s="19">
        <f>K8-G46</f>
        <v>9.9947222222222205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53" t="s">
        <v>35</v>
      </c>
      <c r="E48" s="154"/>
      <c r="F48" s="15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53" t="s">
        <v>52</v>
      </c>
      <c r="M48" s="154"/>
      <c r="N48" s="154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ht="15.75" thickBot="1" x14ac:dyDescent="0.3">
      <c r="D49" s="154"/>
      <c r="E49" s="154"/>
      <c r="F49" s="154"/>
      <c r="G49" s="38">
        <v>6</v>
      </c>
      <c r="H49" s="34">
        <v>35.9</v>
      </c>
      <c r="I49" s="34">
        <v>0</v>
      </c>
      <c r="J49" s="155" t="s">
        <v>29</v>
      </c>
      <c r="K49"/>
      <c r="L49" s="154"/>
      <c r="M49" s="154"/>
      <c r="N49" s="154"/>
      <c r="O49" s="34">
        <v>0</v>
      </c>
      <c r="P49" s="34">
        <v>1</v>
      </c>
      <c r="Q49" s="34">
        <v>0</v>
      </c>
      <c r="R49" s="155" t="s">
        <v>28</v>
      </c>
      <c r="Z49"/>
      <c r="AA49"/>
      <c r="AB49"/>
      <c r="AC49"/>
      <c r="AD49"/>
      <c r="AE49"/>
    </row>
    <row r="50" spans="3:31" ht="15.75" thickBot="1" x14ac:dyDescent="0.3">
      <c r="D50" s="154"/>
      <c r="E50" s="154"/>
      <c r="F50" s="154"/>
      <c r="G50" s="156">
        <f>(G49+H49/60+I49/3600) * VLOOKUP(J49,Constante!$D$15:$E$16,2)</f>
        <v>-6.5983333333333336</v>
      </c>
      <c r="H50" s="156"/>
      <c r="I50" s="156"/>
      <c r="J50" s="155"/>
      <c r="K50"/>
      <c r="L50" s="154"/>
      <c r="M50" s="154"/>
      <c r="N50" s="154"/>
      <c r="O50" s="156">
        <f>(O49+P49/60+Q49/3600) * VLOOKUP(R49,Constante!$D$15:$E$16,2)</f>
        <v>1.6666666666666666E-2</v>
      </c>
      <c r="P50" s="156"/>
      <c r="Q50" s="156"/>
      <c r="R50" s="155"/>
      <c r="T50" s="91" t="s">
        <v>132</v>
      </c>
      <c r="U50" s="92"/>
      <c r="V50" s="93"/>
      <c r="W50" s="87">
        <f>G50+O50*$R$46</f>
        <v>-6.43175462962963</v>
      </c>
      <c r="Z50"/>
      <c r="AA50"/>
      <c r="AB50"/>
      <c r="AC50"/>
      <c r="AD50"/>
      <c r="AE50"/>
    </row>
    <row r="51" spans="3:31" x14ac:dyDescent="0.25">
      <c r="G51" s="157"/>
      <c r="H51" s="158"/>
      <c r="I51" s="158"/>
      <c r="J51" s="159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53" t="s">
        <v>36</v>
      </c>
      <c r="E52" s="154"/>
      <c r="F52" s="154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53" t="s">
        <v>53</v>
      </c>
      <c r="M52" s="154"/>
      <c r="N52" s="154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ht="15.75" thickBot="1" x14ac:dyDescent="0.3">
      <c r="D53" s="154"/>
      <c r="E53" s="154"/>
      <c r="F53" s="154"/>
      <c r="G53" s="38">
        <v>177</v>
      </c>
      <c r="H53" s="34">
        <v>1.9</v>
      </c>
      <c r="I53" s="34">
        <v>0</v>
      </c>
      <c r="J53" s="155" t="s">
        <v>32</v>
      </c>
      <c r="K53"/>
      <c r="L53" s="154"/>
      <c r="M53" s="154"/>
      <c r="N53" s="154"/>
      <c r="O53" s="34">
        <v>15.002000000000001</v>
      </c>
      <c r="P53" s="34">
        <v>0</v>
      </c>
      <c r="Q53" s="34">
        <v>0</v>
      </c>
      <c r="R53" s="155" t="s">
        <v>32</v>
      </c>
      <c r="T53" s="89"/>
      <c r="U53" s="89" t="s">
        <v>95</v>
      </c>
      <c r="V53" s="19" t="s">
        <v>92</v>
      </c>
      <c r="Z53"/>
      <c r="AA53"/>
      <c r="AB53"/>
      <c r="AC53"/>
      <c r="AD53"/>
      <c r="AE53"/>
    </row>
    <row r="54" spans="3:31" ht="15.75" thickBot="1" x14ac:dyDescent="0.3">
      <c r="D54" s="154"/>
      <c r="E54" s="154"/>
      <c r="F54" s="154"/>
      <c r="G54" s="156">
        <f>(G53+H53/60+I53/3600) * VLOOKUP(J53,Constante!$D$12:$E$13,2)</f>
        <v>177.03166666666667</v>
      </c>
      <c r="H54" s="156"/>
      <c r="I54" s="156"/>
      <c r="J54" s="155"/>
      <c r="K54"/>
      <c r="L54" s="154"/>
      <c r="M54" s="154"/>
      <c r="N54" s="154"/>
      <c r="O54" s="156">
        <f>(O53+P53/60+Q53/3600) * VLOOKUP(R53,Constante!$D$12:$E$13,2)</f>
        <v>15.002000000000001</v>
      </c>
      <c r="P54" s="156"/>
      <c r="Q54" s="156"/>
      <c r="R54" s="155"/>
      <c r="T54" s="90" t="s">
        <v>134</v>
      </c>
      <c r="U54" s="87">
        <f>IF(V54&gt;360,V54-360,IF(V54&lt;0,V54+360,V54))</f>
        <v>326.97248944444442</v>
      </c>
      <c r="V54" s="88">
        <f>G54+O54*$R$46</f>
        <v>326.97248944444442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62" t="s">
        <v>54</v>
      </c>
      <c r="D58" s="162"/>
      <c r="E58" s="162"/>
      <c r="F58" s="162"/>
      <c r="G58" s="162"/>
      <c r="H58" s="163" t="s">
        <v>57</v>
      </c>
      <c r="I58" s="163"/>
      <c r="J58" s="163"/>
      <c r="K58" s="163"/>
      <c r="L58" s="63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64" t="s">
        <v>35</v>
      </c>
      <c r="G60" s="164"/>
      <c r="H60" s="164"/>
      <c r="I60" s="165">
        <f>IF(L58=Constante!E23,U33,W50)</f>
        <v>-6.43175462962963</v>
      </c>
      <c r="J60" s="165"/>
      <c r="K60" s="165"/>
      <c r="L60" s="165"/>
    </row>
    <row r="61" spans="3:31" x14ac:dyDescent="0.25">
      <c r="F61" s="164"/>
      <c r="G61" s="164"/>
      <c r="H61" s="164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.75" thickBot="1" x14ac:dyDescent="0.3">
      <c r="F62" s="164"/>
      <c r="G62" s="164"/>
      <c r="H62" s="164"/>
      <c r="I62" s="20">
        <f>INT(ABS(I60))</f>
        <v>6</v>
      </c>
      <c r="J62" s="20">
        <f>INT(60*(ABS(I60)-I62))</f>
        <v>25</v>
      </c>
      <c r="K62" s="20">
        <f>INT(3600*(ABS(I60)-I62-J62/60))</f>
        <v>54</v>
      </c>
      <c r="L62" s="19" t="str">
        <f>VLOOKUP(IF(I60&lt;0,-1,1),Constante!$F$15:$G$17,2)</f>
        <v>S</v>
      </c>
    </row>
    <row r="63" spans="3:31" ht="15.75" thickBot="1" x14ac:dyDescent="0.3">
      <c r="I63" s="166"/>
      <c r="J63" s="167"/>
      <c r="K63" s="167"/>
      <c r="L63" s="168"/>
    </row>
    <row r="64" spans="3:31" x14ac:dyDescent="0.25">
      <c r="F64" s="164" t="s">
        <v>42</v>
      </c>
      <c r="G64" s="111"/>
      <c r="H64" s="111"/>
      <c r="I64" s="169">
        <f>IF(L58=Constante!E23,U37,U54)+H12</f>
        <v>329.06729244444443</v>
      </c>
      <c r="J64" s="165"/>
      <c r="K64" s="165"/>
      <c r="L64" s="165"/>
    </row>
    <row r="65" spans="2:31" x14ac:dyDescent="0.25">
      <c r="F65" s="111"/>
      <c r="G65" s="111"/>
      <c r="H65" s="111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x14ac:dyDescent="0.25">
      <c r="F66" s="111"/>
      <c r="G66" s="111"/>
      <c r="H66" s="111"/>
      <c r="I66" s="20">
        <f>INT(ABS(I64))</f>
        <v>329</v>
      </c>
      <c r="J66" s="20">
        <f>INT(60*(ABS(I64)-I66))</f>
        <v>4</v>
      </c>
      <c r="K66" s="20">
        <f>INT(3600*(ABS(I64)-I66-J66/60))</f>
        <v>2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-6.43175462962963</v>
      </c>
      <c r="W70" s="19"/>
      <c r="X70" s="68">
        <f>D12</f>
        <v>48.875556000000003</v>
      </c>
      <c r="Y70" s="19"/>
      <c r="Z70" s="68">
        <f>I64</f>
        <v>329.06729244444443</v>
      </c>
      <c r="AA70" s="19"/>
    </row>
    <row r="71" spans="2:31" x14ac:dyDescent="0.25">
      <c r="F71" s="100" t="s">
        <v>44</v>
      </c>
      <c r="G71" s="100"/>
      <c r="H71" s="100"/>
      <c r="S71" s="19"/>
      <c r="T71" s="160" t="s">
        <v>103</v>
      </c>
      <c r="U71" s="161"/>
      <c r="V71" s="69">
        <f>V70*Constante!$D$19</f>
        <v>-0.11225529496742548</v>
      </c>
      <c r="W71" s="69"/>
      <c r="X71" s="69">
        <f>X70*Constante!$D$19</f>
        <v>0.85303937594286972</v>
      </c>
      <c r="Y71" s="69"/>
      <c r="Z71" s="69">
        <f>Z70*Constante!$D$19</f>
        <v>5.7433077137786146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-8.4382508884657453E-2</v>
      </c>
      <c r="W72" s="19"/>
      <c r="X72" s="19"/>
      <c r="Y72" s="19"/>
      <c r="Z72" s="19"/>
      <c r="AA72" s="19"/>
      <c r="AC72" s="1">
        <f>SIN(Constante!D19*'Droite hauteur Soleil'!I60)</f>
        <v>-0.11201968393681436</v>
      </c>
      <c r="AD72" s="1">
        <f>SIN(Constante!$D$19*'Droite hauteur Soleil'!D12)*SIN(Constante!$D$19*'Droite hauteur Soleil'!F74)</f>
        <v>0.35872854774904372</v>
      </c>
      <c r="AE72" s="1">
        <f>COS(Constante!$D$19*'Droite hauteur Soleil'!D12)*COS(Constante!$D$19*'Droite hauteur Soleil'!F74)</f>
        <v>0.57832981467184241</v>
      </c>
    </row>
    <row r="73" spans="2:31" x14ac:dyDescent="0.25">
      <c r="F73" s="20">
        <f>INT(ABS(F74))</f>
        <v>28</v>
      </c>
      <c r="G73" s="20">
        <f>INT(60*(ABS(F74)-F73))</f>
        <v>26</v>
      </c>
      <c r="H73" s="66">
        <f>ABS(F74)-F73-G73/60</f>
        <v>5.496096891406177E-3</v>
      </c>
      <c r="S73" s="19" t="s">
        <v>104</v>
      </c>
      <c r="T73" s="19" t="s">
        <v>43</v>
      </c>
      <c r="U73" s="19"/>
      <c r="V73" s="19">
        <f>COS(V71)*COS(Z71)*COS(X71)</f>
        <v>0.560602747760095</v>
      </c>
      <c r="W73" s="19"/>
      <c r="X73" s="19"/>
      <c r="Y73" s="19"/>
      <c r="Z73" s="19"/>
      <c r="AA73" s="19"/>
    </row>
    <row r="74" spans="2:31" x14ac:dyDescent="0.25">
      <c r="F74" s="170">
        <f>V74/Constante!$D$19</f>
        <v>28.43882943022474</v>
      </c>
      <c r="G74" s="170"/>
      <c r="H74" s="170"/>
      <c r="S74" s="19" t="s">
        <v>44</v>
      </c>
      <c r="T74" s="171" t="s">
        <v>103</v>
      </c>
      <c r="U74" s="171"/>
      <c r="V74" s="69">
        <f>ASIN(V72+V73)</f>
        <v>0.49635120897048468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100" t="s">
        <v>46</v>
      </c>
      <c r="G83" s="100"/>
      <c r="H83" s="100"/>
      <c r="S83" s="19"/>
      <c r="T83" s="19"/>
      <c r="U83" s="19"/>
      <c r="V83" s="19">
        <f>I60</f>
        <v>-6.43175462962963</v>
      </c>
      <c r="W83" s="19"/>
      <c r="X83" s="68">
        <f>D12</f>
        <v>48.875556000000003</v>
      </c>
      <c r="Y83" s="19"/>
      <c r="Z83" s="68">
        <f>I64</f>
        <v>329.06729244444443</v>
      </c>
      <c r="AA83" s="19"/>
      <c r="AB83" s="68">
        <f>F74</f>
        <v>28.43882943022474</v>
      </c>
      <c r="AC83" s="19"/>
    </row>
    <row r="84" spans="2:29" x14ac:dyDescent="0.25">
      <c r="F84" s="67" t="s">
        <v>13</v>
      </c>
      <c r="G84" s="67" t="s">
        <v>4</v>
      </c>
      <c r="H84" s="67" t="s">
        <v>5</v>
      </c>
      <c r="S84" s="19"/>
      <c r="T84" s="160" t="s">
        <v>103</v>
      </c>
      <c r="U84" s="161"/>
      <c r="V84" s="69">
        <f>V83*Constante!$D$19</f>
        <v>-0.11225529496742548</v>
      </c>
      <c r="W84" s="69"/>
      <c r="X84" s="69">
        <f>X83*Constante!$D$19</f>
        <v>0.85303937594286972</v>
      </c>
      <c r="Y84" s="69"/>
      <c r="Z84" s="69">
        <f>Z83*Constante!$D$19</f>
        <v>5.7433077137786146</v>
      </c>
      <c r="AA84" s="69"/>
      <c r="AB84" s="69">
        <f>AB83*Constante!$D$19</f>
        <v>0.49635120897048468</v>
      </c>
      <c r="AC84" s="69"/>
    </row>
    <row r="85" spans="2:29" x14ac:dyDescent="0.25">
      <c r="F85" s="20">
        <f>INT(ABS(F86))</f>
        <v>144</v>
      </c>
      <c r="G85" s="20">
        <f>INT(60*(ABS(F86)-F85))</f>
        <v>29</v>
      </c>
      <c r="H85" s="66">
        <f>ABS(F86)-F85-G85/60</f>
        <v>3.1833510009998123E-3</v>
      </c>
      <c r="J85" s="22" t="s">
        <v>70</v>
      </c>
      <c r="K85" s="22"/>
      <c r="S85" s="19" t="s">
        <v>102</v>
      </c>
      <c r="T85" s="172" t="s">
        <v>105</v>
      </c>
      <c r="U85" s="173"/>
      <c r="V85" s="19">
        <f>SIN(V84)</f>
        <v>-0.11201968393681436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174">
        <f>V88/Constante!$D$19</f>
        <v>144.48651668433433</v>
      </c>
      <c r="G86" s="174"/>
      <c r="H86" s="174"/>
      <c r="J86" s="53"/>
      <c r="K86" s="54">
        <f>IF(I64&lt;180,ABS(F86-360),F86)</f>
        <v>144.48651668433433</v>
      </c>
      <c r="L86" s="55" t="s">
        <v>13</v>
      </c>
      <c r="S86" s="19" t="s">
        <v>104</v>
      </c>
      <c r="T86" s="172" t="s">
        <v>106</v>
      </c>
      <c r="U86" s="173"/>
      <c r="V86" s="19">
        <f>SIN(X84)*SIN(AB84)</f>
        <v>0.35872854774904372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172" t="s">
        <v>108</v>
      </c>
      <c r="U87" s="173"/>
      <c r="V87" s="19">
        <f>COS(X84)*COS(AB84)</f>
        <v>0.57832981467184241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160" t="s">
        <v>103</v>
      </c>
      <c r="U88" s="161"/>
      <c r="V88" s="69">
        <f>ACOS(((V85-V86)/V87))</f>
        <v>2.5217654408793546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100" t="s">
        <v>62</v>
      </c>
      <c r="P92" s="100"/>
      <c r="Q92" s="100"/>
      <c r="S92" s="63" t="s">
        <v>23</v>
      </c>
      <c r="T92" s="63" t="s">
        <v>15</v>
      </c>
      <c r="U92" s="63" t="s">
        <v>81</v>
      </c>
      <c r="V92" s="63" t="s">
        <v>110</v>
      </c>
      <c r="W92" s="181" t="s">
        <v>121</v>
      </c>
      <c r="X92" s="111" t="s">
        <v>120</v>
      </c>
      <c r="Y92" s="111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111"/>
      <c r="X93" s="111"/>
      <c r="Y93" s="111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111"/>
      <c r="X94" s="111"/>
      <c r="Y94" s="111"/>
    </row>
    <row r="95" spans="2:29" x14ac:dyDescent="0.25">
      <c r="F95"/>
      <c r="G95"/>
      <c r="I95" s="1" t="s">
        <v>63</v>
      </c>
      <c r="O95" s="170">
        <f>D93-F93+I93+I94</f>
        <v>30.82585555555556</v>
      </c>
      <c r="P95" s="170"/>
      <c r="Q95" s="170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100" t="s">
        <v>69</v>
      </c>
      <c r="G106" s="100"/>
      <c r="H106" s="100"/>
    </row>
    <row r="107" spans="4:27" x14ac:dyDescent="0.25">
      <c r="F107" s="67" t="s">
        <v>13</v>
      </c>
      <c r="G107" s="67" t="s">
        <v>4</v>
      </c>
      <c r="H107" s="67" t="s">
        <v>5</v>
      </c>
    </row>
    <row r="108" spans="4:27" x14ac:dyDescent="0.25">
      <c r="F108" s="32">
        <f>INT(ABS(F109))</f>
        <v>2</v>
      </c>
      <c r="G108" s="32">
        <f>INT(60*(ABS(F109)-F108))</f>
        <v>23</v>
      </c>
      <c r="H108" s="33">
        <f>ABS(F109)-F108-G108/60</f>
        <v>3.6927919974866774E-3</v>
      </c>
    </row>
    <row r="109" spans="4:27" x14ac:dyDescent="0.25">
      <c r="F109" s="175">
        <f>O95-F74</f>
        <v>2.38702612533082</v>
      </c>
      <c r="G109" s="176"/>
      <c r="H109" s="177"/>
      <c r="J109" s="109">
        <f>F109*60</f>
        <v>143.2215675198492</v>
      </c>
      <c r="K109" s="109"/>
      <c r="L109" s="109" t="s">
        <v>125</v>
      </c>
      <c r="M109" s="109"/>
    </row>
    <row r="112" spans="4:27" x14ac:dyDescent="0.25">
      <c r="G112" s="178" t="s">
        <v>122</v>
      </c>
      <c r="H112" s="178"/>
      <c r="I112" s="178"/>
      <c r="J112" s="83" t="s">
        <v>17</v>
      </c>
      <c r="K112" s="83">
        <f>ABS(I60)</f>
        <v>6.43175462962963</v>
      </c>
      <c r="L112" s="83" t="str">
        <f>L62</f>
        <v>S</v>
      </c>
      <c r="M112" s="179" t="s">
        <v>123</v>
      </c>
      <c r="N112" s="180"/>
      <c r="O112" s="178" t="s">
        <v>124</v>
      </c>
      <c r="P112" s="178"/>
      <c r="Q112" s="178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178"/>
      <c r="H113" s="178"/>
      <c r="I113" s="178"/>
      <c r="J113" s="83" t="s">
        <v>16</v>
      </c>
      <c r="K113" s="83">
        <f>ABS(I64)</f>
        <v>329.06729244444443</v>
      </c>
      <c r="L113" s="83" t="str">
        <f>L66</f>
        <v>E</v>
      </c>
      <c r="M113" s="179"/>
      <c r="N113" s="180"/>
      <c r="O113" s="178"/>
      <c r="P113" s="178"/>
      <c r="Q113" s="178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102">
    <mergeCell ref="G112:I113"/>
    <mergeCell ref="M112:N113"/>
    <mergeCell ref="O112:Q113"/>
    <mergeCell ref="W92:W94"/>
    <mergeCell ref="X92:X94"/>
    <mergeCell ref="T85:U85"/>
    <mergeCell ref="F86:H86"/>
    <mergeCell ref="T86:U86"/>
    <mergeCell ref="T87:U87"/>
    <mergeCell ref="T88:U88"/>
    <mergeCell ref="Y92:Y94"/>
    <mergeCell ref="O95:Q95"/>
    <mergeCell ref="F106:H106"/>
    <mergeCell ref="F109:H109"/>
    <mergeCell ref="J109:K109"/>
    <mergeCell ref="L109:M109"/>
    <mergeCell ref="O92:Q92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G46:I46"/>
    <mergeCell ref="D48:F50"/>
    <mergeCell ref="L48:N50"/>
    <mergeCell ref="J49:J50"/>
    <mergeCell ref="R49:R50"/>
    <mergeCell ref="G50:I50"/>
    <mergeCell ref="O50:Q50"/>
    <mergeCell ref="G51:J51"/>
    <mergeCell ref="D52:F54"/>
    <mergeCell ref="L52:N54"/>
    <mergeCell ref="J53:J54"/>
    <mergeCell ref="R53:R54"/>
    <mergeCell ref="G54:I54"/>
    <mergeCell ref="O54:Q54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S8:X8"/>
    <mergeCell ref="B9:C12"/>
    <mergeCell ref="D9:G9"/>
    <mergeCell ref="H9:K9"/>
    <mergeCell ref="G11:G12"/>
    <mergeCell ref="K11:K12"/>
    <mergeCell ref="D12:F12"/>
    <mergeCell ref="H12:J12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Q33:T33"/>
    <mergeCell ref="Q37:T37"/>
    <mergeCell ref="T50:V50"/>
    <mergeCell ref="B2:P2"/>
    <mergeCell ref="S3:X3"/>
    <mergeCell ref="K4:M4"/>
    <mergeCell ref="S4:X4"/>
    <mergeCell ref="B5:D5"/>
    <mergeCell ref="E5:G5"/>
    <mergeCell ref="H5:J5"/>
    <mergeCell ref="K5:M5"/>
    <mergeCell ref="S5:X5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Constante!$J$12:$J$13</xm:f>
          </x14:formula1>
          <xm:sqref>D14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21"/>
  <sheetViews>
    <sheetView tabSelected="1" topLeftCell="A49" zoomScaleNormal="100" workbookViewId="0">
      <selection activeCell="P63" sqref="P63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3.28515625" style="1" customWidth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26" ht="15.75" thickBot="1" x14ac:dyDescent="0.3"/>
    <row r="2" spans="2:26" ht="63" customHeight="1" thickBot="1" x14ac:dyDescent="0.3">
      <c r="B2" s="94" t="s">
        <v>131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56"/>
      <c r="R2" s="16" t="s">
        <v>71</v>
      </c>
      <c r="S2" s="16"/>
      <c r="Y2" s="56"/>
      <c r="Z2" s="57"/>
    </row>
    <row r="3" spans="2:26" ht="15.75" thickBot="1" x14ac:dyDescent="0.3"/>
    <row r="4" spans="2:2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97" t="s">
        <v>82</v>
      </c>
      <c r="L4" s="97"/>
      <c r="M4" s="97"/>
    </row>
    <row r="5" spans="2:26" ht="15" customHeight="1" x14ac:dyDescent="0.25">
      <c r="B5" s="113" t="s">
        <v>18</v>
      </c>
      <c r="C5" s="114"/>
      <c r="D5" s="119" t="s">
        <v>17</v>
      </c>
      <c r="E5" s="119"/>
      <c r="F5" s="119"/>
      <c r="G5" s="119"/>
      <c r="H5" s="119" t="s">
        <v>16</v>
      </c>
      <c r="I5" s="119"/>
      <c r="J5" s="119"/>
      <c r="K5" s="120"/>
    </row>
    <row r="6" spans="2:26" x14ac:dyDescent="0.25">
      <c r="B6" s="115"/>
      <c r="C6" s="116"/>
      <c r="D6" s="45" t="s">
        <v>13</v>
      </c>
      <c r="E6" s="45" t="s">
        <v>4</v>
      </c>
      <c r="F6" s="45" t="s">
        <v>5</v>
      </c>
      <c r="G6" s="46" t="s">
        <v>22</v>
      </c>
      <c r="H6" s="45" t="s">
        <v>13</v>
      </c>
      <c r="I6" s="45" t="s">
        <v>4</v>
      </c>
      <c r="J6" s="45" t="s">
        <v>5</v>
      </c>
      <c r="K6" s="47" t="s">
        <v>22</v>
      </c>
    </row>
    <row r="7" spans="2:26" x14ac:dyDescent="0.25">
      <c r="B7" s="115"/>
      <c r="C7" s="116"/>
      <c r="D7" s="41">
        <v>48.875556000000003</v>
      </c>
      <c r="E7" s="41">
        <v>0</v>
      </c>
      <c r="F7" s="41">
        <v>0</v>
      </c>
      <c r="G7" s="121" t="s">
        <v>28</v>
      </c>
      <c r="H7" s="41">
        <v>2.0948030000000002</v>
      </c>
      <c r="I7" s="41">
        <v>0</v>
      </c>
      <c r="J7" s="41">
        <v>0</v>
      </c>
      <c r="K7" s="123" t="s">
        <v>32</v>
      </c>
    </row>
    <row r="8" spans="2:26" ht="15.75" thickBot="1" x14ac:dyDescent="0.3">
      <c r="B8" s="117"/>
      <c r="C8" s="118"/>
      <c r="D8" s="125">
        <f>(D7+E7/60+F7/3600) * VLOOKUP(G7,Constante!$D$15:$E$16,2)</f>
        <v>48.875556000000003</v>
      </c>
      <c r="E8" s="125"/>
      <c r="F8" s="125"/>
      <c r="G8" s="122"/>
      <c r="H8" s="125">
        <f>(H7+I7/60+J7/3600) * VLOOKUP(K7,Constante!$D$12:$E$13,2)</f>
        <v>2.0948030000000002</v>
      </c>
      <c r="I8" s="125"/>
      <c r="J8" s="125"/>
      <c r="K8" s="124"/>
    </row>
    <row r="9" spans="2:26" ht="15" customHeight="1" x14ac:dyDescent="0.25">
      <c r="B9" s="126" t="s">
        <v>21</v>
      </c>
      <c r="C9" s="127"/>
      <c r="D9" s="43" t="s">
        <v>90</v>
      </c>
      <c r="E9" s="43" t="s">
        <v>13</v>
      </c>
      <c r="F9" s="43" t="s">
        <v>4</v>
      </c>
      <c r="G9" s="44" t="s">
        <v>5</v>
      </c>
    </row>
    <row r="10" spans="2:26" ht="13.5" customHeight="1" x14ac:dyDescent="0.25">
      <c r="B10" s="115"/>
      <c r="C10" s="116"/>
      <c r="D10" s="41" t="s">
        <v>60</v>
      </c>
      <c r="E10" s="41">
        <v>0</v>
      </c>
      <c r="F10" s="41">
        <v>42</v>
      </c>
      <c r="G10" s="42">
        <v>0</v>
      </c>
    </row>
    <row r="11" spans="2:26" ht="15.75" thickBot="1" x14ac:dyDescent="0.3">
      <c r="B11" s="128"/>
      <c r="C11" s="129"/>
      <c r="D11" s="130">
        <f>(E10+F10/60+G10/3600) * VLOOKUP(D10,Constante!J12:K13,2)</f>
        <v>0.7</v>
      </c>
      <c r="E11" s="131"/>
      <c r="F11" s="131"/>
      <c r="G11" s="132"/>
    </row>
    <row r="12" spans="2:26" ht="19.5" customHeight="1" thickBot="1" x14ac:dyDescent="0.3">
      <c r="B12" s="133" t="s">
        <v>11</v>
      </c>
      <c r="C12" s="134"/>
      <c r="D12" s="134"/>
      <c r="E12" s="139" t="s">
        <v>15</v>
      </c>
      <c r="F12" s="140"/>
      <c r="G12" s="119" t="s">
        <v>12</v>
      </c>
      <c r="H12" s="119"/>
      <c r="I12" s="120"/>
      <c r="J12" s="145" t="s">
        <v>78</v>
      </c>
      <c r="K12" s="146"/>
      <c r="L12" s="147" t="s">
        <v>79</v>
      </c>
      <c r="M12" s="148"/>
    </row>
    <row r="13" spans="2:26" x14ac:dyDescent="0.25">
      <c r="B13" s="135"/>
      <c r="C13" s="136"/>
      <c r="D13" s="136"/>
      <c r="E13" s="141"/>
      <c r="F13" s="142"/>
      <c r="G13" s="45" t="s">
        <v>13</v>
      </c>
      <c r="H13" s="45" t="s">
        <v>4</v>
      </c>
      <c r="I13" s="48" t="s">
        <v>5</v>
      </c>
      <c r="J13" s="52"/>
    </row>
    <row r="14" spans="2:26" ht="15.75" thickBot="1" x14ac:dyDescent="0.3">
      <c r="B14" s="135"/>
      <c r="C14" s="136"/>
      <c r="D14" s="136"/>
      <c r="E14" s="141"/>
      <c r="F14" s="142"/>
      <c r="G14" s="41">
        <v>31</v>
      </c>
      <c r="H14" s="41">
        <v>17</v>
      </c>
      <c r="I14" s="42">
        <v>0</v>
      </c>
      <c r="J14" s="51"/>
    </row>
    <row r="15" spans="2:26" ht="15.75" thickBot="1" x14ac:dyDescent="0.3">
      <c r="B15" s="137"/>
      <c r="C15" s="138"/>
      <c r="D15" s="138"/>
      <c r="E15" s="143"/>
      <c r="F15" s="144"/>
      <c r="G15" s="149">
        <f>G14+H14/60+I14/3600</f>
        <v>31.283333333333335</v>
      </c>
      <c r="H15" s="149"/>
      <c r="I15" s="150"/>
      <c r="J15" s="151" t="s">
        <v>20</v>
      </c>
      <c r="K15" s="152"/>
      <c r="L15" s="49">
        <v>0</v>
      </c>
      <c r="M15" s="50" t="s">
        <v>4</v>
      </c>
    </row>
    <row r="19" spans="2:25" ht="15.75" thickBot="1" x14ac:dyDescent="0.3"/>
    <row r="20" spans="2:25" ht="15.75" thickBot="1" x14ac:dyDescent="0.3">
      <c r="B20" s="28" t="s">
        <v>126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</row>
    <row r="21" spans="2:25" x14ac:dyDescent="0.25">
      <c r="C21" s="31" t="s">
        <v>0</v>
      </c>
      <c r="D21" s="31"/>
      <c r="E21" s="31"/>
      <c r="F21" s="31"/>
      <c r="G21" s="31"/>
      <c r="H21" s="31"/>
      <c r="I21" s="31"/>
      <c r="J21" s="31"/>
    </row>
    <row r="22" spans="2:25" x14ac:dyDescent="0.25">
      <c r="D22" s="39" t="s">
        <v>1</v>
      </c>
      <c r="E22" s="39"/>
      <c r="G22" s="99" t="s">
        <v>33</v>
      </c>
      <c r="H22" s="99"/>
      <c r="I22" s="99"/>
      <c r="M22" s="99" t="s">
        <v>34</v>
      </c>
      <c r="N22" s="99"/>
      <c r="O22" s="99"/>
    </row>
    <row r="23" spans="2:25" x14ac:dyDescent="0.25">
      <c r="G23" s="26" t="s">
        <v>3</v>
      </c>
      <c r="H23" s="26" t="s">
        <v>4</v>
      </c>
      <c r="I23" s="26" t="s">
        <v>5</v>
      </c>
      <c r="M23" s="26" t="s">
        <v>3</v>
      </c>
      <c r="N23" s="26" t="s">
        <v>4</v>
      </c>
      <c r="O23" s="26" t="s">
        <v>5</v>
      </c>
    </row>
    <row r="24" spans="2:25" x14ac:dyDescent="0.25">
      <c r="G24" s="86">
        <v>9</v>
      </c>
      <c r="H24" s="86">
        <v>0</v>
      </c>
      <c r="I24" s="86">
        <v>0</v>
      </c>
      <c r="M24" s="86">
        <v>10</v>
      </c>
      <c r="N24" s="86">
        <v>0</v>
      </c>
      <c r="O24" s="86">
        <v>0</v>
      </c>
    </row>
    <row r="25" spans="2:25" x14ac:dyDescent="0.25">
      <c r="G25" s="111">
        <f>G24+H24/60+I24/3600</f>
        <v>9</v>
      </c>
      <c r="H25" s="111"/>
      <c r="I25" s="111"/>
      <c r="M25" s="111">
        <f>M24+N24/60+O24/3600</f>
        <v>10</v>
      </c>
      <c r="N25" s="111"/>
      <c r="O25" s="111"/>
      <c r="Q25" s="19" t="s">
        <v>93</v>
      </c>
      <c r="R25" s="187">
        <f>(G33-360)/(G33-X33)</f>
        <v>4.6028093008490131E-2</v>
      </c>
      <c r="S25" s="188"/>
    </row>
    <row r="26" spans="2:25" x14ac:dyDescent="0.25">
      <c r="Q26" s="19" t="s">
        <v>127</v>
      </c>
      <c r="R26" s="187">
        <f>R25*(M25-G25)+G25</f>
        <v>9.0460280930084895</v>
      </c>
      <c r="S26" s="188"/>
    </row>
    <row r="27" spans="2:25" x14ac:dyDescent="0.25">
      <c r="D27" s="153" t="s">
        <v>35</v>
      </c>
      <c r="E27" s="154"/>
      <c r="F27" s="154"/>
      <c r="G27" s="26" t="s">
        <v>13</v>
      </c>
      <c r="H27" s="26" t="s">
        <v>4</v>
      </c>
      <c r="I27" s="26" t="s">
        <v>5</v>
      </c>
      <c r="J27" s="27" t="s">
        <v>22</v>
      </c>
      <c r="L27" s="26" t="s">
        <v>13</v>
      </c>
      <c r="M27" s="26" t="s">
        <v>4</v>
      </c>
      <c r="N27" s="26" t="s">
        <v>5</v>
      </c>
      <c r="O27" s="27" t="s">
        <v>22</v>
      </c>
    </row>
    <row r="28" spans="2:25" ht="15.75" thickBot="1" x14ac:dyDescent="0.3">
      <c r="D28" s="154"/>
      <c r="E28" s="154"/>
      <c r="F28" s="154"/>
      <c r="G28" s="34">
        <v>5</v>
      </c>
      <c r="H28" s="34">
        <v>33.200000000000003</v>
      </c>
      <c r="I28" s="34">
        <v>0</v>
      </c>
      <c r="J28" s="155" t="s">
        <v>29</v>
      </c>
      <c r="L28" s="34">
        <v>5</v>
      </c>
      <c r="M28" s="34">
        <v>34.200000000000003</v>
      </c>
      <c r="N28" s="34">
        <v>0</v>
      </c>
      <c r="O28" s="155" t="s">
        <v>28</v>
      </c>
    </row>
    <row r="29" spans="2:25" ht="15.75" thickBot="1" x14ac:dyDescent="0.3">
      <c r="D29" s="154"/>
      <c r="E29" s="154"/>
      <c r="F29" s="154"/>
      <c r="G29" s="156">
        <f>(G28+H28/60+I28/3600) * VLOOKUP(J28,Constante!$D$15:$E$16,2)</f>
        <v>-5.5533333333333337</v>
      </c>
      <c r="H29" s="156"/>
      <c r="I29" s="156"/>
      <c r="J29" s="155"/>
      <c r="L29" s="156">
        <f>(L28+M28/60+N28/3600) * VLOOKUP(O28,Constante!$D$15:$E$16,2)</f>
        <v>5.57</v>
      </c>
      <c r="M29" s="156"/>
      <c r="N29" s="156"/>
      <c r="O29" s="155"/>
      <c r="Q29" s="91" t="s">
        <v>132</v>
      </c>
      <c r="R29" s="92"/>
      <c r="S29" s="92"/>
      <c r="T29" s="93"/>
      <c r="U29" s="87">
        <f>(1-R25)*G29+R25*L29</f>
        <v>-5.0413475121022282</v>
      </c>
    </row>
    <row r="30" spans="2:25" x14ac:dyDescent="0.25">
      <c r="G30" s="157"/>
      <c r="H30" s="158"/>
      <c r="I30" s="158"/>
      <c r="J30" s="159"/>
      <c r="L30" s="157"/>
      <c r="M30" s="158"/>
      <c r="N30" s="158"/>
      <c r="O30" s="159"/>
    </row>
    <row r="31" spans="2:25" x14ac:dyDescent="0.25">
      <c r="D31" s="153" t="s">
        <v>36</v>
      </c>
      <c r="E31" s="154"/>
      <c r="F31" s="15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25" ht="15.75" thickBot="1" x14ac:dyDescent="0.3">
      <c r="D32" s="154"/>
      <c r="E32" s="154"/>
      <c r="F32" s="154"/>
      <c r="G32" s="34">
        <v>359</v>
      </c>
      <c r="H32" s="34">
        <v>2</v>
      </c>
      <c r="I32" s="34">
        <v>0</v>
      </c>
      <c r="J32" s="155" t="s">
        <v>32</v>
      </c>
      <c r="L32" s="34">
        <v>20</v>
      </c>
      <c r="M32" s="34">
        <v>2.1</v>
      </c>
      <c r="N32" s="34">
        <v>0</v>
      </c>
      <c r="O32" s="155" t="s">
        <v>32</v>
      </c>
      <c r="Q32"/>
      <c r="R32"/>
      <c r="S32"/>
      <c r="T32" s="89"/>
      <c r="U32" s="89" t="s">
        <v>95</v>
      </c>
      <c r="V32" s="19" t="s">
        <v>92</v>
      </c>
      <c r="W32" s="19"/>
      <c r="X32" s="19" t="s">
        <v>96</v>
      </c>
      <c r="Y32" s="19"/>
    </row>
    <row r="33" spans="3:31" ht="15.75" thickBot="1" x14ac:dyDescent="0.3">
      <c r="D33" s="154"/>
      <c r="E33" s="154"/>
      <c r="F33" s="154"/>
      <c r="G33" s="156">
        <f>(G32+H32/60+I32/3600) * VLOOKUP(J32,Constante!$D$12:$E$13,2)</f>
        <v>359.03333333333336</v>
      </c>
      <c r="H33" s="156"/>
      <c r="I33" s="156"/>
      <c r="J33" s="155"/>
      <c r="L33" s="156">
        <f>(L32+M32/60+N32/3600) * VLOOKUP(O32,Constante!$D$12:$E$13,2)</f>
        <v>20.035</v>
      </c>
      <c r="M33" s="156"/>
      <c r="N33" s="156"/>
      <c r="O33" s="155"/>
      <c r="Q33" s="91" t="s">
        <v>133</v>
      </c>
      <c r="R33" s="92"/>
      <c r="S33" s="92"/>
      <c r="T33" s="93"/>
      <c r="U33" s="191">
        <f>IF(V33&gt;=360,V33-360,IF(V33&lt;0,V33+360,V33))</f>
        <v>0</v>
      </c>
      <c r="V33" s="88">
        <f>(1-R25)*G33+R25*X33</f>
        <v>360</v>
      </c>
      <c r="W33" s="19"/>
      <c r="X33" s="19">
        <f>IF(L33&lt;G33,L33+360,L33)</f>
        <v>380.03500000000003</v>
      </c>
      <c r="Y33" s="19"/>
    </row>
    <row r="34" spans="3:31" customFormat="1" x14ac:dyDescent="0.25">
      <c r="T34" s="190" t="s">
        <v>135</v>
      </c>
      <c r="U34" s="190"/>
      <c r="V34" s="190"/>
    </row>
    <row r="35" spans="3:31" customFormat="1" x14ac:dyDescent="0.25"/>
    <row r="36" spans="3:31" x14ac:dyDescent="0.25">
      <c r="Z36"/>
      <c r="AA36"/>
      <c r="AB36"/>
      <c r="AC36"/>
      <c r="AD36"/>
      <c r="AE36"/>
    </row>
    <row r="37" spans="3:31" x14ac:dyDescent="0.25">
      <c r="Z37"/>
      <c r="AA37"/>
      <c r="AB37"/>
      <c r="AC37"/>
      <c r="AD37"/>
      <c r="AE37"/>
    </row>
    <row r="38" spans="3:31" x14ac:dyDescent="0.25">
      <c r="C38" s="31" t="s">
        <v>50</v>
      </c>
      <c r="D38" s="31"/>
      <c r="E38" s="31"/>
      <c r="F38" s="31"/>
      <c r="G38" s="31"/>
      <c r="H38" s="31"/>
      <c r="I38" s="31"/>
      <c r="J38" s="31"/>
      <c r="L38"/>
      <c r="M38"/>
      <c r="N38"/>
      <c r="O38"/>
      <c r="Z38"/>
      <c r="AA38"/>
      <c r="AB38"/>
      <c r="AC38"/>
      <c r="AD38"/>
      <c r="AE38"/>
    </row>
    <row r="39" spans="3:31" x14ac:dyDescent="0.25">
      <c r="D39" s="39" t="s">
        <v>1</v>
      </c>
      <c r="E39" s="39"/>
      <c r="G39" s="99" t="s">
        <v>51</v>
      </c>
      <c r="H39" s="99"/>
      <c r="I39" s="99"/>
      <c r="L39"/>
      <c r="M39"/>
      <c r="N39"/>
      <c r="O39"/>
      <c r="Z39"/>
      <c r="AA39"/>
      <c r="AB39"/>
      <c r="AC39"/>
      <c r="AD39"/>
      <c r="AE39"/>
    </row>
    <row r="40" spans="3:31" x14ac:dyDescent="0.25">
      <c r="G40" s="26" t="s">
        <v>3</v>
      </c>
      <c r="H40" s="26" t="s">
        <v>4</v>
      </c>
      <c r="I40" s="26" t="s">
        <v>5</v>
      </c>
      <c r="L40"/>
      <c r="M40"/>
      <c r="N40"/>
      <c r="O40"/>
      <c r="Z40"/>
      <c r="AA40"/>
      <c r="AB40"/>
      <c r="AC40"/>
      <c r="AD40"/>
      <c r="AE40"/>
    </row>
    <row r="41" spans="3:31" x14ac:dyDescent="0.25">
      <c r="G41" s="72">
        <v>0</v>
      </c>
      <c r="H41" s="72">
        <v>0</v>
      </c>
      <c r="I41" s="72">
        <v>0</v>
      </c>
      <c r="L41"/>
      <c r="M41"/>
      <c r="N41"/>
      <c r="O41"/>
      <c r="Z41"/>
      <c r="AA41"/>
      <c r="AB41"/>
      <c r="AC41"/>
      <c r="AD41"/>
      <c r="AE41"/>
    </row>
    <row r="42" spans="3:31" x14ac:dyDescent="0.25">
      <c r="G42" s="111">
        <f>G41+H41/60+I41/3600</f>
        <v>0</v>
      </c>
      <c r="H42" s="111"/>
      <c r="I42" s="111"/>
      <c r="L42"/>
      <c r="M42"/>
      <c r="N42"/>
      <c r="O42"/>
      <c r="U42"/>
      <c r="V42"/>
      <c r="Z42"/>
      <c r="AA42"/>
      <c r="AB42"/>
      <c r="AC42"/>
      <c r="AD42"/>
      <c r="AE42"/>
    </row>
    <row r="43" spans="3:31" x14ac:dyDescent="0.25">
      <c r="K43"/>
      <c r="L43"/>
      <c r="M43"/>
      <c r="N43"/>
      <c r="O43"/>
      <c r="P43"/>
      <c r="Z43"/>
      <c r="AA43"/>
      <c r="AB43"/>
      <c r="AC43"/>
      <c r="AD43"/>
      <c r="AE43"/>
    </row>
    <row r="44" spans="3:31" x14ac:dyDescent="0.25">
      <c r="D44" s="153" t="s">
        <v>35</v>
      </c>
      <c r="E44" s="154"/>
      <c r="F44" s="154"/>
      <c r="G44" s="26" t="s">
        <v>13</v>
      </c>
      <c r="H44" s="26" t="s">
        <v>4</v>
      </c>
      <c r="I44" s="26" t="s">
        <v>5</v>
      </c>
      <c r="J44" s="27" t="s">
        <v>22</v>
      </c>
      <c r="K44"/>
      <c r="L44" s="153" t="s">
        <v>52</v>
      </c>
      <c r="M44" s="154"/>
      <c r="N44" s="154"/>
      <c r="O44" s="26" t="s">
        <v>13</v>
      </c>
      <c r="P44" s="26" t="s">
        <v>4</v>
      </c>
      <c r="Q44" s="26" t="s">
        <v>5</v>
      </c>
      <c r="R44" s="27" t="s">
        <v>22</v>
      </c>
      <c r="AA44"/>
      <c r="AB44"/>
      <c r="AC44"/>
      <c r="AD44"/>
      <c r="AE44"/>
    </row>
    <row r="45" spans="3:31" x14ac:dyDescent="0.25">
      <c r="D45" s="154"/>
      <c r="E45" s="154"/>
      <c r="F45" s="154"/>
      <c r="G45" s="38">
        <v>6</v>
      </c>
      <c r="H45" s="34">
        <v>35.9</v>
      </c>
      <c r="I45" s="34">
        <v>0</v>
      </c>
      <c r="J45" s="155" t="s">
        <v>29</v>
      </c>
      <c r="K45"/>
      <c r="L45" s="154"/>
      <c r="M45" s="154"/>
      <c r="N45" s="154"/>
      <c r="O45" s="34">
        <v>0</v>
      </c>
      <c r="P45" s="34">
        <v>1</v>
      </c>
      <c r="Q45" s="34">
        <v>0</v>
      </c>
      <c r="R45" s="155" t="s">
        <v>28</v>
      </c>
      <c r="AA45"/>
      <c r="AB45"/>
      <c r="AC45"/>
      <c r="AD45"/>
      <c r="AE45"/>
    </row>
    <row r="46" spans="3:31" ht="15.75" thickBot="1" x14ac:dyDescent="0.3">
      <c r="D46" s="154"/>
      <c r="E46" s="154"/>
      <c r="F46" s="154"/>
      <c r="G46" s="156">
        <f>(G45+H45/60+I45/3600) * VLOOKUP(J45,Constante!$D$15:$E$16,2)</f>
        <v>-6.5983333333333336</v>
      </c>
      <c r="H46" s="156"/>
      <c r="I46" s="156"/>
      <c r="J46" s="155"/>
      <c r="K46"/>
      <c r="L46" s="154"/>
      <c r="M46" s="154"/>
      <c r="N46" s="154"/>
      <c r="O46" s="156">
        <f>(O45+P45/60+Q45/3600) * VLOOKUP(R45,Constante!$D$15:$E$16,2)</f>
        <v>1.6666666666666666E-2</v>
      </c>
      <c r="P46" s="156"/>
      <c r="Q46" s="156"/>
      <c r="R46" s="155"/>
      <c r="AA46"/>
      <c r="AB46"/>
      <c r="AC46"/>
      <c r="AD46"/>
      <c r="AE46"/>
    </row>
    <row r="47" spans="3:31" x14ac:dyDescent="0.25">
      <c r="G47" s="157"/>
      <c r="H47" s="158"/>
      <c r="I47" s="158"/>
      <c r="J47" s="159"/>
      <c r="K47"/>
      <c r="L47"/>
      <c r="M47"/>
      <c r="N47"/>
      <c r="O47"/>
      <c r="P47"/>
      <c r="AA47"/>
      <c r="AB47"/>
      <c r="AC47"/>
      <c r="AD47"/>
      <c r="AE47"/>
    </row>
    <row r="48" spans="3:31" x14ac:dyDescent="0.25">
      <c r="D48" s="153" t="s">
        <v>36</v>
      </c>
      <c r="E48" s="154"/>
      <c r="F48" s="15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53" t="s">
        <v>53</v>
      </c>
      <c r="M48" s="154"/>
      <c r="N48" s="154"/>
      <c r="O48" s="26" t="s">
        <v>13</v>
      </c>
      <c r="P48" s="26" t="s">
        <v>4</v>
      </c>
      <c r="Q48" s="26" t="s">
        <v>5</v>
      </c>
      <c r="R48" s="27" t="s">
        <v>22</v>
      </c>
      <c r="U48" s="19" t="s">
        <v>127</v>
      </c>
      <c r="V48" s="19">
        <f>G42+(360 - G50)/O50</f>
        <v>12.196262720526152</v>
      </c>
      <c r="AA48"/>
      <c r="AB48"/>
      <c r="AC48"/>
      <c r="AD48"/>
      <c r="AE48"/>
    </row>
    <row r="49" spans="3:31" x14ac:dyDescent="0.25">
      <c r="D49" s="154"/>
      <c r="E49" s="154"/>
      <c r="F49" s="154"/>
      <c r="G49" s="38">
        <v>177</v>
      </c>
      <c r="H49" s="34">
        <v>1.9</v>
      </c>
      <c r="I49" s="34">
        <v>0</v>
      </c>
      <c r="J49" s="155" t="s">
        <v>32</v>
      </c>
      <c r="K49"/>
      <c r="L49" s="154"/>
      <c r="M49" s="154"/>
      <c r="N49" s="154"/>
      <c r="O49" s="34">
        <v>15.002000000000001</v>
      </c>
      <c r="P49" s="34">
        <v>0</v>
      </c>
      <c r="Q49" s="34">
        <v>0</v>
      </c>
      <c r="R49" s="155" t="s">
        <v>32</v>
      </c>
      <c r="U49" s="19"/>
      <c r="V49" s="19" t="s">
        <v>95</v>
      </c>
      <c r="W49" s="19" t="s">
        <v>92</v>
      </c>
      <c r="Z49"/>
      <c r="AA49"/>
      <c r="AB49"/>
      <c r="AC49"/>
      <c r="AD49"/>
      <c r="AE49"/>
    </row>
    <row r="50" spans="3:31" x14ac:dyDescent="0.25">
      <c r="D50" s="154"/>
      <c r="E50" s="154"/>
      <c r="F50" s="154"/>
      <c r="G50" s="156">
        <f>(G49+H49/60+I49/3600) * VLOOKUP(J49,Constante!$D$12:$E$13,2)</f>
        <v>177.03166666666667</v>
      </c>
      <c r="H50" s="156"/>
      <c r="I50" s="156"/>
      <c r="J50" s="155"/>
      <c r="K50"/>
      <c r="L50" s="154"/>
      <c r="M50" s="154"/>
      <c r="N50" s="154"/>
      <c r="O50" s="156">
        <f>(O49+P49/60+Q49/3600) * VLOOKUP(R49,Constante!$D$12:$E$13,2)</f>
        <v>15.002000000000001</v>
      </c>
      <c r="P50" s="156"/>
      <c r="Q50" s="156"/>
      <c r="R50" s="155"/>
      <c r="U50" s="19" t="s">
        <v>92</v>
      </c>
      <c r="V50" s="189">
        <f>IF(W50&gt;=360,W50-360,IF(W50&lt;0,W50+360,W50))</f>
        <v>0</v>
      </c>
      <c r="W50" s="19">
        <f>G50+O50*(V48-G42)</f>
        <v>360</v>
      </c>
      <c r="AB50"/>
      <c r="AC50"/>
      <c r="AD50"/>
      <c r="AE50"/>
    </row>
    <row r="51" spans="3:31" x14ac:dyDescent="0.25">
      <c r="U51" s="190" t="s">
        <v>135</v>
      </c>
      <c r="V51" s="190"/>
      <c r="W51" s="190"/>
      <c r="AB51"/>
      <c r="AC51"/>
      <c r="AD51"/>
      <c r="AE51"/>
    </row>
    <row r="52" spans="3:31" x14ac:dyDescent="0.25">
      <c r="AB52"/>
      <c r="AC52"/>
      <c r="AD52"/>
      <c r="AE52"/>
    </row>
    <row r="53" spans="3:31" x14ac:dyDescent="0.25">
      <c r="C53" s="31" t="s">
        <v>128</v>
      </c>
      <c r="D53" s="31"/>
      <c r="E53" s="31"/>
      <c r="F53" s="31"/>
      <c r="G53" s="31"/>
      <c r="H53" s="31"/>
      <c r="I53" s="31"/>
      <c r="Z53"/>
      <c r="AA53"/>
      <c r="AB53"/>
      <c r="AC53"/>
      <c r="AD53"/>
      <c r="AE53"/>
    </row>
    <row r="54" spans="3:31" x14ac:dyDescent="0.25">
      <c r="D54" s="39" t="s">
        <v>1</v>
      </c>
      <c r="E54" s="39"/>
      <c r="G54" s="99" t="s">
        <v>51</v>
      </c>
      <c r="H54" s="99"/>
      <c r="I54" s="99"/>
      <c r="Z54"/>
      <c r="AA54"/>
      <c r="AB54"/>
      <c r="AC54"/>
      <c r="AD54"/>
      <c r="AE54"/>
    </row>
    <row r="55" spans="3:31" x14ac:dyDescent="0.25">
      <c r="G55" s="26" t="s">
        <v>3</v>
      </c>
      <c r="H55" s="26" t="s">
        <v>4</v>
      </c>
      <c r="I55" s="26" t="s">
        <v>5</v>
      </c>
      <c r="Z55"/>
      <c r="AA55"/>
      <c r="AB55"/>
      <c r="AC55"/>
      <c r="AD55"/>
      <c r="AE55"/>
    </row>
    <row r="56" spans="3:31" x14ac:dyDescent="0.25">
      <c r="G56" s="85">
        <v>11</v>
      </c>
      <c r="H56" s="85">
        <v>54</v>
      </c>
      <c r="I56" s="85">
        <v>0</v>
      </c>
      <c r="Z56"/>
      <c r="AA56"/>
      <c r="AB56"/>
      <c r="AC56"/>
      <c r="AD56"/>
      <c r="AE56"/>
    </row>
    <row r="57" spans="3:31" x14ac:dyDescent="0.25">
      <c r="G57" s="111">
        <f>G56+H56/60+I56/3600</f>
        <v>11.9</v>
      </c>
      <c r="H57" s="111"/>
      <c r="I57" s="111"/>
      <c r="Z57"/>
      <c r="AA57"/>
      <c r="AB57"/>
      <c r="AC57"/>
      <c r="AD57"/>
      <c r="AE57"/>
    </row>
    <row r="58" spans="3:31" x14ac:dyDescent="0.25">
      <c r="Z58"/>
      <c r="AA58"/>
      <c r="AB58"/>
      <c r="AC58"/>
      <c r="AD58"/>
      <c r="AE58"/>
    </row>
    <row r="59" spans="3:31" x14ac:dyDescent="0.25">
      <c r="Z59"/>
      <c r="AA59"/>
      <c r="AB59"/>
      <c r="AC59"/>
      <c r="AD59"/>
      <c r="AE59"/>
    </row>
    <row r="60" spans="3:31" x14ac:dyDescent="0.25">
      <c r="C60" s="162" t="s">
        <v>54</v>
      </c>
      <c r="D60" s="162"/>
      <c r="E60" s="162"/>
      <c r="F60" s="162"/>
      <c r="G60" s="162"/>
      <c r="H60" s="163" t="s">
        <v>129</v>
      </c>
      <c r="I60" s="163"/>
      <c r="J60" s="163"/>
      <c r="K60" s="163"/>
      <c r="L60" s="71" t="str">
        <f>VLOOKUP(H60,Constante!D23:E25,2)</f>
        <v>Cas C</v>
      </c>
    </row>
    <row r="61" spans="3:31" x14ac:dyDescent="0.25">
      <c r="D61" s="2"/>
    </row>
    <row r="62" spans="3:31" ht="15.75" customHeight="1" x14ac:dyDescent="0.25">
      <c r="F62" s="164" t="s">
        <v>35</v>
      </c>
      <c r="G62" s="164"/>
      <c r="H62" s="164"/>
      <c r="I62" s="165">
        <f>IF(L60=Constante!E23,S33,V48)</f>
        <v>12.196262720526152</v>
      </c>
      <c r="J62" s="165"/>
      <c r="K62" s="165"/>
      <c r="L62" s="165"/>
    </row>
    <row r="63" spans="3:31" x14ac:dyDescent="0.25">
      <c r="F63" s="164"/>
      <c r="G63" s="164"/>
      <c r="H63" s="164"/>
      <c r="I63" s="75" t="s">
        <v>13</v>
      </c>
      <c r="J63" s="75" t="s">
        <v>4</v>
      </c>
      <c r="K63" s="75" t="s">
        <v>5</v>
      </c>
      <c r="L63" s="19" t="s">
        <v>22</v>
      </c>
    </row>
    <row r="64" spans="3:31" ht="15.75" thickBot="1" x14ac:dyDescent="0.3">
      <c r="F64" s="164"/>
      <c r="G64" s="164"/>
      <c r="H64" s="164"/>
      <c r="I64" s="20">
        <f>INT(ABS(I62))</f>
        <v>12</v>
      </c>
      <c r="J64" s="20">
        <f>INT(60*(ABS(I62)-I64))</f>
        <v>11</v>
      </c>
      <c r="K64" s="20">
        <f>INT(3600*(ABS(I62)-I64-J64/60))</f>
        <v>46</v>
      </c>
      <c r="L64" s="19" t="str">
        <f>VLOOKUP(IF(I62&lt;0,-1,1),Constante!$F$15:$G$17,2)</f>
        <v>N</v>
      </c>
    </row>
    <row r="65" spans="2:31" ht="15.75" thickBot="1" x14ac:dyDescent="0.3">
      <c r="I65" s="166"/>
      <c r="J65" s="167"/>
      <c r="K65" s="167"/>
      <c r="L65" s="168"/>
      <c r="S65" s="19"/>
      <c r="T65" s="19"/>
      <c r="U65" s="19"/>
      <c r="V65" s="19" t="s">
        <v>99</v>
      </c>
      <c r="W65" s="19"/>
      <c r="X65" s="19" t="s">
        <v>100</v>
      </c>
    </row>
    <row r="66" spans="2:31" x14ac:dyDescent="0.25">
      <c r="F66" s="164" t="s">
        <v>42</v>
      </c>
      <c r="G66" s="111"/>
      <c r="H66" s="111"/>
      <c r="I66" s="169" t="e">
        <f>IF(L60="a",AA69,#REF!)+H8</f>
        <v>#REF!</v>
      </c>
      <c r="J66" s="165"/>
      <c r="K66" s="165"/>
      <c r="L66" s="165"/>
      <c r="S66" s="19"/>
      <c r="T66" s="19"/>
      <c r="U66" s="19"/>
      <c r="V66" s="19">
        <f>I62</f>
        <v>12.196262720526152</v>
      </c>
      <c r="W66" s="19"/>
      <c r="X66" s="68">
        <f>D8</f>
        <v>48.875556000000003</v>
      </c>
    </row>
    <row r="67" spans="2:31" x14ac:dyDescent="0.25">
      <c r="F67" s="111"/>
      <c r="G67" s="111"/>
      <c r="H67" s="111"/>
      <c r="I67" s="75" t="s">
        <v>13</v>
      </c>
      <c r="J67" s="75" t="s">
        <v>4</v>
      </c>
      <c r="K67" s="75" t="s">
        <v>5</v>
      </c>
      <c r="L67" s="19" t="s">
        <v>22</v>
      </c>
      <c r="S67" s="19"/>
      <c r="T67" s="160" t="s">
        <v>103</v>
      </c>
      <c r="U67" s="161"/>
      <c r="V67" s="69">
        <f>V66*Constante!$D$19</f>
        <v>0.21286494091142236</v>
      </c>
      <c r="W67" s="69"/>
      <c r="X67" s="69">
        <f>X66*Constante!$D$19</f>
        <v>0.85303937594286972</v>
      </c>
    </row>
    <row r="68" spans="2:31" x14ac:dyDescent="0.25">
      <c r="F68" s="111"/>
      <c r="G68" s="111"/>
      <c r="H68" s="111"/>
      <c r="I68" s="20" t="e">
        <f>INT(ABS(I66))</f>
        <v>#REF!</v>
      </c>
      <c r="J68" s="20" t="e">
        <f>INT(60*(ABS(I66)-I68))</f>
        <v>#REF!</v>
      </c>
      <c r="K68" s="20" t="e">
        <f>INT(3600*(ABS(I66)-I68-J68/60))</f>
        <v>#REF!</v>
      </c>
      <c r="L68" s="19" t="e">
        <f>VLOOKUP(IF(I66&lt;0,-1,1),Constante!$F$12:$G$13,2)</f>
        <v>#REF!</v>
      </c>
      <c r="S68" s="19" t="s">
        <v>102</v>
      </c>
      <c r="T68" s="19" t="s">
        <v>41</v>
      </c>
      <c r="U68" s="19"/>
      <c r="V68" s="19">
        <f>SIN(V67)*SIN(X67)</f>
        <v>0.15913932325834326</v>
      </c>
      <c r="W68" s="19"/>
      <c r="X68" s="19"/>
    </row>
    <row r="69" spans="2:31" x14ac:dyDescent="0.25">
      <c r="S69" s="19" t="s">
        <v>104</v>
      </c>
      <c r="T69" s="19" t="s">
        <v>43</v>
      </c>
      <c r="U69" s="19"/>
      <c r="V69" s="19" t="e">
        <f>COS(V67)*COS(Z73)*COS(X67)</f>
        <v>#REF!</v>
      </c>
      <c r="W69" s="19"/>
      <c r="X69" s="19"/>
    </row>
    <row r="70" spans="2:31" x14ac:dyDescent="0.25">
      <c r="S70" s="19" t="s">
        <v>44</v>
      </c>
      <c r="T70" s="171" t="s">
        <v>103</v>
      </c>
      <c r="U70" s="171"/>
      <c r="V70" s="69" t="e">
        <f>ASIN(V68+V69)</f>
        <v>#REF!</v>
      </c>
      <c r="W70" s="19"/>
      <c r="X70" s="19"/>
    </row>
    <row r="71" spans="2:31" ht="15.75" thickBot="1" x14ac:dyDescent="0.3">
      <c r="Y71" s="19"/>
      <c r="Z71" s="19" t="s">
        <v>101</v>
      </c>
      <c r="AA71" s="19"/>
    </row>
    <row r="72" spans="2:31" ht="15.75" thickBot="1" x14ac:dyDescent="0.3">
      <c r="B72" s="28" t="s">
        <v>39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Y72" s="19"/>
      <c r="Z72" s="68" t="e">
        <f>I66</f>
        <v>#REF!</v>
      </c>
      <c r="AA72" s="19"/>
    </row>
    <row r="73" spans="2:31" x14ac:dyDescent="0.25">
      <c r="F73" s="100" t="s">
        <v>44</v>
      </c>
      <c r="G73" s="100"/>
      <c r="H73" s="100"/>
      <c r="Y73" s="69"/>
      <c r="Z73" s="69" t="e">
        <f>Z72*Constante!$D$19</f>
        <v>#REF!</v>
      </c>
      <c r="AA73" s="69"/>
      <c r="AC73" s="1" t="s">
        <v>47</v>
      </c>
      <c r="AD73" s="1" t="s">
        <v>48</v>
      </c>
      <c r="AE73" s="1" t="s">
        <v>49</v>
      </c>
    </row>
    <row r="74" spans="2:31" x14ac:dyDescent="0.25">
      <c r="F74" s="75" t="s">
        <v>13</v>
      </c>
      <c r="G74" s="75" t="s">
        <v>4</v>
      </c>
      <c r="H74" s="75" t="s">
        <v>5</v>
      </c>
      <c r="Y74" s="19"/>
      <c r="Z74" s="19"/>
      <c r="AA74" s="19"/>
      <c r="AC74" s="1">
        <f>SIN(Constante!D19*'Droite hauteur Soleil'!I60)</f>
        <v>-0.11201968393681436</v>
      </c>
      <c r="AD74" s="1">
        <f>SIN(Constante!$D$19*'Droite hauteur Soleil'!D12)*SIN(Constante!$D$19*'Droite hauteur Soleil'!F74)</f>
        <v>0.35872854774904372</v>
      </c>
      <c r="AE74" s="1">
        <f>COS(Constante!$D$19*'Droite hauteur Soleil'!D12)*COS(Constante!$D$19*'Droite hauteur Soleil'!F74)</f>
        <v>0.57832981467184241</v>
      </c>
    </row>
    <row r="75" spans="2:31" x14ac:dyDescent="0.25">
      <c r="F75" s="20" t="e">
        <f>INT(ABS(F76))</f>
        <v>#REF!</v>
      </c>
      <c r="G75" s="20" t="e">
        <f>INT(60*(ABS(F76)-F75))</f>
        <v>#REF!</v>
      </c>
      <c r="H75" s="73" t="e">
        <f>ABS(F76)-F75-G75/60</f>
        <v>#REF!</v>
      </c>
      <c r="Y75" s="19"/>
      <c r="Z75" s="19"/>
      <c r="AA75" s="19"/>
    </row>
    <row r="76" spans="2:31" x14ac:dyDescent="0.25">
      <c r="F76" s="170" t="e">
        <f>V70/Constante!$D$19</f>
        <v>#REF!</v>
      </c>
      <c r="G76" s="170"/>
      <c r="H76" s="170"/>
      <c r="Y76" s="19"/>
      <c r="Z76" s="19"/>
      <c r="AA76" s="19"/>
    </row>
    <row r="78" spans="2:31" x14ac:dyDescent="0.25">
      <c r="S78" s="19"/>
      <c r="T78" s="19"/>
      <c r="U78" s="19"/>
      <c r="V78" s="19" t="s">
        <v>99</v>
      </c>
      <c r="W78" s="19"/>
      <c r="X78" s="19" t="s">
        <v>100</v>
      </c>
    </row>
    <row r="79" spans="2:31" x14ac:dyDescent="0.25">
      <c r="S79" s="19"/>
      <c r="T79" s="19"/>
      <c r="U79" s="19"/>
      <c r="V79" s="19">
        <f>I62</f>
        <v>12.196262720526152</v>
      </c>
      <c r="W79" s="19"/>
      <c r="X79" s="68">
        <f>D8</f>
        <v>48.875556000000003</v>
      </c>
    </row>
    <row r="80" spans="2:31" x14ac:dyDescent="0.25">
      <c r="S80" s="19"/>
      <c r="T80" s="160" t="s">
        <v>103</v>
      </c>
      <c r="U80" s="161"/>
      <c r="V80" s="69">
        <f>V79*Constante!$D$19</f>
        <v>0.21286494091142236</v>
      </c>
      <c r="W80" s="69"/>
      <c r="X80" s="69">
        <f>X79*Constante!$D$19</f>
        <v>0.85303937594286972</v>
      </c>
    </row>
    <row r="81" spans="2:29" x14ac:dyDescent="0.25">
      <c r="S81" s="19" t="s">
        <v>102</v>
      </c>
      <c r="T81" s="172" t="s">
        <v>105</v>
      </c>
      <c r="U81" s="173"/>
      <c r="V81" s="19">
        <f>SIN(V80)</f>
        <v>0.21126104128624015</v>
      </c>
      <c r="W81" s="19"/>
      <c r="X81" s="19"/>
    </row>
    <row r="82" spans="2:29" x14ac:dyDescent="0.25">
      <c r="S82" s="19" t="s">
        <v>104</v>
      </c>
      <c r="T82" s="172" t="s">
        <v>106</v>
      </c>
      <c r="U82" s="173"/>
      <c r="V82" s="19" t="e">
        <f>SIN(X80)*SIN(AB86)</f>
        <v>#REF!</v>
      </c>
      <c r="W82" s="19"/>
      <c r="X82" s="19"/>
    </row>
    <row r="83" spans="2:29" ht="15.75" thickBot="1" x14ac:dyDescent="0.3">
      <c r="S83" s="19" t="s">
        <v>107</v>
      </c>
      <c r="T83" s="172" t="s">
        <v>108</v>
      </c>
      <c r="U83" s="173"/>
      <c r="V83" s="19" t="e">
        <f>COS(X80)*COS(AB86)</f>
        <v>#REF!</v>
      </c>
      <c r="W83" s="19"/>
      <c r="X83" s="19"/>
    </row>
    <row r="84" spans="2:29" ht="15.75" thickBot="1" x14ac:dyDescent="0.3">
      <c r="B84" s="28" t="s">
        <v>45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30"/>
      <c r="S84" s="19" t="s">
        <v>44</v>
      </c>
      <c r="T84" s="160" t="s">
        <v>103</v>
      </c>
      <c r="U84" s="161"/>
      <c r="V84" s="69" t="e">
        <f>ACOS(((V81-V82)/V83))</f>
        <v>#REF!</v>
      </c>
      <c r="W84" s="19"/>
      <c r="X84" s="19"/>
      <c r="Y84" s="19"/>
      <c r="Z84" s="19" t="s">
        <v>101</v>
      </c>
      <c r="AA84" s="19"/>
      <c r="AB84" s="19" t="s">
        <v>44</v>
      </c>
      <c r="AC84" s="19"/>
    </row>
    <row r="85" spans="2:29" x14ac:dyDescent="0.25">
      <c r="F85" s="100" t="s">
        <v>46</v>
      </c>
      <c r="G85" s="100"/>
      <c r="H85" s="100"/>
      <c r="S85"/>
      <c r="T85"/>
      <c r="U85"/>
      <c r="V85"/>
      <c r="W85"/>
      <c r="X85"/>
      <c r="Y85" s="19"/>
      <c r="Z85" s="68" t="e">
        <f>I66</f>
        <v>#REF!</v>
      </c>
      <c r="AA85" s="19"/>
      <c r="AB85" s="68" t="e">
        <f>F76</f>
        <v>#REF!</v>
      </c>
      <c r="AC85" s="19"/>
    </row>
    <row r="86" spans="2:29" x14ac:dyDescent="0.25">
      <c r="F86" s="75" t="s">
        <v>13</v>
      </c>
      <c r="G86" s="75" t="s">
        <v>4</v>
      </c>
      <c r="H86" s="75" t="s">
        <v>5</v>
      </c>
      <c r="S86"/>
      <c r="T86"/>
      <c r="U86"/>
      <c r="V86"/>
      <c r="W86"/>
      <c r="X86"/>
      <c r="Y86" s="69"/>
      <c r="Z86" s="69" t="e">
        <f>Z85*Constante!$D$19</f>
        <v>#REF!</v>
      </c>
      <c r="AA86" s="69"/>
      <c r="AB86" s="69" t="e">
        <f>AB85*Constante!$D$19</f>
        <v>#REF!</v>
      </c>
      <c r="AC86" s="69"/>
    </row>
    <row r="87" spans="2:29" x14ac:dyDescent="0.25">
      <c r="F87" s="20" t="e">
        <f>INT(ABS(F88))</f>
        <v>#REF!</v>
      </c>
      <c r="G87" s="20" t="e">
        <f>INT(60*(ABS(F88)-F87))</f>
        <v>#REF!</v>
      </c>
      <c r="H87" s="73" t="e">
        <f>ABS(F88)-F87-G87/60</f>
        <v>#REF!</v>
      </c>
      <c r="J87" s="22" t="s">
        <v>70</v>
      </c>
      <c r="K87" s="22"/>
      <c r="Y87" s="19"/>
      <c r="Z87" s="19"/>
      <c r="AA87" s="19"/>
      <c r="AB87" s="19"/>
      <c r="AC87" s="19"/>
    </row>
    <row r="88" spans="2:29" x14ac:dyDescent="0.25">
      <c r="F88" s="174" t="e">
        <f>V84/Constante!$D$19</f>
        <v>#REF!</v>
      </c>
      <c r="G88" s="174"/>
      <c r="H88" s="174"/>
      <c r="J88" s="53"/>
      <c r="K88" s="54" t="e">
        <f>IF(I66&lt;180,ABS(F88-360),F88)</f>
        <v>#REF!</v>
      </c>
      <c r="L88" s="55" t="s">
        <v>13</v>
      </c>
      <c r="S88" s="71" t="s">
        <v>23</v>
      </c>
      <c r="T88" s="71" t="s">
        <v>15</v>
      </c>
      <c r="U88" s="71" t="s">
        <v>81</v>
      </c>
      <c r="V88" s="71" t="s">
        <v>110</v>
      </c>
      <c r="W88" s="181" t="s">
        <v>121</v>
      </c>
      <c r="X88" s="111" t="s">
        <v>120</v>
      </c>
      <c r="Y88" s="19"/>
      <c r="Z88" s="19"/>
      <c r="AA88" s="19"/>
      <c r="AB88" s="19"/>
      <c r="AC88" s="19"/>
    </row>
    <row r="89" spans="2:29" x14ac:dyDescent="0.25">
      <c r="S89" s="71" t="b">
        <f>ISNUMBER(SEARCH(E12,Constante!D4))</f>
        <v>0</v>
      </c>
      <c r="T89" s="71" t="b">
        <f>ISNUMBER(SEARCH(E12,Constante!D3))</f>
        <v>1</v>
      </c>
      <c r="U89" s="71" t="b">
        <f>AND(NOT(S89),NOT(T89))</f>
        <v>0</v>
      </c>
      <c r="V89" s="71" t="b">
        <f>ISNUMBER(SEARCH(L12,Constante!G4))</f>
        <v>0</v>
      </c>
      <c r="W89" s="111"/>
      <c r="X89" s="111"/>
      <c r="Y89" s="19"/>
      <c r="Z89" s="19"/>
      <c r="AA89" s="19"/>
      <c r="AB89" s="19"/>
      <c r="AC89" s="19"/>
    </row>
    <row r="90" spans="2:29" x14ac:dyDescent="0.25">
      <c r="S90" s="19">
        <v>999</v>
      </c>
      <c r="T90" s="19">
        <v>0</v>
      </c>
      <c r="U90" s="19">
        <f>Constante!Q19</f>
        <v>-0.26666666666</v>
      </c>
      <c r="V90" s="19">
        <f>Constante!Q20</f>
        <v>-0.53333333333300004</v>
      </c>
      <c r="W90" s="111"/>
      <c r="X90" s="111"/>
      <c r="Y90" s="19"/>
      <c r="Z90" s="19"/>
      <c r="AA90" s="19"/>
      <c r="AB90" s="19"/>
      <c r="AC90" s="19"/>
    </row>
    <row r="91" spans="2:29" x14ac:dyDescent="0.25">
      <c r="Y91"/>
      <c r="Z91"/>
      <c r="AA91"/>
      <c r="AB91"/>
      <c r="AC91"/>
    </row>
    <row r="92" spans="2:29" ht="15.75" thickBot="1" x14ac:dyDescent="0.3">
      <c r="S92" s="19" t="s">
        <v>111</v>
      </c>
      <c r="T92" s="19"/>
      <c r="U92" s="19" t="s">
        <v>112</v>
      </c>
      <c r="V92" s="19">
        <f>L15</f>
        <v>0</v>
      </c>
      <c r="Y92"/>
      <c r="Z92"/>
      <c r="AA92"/>
      <c r="AB92"/>
      <c r="AC92"/>
    </row>
    <row r="93" spans="2:29" ht="15.75" thickBot="1" x14ac:dyDescent="0.3">
      <c r="B93" s="28" t="s">
        <v>58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30"/>
      <c r="U93" s="82" t="s">
        <v>113</v>
      </c>
      <c r="V93" s="79" t="s">
        <v>114</v>
      </c>
      <c r="W93" s="79"/>
      <c r="X93" s="79"/>
    </row>
    <row r="94" spans="2:29" x14ac:dyDescent="0.25">
      <c r="D94" s="1" t="s">
        <v>12</v>
      </c>
      <c r="F94" t="s">
        <v>19</v>
      </c>
      <c r="G94"/>
      <c r="H94"/>
      <c r="I94" s="1" t="s">
        <v>61</v>
      </c>
      <c r="O94" s="100" t="s">
        <v>62</v>
      </c>
      <c r="P94" s="100"/>
      <c r="Q94" s="100"/>
      <c r="U94" s="82"/>
      <c r="V94" s="79" t="s">
        <v>116</v>
      </c>
      <c r="W94" s="79" t="s">
        <v>117</v>
      </c>
      <c r="X94" s="79" t="s">
        <v>118</v>
      </c>
      <c r="Y94" s="111">
        <f>IF(U89,U90,IF(T89,IF(V89,V90,T90),IF(S89,S90,888)))</f>
        <v>0</v>
      </c>
    </row>
    <row r="95" spans="2:29" x14ac:dyDescent="0.25">
      <c r="D95" s="23">
        <f>G15</f>
        <v>31.283333333333335</v>
      </c>
      <c r="E95" s="24" t="s">
        <v>59</v>
      </c>
      <c r="F95" s="25">
        <f>D11</f>
        <v>0.7</v>
      </c>
      <c r="G95" s="19"/>
      <c r="H95" s="24" t="s">
        <v>60</v>
      </c>
      <c r="I95" s="19">
        <f>V97</f>
        <v>0.24252222222222225</v>
      </c>
      <c r="O95" s="75" t="s">
        <v>13</v>
      </c>
      <c r="P95" s="75" t="s">
        <v>4</v>
      </c>
      <c r="Q95" s="75" t="s">
        <v>5</v>
      </c>
      <c r="U95" s="82"/>
      <c r="V95" s="80">
        <f>MATCH(D95,Constante!$M$6:$M$17,1)</f>
        <v>10</v>
      </c>
      <c r="W95" s="79">
        <f>INDEX(Constante!$M$6:$M$17,V95)</f>
        <v>30</v>
      </c>
      <c r="X95" s="79">
        <f>INDEX(Constante!$N$6:$S$17,V95,1+V92)</f>
        <v>0.24166666666666667</v>
      </c>
      <c r="Y95" s="111"/>
    </row>
    <row r="96" spans="2:29" x14ac:dyDescent="0.25">
      <c r="D96" s="19"/>
      <c r="E96" s="19"/>
      <c r="F96" s="19"/>
      <c r="G96" s="19"/>
      <c r="H96" s="24" t="s">
        <v>60</v>
      </c>
      <c r="I96" s="19">
        <f>Y94</f>
        <v>0</v>
      </c>
      <c r="O96" s="20">
        <f>INT(ABS(O97))</f>
        <v>30</v>
      </c>
      <c r="P96" s="20">
        <f>INT(60*(ABS(O97)-O96))</f>
        <v>49</v>
      </c>
      <c r="Q96" s="73">
        <f>ABS(O97)-O96-P96/60</f>
        <v>9.1888888888929099E-3</v>
      </c>
      <c r="U96" s="19" t="s">
        <v>93</v>
      </c>
      <c r="V96" s="23">
        <f>(D95-W95)/(Z101-W95)</f>
        <v>6.4166666666666747E-2</v>
      </c>
      <c r="Y96" s="111"/>
    </row>
    <row r="97" spans="4:27" x14ac:dyDescent="0.25">
      <c r="F97"/>
      <c r="G97"/>
      <c r="I97" s="1" t="s">
        <v>63</v>
      </c>
      <c r="O97" s="170">
        <f>D95-F95+I95+I96</f>
        <v>30.82585555555556</v>
      </c>
      <c r="P97" s="170"/>
      <c r="Q97" s="170"/>
      <c r="U97" s="19" t="s">
        <v>92</v>
      </c>
      <c r="V97" s="19">
        <f>(1-V96)*X95+V96*AA101</f>
        <v>0.24252222222222225</v>
      </c>
    </row>
    <row r="98" spans="4:27" x14ac:dyDescent="0.25">
      <c r="D98" s="2"/>
      <c r="E98" s="2"/>
    </row>
    <row r="99" spans="4:27" x14ac:dyDescent="0.25">
      <c r="X99"/>
      <c r="Y99" s="78" t="s">
        <v>115</v>
      </c>
      <c r="Z99" s="78"/>
      <c r="AA99" s="78"/>
    </row>
    <row r="100" spans="4:27" x14ac:dyDescent="0.25">
      <c r="X100"/>
      <c r="Y100" s="78" t="s">
        <v>116</v>
      </c>
      <c r="Z100" s="78" t="s">
        <v>119</v>
      </c>
      <c r="AA100" s="78" t="s">
        <v>118</v>
      </c>
    </row>
    <row r="101" spans="4:27" x14ac:dyDescent="0.25">
      <c r="Y101" s="81">
        <f>V95+1</f>
        <v>11</v>
      </c>
      <c r="Z101" s="78">
        <f>INDEX(Constante!$M$6:$M$17,Y101)</f>
        <v>50</v>
      </c>
      <c r="AA101" s="78">
        <f>INDEX(Constante!$N$6:$S$17,Y101,1+V92)</f>
        <v>0.255</v>
      </c>
    </row>
    <row r="107" spans="4:27" x14ac:dyDescent="0.25">
      <c r="D107" s="1" t="s">
        <v>69</v>
      </c>
    </row>
    <row r="108" spans="4:27" x14ac:dyDescent="0.25">
      <c r="F108" s="100" t="s">
        <v>69</v>
      </c>
      <c r="G108" s="100"/>
      <c r="H108" s="100"/>
      <c r="S108" s="84">
        <f>D8</f>
        <v>48.875556000000003</v>
      </c>
      <c r="T108" s="83" t="str">
        <f>G7</f>
        <v>N</v>
      </c>
    </row>
    <row r="109" spans="4:27" x14ac:dyDescent="0.25">
      <c r="F109" s="75" t="s">
        <v>13</v>
      </c>
      <c r="G109" s="75" t="s">
        <v>4</v>
      </c>
      <c r="H109" s="75" t="s">
        <v>5</v>
      </c>
      <c r="S109" s="84">
        <f>H8</f>
        <v>2.0948030000000002</v>
      </c>
      <c r="T109" s="83" t="str">
        <f>K7</f>
        <v>E</v>
      </c>
    </row>
    <row r="110" spans="4:27" x14ac:dyDescent="0.25">
      <c r="F110" s="32" t="e">
        <f>INT(ABS(F111))</f>
        <v>#REF!</v>
      </c>
      <c r="G110" s="32" t="e">
        <f>INT(60*(ABS(F111)-F110))</f>
        <v>#REF!</v>
      </c>
      <c r="H110" s="33" t="e">
        <f>ABS(F111)-F110-G110/60</f>
        <v>#REF!</v>
      </c>
    </row>
    <row r="111" spans="4:27" x14ac:dyDescent="0.25">
      <c r="F111" s="175" t="e">
        <f>O97-F76</f>
        <v>#REF!</v>
      </c>
      <c r="G111" s="176"/>
      <c r="H111" s="177"/>
      <c r="J111" s="109" t="e">
        <f>F111*60</f>
        <v>#REF!</v>
      </c>
      <c r="K111" s="109"/>
      <c r="L111" s="109" t="s">
        <v>125</v>
      </c>
      <c r="M111" s="109"/>
    </row>
    <row r="114" spans="2:36" x14ac:dyDescent="0.25">
      <c r="G114" s="178" t="s">
        <v>122</v>
      </c>
      <c r="H114" s="178"/>
      <c r="I114" s="178"/>
      <c r="J114" s="83" t="s">
        <v>17</v>
      </c>
      <c r="K114" s="83">
        <f>ABS(I62)</f>
        <v>12.196262720526152</v>
      </c>
      <c r="L114" s="83" t="str">
        <f>L64</f>
        <v>N</v>
      </c>
      <c r="M114" s="179" t="s">
        <v>123</v>
      </c>
      <c r="N114" s="180"/>
      <c r="O114" s="178" t="s">
        <v>124</v>
      </c>
      <c r="P114" s="178"/>
      <c r="Q114" s="178"/>
      <c r="R114" s="83" t="s">
        <v>17</v>
      </c>
    </row>
    <row r="115" spans="2:36" x14ac:dyDescent="0.25">
      <c r="G115" s="178"/>
      <c r="H115" s="178"/>
      <c r="I115" s="178"/>
      <c r="J115" s="83" t="s">
        <v>16</v>
      </c>
      <c r="K115" s="83" t="e">
        <f>ABS(I66)</f>
        <v>#REF!</v>
      </c>
      <c r="L115" s="83" t="e">
        <f>L68</f>
        <v>#REF!</v>
      </c>
      <c r="M115" s="179"/>
      <c r="N115" s="180"/>
      <c r="O115" s="178"/>
      <c r="P115" s="178"/>
      <c r="Q115" s="178"/>
      <c r="R115" s="83" t="s">
        <v>16</v>
      </c>
    </row>
    <row r="118" spans="2:36" x14ac:dyDescent="0.25">
      <c r="B118" s="99" t="s">
        <v>2</v>
      </c>
      <c r="C118" s="99"/>
      <c r="D118" s="99"/>
      <c r="E118" s="99" t="s">
        <v>6</v>
      </c>
      <c r="F118" s="99"/>
      <c r="G118" s="99"/>
      <c r="H118" s="99" t="s">
        <v>7</v>
      </c>
      <c r="I118" s="99"/>
      <c r="J118" s="99"/>
      <c r="K118" s="100" t="s">
        <v>8</v>
      </c>
      <c r="L118" s="100"/>
      <c r="M118" s="100"/>
    </row>
    <row r="119" spans="2:36" ht="15.75" thickBot="1" x14ac:dyDescent="0.3">
      <c r="B119" s="35" t="s">
        <v>3</v>
      </c>
      <c r="C119" s="35" t="s">
        <v>4</v>
      </c>
      <c r="D119" s="35" t="s">
        <v>5</v>
      </c>
      <c r="E119" s="35" t="s">
        <v>3</v>
      </c>
      <c r="F119" s="35" t="s">
        <v>4</v>
      </c>
      <c r="G119" s="35" t="s">
        <v>5</v>
      </c>
      <c r="H119" s="35" t="s">
        <v>3</v>
      </c>
      <c r="I119" s="35" t="s">
        <v>4</v>
      </c>
      <c r="J119" s="35" t="s">
        <v>5</v>
      </c>
      <c r="K119" s="75" t="s">
        <v>3</v>
      </c>
      <c r="L119" s="75" t="s">
        <v>4</v>
      </c>
      <c r="M119" s="75" t="s">
        <v>5</v>
      </c>
      <c r="AA119" s="1" t="s">
        <v>9</v>
      </c>
      <c r="AD119" s="1" t="s">
        <v>9</v>
      </c>
      <c r="AG119" s="1" t="s">
        <v>9</v>
      </c>
      <c r="AJ119" s="1" t="s">
        <v>9</v>
      </c>
    </row>
    <row r="120" spans="2:36" x14ac:dyDescent="0.25">
      <c r="B120" s="103">
        <v>9</v>
      </c>
      <c r="C120" s="105">
        <v>56</v>
      </c>
      <c r="D120" s="107">
        <v>42</v>
      </c>
      <c r="E120" s="103">
        <v>0</v>
      </c>
      <c r="F120" s="105">
        <v>0</v>
      </c>
      <c r="G120" s="107">
        <v>0</v>
      </c>
      <c r="H120" s="103">
        <v>0</v>
      </c>
      <c r="I120" s="105">
        <v>0</v>
      </c>
      <c r="J120" s="107">
        <v>0</v>
      </c>
      <c r="K120" s="36">
        <f>INT(AJ120)</f>
        <v>9</v>
      </c>
      <c r="L120" s="74">
        <f>INT(60 * (AJ120-K120))</f>
        <v>56</v>
      </c>
      <c r="M120" s="74">
        <f>INT(3600 * (AJ120-K120-L120/60))</f>
        <v>42</v>
      </c>
      <c r="AA120" s="1">
        <f>B120+C120/60+D120/3600</f>
        <v>9.9450000000000003</v>
      </c>
      <c r="AD120" s="1">
        <f>E120+F120/60+G120/3600</f>
        <v>0</v>
      </c>
      <c r="AG120" s="1">
        <f>H120+I120/60+J120/3600</f>
        <v>0</v>
      </c>
      <c r="AJ120" s="1">
        <f>AA120+AD120+AG120</f>
        <v>9.9450000000000003</v>
      </c>
    </row>
    <row r="121" spans="2:36" x14ac:dyDescent="0.25">
      <c r="B121" s="104"/>
      <c r="C121" s="106"/>
      <c r="D121" s="108"/>
      <c r="E121" s="104"/>
      <c r="F121" s="106"/>
      <c r="G121" s="108"/>
      <c r="H121" s="104"/>
      <c r="I121" s="106"/>
      <c r="J121" s="108"/>
      <c r="K121" s="110">
        <f>K120+L120/60+M120/3600</f>
        <v>9.9450000000000003</v>
      </c>
      <c r="L121" s="111"/>
      <c r="M121" s="111"/>
    </row>
  </sheetData>
  <mergeCells count="101">
    <mergeCell ref="R25:S25"/>
    <mergeCell ref="R26:S26"/>
    <mergeCell ref="U51:W51"/>
    <mergeCell ref="T34:V34"/>
    <mergeCell ref="W88:W90"/>
    <mergeCell ref="X88:X90"/>
    <mergeCell ref="R45:R46"/>
    <mergeCell ref="R49:R50"/>
    <mergeCell ref="T67:U67"/>
    <mergeCell ref="T84:U84"/>
    <mergeCell ref="T70:U70"/>
    <mergeCell ref="T80:U80"/>
    <mergeCell ref="T81:U81"/>
    <mergeCell ref="T82:U82"/>
    <mergeCell ref="T83:U83"/>
    <mergeCell ref="G114:I115"/>
    <mergeCell ref="M114:N115"/>
    <mergeCell ref="O114:Q115"/>
    <mergeCell ref="Y94:Y96"/>
    <mergeCell ref="O97:Q97"/>
    <mergeCell ref="F108:H108"/>
    <mergeCell ref="F111:H111"/>
    <mergeCell ref="J111:K111"/>
    <mergeCell ref="L111:M111"/>
    <mergeCell ref="O94:Q94"/>
    <mergeCell ref="F88:H88"/>
    <mergeCell ref="C60:G60"/>
    <mergeCell ref="H60:K60"/>
    <mergeCell ref="F62:H64"/>
    <mergeCell ref="I62:L62"/>
    <mergeCell ref="I65:L65"/>
    <mergeCell ref="F73:H73"/>
    <mergeCell ref="F76:H76"/>
    <mergeCell ref="F85:H85"/>
    <mergeCell ref="F66:H68"/>
    <mergeCell ref="I66:L66"/>
    <mergeCell ref="O50:Q50"/>
    <mergeCell ref="G42:I42"/>
    <mergeCell ref="O46:Q46"/>
    <mergeCell ref="D44:F46"/>
    <mergeCell ref="L44:N46"/>
    <mergeCell ref="J45:J46"/>
    <mergeCell ref="G47:J47"/>
    <mergeCell ref="D48:F50"/>
    <mergeCell ref="L48:N50"/>
    <mergeCell ref="J49:J50"/>
    <mergeCell ref="G50:I50"/>
    <mergeCell ref="G46:I46"/>
    <mergeCell ref="G30:J30"/>
    <mergeCell ref="L30:O30"/>
    <mergeCell ref="O32:O33"/>
    <mergeCell ref="G33:I33"/>
    <mergeCell ref="L33:N33"/>
    <mergeCell ref="J32:J33"/>
    <mergeCell ref="M25:O25"/>
    <mergeCell ref="J12:K12"/>
    <mergeCell ref="B9:C11"/>
    <mergeCell ref="D11:G11"/>
    <mergeCell ref="B12:D15"/>
    <mergeCell ref="E12:F15"/>
    <mergeCell ref="G12:I12"/>
    <mergeCell ref="L12:M12"/>
    <mergeCell ref="G15:I15"/>
    <mergeCell ref="J15:K15"/>
    <mergeCell ref="G22:I22"/>
    <mergeCell ref="M22:O22"/>
    <mergeCell ref="O28:O29"/>
    <mergeCell ref="G29:I29"/>
    <mergeCell ref="L29:N29"/>
    <mergeCell ref="G57:I57"/>
    <mergeCell ref="G120:G121"/>
    <mergeCell ref="H120:H121"/>
    <mergeCell ref="I120:I121"/>
    <mergeCell ref="B5:C8"/>
    <mergeCell ref="D5:G5"/>
    <mergeCell ref="H5:K5"/>
    <mergeCell ref="G7:G8"/>
    <mergeCell ref="K7:K8"/>
    <mergeCell ref="D8:F8"/>
    <mergeCell ref="H8:J8"/>
    <mergeCell ref="G25:I25"/>
    <mergeCell ref="G39:I39"/>
    <mergeCell ref="D27:F29"/>
    <mergeCell ref="J28:J29"/>
    <mergeCell ref="D31:F33"/>
    <mergeCell ref="Q29:T29"/>
    <mergeCell ref="Q33:T33"/>
    <mergeCell ref="B2:P2"/>
    <mergeCell ref="J120:J121"/>
    <mergeCell ref="K4:M4"/>
    <mergeCell ref="B118:D118"/>
    <mergeCell ref="E118:G118"/>
    <mergeCell ref="H118:J118"/>
    <mergeCell ref="K118:M118"/>
    <mergeCell ref="K121:M121"/>
    <mergeCell ref="B120:B121"/>
    <mergeCell ref="C120:C121"/>
    <mergeCell ref="D120:D121"/>
    <mergeCell ref="E120:E121"/>
    <mergeCell ref="F120:F121"/>
    <mergeCell ref="G54:I5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Astre visé">
          <x14:formula1>
            <xm:f>Constante!$D$3:$D$9</xm:f>
          </x14:formula1>
          <xm:sqref>E12</xm:sqref>
        </x14:dataValidation>
        <x14:dataValidation type="list" allowBlank="1" showInputMessage="1" showErrorMessage="1">
          <x14:formula1>
            <xm:f>Constante!$D$15:$D$16</xm:f>
          </x14:formula1>
          <xm:sqref>G7:G8 J45:J46 R45:R46 J28:J29 O28:O29</xm:sqref>
        </x14:dataValidation>
        <x14:dataValidation type="list" allowBlank="1" showInputMessage="1" showErrorMessage="1">
          <x14:formula1>
            <xm:f>Constante!$D$12:$D$13</xm:f>
          </x14:formula1>
          <xm:sqref>J49:J50 K7:K8 R49:R50 J32:J33 O32:O33</xm:sqref>
        </x14:dataValidation>
        <x14:dataValidation type="list" allowBlank="1" showInputMessage="1" showErrorMessage="1">
          <x14:formula1>
            <xm:f>Constante!$K$3:$K$8</xm:f>
          </x14:formula1>
          <xm:sqref>L15</xm:sqref>
        </x14:dataValidation>
        <x14:dataValidation type="list" allowBlank="1" showInputMessage="1" showErrorMessage="1">
          <x14:formula1>
            <xm:f>Constante!$G$3:$G$4</xm:f>
          </x14:formula1>
          <xm:sqref>L12:M12</xm:sqref>
        </x14:dataValidation>
        <x14:dataValidation type="list" allowBlank="1" showInputMessage="1" showErrorMessage="1">
          <x14:formula1>
            <xm:f>Constante!$J$12:$J$13</xm:f>
          </x14:formula1>
          <xm:sqref>D10</xm:sqref>
        </x14:dataValidation>
        <x14:dataValidation type="list" allowBlank="1" showInputMessage="1" showErrorMessage="1">
          <x14:formula1>
            <xm:f>Constante!$D$23:$D$25</xm:f>
          </x14:formula1>
          <xm:sqref>H60:K60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73" workbookViewId="0">
      <selection activeCell="U107" sqref="U10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94" t="s">
        <v>10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56"/>
      <c r="R2" s="16" t="s">
        <v>71</v>
      </c>
      <c r="S2" s="16"/>
      <c r="Y2" s="56"/>
      <c r="Z2" s="57"/>
    </row>
    <row r="3" spans="2:36" ht="15.75" thickBot="1" x14ac:dyDescent="0.3">
      <c r="S3" s="96" t="s">
        <v>72</v>
      </c>
      <c r="T3" s="96"/>
      <c r="U3" s="96"/>
      <c r="V3" s="96"/>
      <c r="W3" s="96"/>
      <c r="X3" s="96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97" t="s">
        <v>82</v>
      </c>
      <c r="L4" s="97"/>
      <c r="M4" s="97"/>
      <c r="S4" s="98" t="s">
        <v>73</v>
      </c>
      <c r="T4" s="98"/>
      <c r="U4" s="98"/>
      <c r="V4" s="98"/>
      <c r="W4" s="98"/>
      <c r="X4" s="98"/>
    </row>
    <row r="5" spans="2:36" x14ac:dyDescent="0.25">
      <c r="B5" s="99" t="s">
        <v>2</v>
      </c>
      <c r="C5" s="99"/>
      <c r="D5" s="99"/>
      <c r="E5" s="99" t="s">
        <v>6</v>
      </c>
      <c r="F5" s="99"/>
      <c r="G5" s="99"/>
      <c r="H5" s="99" t="s">
        <v>7</v>
      </c>
      <c r="I5" s="99"/>
      <c r="J5" s="99"/>
      <c r="K5" s="100" t="s">
        <v>8</v>
      </c>
      <c r="L5" s="100"/>
      <c r="M5" s="100"/>
      <c r="S5" s="101" t="s">
        <v>74</v>
      </c>
      <c r="T5" s="101"/>
      <c r="U5" s="101"/>
      <c r="V5" s="101"/>
      <c r="W5" s="101"/>
      <c r="X5" s="101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02" t="s">
        <v>75</v>
      </c>
      <c r="T6" s="102"/>
      <c r="U6" s="102"/>
      <c r="V6" s="102"/>
      <c r="W6" s="102"/>
      <c r="X6" s="102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03">
        <v>9</v>
      </c>
      <c r="C7" s="105">
        <v>56</v>
      </c>
      <c r="D7" s="107">
        <v>42</v>
      </c>
      <c r="E7" s="103">
        <v>0</v>
      </c>
      <c r="F7" s="105">
        <v>0</v>
      </c>
      <c r="G7" s="107">
        <v>0</v>
      </c>
      <c r="H7" s="103">
        <v>0</v>
      </c>
      <c r="I7" s="105">
        <v>0</v>
      </c>
      <c r="J7" s="107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S7" s="109" t="s">
        <v>76</v>
      </c>
      <c r="T7" s="109"/>
      <c r="U7" s="109"/>
      <c r="V7" s="109"/>
      <c r="W7" s="109"/>
      <c r="X7" s="109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04"/>
      <c r="C8" s="106"/>
      <c r="D8" s="108"/>
      <c r="E8" s="104"/>
      <c r="F8" s="106"/>
      <c r="G8" s="108"/>
      <c r="H8" s="104"/>
      <c r="I8" s="106"/>
      <c r="J8" s="108"/>
      <c r="K8" s="110">
        <f>K7+L7/60+M7/3600</f>
        <v>9.9450000000000003</v>
      </c>
      <c r="L8" s="111"/>
      <c r="M8" s="111"/>
      <c r="S8" s="112" t="s">
        <v>77</v>
      </c>
      <c r="T8" s="112"/>
      <c r="U8" s="112"/>
      <c r="V8" s="112"/>
      <c r="W8" s="112"/>
      <c r="X8" s="112"/>
    </row>
    <row r="9" spans="2:36" ht="15" customHeight="1" x14ac:dyDescent="0.25">
      <c r="B9" s="113" t="s">
        <v>18</v>
      </c>
      <c r="C9" s="114"/>
      <c r="D9" s="119" t="s">
        <v>17</v>
      </c>
      <c r="E9" s="119"/>
      <c r="F9" s="119"/>
      <c r="G9" s="119"/>
      <c r="H9" s="119" t="s">
        <v>16</v>
      </c>
      <c r="I9" s="119"/>
      <c r="J9" s="119"/>
      <c r="K9" s="120"/>
    </row>
    <row r="10" spans="2:36" x14ac:dyDescent="0.25">
      <c r="B10" s="115"/>
      <c r="C10" s="116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15"/>
      <c r="C11" s="116"/>
      <c r="D11" s="41">
        <v>48.875556000000003</v>
      </c>
      <c r="E11" s="41">
        <v>0</v>
      </c>
      <c r="F11" s="41">
        <v>0</v>
      </c>
      <c r="G11" s="121" t="s">
        <v>28</v>
      </c>
      <c r="H11" s="41">
        <v>2.0948030000000002</v>
      </c>
      <c r="I11" s="41">
        <v>0</v>
      </c>
      <c r="J11" s="41">
        <v>0</v>
      </c>
      <c r="K11" s="123" t="s">
        <v>32</v>
      </c>
    </row>
    <row r="12" spans="2:36" ht="15.75" thickBot="1" x14ac:dyDescent="0.3">
      <c r="B12" s="117"/>
      <c r="C12" s="118"/>
      <c r="D12" s="125">
        <f>(D11+E11/60+F11/3600) * VLOOKUP(G11,Constante!$D$15:$E$16,2)</f>
        <v>48.875556000000003</v>
      </c>
      <c r="E12" s="125"/>
      <c r="F12" s="125"/>
      <c r="G12" s="122"/>
      <c r="H12" s="125">
        <f>(H11+I11/60+J11/3600) * VLOOKUP(K11,Constante!$D$12:$E$13,2)</f>
        <v>2.0948030000000002</v>
      </c>
      <c r="I12" s="125"/>
      <c r="J12" s="125"/>
      <c r="K12" s="124"/>
    </row>
    <row r="13" spans="2:36" ht="15" customHeight="1" x14ac:dyDescent="0.25">
      <c r="B13" s="126" t="s">
        <v>21</v>
      </c>
      <c r="C13" s="127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15"/>
      <c r="C14" s="116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28"/>
      <c r="C15" s="129"/>
      <c r="D15" s="130">
        <f>(E14+F14/60+G14/3600) * VLOOKUP(D14,Constante!J12:K13,2)</f>
        <v>0.7</v>
      </c>
      <c r="E15" s="131"/>
      <c r="F15" s="131"/>
      <c r="G15" s="132"/>
    </row>
    <row r="16" spans="2:36" ht="19.5" customHeight="1" thickBot="1" x14ac:dyDescent="0.3">
      <c r="B16" s="133" t="s">
        <v>11</v>
      </c>
      <c r="C16" s="134"/>
      <c r="D16" s="134"/>
      <c r="E16" s="139" t="s">
        <v>15</v>
      </c>
      <c r="F16" s="140"/>
      <c r="G16" s="119" t="s">
        <v>12</v>
      </c>
      <c r="H16" s="119"/>
      <c r="I16" s="120"/>
      <c r="J16" s="145" t="s">
        <v>78</v>
      </c>
      <c r="K16" s="146"/>
      <c r="L16" s="147" t="s">
        <v>79</v>
      </c>
      <c r="M16" s="148"/>
    </row>
    <row r="17" spans="2:18" x14ac:dyDescent="0.25">
      <c r="B17" s="135"/>
      <c r="C17" s="136"/>
      <c r="D17" s="136"/>
      <c r="E17" s="141"/>
      <c r="F17" s="142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35"/>
      <c r="C18" s="136"/>
      <c r="D18" s="136"/>
      <c r="E18" s="141"/>
      <c r="F18" s="142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37"/>
      <c r="C19" s="138"/>
      <c r="D19" s="138"/>
      <c r="E19" s="143"/>
      <c r="F19" s="144"/>
      <c r="G19" s="149">
        <f>G18+H18/60+I18/3600</f>
        <v>31.283333333333335</v>
      </c>
      <c r="H19" s="149"/>
      <c r="I19" s="150"/>
      <c r="J19" s="151" t="s">
        <v>20</v>
      </c>
      <c r="K19" s="152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99" t="s">
        <v>33</v>
      </c>
      <c r="H26" s="99"/>
      <c r="I26" s="99"/>
      <c r="M26" s="99" t="s">
        <v>34</v>
      </c>
      <c r="N26" s="99"/>
      <c r="O26" s="99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x14ac:dyDescent="0.25">
      <c r="G29" s="111">
        <f>G28+H28/60+I28/3600</f>
        <v>9</v>
      </c>
      <c r="H29" s="111"/>
      <c r="I29" s="111"/>
      <c r="M29" s="111">
        <f>M28+N28/60+O28/3600</f>
        <v>10</v>
      </c>
      <c r="N29" s="111"/>
      <c r="O29" s="111"/>
      <c r="Q29" s="19" t="s">
        <v>93</v>
      </c>
      <c r="R29" s="19">
        <f>(K8-M29)/(G29-M29)</f>
        <v>5.4999999999999716E-2</v>
      </c>
    </row>
    <row r="31" spans="2:18" x14ac:dyDescent="0.25">
      <c r="D31" s="153" t="s">
        <v>35</v>
      </c>
      <c r="E31" s="154"/>
      <c r="F31" s="15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54"/>
      <c r="E32" s="154"/>
      <c r="F32" s="154"/>
      <c r="G32" s="34">
        <v>5</v>
      </c>
      <c r="H32" s="34">
        <v>33.200000000000003</v>
      </c>
      <c r="I32" s="34">
        <v>0</v>
      </c>
      <c r="J32" s="155" t="s">
        <v>29</v>
      </c>
      <c r="L32" s="34">
        <v>5</v>
      </c>
      <c r="M32" s="34">
        <v>34.200000000000003</v>
      </c>
      <c r="N32" s="34">
        <v>0</v>
      </c>
      <c r="O32" s="155" t="s">
        <v>29</v>
      </c>
    </row>
    <row r="33" spans="3:31" ht="15.75" thickBot="1" x14ac:dyDescent="0.3">
      <c r="D33" s="154"/>
      <c r="E33" s="154"/>
      <c r="F33" s="154"/>
      <c r="G33" s="156">
        <f>(G32+H32/60+I32/3600) * VLOOKUP(J32,Constante!$D$15:$E$16,2)</f>
        <v>-5.5533333333333337</v>
      </c>
      <c r="H33" s="156"/>
      <c r="I33" s="156"/>
      <c r="J33" s="155"/>
      <c r="L33" s="156">
        <f>(L32+M32/60+N32/3600) * VLOOKUP(O32,Constante!$D$15:$E$16,2)</f>
        <v>-5.57</v>
      </c>
      <c r="M33" s="156"/>
      <c r="N33" s="156"/>
      <c r="O33" s="155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57"/>
      <c r="H34" s="158"/>
      <c r="I34" s="158"/>
      <c r="J34" s="159"/>
      <c r="L34" s="157"/>
      <c r="M34" s="158"/>
      <c r="N34" s="158"/>
      <c r="O34" s="159"/>
    </row>
    <row r="35" spans="3:31" x14ac:dyDescent="0.25">
      <c r="D35" s="153" t="s">
        <v>36</v>
      </c>
      <c r="E35" s="154"/>
      <c r="F35" s="154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54"/>
      <c r="E36" s="154"/>
      <c r="F36" s="154"/>
      <c r="G36" s="34">
        <v>359</v>
      </c>
      <c r="H36" s="34">
        <v>2</v>
      </c>
      <c r="I36" s="34">
        <v>0</v>
      </c>
      <c r="J36" s="155" t="s">
        <v>32</v>
      </c>
      <c r="L36" s="34">
        <v>20</v>
      </c>
      <c r="M36" s="34">
        <v>2.1</v>
      </c>
      <c r="N36" s="34">
        <v>0</v>
      </c>
      <c r="O36" s="155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54"/>
      <c r="E37" s="154"/>
      <c r="F37" s="154"/>
      <c r="G37" s="156">
        <f>(G36+H36/60+I36/3600) * VLOOKUP(J36,Constante!$D$12:$E$13,2)</f>
        <v>359.03333333333336</v>
      </c>
      <c r="H37" s="156"/>
      <c r="I37" s="156"/>
      <c r="J37" s="155"/>
      <c r="L37" s="156">
        <f>(L36+M36/60+N36/3600) * VLOOKUP(O36,Constante!$D$12:$E$13,2)</f>
        <v>20.035</v>
      </c>
      <c r="M37" s="156"/>
      <c r="N37" s="156"/>
      <c r="O37" s="155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99" t="s">
        <v>51</v>
      </c>
      <c r="H43" s="99"/>
      <c r="I43" s="99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111">
        <f>G45+H45/60+I45/3600</f>
        <v>0</v>
      </c>
      <c r="H46" s="111"/>
      <c r="I46" s="111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53" t="s">
        <v>35</v>
      </c>
      <c r="E48" s="154"/>
      <c r="F48" s="15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53" t="s">
        <v>52</v>
      </c>
      <c r="M48" s="154"/>
      <c r="N48" s="154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54"/>
      <c r="E49" s="154"/>
      <c r="F49" s="154"/>
      <c r="G49" s="38">
        <v>6</v>
      </c>
      <c r="H49" s="34">
        <v>35.9</v>
      </c>
      <c r="I49" s="34">
        <v>0</v>
      </c>
      <c r="J49" s="155" t="s">
        <v>29</v>
      </c>
      <c r="K49"/>
      <c r="L49" s="154"/>
      <c r="M49" s="154"/>
      <c r="N49" s="154"/>
      <c r="O49" s="34">
        <v>0</v>
      </c>
      <c r="P49" s="34">
        <v>1</v>
      </c>
      <c r="Q49" s="34">
        <v>0</v>
      </c>
      <c r="R49" s="155" t="s">
        <v>28</v>
      </c>
      <c r="Z49"/>
      <c r="AA49"/>
      <c r="AB49"/>
      <c r="AC49"/>
      <c r="AD49"/>
      <c r="AE49"/>
    </row>
    <row r="50" spans="3:31" ht="15.75" thickBot="1" x14ac:dyDescent="0.3">
      <c r="D50" s="154"/>
      <c r="E50" s="154"/>
      <c r="F50" s="154"/>
      <c r="G50" s="156">
        <f>(G49+H49/60+I49/3600) * VLOOKUP(J49,Constante!$D$15:$E$16,2)</f>
        <v>-6.5983333333333336</v>
      </c>
      <c r="H50" s="156"/>
      <c r="I50" s="156"/>
      <c r="J50" s="155"/>
      <c r="K50"/>
      <c r="L50" s="154"/>
      <c r="M50" s="154"/>
      <c r="N50" s="154"/>
      <c r="O50" s="156">
        <f>(O49+P49/60+Q49/3600) * VLOOKUP(R49,Constante!$D$15:$E$16,2)</f>
        <v>1.6666666666666666E-2</v>
      </c>
      <c r="P50" s="156"/>
      <c r="Q50" s="156"/>
      <c r="R50" s="155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157"/>
      <c r="H51" s="158"/>
      <c r="I51" s="158"/>
      <c r="J51" s="159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53" t="s">
        <v>36</v>
      </c>
      <c r="E52" s="154"/>
      <c r="F52" s="154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53" t="s">
        <v>53</v>
      </c>
      <c r="M52" s="154"/>
      <c r="N52" s="154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54"/>
      <c r="E53" s="154"/>
      <c r="F53" s="154"/>
      <c r="G53" s="38">
        <v>177</v>
      </c>
      <c r="H53" s="34">
        <v>1.9</v>
      </c>
      <c r="I53" s="34">
        <v>0</v>
      </c>
      <c r="J53" s="155" t="s">
        <v>32</v>
      </c>
      <c r="K53"/>
      <c r="L53" s="154"/>
      <c r="M53" s="154"/>
      <c r="N53" s="154"/>
      <c r="O53" s="34">
        <v>15.002000000000001</v>
      </c>
      <c r="P53" s="34">
        <v>0</v>
      </c>
      <c r="Q53" s="34">
        <v>0</v>
      </c>
      <c r="R53" s="155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54"/>
      <c r="E54" s="154"/>
      <c r="F54" s="154"/>
      <c r="G54" s="156">
        <f>(G53+H53/60+I53/3600) * VLOOKUP(J53,Constante!$D$12:$E$13,2)</f>
        <v>177.03166666666667</v>
      </c>
      <c r="H54" s="156"/>
      <c r="I54" s="156"/>
      <c r="J54" s="155"/>
      <c r="K54"/>
      <c r="L54" s="154"/>
      <c r="M54" s="154"/>
      <c r="N54" s="154"/>
      <c r="O54" s="156">
        <f>(O53+P53/60+Q53/3600) * VLOOKUP(R53,Constante!$D$12:$E$13,2)</f>
        <v>15.002000000000001</v>
      </c>
      <c r="P54" s="156"/>
      <c r="Q54" s="156"/>
      <c r="R54" s="155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62" t="s">
        <v>54</v>
      </c>
      <c r="D58" s="162"/>
      <c r="E58" s="162"/>
      <c r="F58" s="162"/>
      <c r="G58" s="162"/>
      <c r="H58" s="163" t="s">
        <v>57</v>
      </c>
      <c r="I58" s="163"/>
      <c r="J58" s="163"/>
      <c r="K58" s="163"/>
      <c r="L58" s="63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64" t="s">
        <v>35</v>
      </c>
      <c r="G60" s="164"/>
      <c r="H60" s="164"/>
      <c r="I60" s="165">
        <f>IF(L58=Constante!E23,U33,U50)</f>
        <v>-6.4325833333333335</v>
      </c>
      <c r="J60" s="165"/>
      <c r="K60" s="165"/>
      <c r="L60" s="165"/>
    </row>
    <row r="61" spans="3:31" x14ac:dyDescent="0.25">
      <c r="F61" s="164"/>
      <c r="G61" s="164"/>
      <c r="H61" s="164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.75" thickBot="1" x14ac:dyDescent="0.3">
      <c r="F62" s="164"/>
      <c r="G62" s="164"/>
      <c r="H62" s="164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166"/>
      <c r="J63" s="167"/>
      <c r="K63" s="167"/>
      <c r="L63" s="168"/>
    </row>
    <row r="64" spans="3:31" x14ac:dyDescent="0.25">
      <c r="F64" s="164" t="s">
        <v>42</v>
      </c>
      <c r="G64" s="111"/>
      <c r="H64" s="111"/>
      <c r="I64" s="169">
        <f>IF(L58="a",AA67,Z52)+H12</f>
        <v>2.0948030000000002</v>
      </c>
      <c r="J64" s="165"/>
      <c r="K64" s="165"/>
      <c r="L64" s="165"/>
    </row>
    <row r="65" spans="2:31" x14ac:dyDescent="0.25">
      <c r="F65" s="111"/>
      <c r="G65" s="111"/>
      <c r="H65" s="111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x14ac:dyDescent="0.25">
      <c r="F66" s="111"/>
      <c r="G66" s="111"/>
      <c r="H66" s="111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100" t="s">
        <v>44</v>
      </c>
      <c r="G71" s="100"/>
      <c r="H71" s="100"/>
      <c r="S71" s="19"/>
      <c r="T71" s="160" t="s">
        <v>103</v>
      </c>
      <c r="U71" s="161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Etoile'!I60)</f>
        <v>-0.11203405649912536</v>
      </c>
      <c r="AD72" s="1">
        <f>SIN(Constante!$D$19*'Droite hauteur Etoile'!D12)*SIN(Constante!$D$19*'Droite hauteur Etoile'!F74)</f>
        <v>0.42841152475664518</v>
      </c>
      <c r="AE72" s="1">
        <f>COS(Constante!$D$19*'Droite hauteur Etoile'!D12)*COS(Constante!$D$19*'Droite hauteur Etoile'!F74)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170">
        <f>V74/Constante!$D$19</f>
        <v>34.661430958715577</v>
      </c>
      <c r="G74" s="170"/>
      <c r="H74" s="170"/>
      <c r="S74" s="19" t="s">
        <v>44</v>
      </c>
      <c r="T74" s="171" t="s">
        <v>103</v>
      </c>
      <c r="U74" s="171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100" t="s">
        <v>46</v>
      </c>
      <c r="G83" s="100"/>
      <c r="H83" s="100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67" t="s">
        <v>13</v>
      </c>
      <c r="G84" s="67" t="s">
        <v>4</v>
      </c>
      <c r="H84" s="67" t="s">
        <v>5</v>
      </c>
      <c r="S84" s="19"/>
      <c r="T84" s="160" t="s">
        <v>103</v>
      </c>
      <c r="U84" s="161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19" t="s">
        <v>102</v>
      </c>
      <c r="T85" s="172" t="s">
        <v>105</v>
      </c>
      <c r="U85" s="173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174">
        <f>V88/Constante!$D$19</f>
        <v>177.46898521244154</v>
      </c>
      <c r="G86" s="174"/>
      <c r="H86" s="174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172" t="s">
        <v>106</v>
      </c>
      <c r="U86" s="173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172" t="s">
        <v>108</v>
      </c>
      <c r="U87" s="173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160" t="s">
        <v>103</v>
      </c>
      <c r="U88" s="161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100" t="s">
        <v>62</v>
      </c>
      <c r="P92" s="100"/>
      <c r="Q92" s="100"/>
      <c r="S92" s="63" t="s">
        <v>23</v>
      </c>
      <c r="T92" s="63" t="s">
        <v>15</v>
      </c>
      <c r="U92" s="63" t="s">
        <v>81</v>
      </c>
      <c r="V92" s="63" t="s">
        <v>110</v>
      </c>
      <c r="W92" s="181" t="s">
        <v>121</v>
      </c>
      <c r="X92" s="111" t="s">
        <v>120</v>
      </c>
      <c r="Y92" s="111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111"/>
      <c r="X93" s="111"/>
      <c r="Y93" s="111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111"/>
      <c r="X94" s="111"/>
      <c r="Y94" s="111"/>
    </row>
    <row r="95" spans="2:29" x14ac:dyDescent="0.25">
      <c r="F95"/>
      <c r="G95"/>
      <c r="I95" s="1" t="s">
        <v>63</v>
      </c>
      <c r="O95" s="170">
        <f>D93-F93+I93+I94</f>
        <v>30.82585555555556</v>
      </c>
      <c r="P95" s="170"/>
      <c r="Q95" s="170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100" t="s">
        <v>69</v>
      </c>
      <c r="G106" s="100"/>
      <c r="H106" s="100"/>
    </row>
    <row r="107" spans="4:27" x14ac:dyDescent="0.25">
      <c r="F107" s="67" t="s">
        <v>13</v>
      </c>
      <c r="G107" s="67" t="s">
        <v>4</v>
      </c>
      <c r="H107" s="6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175">
        <f>O95-F74</f>
        <v>-3.8355754031600178</v>
      </c>
      <c r="G109" s="176"/>
      <c r="H109" s="177"/>
      <c r="J109" s="109">
        <f>F109*60</f>
        <v>-230.13452418960105</v>
      </c>
      <c r="K109" s="109"/>
      <c r="L109" s="109" t="s">
        <v>125</v>
      </c>
      <c r="M109" s="109"/>
    </row>
    <row r="112" spans="4:27" x14ac:dyDescent="0.25">
      <c r="G112" s="178" t="s">
        <v>122</v>
      </c>
      <c r="H112" s="178"/>
      <c r="I112" s="178"/>
      <c r="J112" s="83" t="s">
        <v>17</v>
      </c>
      <c r="K112" s="83">
        <f>ABS(I60)</f>
        <v>6.4325833333333335</v>
      </c>
      <c r="L112" s="83" t="str">
        <f>L62</f>
        <v>S</v>
      </c>
      <c r="M112" s="179" t="s">
        <v>123</v>
      </c>
      <c r="N112" s="180"/>
      <c r="O112" s="178" t="s">
        <v>124</v>
      </c>
      <c r="P112" s="178"/>
      <c r="Q112" s="178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178"/>
      <c r="H113" s="178"/>
      <c r="I113" s="178"/>
      <c r="J113" s="83" t="s">
        <v>16</v>
      </c>
      <c r="K113" s="83">
        <f>ABS(I64)</f>
        <v>2.0948030000000002</v>
      </c>
      <c r="L113" s="83" t="str">
        <f>L66</f>
        <v>E</v>
      </c>
      <c r="M113" s="179"/>
      <c r="N113" s="180"/>
      <c r="O113" s="178"/>
      <c r="P113" s="178"/>
      <c r="Q113" s="178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G112:I113"/>
    <mergeCell ref="M112:N113"/>
    <mergeCell ref="O112:Q113"/>
    <mergeCell ref="W92:W94"/>
    <mergeCell ref="X92:X94"/>
    <mergeCell ref="Y92:Y94"/>
    <mergeCell ref="O95:Q95"/>
    <mergeCell ref="F106:H106"/>
    <mergeCell ref="F109:H109"/>
    <mergeCell ref="J109:K109"/>
    <mergeCell ref="L109:M109"/>
    <mergeCell ref="O92:Q92"/>
    <mergeCell ref="T85:U85"/>
    <mergeCell ref="F86:H86"/>
    <mergeCell ref="T86:U86"/>
    <mergeCell ref="T87:U87"/>
    <mergeCell ref="T88:U88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G51:J51"/>
    <mergeCell ref="D52:F54"/>
    <mergeCell ref="L52:N54"/>
    <mergeCell ref="J53:J54"/>
    <mergeCell ref="R53:R54"/>
    <mergeCell ref="G54:I54"/>
    <mergeCell ref="O54:Q54"/>
    <mergeCell ref="G46:I46"/>
    <mergeCell ref="D48:F50"/>
    <mergeCell ref="L48:N50"/>
    <mergeCell ref="J49:J50"/>
    <mergeCell ref="R49:R50"/>
    <mergeCell ref="G50:I50"/>
    <mergeCell ref="O50:Q50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B9:C12"/>
    <mergeCell ref="D9:G9"/>
    <mergeCell ref="H9:K9"/>
    <mergeCell ref="G11:G12"/>
    <mergeCell ref="K11:K12"/>
    <mergeCell ref="D12:F12"/>
    <mergeCell ref="H12:J12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  <mergeCell ref="S8:X8"/>
    <mergeCell ref="B2:P2"/>
    <mergeCell ref="S3:X3"/>
    <mergeCell ref="K4:M4"/>
    <mergeCell ref="S4:X4"/>
    <mergeCell ref="B5:D5"/>
    <mergeCell ref="E5:G5"/>
    <mergeCell ref="H5:J5"/>
    <mergeCell ref="K5:M5"/>
    <mergeCell ref="S5:X5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Constante!$J$12:$J$13</xm:f>
          </x14:formula1>
          <xm:sqref>D14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73" workbookViewId="0">
      <selection activeCell="U107" sqref="U10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94" t="s">
        <v>10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56"/>
      <c r="R2" s="16" t="s">
        <v>71</v>
      </c>
      <c r="S2" s="16"/>
      <c r="Y2" s="56"/>
      <c r="Z2" s="57"/>
    </row>
    <row r="3" spans="2:36" ht="15.75" thickBot="1" x14ac:dyDescent="0.3">
      <c r="S3" s="96" t="s">
        <v>72</v>
      </c>
      <c r="T3" s="96"/>
      <c r="U3" s="96"/>
      <c r="V3" s="96"/>
      <c r="W3" s="96"/>
      <c r="X3" s="96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97" t="s">
        <v>82</v>
      </c>
      <c r="L4" s="97"/>
      <c r="M4" s="97"/>
      <c r="S4" s="98" t="s">
        <v>73</v>
      </c>
      <c r="T4" s="98"/>
      <c r="U4" s="98"/>
      <c r="V4" s="98"/>
      <c r="W4" s="98"/>
      <c r="X4" s="98"/>
    </row>
    <row r="5" spans="2:36" x14ac:dyDescent="0.25">
      <c r="B5" s="99" t="s">
        <v>2</v>
      </c>
      <c r="C5" s="99"/>
      <c r="D5" s="99"/>
      <c r="E5" s="99" t="s">
        <v>6</v>
      </c>
      <c r="F5" s="99"/>
      <c r="G5" s="99"/>
      <c r="H5" s="99" t="s">
        <v>7</v>
      </c>
      <c r="I5" s="99"/>
      <c r="J5" s="99"/>
      <c r="K5" s="100" t="s">
        <v>8</v>
      </c>
      <c r="L5" s="100"/>
      <c r="M5" s="100"/>
      <c r="S5" s="101" t="s">
        <v>74</v>
      </c>
      <c r="T5" s="101"/>
      <c r="U5" s="101"/>
      <c r="V5" s="101"/>
      <c r="W5" s="101"/>
      <c r="X5" s="101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17" t="s">
        <v>3</v>
      </c>
      <c r="L6" s="17" t="s">
        <v>4</v>
      </c>
      <c r="M6" s="17" t="s">
        <v>5</v>
      </c>
      <c r="S6" s="102" t="s">
        <v>75</v>
      </c>
      <c r="T6" s="102"/>
      <c r="U6" s="102"/>
      <c r="V6" s="102"/>
      <c r="W6" s="102"/>
      <c r="X6" s="102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03">
        <v>9</v>
      </c>
      <c r="C7" s="105">
        <v>56</v>
      </c>
      <c r="D7" s="107">
        <v>42</v>
      </c>
      <c r="E7" s="103">
        <v>0</v>
      </c>
      <c r="F7" s="105">
        <v>0</v>
      </c>
      <c r="G7" s="107">
        <v>0</v>
      </c>
      <c r="H7" s="103">
        <v>0</v>
      </c>
      <c r="I7" s="105">
        <v>0</v>
      </c>
      <c r="J7" s="107">
        <v>0</v>
      </c>
      <c r="K7" s="36">
        <f>INT(AJ7)</f>
        <v>9</v>
      </c>
      <c r="L7" s="18">
        <f>INT(60 * (AJ7-K7))</f>
        <v>56</v>
      </c>
      <c r="M7" s="18">
        <f>INT(3600 * (AJ7-K7-L7/60))</f>
        <v>42</v>
      </c>
      <c r="S7" s="109" t="s">
        <v>76</v>
      </c>
      <c r="T7" s="109"/>
      <c r="U7" s="109"/>
      <c r="V7" s="109"/>
      <c r="W7" s="109"/>
      <c r="X7" s="109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04"/>
      <c r="C8" s="106"/>
      <c r="D8" s="108"/>
      <c r="E8" s="104"/>
      <c r="F8" s="106"/>
      <c r="G8" s="108"/>
      <c r="H8" s="104"/>
      <c r="I8" s="106"/>
      <c r="J8" s="108"/>
      <c r="K8" s="110">
        <f>K7+L7/60+M7/3600</f>
        <v>9.9450000000000003</v>
      </c>
      <c r="L8" s="111"/>
      <c r="M8" s="111"/>
      <c r="S8" s="112" t="s">
        <v>77</v>
      </c>
      <c r="T8" s="112"/>
      <c r="U8" s="112"/>
      <c r="V8" s="112"/>
      <c r="W8" s="112"/>
      <c r="X8" s="112"/>
    </row>
    <row r="9" spans="2:36" ht="15" customHeight="1" x14ac:dyDescent="0.25">
      <c r="B9" s="113" t="s">
        <v>18</v>
      </c>
      <c r="C9" s="114"/>
      <c r="D9" s="119" t="s">
        <v>17</v>
      </c>
      <c r="E9" s="119"/>
      <c r="F9" s="119"/>
      <c r="G9" s="119"/>
      <c r="H9" s="119" t="s">
        <v>16</v>
      </c>
      <c r="I9" s="119"/>
      <c r="J9" s="119"/>
      <c r="K9" s="120"/>
    </row>
    <row r="10" spans="2:36" x14ac:dyDescent="0.25">
      <c r="B10" s="115"/>
      <c r="C10" s="116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15"/>
      <c r="C11" s="116"/>
      <c r="D11" s="41">
        <v>48.875556000000003</v>
      </c>
      <c r="E11" s="41">
        <v>0</v>
      </c>
      <c r="F11" s="41">
        <v>0</v>
      </c>
      <c r="G11" s="121" t="s">
        <v>28</v>
      </c>
      <c r="H11" s="41">
        <v>2.0948030000000002</v>
      </c>
      <c r="I11" s="41">
        <v>0</v>
      </c>
      <c r="J11" s="41">
        <v>0</v>
      </c>
      <c r="K11" s="123" t="s">
        <v>32</v>
      </c>
    </row>
    <row r="12" spans="2:36" ht="15.75" thickBot="1" x14ac:dyDescent="0.3">
      <c r="B12" s="117"/>
      <c r="C12" s="118"/>
      <c r="D12" s="125">
        <f>(D11+E11/60+F11/3600) * VLOOKUP(G11,Constante!$D$15:$E$16,2)</f>
        <v>48.875556000000003</v>
      </c>
      <c r="E12" s="125"/>
      <c r="F12" s="125"/>
      <c r="G12" s="122"/>
      <c r="H12" s="125">
        <f>(H11+I11/60+J11/3600) * VLOOKUP(K11,Constante!$D$12:$E$13,2)</f>
        <v>2.0948030000000002</v>
      </c>
      <c r="I12" s="125"/>
      <c r="J12" s="125"/>
      <c r="K12" s="124"/>
    </row>
    <row r="13" spans="2:36" ht="15" customHeight="1" x14ac:dyDescent="0.25">
      <c r="B13" s="126" t="s">
        <v>21</v>
      </c>
      <c r="C13" s="127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15"/>
      <c r="C14" s="116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28"/>
      <c r="C15" s="129"/>
      <c r="D15" s="130">
        <f>(E14+F14/60+G14/3600) * VLOOKUP(D14,Constante!J12:K13,2)</f>
        <v>0.7</v>
      </c>
      <c r="E15" s="131"/>
      <c r="F15" s="131"/>
      <c r="G15" s="132"/>
    </row>
    <row r="16" spans="2:36" ht="19.5" customHeight="1" thickBot="1" x14ac:dyDescent="0.3">
      <c r="B16" s="133" t="s">
        <v>11</v>
      </c>
      <c r="C16" s="134"/>
      <c r="D16" s="134"/>
      <c r="E16" s="139" t="s">
        <v>15</v>
      </c>
      <c r="F16" s="140"/>
      <c r="G16" s="119" t="s">
        <v>12</v>
      </c>
      <c r="H16" s="119"/>
      <c r="I16" s="120"/>
      <c r="J16" s="145" t="s">
        <v>78</v>
      </c>
      <c r="K16" s="146"/>
      <c r="L16" s="147" t="s">
        <v>79</v>
      </c>
      <c r="M16" s="148"/>
    </row>
    <row r="17" spans="2:18" x14ac:dyDescent="0.25">
      <c r="B17" s="135"/>
      <c r="C17" s="136"/>
      <c r="D17" s="136"/>
      <c r="E17" s="141"/>
      <c r="F17" s="142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35"/>
      <c r="C18" s="136"/>
      <c r="D18" s="136"/>
      <c r="E18" s="141"/>
      <c r="F18" s="142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37"/>
      <c r="C19" s="138"/>
      <c r="D19" s="138"/>
      <c r="E19" s="143"/>
      <c r="F19" s="144"/>
      <c r="G19" s="149">
        <f>G18+H18/60+I18/3600</f>
        <v>31.283333333333335</v>
      </c>
      <c r="H19" s="149"/>
      <c r="I19" s="150"/>
      <c r="J19" s="151" t="s">
        <v>20</v>
      </c>
      <c r="K19" s="152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99" t="s">
        <v>33</v>
      </c>
      <c r="H26" s="99"/>
      <c r="I26" s="99"/>
      <c r="M26" s="99" t="s">
        <v>34</v>
      </c>
      <c r="N26" s="99"/>
      <c r="O26" s="99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37">
        <v>9</v>
      </c>
      <c r="H28" s="37">
        <v>0</v>
      </c>
      <c r="I28" s="37">
        <v>0</v>
      </c>
      <c r="M28" s="37">
        <v>10</v>
      </c>
      <c r="N28" s="37">
        <v>0</v>
      </c>
      <c r="O28" s="37">
        <v>0</v>
      </c>
    </row>
    <row r="29" spans="2:18" x14ac:dyDescent="0.25">
      <c r="G29" s="111">
        <f>G28+H28/60+I28/3600</f>
        <v>9</v>
      </c>
      <c r="H29" s="111"/>
      <c r="I29" s="111"/>
      <c r="M29" s="111">
        <f>M28+N28/60+O28/3600</f>
        <v>10</v>
      </c>
      <c r="N29" s="111"/>
      <c r="O29" s="111"/>
      <c r="Q29" s="19" t="s">
        <v>93</v>
      </c>
      <c r="R29" s="19">
        <f>(K8-M29)/(G29-M29)</f>
        <v>5.4999999999999716E-2</v>
      </c>
    </row>
    <row r="31" spans="2:18" x14ac:dyDescent="0.25">
      <c r="D31" s="153" t="s">
        <v>35</v>
      </c>
      <c r="E31" s="154"/>
      <c r="F31" s="15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54"/>
      <c r="E32" s="154"/>
      <c r="F32" s="154"/>
      <c r="G32" s="34">
        <v>5</v>
      </c>
      <c r="H32" s="34">
        <v>33.200000000000003</v>
      </c>
      <c r="I32" s="34">
        <v>0</v>
      </c>
      <c r="J32" s="155" t="s">
        <v>29</v>
      </c>
      <c r="L32" s="34">
        <v>5</v>
      </c>
      <c r="M32" s="34">
        <v>34.200000000000003</v>
      </c>
      <c r="N32" s="34">
        <v>0</v>
      </c>
      <c r="O32" s="155" t="s">
        <v>29</v>
      </c>
    </row>
    <row r="33" spans="3:31" ht="15.75" thickBot="1" x14ac:dyDescent="0.3">
      <c r="D33" s="154"/>
      <c r="E33" s="154"/>
      <c r="F33" s="154"/>
      <c r="G33" s="156">
        <f>(G32+H32/60+I32/3600) * VLOOKUP(J32,Constante!$D$15:$E$16,2)</f>
        <v>-5.5533333333333337</v>
      </c>
      <c r="H33" s="156"/>
      <c r="I33" s="156"/>
      <c r="J33" s="155"/>
      <c r="L33" s="156">
        <f>(L32+M32/60+N32/3600) * VLOOKUP(O32,Constante!$D$15:$E$16,2)</f>
        <v>-5.57</v>
      </c>
      <c r="M33" s="156"/>
      <c r="N33" s="156"/>
      <c r="O33" s="155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57"/>
      <c r="H34" s="158"/>
      <c r="I34" s="158"/>
      <c r="J34" s="159"/>
      <c r="L34" s="157"/>
      <c r="M34" s="158"/>
      <c r="N34" s="158"/>
      <c r="O34" s="159"/>
    </row>
    <row r="35" spans="3:31" x14ac:dyDescent="0.25">
      <c r="D35" s="153" t="s">
        <v>36</v>
      </c>
      <c r="E35" s="154"/>
      <c r="F35" s="154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54"/>
      <c r="E36" s="154"/>
      <c r="F36" s="154"/>
      <c r="G36" s="34">
        <v>359</v>
      </c>
      <c r="H36" s="34">
        <v>2</v>
      </c>
      <c r="I36" s="34">
        <v>0</v>
      </c>
      <c r="J36" s="155" t="s">
        <v>32</v>
      </c>
      <c r="L36" s="34">
        <v>20</v>
      </c>
      <c r="M36" s="34">
        <v>2.1</v>
      </c>
      <c r="N36" s="34">
        <v>0</v>
      </c>
      <c r="O36" s="155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54"/>
      <c r="E37" s="154"/>
      <c r="F37" s="154"/>
      <c r="G37" s="156">
        <f>(G36+H36/60+I36/3600) * VLOOKUP(J36,Constante!$D$12:$E$13,2)</f>
        <v>359.03333333333336</v>
      </c>
      <c r="H37" s="156"/>
      <c r="I37" s="156"/>
      <c r="J37" s="155"/>
      <c r="L37" s="156">
        <f>(L36+M36/60+N36/3600) * VLOOKUP(O36,Constante!$D$12:$E$13,2)</f>
        <v>20.035</v>
      </c>
      <c r="M37" s="156"/>
      <c r="N37" s="156"/>
      <c r="O37" s="155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99" t="s">
        <v>51</v>
      </c>
      <c r="H43" s="99"/>
      <c r="I43" s="99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37">
        <v>0</v>
      </c>
      <c r="H45" s="37">
        <v>0</v>
      </c>
      <c r="I45" s="37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111">
        <f>G45+H45/60+I45/3600</f>
        <v>0</v>
      </c>
      <c r="H46" s="111"/>
      <c r="I46" s="111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53" t="s">
        <v>35</v>
      </c>
      <c r="E48" s="154"/>
      <c r="F48" s="15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53" t="s">
        <v>52</v>
      </c>
      <c r="M48" s="154"/>
      <c r="N48" s="154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54"/>
      <c r="E49" s="154"/>
      <c r="F49" s="154"/>
      <c r="G49" s="38">
        <v>6</v>
      </c>
      <c r="H49" s="34">
        <v>35.9</v>
      </c>
      <c r="I49" s="34">
        <v>0</v>
      </c>
      <c r="J49" s="155" t="s">
        <v>29</v>
      </c>
      <c r="K49"/>
      <c r="L49" s="154"/>
      <c r="M49" s="154"/>
      <c r="N49" s="154"/>
      <c r="O49" s="34">
        <v>0</v>
      </c>
      <c r="P49" s="34">
        <v>1</v>
      </c>
      <c r="Q49" s="34">
        <v>0</v>
      </c>
      <c r="R49" s="155" t="s">
        <v>28</v>
      </c>
      <c r="Z49"/>
      <c r="AA49"/>
      <c r="AB49"/>
      <c r="AC49"/>
      <c r="AD49"/>
      <c r="AE49"/>
    </row>
    <row r="50" spans="3:31" ht="15.75" thickBot="1" x14ac:dyDescent="0.3">
      <c r="D50" s="154"/>
      <c r="E50" s="154"/>
      <c r="F50" s="154"/>
      <c r="G50" s="156">
        <f>(G49+H49/60+I49/3600) * VLOOKUP(J49,Constante!$D$15:$E$16,2)</f>
        <v>-6.5983333333333336</v>
      </c>
      <c r="H50" s="156"/>
      <c r="I50" s="156"/>
      <c r="J50" s="155"/>
      <c r="K50"/>
      <c r="L50" s="154"/>
      <c r="M50" s="154"/>
      <c r="N50" s="154"/>
      <c r="O50" s="156">
        <f>(O49+P49/60+Q49/3600) * VLOOKUP(R49,Constante!$D$15:$E$16,2)</f>
        <v>1.6666666666666666E-2</v>
      </c>
      <c r="P50" s="156"/>
      <c r="Q50" s="156"/>
      <c r="R50" s="155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157"/>
      <c r="H51" s="158"/>
      <c r="I51" s="158"/>
      <c r="J51" s="159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53" t="s">
        <v>36</v>
      </c>
      <c r="E52" s="154"/>
      <c r="F52" s="154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53" t="s">
        <v>53</v>
      </c>
      <c r="M52" s="154"/>
      <c r="N52" s="154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54"/>
      <c r="E53" s="154"/>
      <c r="F53" s="154"/>
      <c r="G53" s="38">
        <v>177</v>
      </c>
      <c r="H53" s="34">
        <v>1.9</v>
      </c>
      <c r="I53" s="34">
        <v>0</v>
      </c>
      <c r="J53" s="155" t="s">
        <v>32</v>
      </c>
      <c r="K53"/>
      <c r="L53" s="154"/>
      <c r="M53" s="154"/>
      <c r="N53" s="154"/>
      <c r="O53" s="34">
        <v>15.002000000000001</v>
      </c>
      <c r="P53" s="34">
        <v>0</v>
      </c>
      <c r="Q53" s="34">
        <v>0</v>
      </c>
      <c r="R53" s="155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54"/>
      <c r="E54" s="154"/>
      <c r="F54" s="154"/>
      <c r="G54" s="156">
        <f>(G53+H53/60+I53/3600) * VLOOKUP(J53,Constante!$D$12:$E$13,2)</f>
        <v>177.03166666666667</v>
      </c>
      <c r="H54" s="156"/>
      <c r="I54" s="156"/>
      <c r="J54" s="155"/>
      <c r="K54"/>
      <c r="L54" s="154"/>
      <c r="M54" s="154"/>
      <c r="N54" s="154"/>
      <c r="O54" s="156">
        <f>(O53+P53/60+Q53/3600) * VLOOKUP(R53,Constante!$D$12:$E$13,2)</f>
        <v>15.002000000000001</v>
      </c>
      <c r="P54" s="156"/>
      <c r="Q54" s="156"/>
      <c r="R54" s="155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62" t="s">
        <v>54</v>
      </c>
      <c r="D58" s="162"/>
      <c r="E58" s="162"/>
      <c r="F58" s="162"/>
      <c r="G58" s="162"/>
      <c r="H58" s="163" t="s">
        <v>57</v>
      </c>
      <c r="I58" s="163"/>
      <c r="J58" s="163"/>
      <c r="K58" s="163"/>
      <c r="L58" s="58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64" t="s">
        <v>35</v>
      </c>
      <c r="G60" s="164"/>
      <c r="H60" s="164"/>
      <c r="I60" s="165">
        <f>IF(L58=Constante!E23,U33,U50)</f>
        <v>-6.4325833333333335</v>
      </c>
      <c r="J60" s="165"/>
      <c r="K60" s="165"/>
      <c r="L60" s="165"/>
    </row>
    <row r="61" spans="3:31" x14ac:dyDescent="0.25">
      <c r="F61" s="164"/>
      <c r="G61" s="164"/>
      <c r="H61" s="164"/>
      <c r="I61" s="17" t="s">
        <v>13</v>
      </c>
      <c r="J61" s="17" t="s">
        <v>4</v>
      </c>
      <c r="K61" s="17" t="s">
        <v>5</v>
      </c>
      <c r="L61" s="19" t="s">
        <v>22</v>
      </c>
    </row>
    <row r="62" spans="3:31" ht="15.75" thickBot="1" x14ac:dyDescent="0.3">
      <c r="F62" s="164"/>
      <c r="G62" s="164"/>
      <c r="H62" s="164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166"/>
      <c r="J63" s="167"/>
      <c r="K63" s="167"/>
      <c r="L63" s="168"/>
    </row>
    <row r="64" spans="3:31" x14ac:dyDescent="0.25">
      <c r="F64" s="164" t="s">
        <v>42</v>
      </c>
      <c r="G64" s="111"/>
      <c r="H64" s="111"/>
      <c r="I64" s="169">
        <f>IF(L58="a",AA67,Z52)+H12</f>
        <v>2.0948030000000002</v>
      </c>
      <c r="J64" s="165"/>
      <c r="K64" s="165"/>
      <c r="L64" s="165"/>
    </row>
    <row r="65" spans="2:31" x14ac:dyDescent="0.25">
      <c r="F65" s="111"/>
      <c r="G65" s="111"/>
      <c r="H65" s="111"/>
      <c r="I65" s="17" t="s">
        <v>13</v>
      </c>
      <c r="J65" s="17" t="s">
        <v>4</v>
      </c>
      <c r="K65" s="17" t="s">
        <v>5</v>
      </c>
      <c r="L65" s="19" t="s">
        <v>22</v>
      </c>
    </row>
    <row r="66" spans="2:31" x14ac:dyDescent="0.25">
      <c r="F66" s="111"/>
      <c r="G66" s="111"/>
      <c r="H66" s="111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100" t="s">
        <v>44</v>
      </c>
      <c r="G71" s="100"/>
      <c r="H71" s="100"/>
      <c r="S71" s="19"/>
      <c r="T71" s="160" t="s">
        <v>103</v>
      </c>
      <c r="U71" s="161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17" t="s">
        <v>13</v>
      </c>
      <c r="G72" s="17" t="s">
        <v>4</v>
      </c>
      <c r="H72" s="1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Lune'!I60)</f>
        <v>-0.11203405649912536</v>
      </c>
      <c r="AD72" s="1">
        <f>SIN(Constante!$D$19*'Droite hauteur Lune'!D12)*SIN(Constante!$D$19*'Droite hauteur Lune'!F74)</f>
        <v>0.42841152475664518</v>
      </c>
      <c r="AE72" s="1">
        <f>COS(Constante!$D$19*'Droite hauteur Lune'!D12)*COS(Constante!$D$19*'Droite hauteur Lune'!F74)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21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170">
        <f>V74/Constante!$D$19</f>
        <v>34.661430958715577</v>
      </c>
      <c r="G74" s="170"/>
      <c r="H74" s="170"/>
      <c r="S74" s="19" t="s">
        <v>44</v>
      </c>
      <c r="T74" s="171" t="s">
        <v>103</v>
      </c>
      <c r="U74" s="171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100" t="s">
        <v>46</v>
      </c>
      <c r="G83" s="100"/>
      <c r="H83" s="100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17" t="s">
        <v>13</v>
      </c>
      <c r="G84" s="17" t="s">
        <v>4</v>
      </c>
      <c r="H84" s="17" t="s">
        <v>5</v>
      </c>
      <c r="S84" s="19"/>
      <c r="T84" s="160" t="s">
        <v>103</v>
      </c>
      <c r="U84" s="161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21">
        <f>ABS(F86)-F85-G85/60</f>
        <v>2.31854577487145E-3</v>
      </c>
      <c r="J85" s="22" t="s">
        <v>70</v>
      </c>
      <c r="K85" s="22"/>
      <c r="S85" s="19" t="s">
        <v>102</v>
      </c>
      <c r="T85" s="172" t="s">
        <v>105</v>
      </c>
      <c r="U85" s="173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174">
        <f>V88/Constante!$D$19</f>
        <v>177.46898521244154</v>
      </c>
      <c r="G86" s="174"/>
      <c r="H86" s="174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172" t="s">
        <v>106</v>
      </c>
      <c r="U86" s="173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172" t="s">
        <v>108</v>
      </c>
      <c r="U87" s="173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160" t="s">
        <v>103</v>
      </c>
      <c r="U88" s="161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100" t="s">
        <v>62</v>
      </c>
      <c r="P92" s="100"/>
      <c r="Q92" s="100"/>
      <c r="S92" s="63" t="s">
        <v>23</v>
      </c>
      <c r="T92" s="63" t="s">
        <v>15</v>
      </c>
      <c r="U92" s="63" t="s">
        <v>81</v>
      </c>
      <c r="V92" s="63" t="s">
        <v>110</v>
      </c>
      <c r="W92" s="181" t="s">
        <v>121</v>
      </c>
      <c r="X92" s="111" t="s">
        <v>120</v>
      </c>
      <c r="Y92" s="111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17" t="s">
        <v>13</v>
      </c>
      <c r="P93" s="17" t="s">
        <v>4</v>
      </c>
      <c r="Q93" s="1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111"/>
      <c r="X93" s="111"/>
      <c r="Y93" s="111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21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111"/>
      <c r="X94" s="111"/>
      <c r="Y94" s="111"/>
    </row>
    <row r="95" spans="2:29" x14ac:dyDescent="0.25">
      <c r="F95"/>
      <c r="G95"/>
      <c r="I95" s="1" t="s">
        <v>63</v>
      </c>
      <c r="O95" s="170">
        <f>D93-F93+I93+I94</f>
        <v>30.82585555555556</v>
      </c>
      <c r="P95" s="170"/>
      <c r="Q95" s="170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100" t="s">
        <v>69</v>
      </c>
      <c r="G106" s="100"/>
      <c r="H106" s="100"/>
    </row>
    <row r="107" spans="4:27" x14ac:dyDescent="0.25">
      <c r="F107" s="17" t="s">
        <v>13</v>
      </c>
      <c r="G107" s="17" t="s">
        <v>4</v>
      </c>
      <c r="H107" s="1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175">
        <f>O95-F74</f>
        <v>-3.8355754031600178</v>
      </c>
      <c r="G109" s="176"/>
      <c r="H109" s="177"/>
      <c r="J109" s="109">
        <f>F109*60</f>
        <v>-230.13452418960105</v>
      </c>
      <c r="K109" s="109"/>
      <c r="L109" s="109" t="s">
        <v>125</v>
      </c>
      <c r="M109" s="109"/>
    </row>
    <row r="112" spans="4:27" x14ac:dyDescent="0.25">
      <c r="G112" s="178" t="s">
        <v>122</v>
      </c>
      <c r="H112" s="178"/>
      <c r="I112" s="178"/>
      <c r="J112" s="83" t="s">
        <v>17</v>
      </c>
      <c r="K112" s="83">
        <f>ABS(I60)</f>
        <v>6.4325833333333335</v>
      </c>
      <c r="L112" s="83" t="str">
        <f>L62</f>
        <v>S</v>
      </c>
      <c r="M112" s="179" t="s">
        <v>123</v>
      </c>
      <c r="N112" s="180"/>
      <c r="O112" s="178" t="s">
        <v>124</v>
      </c>
      <c r="P112" s="178"/>
      <c r="Q112" s="178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178"/>
      <c r="H113" s="178"/>
      <c r="I113" s="178"/>
      <c r="J113" s="83" t="s">
        <v>16</v>
      </c>
      <c r="K113" s="83">
        <f>ABS(I64)</f>
        <v>2.0948030000000002</v>
      </c>
      <c r="L113" s="83" t="str">
        <f>L66</f>
        <v>E</v>
      </c>
      <c r="M113" s="179"/>
      <c r="N113" s="180"/>
      <c r="O113" s="178"/>
      <c r="P113" s="178"/>
      <c r="Q113" s="178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M112:N113"/>
    <mergeCell ref="O112:Q113"/>
    <mergeCell ref="G112:I113"/>
    <mergeCell ref="X92:X94"/>
    <mergeCell ref="Y92:Y94"/>
    <mergeCell ref="W92:W94"/>
    <mergeCell ref="O92:Q92"/>
    <mergeCell ref="O95:Q95"/>
    <mergeCell ref="F106:H106"/>
    <mergeCell ref="F109:H109"/>
    <mergeCell ref="J109:K109"/>
    <mergeCell ref="L109:M109"/>
    <mergeCell ref="S7:X7"/>
    <mergeCell ref="S8:X8"/>
    <mergeCell ref="K4:M4"/>
    <mergeCell ref="D15:G15"/>
    <mergeCell ref="S3:X3"/>
    <mergeCell ref="S4:X4"/>
    <mergeCell ref="S5:X5"/>
    <mergeCell ref="S6:X6"/>
    <mergeCell ref="F7:F8"/>
    <mergeCell ref="B2:P2"/>
    <mergeCell ref="H12:J12"/>
    <mergeCell ref="B9:C12"/>
    <mergeCell ref="G7:G8"/>
    <mergeCell ref="H7:H8"/>
    <mergeCell ref="I7:I8"/>
    <mergeCell ref="J7:J8"/>
    <mergeCell ref="D12:F12"/>
    <mergeCell ref="K5:M5"/>
    <mergeCell ref="K8:M8"/>
    <mergeCell ref="K11:K12"/>
    <mergeCell ref="H5:J5"/>
    <mergeCell ref="D9:G9"/>
    <mergeCell ref="G11:G12"/>
    <mergeCell ref="H9:K9"/>
    <mergeCell ref="E7:E8"/>
    <mergeCell ref="B7:B8"/>
    <mergeCell ref="C7:C8"/>
    <mergeCell ref="D7:D8"/>
    <mergeCell ref="B5:D5"/>
    <mergeCell ref="E5:G5"/>
    <mergeCell ref="M26:O26"/>
    <mergeCell ref="G34:J34"/>
    <mergeCell ref="B13:C15"/>
    <mergeCell ref="G26:I26"/>
    <mergeCell ref="M29:O29"/>
    <mergeCell ref="J32:J33"/>
    <mergeCell ref="D31:F33"/>
    <mergeCell ref="J19:K19"/>
    <mergeCell ref="B16:D19"/>
    <mergeCell ref="E16:F19"/>
    <mergeCell ref="J16:K16"/>
    <mergeCell ref="L16:M16"/>
    <mergeCell ref="G19:I19"/>
    <mergeCell ref="O32:O33"/>
    <mergeCell ref="L33:N33"/>
    <mergeCell ref="G16:I16"/>
    <mergeCell ref="L34:O34"/>
    <mergeCell ref="O36:O37"/>
    <mergeCell ref="L37:N37"/>
    <mergeCell ref="D35:F37"/>
    <mergeCell ref="F60:H62"/>
    <mergeCell ref="H58:K58"/>
    <mergeCell ref="L48:N50"/>
    <mergeCell ref="G29:I29"/>
    <mergeCell ref="C58:G58"/>
    <mergeCell ref="J49:J50"/>
    <mergeCell ref="J36:J37"/>
    <mergeCell ref="G33:I33"/>
    <mergeCell ref="G37:I37"/>
    <mergeCell ref="F71:H71"/>
    <mergeCell ref="F74:H74"/>
    <mergeCell ref="F83:H83"/>
    <mergeCell ref="F86:H86"/>
    <mergeCell ref="G43:I43"/>
    <mergeCell ref="G46:I46"/>
    <mergeCell ref="D48:F50"/>
    <mergeCell ref="I63:L63"/>
    <mergeCell ref="F64:H66"/>
    <mergeCell ref="I60:L60"/>
    <mergeCell ref="I64:L64"/>
    <mergeCell ref="G50:I50"/>
    <mergeCell ref="G51:J51"/>
    <mergeCell ref="D52:F54"/>
    <mergeCell ref="J53:J54"/>
    <mergeCell ref="G54:I54"/>
    <mergeCell ref="R49:R50"/>
    <mergeCell ref="O50:Q50"/>
    <mergeCell ref="L52:N54"/>
    <mergeCell ref="R53:R54"/>
    <mergeCell ref="O54:Q54"/>
    <mergeCell ref="T88:U88"/>
    <mergeCell ref="T86:U86"/>
    <mergeCell ref="T87:U87"/>
    <mergeCell ref="T74:U74"/>
    <mergeCell ref="T71:U71"/>
    <mergeCell ref="T85:U85"/>
    <mergeCell ref="T84:U8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Constante!$J$12:$J$13</xm:f>
          </x14:formula1>
          <xm:sqref>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1"/>
  <sheetViews>
    <sheetView topLeftCell="B1" workbookViewId="0">
      <selection activeCell="E23" sqref="E23"/>
    </sheetView>
  </sheetViews>
  <sheetFormatPr defaultColWidth="11.42578125" defaultRowHeight="15" x14ac:dyDescent="0.25"/>
  <cols>
    <col min="3" max="3" width="17" customWidth="1"/>
    <col min="5" max="5" width="3.5703125" customWidth="1"/>
  </cols>
  <sheetData>
    <row r="3" spans="3:20" x14ac:dyDescent="0.25">
      <c r="C3" s="10" t="s">
        <v>14</v>
      </c>
      <c r="D3" s="10" t="s">
        <v>15</v>
      </c>
      <c r="F3" s="40" t="s">
        <v>78</v>
      </c>
      <c r="G3" s="40" t="s">
        <v>79</v>
      </c>
      <c r="J3" s="5" t="s">
        <v>68</v>
      </c>
      <c r="K3" s="5">
        <v>0</v>
      </c>
      <c r="L3" s="182" t="s">
        <v>64</v>
      </c>
      <c r="M3" s="183"/>
      <c r="N3" s="183"/>
      <c r="O3" s="183"/>
      <c r="P3" s="183"/>
      <c r="Q3" s="183"/>
      <c r="R3" s="183"/>
      <c r="S3" s="184"/>
      <c r="T3" s="6"/>
    </row>
    <row r="4" spans="3:20" x14ac:dyDescent="0.25">
      <c r="C4" s="10"/>
      <c r="D4" s="10" t="s">
        <v>23</v>
      </c>
      <c r="F4" s="40"/>
      <c r="G4" s="40" t="s">
        <v>80</v>
      </c>
      <c r="J4" s="5"/>
      <c r="K4" s="5">
        <v>1</v>
      </c>
      <c r="L4" s="6"/>
      <c r="M4" s="185" t="s">
        <v>65</v>
      </c>
      <c r="N4" s="186" t="s">
        <v>66</v>
      </c>
      <c r="O4" s="186"/>
      <c r="P4" s="186"/>
      <c r="Q4" s="186"/>
      <c r="R4" s="186"/>
      <c r="S4" s="7"/>
      <c r="T4" s="6"/>
    </row>
    <row r="5" spans="3:20" x14ac:dyDescent="0.25">
      <c r="C5" s="10"/>
      <c r="D5" s="10" t="s">
        <v>25</v>
      </c>
      <c r="J5" s="5"/>
      <c r="K5" s="5">
        <v>2</v>
      </c>
      <c r="L5" s="6"/>
      <c r="M5" s="185"/>
      <c r="N5" s="8">
        <v>0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9">
        <v>1000</v>
      </c>
    </row>
    <row r="6" spans="3:20" x14ac:dyDescent="0.25">
      <c r="C6" s="10"/>
      <c r="D6" s="10" t="s">
        <v>26</v>
      </c>
      <c r="J6" s="5"/>
      <c r="K6" s="5">
        <v>3</v>
      </c>
      <c r="L6" s="6"/>
      <c r="M6" s="76">
        <v>0</v>
      </c>
      <c r="N6" s="8">
        <v>0.09</v>
      </c>
      <c r="O6" s="8">
        <v>0.08</v>
      </c>
      <c r="P6" s="8">
        <v>7.0000000000000007E-2</v>
      </c>
      <c r="Q6" s="8">
        <v>0.06</v>
      </c>
      <c r="R6" s="8">
        <v>0.05</v>
      </c>
      <c r="S6" s="8">
        <v>0.04</v>
      </c>
      <c r="T6" s="9">
        <v>0.03</v>
      </c>
    </row>
    <row r="7" spans="3:20" x14ac:dyDescent="0.25">
      <c r="C7" s="10"/>
      <c r="D7" s="10" t="s">
        <v>26</v>
      </c>
      <c r="J7" s="5"/>
      <c r="K7" s="5">
        <v>4</v>
      </c>
      <c r="L7" s="6"/>
      <c r="M7" s="76">
        <v>6</v>
      </c>
      <c r="N7" s="8">
        <v>0.125</v>
      </c>
      <c r="O7" s="8">
        <v>0.125</v>
      </c>
      <c r="P7" s="8">
        <v>8.3333333333333329E-2</v>
      </c>
      <c r="Q7" s="8">
        <v>7.4999999999999997E-2</v>
      </c>
      <c r="R7" s="8">
        <v>6.6666666666666666E-2</v>
      </c>
      <c r="S7" s="8">
        <v>5.8333333333333334E-2</v>
      </c>
      <c r="T7" s="9">
        <v>5.8333333333333334E-2</v>
      </c>
    </row>
    <row r="8" spans="3:20" x14ac:dyDescent="0.25">
      <c r="C8" s="10"/>
      <c r="D8" s="10" t="s">
        <v>26</v>
      </c>
      <c r="J8" s="5"/>
      <c r="K8" s="5">
        <v>5</v>
      </c>
      <c r="L8" s="6"/>
      <c r="M8" s="76">
        <v>7</v>
      </c>
      <c r="N8" s="8">
        <v>0.14499999999999999</v>
      </c>
      <c r="O8" s="8">
        <v>0.14499999999999999</v>
      </c>
      <c r="P8" s="8">
        <v>0.1</v>
      </c>
      <c r="Q8" s="8">
        <v>9.166666666666666E-2</v>
      </c>
      <c r="R8" s="8">
        <v>8.3333333333333329E-2</v>
      </c>
      <c r="S8" s="8">
        <v>7.4999999999999997E-2</v>
      </c>
      <c r="T8" s="9">
        <v>7.4999999999999997E-2</v>
      </c>
    </row>
    <row r="9" spans="3:20" x14ac:dyDescent="0.25">
      <c r="C9" s="10"/>
      <c r="D9" s="10" t="s">
        <v>26</v>
      </c>
      <c r="L9" s="6"/>
      <c r="M9" s="76">
        <v>8</v>
      </c>
      <c r="N9" s="8">
        <v>0.16</v>
      </c>
      <c r="O9" s="8">
        <v>0.16</v>
      </c>
      <c r="P9" s="8">
        <v>0.11666666666666667</v>
      </c>
      <c r="Q9" s="8">
        <v>0.10833333333333334</v>
      </c>
      <c r="R9" s="8">
        <v>0.1</v>
      </c>
      <c r="S9" s="8">
        <v>9.166666666666666E-2</v>
      </c>
      <c r="T9" s="9">
        <v>9.166666666666666E-2</v>
      </c>
    </row>
    <row r="10" spans="3:20" x14ac:dyDescent="0.25">
      <c r="L10" s="6"/>
      <c r="M10" s="76">
        <v>9</v>
      </c>
      <c r="N10" s="8">
        <v>0.17166666666666669</v>
      </c>
      <c r="O10" s="8">
        <v>0.17166666666666669</v>
      </c>
      <c r="P10" s="8">
        <v>0.13333333333333333</v>
      </c>
      <c r="Q10" s="8">
        <v>0.11666666666666667</v>
      </c>
      <c r="R10" s="8">
        <v>0.10833333333333334</v>
      </c>
      <c r="S10" s="8">
        <v>0.1</v>
      </c>
      <c r="T10" s="9">
        <v>0.1</v>
      </c>
    </row>
    <row r="11" spans="3:20" x14ac:dyDescent="0.25">
      <c r="L11" s="6"/>
      <c r="M11" s="76">
        <v>10</v>
      </c>
      <c r="N11" s="8">
        <v>0.18000000000000002</v>
      </c>
      <c r="O11" s="8">
        <v>0.18000000000000002</v>
      </c>
      <c r="P11" s="8">
        <v>0.14166666666666666</v>
      </c>
      <c r="Q11" s="8">
        <v>0.13333333333333333</v>
      </c>
      <c r="R11" s="8">
        <v>0.11666666666666667</v>
      </c>
      <c r="S11" s="8">
        <v>0.11666666666666667</v>
      </c>
      <c r="T11" s="9">
        <v>0.11666666666666667</v>
      </c>
    </row>
    <row r="12" spans="3:20" x14ac:dyDescent="0.25">
      <c r="C12" s="11" t="s">
        <v>27</v>
      </c>
      <c r="D12" s="12" t="s">
        <v>32</v>
      </c>
      <c r="E12" s="13">
        <v>1</v>
      </c>
      <c r="F12" s="11">
        <v>-1</v>
      </c>
      <c r="G12" s="11" t="s">
        <v>31</v>
      </c>
      <c r="I12" s="59" t="s">
        <v>19</v>
      </c>
      <c r="J12" s="60" t="s">
        <v>59</v>
      </c>
      <c r="K12" s="59">
        <v>-1</v>
      </c>
      <c r="L12" s="6"/>
      <c r="M12" s="76">
        <v>12</v>
      </c>
      <c r="N12" s="8">
        <v>0.19499999999999998</v>
      </c>
      <c r="O12" s="8">
        <v>0.19499999999999998</v>
      </c>
      <c r="P12" s="8">
        <v>0.15</v>
      </c>
      <c r="Q12" s="8">
        <v>0.14166666666666666</v>
      </c>
      <c r="R12" s="8">
        <v>0.13333333333333333</v>
      </c>
      <c r="S12" s="8">
        <v>0.125</v>
      </c>
      <c r="T12" s="9">
        <v>0.125</v>
      </c>
    </row>
    <row r="13" spans="3:20" x14ac:dyDescent="0.25">
      <c r="C13" s="11"/>
      <c r="D13" s="12" t="s">
        <v>31</v>
      </c>
      <c r="E13" s="13">
        <v>-1</v>
      </c>
      <c r="F13" s="11">
        <v>1</v>
      </c>
      <c r="G13" s="11" t="s">
        <v>32</v>
      </c>
      <c r="I13" s="59"/>
      <c r="J13" s="60" t="s">
        <v>60</v>
      </c>
      <c r="K13" s="59">
        <v>1</v>
      </c>
      <c r="L13" s="6"/>
      <c r="M13" s="76">
        <v>15</v>
      </c>
      <c r="N13" s="8">
        <v>0.21</v>
      </c>
      <c r="O13" s="8">
        <v>0.21</v>
      </c>
      <c r="P13" s="8">
        <v>0.16666666666666666</v>
      </c>
      <c r="Q13" s="8">
        <v>0.15833333333333333</v>
      </c>
      <c r="R13" s="8">
        <v>0.15</v>
      </c>
      <c r="S13" s="8">
        <v>0.14166666666666666</v>
      </c>
      <c r="T13" s="9">
        <v>0.14166666666666666</v>
      </c>
    </row>
    <row r="14" spans="3:20" x14ac:dyDescent="0.25">
      <c r="D14" s="3"/>
      <c r="E14" s="4"/>
      <c r="L14" s="6"/>
      <c r="M14" s="76">
        <v>20</v>
      </c>
      <c r="N14" s="8">
        <v>0.22500000000000001</v>
      </c>
      <c r="O14" s="8">
        <v>0.22500000000000001</v>
      </c>
      <c r="P14" s="8">
        <v>0.18333333333333332</v>
      </c>
      <c r="Q14" s="8">
        <v>0.17499999999999999</v>
      </c>
      <c r="R14" s="8">
        <v>0.16666666666666666</v>
      </c>
      <c r="S14" s="8">
        <v>0.15833333333333333</v>
      </c>
      <c r="T14" s="9">
        <v>0.15833333333333333</v>
      </c>
    </row>
    <row r="15" spans="3:20" x14ac:dyDescent="0.25">
      <c r="C15" s="10" t="s">
        <v>30</v>
      </c>
      <c r="D15" s="14" t="s">
        <v>28</v>
      </c>
      <c r="E15" s="15">
        <v>1</v>
      </c>
      <c r="F15" s="10">
        <v>-1</v>
      </c>
      <c r="G15" s="10" t="s">
        <v>29</v>
      </c>
      <c r="L15" s="6"/>
      <c r="M15" s="76">
        <v>30</v>
      </c>
      <c r="N15" s="8">
        <v>0.24166666666666667</v>
      </c>
      <c r="O15" s="8">
        <v>0.24166666666666667</v>
      </c>
      <c r="P15" s="8">
        <v>0.2</v>
      </c>
      <c r="Q15" s="8">
        <v>0.18333333333333332</v>
      </c>
      <c r="R15" s="8">
        <v>0.18333333333333332</v>
      </c>
      <c r="S15" s="8">
        <v>0.17499999999999999</v>
      </c>
      <c r="T15" s="9">
        <v>0.17499999999999999</v>
      </c>
    </row>
    <row r="16" spans="3:20" x14ac:dyDescent="0.25">
      <c r="C16" s="10"/>
      <c r="D16" s="14" t="s">
        <v>29</v>
      </c>
      <c r="E16" s="15">
        <v>-1</v>
      </c>
      <c r="F16" s="10">
        <v>1</v>
      </c>
      <c r="G16" s="10" t="s">
        <v>28</v>
      </c>
      <c r="L16" s="6"/>
      <c r="M16" s="76">
        <v>50</v>
      </c>
      <c r="N16" s="8">
        <v>0.255</v>
      </c>
      <c r="O16" s="8">
        <v>0.255</v>
      </c>
      <c r="P16" s="8">
        <v>0.21666666666666667</v>
      </c>
      <c r="Q16" s="8">
        <v>0.2</v>
      </c>
      <c r="R16" s="8">
        <v>0.2</v>
      </c>
      <c r="S16" s="8">
        <v>0.18333333333333332</v>
      </c>
      <c r="T16" s="9">
        <v>0.18333333333333332</v>
      </c>
    </row>
    <row r="17" spans="3:20" x14ac:dyDescent="0.25">
      <c r="L17" s="6"/>
      <c r="M17" s="76">
        <v>90</v>
      </c>
      <c r="N17" s="8">
        <v>0.26666666666666666</v>
      </c>
      <c r="O17" s="8">
        <v>0.26666666666666666</v>
      </c>
      <c r="P17" s="8">
        <v>0.22500000000000001</v>
      </c>
      <c r="Q17" s="8">
        <v>0.21666666666666667</v>
      </c>
      <c r="R17" s="8">
        <v>0.2</v>
      </c>
      <c r="S17" s="8">
        <v>0.2</v>
      </c>
      <c r="T17" s="9">
        <v>0.2</v>
      </c>
    </row>
    <row r="18" spans="3:20" x14ac:dyDescent="0.25">
      <c r="L18" s="6"/>
      <c r="O18" s="6"/>
      <c r="P18" s="6"/>
      <c r="Q18" s="6"/>
      <c r="R18" s="6"/>
      <c r="S18" s="6"/>
      <c r="T18" s="6"/>
    </row>
    <row r="19" spans="3:20" x14ac:dyDescent="0.25">
      <c r="C19" s="11" t="s">
        <v>40</v>
      </c>
      <c r="D19" s="11">
        <f>PI()/180</f>
        <v>1.7453292519943295E-2</v>
      </c>
      <c r="O19" s="6"/>
      <c r="P19" s="77" t="s">
        <v>24</v>
      </c>
      <c r="Q19" s="77">
        <v>-0.26666666666</v>
      </c>
      <c r="R19" s="6"/>
      <c r="S19" s="6"/>
      <c r="T19" s="6"/>
    </row>
    <row r="20" spans="3:20" x14ac:dyDescent="0.25">
      <c r="P20" s="77" t="s">
        <v>67</v>
      </c>
      <c r="Q20" s="77">
        <v>-0.53333333333300004</v>
      </c>
    </row>
    <row r="23" spans="3:20" x14ac:dyDescent="0.25">
      <c r="C23" s="10" t="s">
        <v>55</v>
      </c>
      <c r="D23" s="10" t="s">
        <v>56</v>
      </c>
      <c r="E23" s="10" t="s">
        <v>98</v>
      </c>
    </row>
    <row r="24" spans="3:20" x14ac:dyDescent="0.25">
      <c r="C24" s="10"/>
      <c r="D24" s="10" t="s">
        <v>57</v>
      </c>
      <c r="E24" s="10" t="s">
        <v>97</v>
      </c>
    </row>
    <row r="25" spans="3:20" x14ac:dyDescent="0.25">
      <c r="C25" s="10"/>
      <c r="D25" s="10" t="s">
        <v>129</v>
      </c>
      <c r="E25" s="10" t="s">
        <v>130</v>
      </c>
    </row>
    <row r="28" spans="3:20" x14ac:dyDescent="0.25">
      <c r="C28" t="s">
        <v>83</v>
      </c>
    </row>
    <row r="29" spans="3:20" x14ac:dyDescent="0.25">
      <c r="C29" t="s">
        <v>84</v>
      </c>
      <c r="D29">
        <v>48.875556000000003</v>
      </c>
      <c r="E29" t="s">
        <v>86</v>
      </c>
    </row>
    <row r="30" spans="3:20" x14ac:dyDescent="0.25">
      <c r="C30" t="s">
        <v>85</v>
      </c>
      <c r="D30">
        <v>2.0948030000000002</v>
      </c>
      <c r="E30" t="s">
        <v>87</v>
      </c>
    </row>
    <row r="31" spans="3:20" x14ac:dyDescent="0.25">
      <c r="C31" t="s">
        <v>88</v>
      </c>
      <c r="D31" t="s">
        <v>89</v>
      </c>
    </row>
  </sheetData>
  <mergeCells count="3">
    <mergeCell ref="L3:S3"/>
    <mergeCell ref="M4:M5"/>
    <mergeCell ref="N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Droite hauteur Soleil</vt:lpstr>
      <vt:lpstr>Meridienne Soleil</vt:lpstr>
      <vt:lpstr>Droite hauteur Etoile</vt:lpstr>
      <vt:lpstr>Droite hauteur Lune</vt:lpstr>
      <vt:lpstr>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FAGES Pierre</cp:lastModifiedBy>
  <dcterms:created xsi:type="dcterms:W3CDTF">2022-10-01T13:56:08Z</dcterms:created>
  <dcterms:modified xsi:type="dcterms:W3CDTF">2022-10-31T15:25:34Z</dcterms:modified>
</cp:coreProperties>
</file>