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WorkSpaces\WS\GitHub\NavAstro\NavAstro\XLS\"/>
    </mc:Choice>
  </mc:AlternateContent>
  <bookViews>
    <workbookView xWindow="0" yWindow="0" windowWidth="28770" windowHeight="12420" activeTab="1"/>
  </bookViews>
  <sheets>
    <sheet name="Outils" sheetId="4" r:id="rId1"/>
    <sheet name="Meridienne" sheetId="1" r:id="rId2"/>
    <sheet name="Droite hauteur" sheetId="3" r:id="rId3"/>
    <sheet name="Constant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1" l="1"/>
  <c r="P52" i="1"/>
  <c r="P48" i="1" l="1"/>
  <c r="S48" i="1"/>
  <c r="R48" i="1"/>
  <c r="P44" i="1"/>
  <c r="AL35" i="1" l="1"/>
  <c r="AL34" i="1"/>
  <c r="AL33" i="1"/>
  <c r="AI33" i="1" s="1"/>
  <c r="S44" i="1"/>
  <c r="R44" i="1"/>
  <c r="S41" i="1"/>
  <c r="S40" i="1"/>
  <c r="S39" i="1"/>
  <c r="R39" i="1"/>
  <c r="P26" i="2"/>
  <c r="P27" i="2" s="1"/>
  <c r="N5" i="2"/>
  <c r="O5" i="2" s="1"/>
  <c r="P5" i="2" s="1"/>
  <c r="Q5" i="2" s="1"/>
  <c r="R5" i="2" s="1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N23" i="2"/>
  <c r="N24" i="2"/>
  <c r="AE16" i="2"/>
  <c r="AD16" i="2"/>
  <c r="AC16" i="2"/>
  <c r="AB16" i="2"/>
  <c r="AA16" i="2"/>
  <c r="AE15" i="2"/>
  <c r="AD15" i="2"/>
  <c r="AC15" i="2"/>
  <c r="AB15" i="2"/>
  <c r="AA15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AJ78" i="1"/>
  <c r="AJ77" i="1"/>
  <c r="AJ76" i="1"/>
  <c r="AG76" i="1" s="1"/>
  <c r="AJ74" i="1"/>
  <c r="AJ73" i="1"/>
  <c r="AJ72" i="1"/>
  <c r="AG72" i="1" s="1"/>
  <c r="AJ68" i="1"/>
  <c r="AJ67" i="1"/>
  <c r="AJ66" i="1"/>
  <c r="AG66" i="1" s="1"/>
  <c r="AJ64" i="1"/>
  <c r="AJ63" i="1"/>
  <c r="AJ62" i="1"/>
  <c r="AG62" i="1" s="1"/>
  <c r="S76" i="1"/>
  <c r="S75" i="1"/>
  <c r="S74" i="1"/>
  <c r="R74" i="1"/>
  <c r="Q4" i="4"/>
  <c r="O4" i="4" s="1"/>
  <c r="R4" i="4"/>
  <c r="R5" i="4"/>
  <c r="R6" i="4"/>
  <c r="Q10" i="4"/>
  <c r="R10" i="4"/>
  <c r="R11" i="4"/>
  <c r="R12" i="4"/>
  <c r="R15" i="4"/>
  <c r="O15" i="4" s="1"/>
  <c r="R16" i="4"/>
  <c r="R17" i="4"/>
  <c r="S30" i="1"/>
  <c r="S29" i="1"/>
  <c r="S28" i="1"/>
  <c r="R28" i="1"/>
  <c r="S66" i="1"/>
  <c r="S65" i="1"/>
  <c r="S64" i="1"/>
  <c r="R64" i="1"/>
  <c r="S35" i="1"/>
  <c r="S34" i="1"/>
  <c r="S33" i="1"/>
  <c r="R33" i="1"/>
  <c r="P74" i="1" l="1"/>
  <c r="P29" i="2"/>
  <c r="O10" i="4"/>
  <c r="P33" i="1"/>
  <c r="AF39" i="1" s="1"/>
  <c r="AD39" i="1" s="1"/>
  <c r="P28" i="1"/>
  <c r="P64" i="1"/>
  <c r="V15" i="4"/>
  <c r="W15" i="4" s="1"/>
  <c r="X15" i="4" s="1"/>
  <c r="V16" i="4"/>
  <c r="S13" i="1"/>
  <c r="S12" i="1"/>
  <c r="S11" i="1"/>
  <c r="P11" i="1" s="1"/>
  <c r="S8" i="1"/>
  <c r="S7" i="1"/>
  <c r="S6" i="1"/>
  <c r="R6" i="1"/>
  <c r="AF40" i="1" l="1"/>
  <c r="Z39" i="1"/>
  <c r="P30" i="2"/>
  <c r="P33" i="2" s="1"/>
  <c r="P32" i="2"/>
  <c r="Y34" i="2" s="1"/>
  <c r="P36" i="2"/>
  <c r="P6" i="1"/>
  <c r="G16" i="1" s="1"/>
  <c r="P16" i="1" s="1"/>
  <c r="U16" i="1" s="1"/>
  <c r="W16" i="4"/>
  <c r="X16" i="4" s="1"/>
  <c r="V15" i="1"/>
  <c r="W15" i="1" s="1"/>
  <c r="Z40" i="1" l="1"/>
  <c r="AD40" i="1"/>
  <c r="P37" i="2"/>
  <c r="P34" i="2"/>
  <c r="T16" i="4"/>
  <c r="V16" i="1"/>
  <c r="G20" i="1"/>
  <c r="P20" i="1" s="1"/>
  <c r="G19" i="1"/>
  <c r="P19" i="1" s="1"/>
  <c r="AD41" i="1" l="1"/>
  <c r="P39" i="1" s="1"/>
  <c r="P38" i="2"/>
  <c r="W16" i="1"/>
  <c r="S16" i="1" s="1"/>
  <c r="I16" i="1" s="1"/>
  <c r="U19" i="1"/>
  <c r="V19" i="1" s="1"/>
  <c r="W19" i="1" s="1"/>
  <c r="S19" i="1" s="1"/>
  <c r="I19" i="1" s="1"/>
  <c r="U20" i="1"/>
  <c r="V20" i="1" l="1"/>
  <c r="W20" i="1" s="1"/>
  <c r="S20" i="1" s="1"/>
  <c r="I20" i="1" s="1"/>
</calcChain>
</file>

<file path=xl/comments1.xml><?xml version="1.0" encoding="utf-8"?>
<comments xmlns="http://schemas.openxmlformats.org/spreadsheetml/2006/main">
  <authors>
    <author>FAGES Pierre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Le soleil est 'presque fixe' et la terre tourne
le soleil est a son apogee quand il est en face -&gt; c'est la meridienne
le decalage / greenwitch donne la longitude directement
Attention l'apogee duree longtemps trouver l'heure es impossible il faut faire un interval
par contre la hauteur est fiable (la declinaison du soleil)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Valeur lues sur le limbe pour que les images coincides (dans les calcul cela sera SOUSTRAIT)
Mettre directement la valeur lu sur le sextan
</t>
        </r>
      </text>
    </comment>
  </commentList>
</comments>
</file>

<file path=xl/sharedStrings.xml><?xml version="1.0" encoding="utf-8"?>
<sst xmlns="http://schemas.openxmlformats.org/spreadsheetml/2006/main" count="310" uniqueCount="89">
  <si>
    <t>sens</t>
  </si>
  <si>
    <t>degre</t>
  </si>
  <si>
    <t>°</t>
  </si>
  <si>
    <t>minute</t>
  </si>
  <si>
    <t>'</t>
  </si>
  <si>
    <t>secondes</t>
  </si>
  <si>
    <t>"</t>
  </si>
  <si>
    <t>Sens latitude</t>
  </si>
  <si>
    <t>N</t>
  </si>
  <si>
    <t>S</t>
  </si>
  <si>
    <t>Latitude angle</t>
  </si>
  <si>
    <t>Latitude decimale</t>
  </si>
  <si>
    <t>x</t>
  </si>
  <si>
    <t>Valeur</t>
  </si>
  <si>
    <t>=&gt;</t>
  </si>
  <si>
    <t>Longitude angle</t>
  </si>
  <si>
    <t>Longitude decimale</t>
  </si>
  <si>
    <t>W</t>
  </si>
  <si>
    <t>E</t>
  </si>
  <si>
    <t>Sens longitude</t>
  </si>
  <si>
    <t>MERIDIENNE</t>
  </si>
  <si>
    <t>Position estimée</t>
  </si>
  <si>
    <t>L</t>
  </si>
  <si>
    <t>G</t>
  </si>
  <si>
    <t>Heure culmination GreenWitch</t>
  </si>
  <si>
    <t>Outils</t>
  </si>
  <si>
    <t>Heure</t>
  </si>
  <si>
    <t>:</t>
  </si>
  <si>
    <t>h</t>
  </si>
  <si>
    <t>Hc</t>
  </si>
  <si>
    <t>==&gt; Heure des mesures proposees</t>
  </si>
  <si>
    <t>Mesure realisées</t>
  </si>
  <si>
    <t>Angle a l'apogee</t>
  </si>
  <si>
    <t>Heure mesure</t>
  </si>
  <si>
    <t>Serie 1</t>
  </si>
  <si>
    <t>Montee</t>
  </si>
  <si>
    <t>Descente</t>
  </si>
  <si>
    <t>Serie 2</t>
  </si>
  <si>
    <t>Erreur instrumentale</t>
  </si>
  <si>
    <t>Correction</t>
  </si>
  <si>
    <t/>
  </si>
  <si>
    <t>Hi</t>
  </si>
  <si>
    <t>Correction totale additive / bord inf soleil</t>
  </si>
  <si>
    <t>Hi (degre)</t>
  </si>
  <si>
    <t>Elevation œil (m)</t>
  </si>
  <si>
    <t>Etoile</t>
  </si>
  <si>
    <t>Bord sup soleil</t>
  </si>
  <si>
    <t>Ex:</t>
  </si>
  <si>
    <t xml:space="preserve">Hi </t>
  </si>
  <si>
    <t xml:space="preserve">H </t>
  </si>
  <si>
    <t>Pour xls / vlookup &amp; hlookup</t>
  </si>
  <si>
    <t>Colone tableau (valeur inferieure)</t>
  </si>
  <si>
    <t>Correction min</t>
  </si>
  <si>
    <t>Correction max</t>
  </si>
  <si>
    <t>m</t>
  </si>
  <si>
    <t>Œil</t>
  </si>
  <si>
    <t>Ligne (valeur min)</t>
  </si>
  <si>
    <t>Valeur hauteur oeil min</t>
  </si>
  <si>
    <t>Valeur Hi min</t>
  </si>
  <si>
    <t>Valeur Hi max</t>
  </si>
  <si>
    <t>Taux</t>
  </si>
  <si>
    <t>Ei</t>
  </si>
  <si>
    <t>Erreur Instrumental</t>
  </si>
  <si>
    <t>+</t>
  </si>
  <si>
    <t>-</t>
  </si>
  <si>
    <t>Correction hauteur œil</t>
  </si>
  <si>
    <t>Heure mesure
Pour info</t>
  </si>
  <si>
    <t xml:space="preserve">Correction pour </t>
  </si>
  <si>
    <t>Hauteur œil</t>
  </si>
  <si>
    <t>Correction moyenne</t>
  </si>
  <si>
    <t>Correctionbord inf</t>
  </si>
  <si>
    <t>Bord</t>
  </si>
  <si>
    <t>Bord Soleil</t>
  </si>
  <si>
    <t>Inferieur</t>
  </si>
  <si>
    <t>Superieur</t>
  </si>
  <si>
    <t>Correction Etoile</t>
  </si>
  <si>
    <t>Non</t>
  </si>
  <si>
    <t>Oui</t>
  </si>
  <si>
    <r>
      <t>E</t>
    </r>
    <r>
      <rPr>
        <vertAlign val="subscript"/>
        <sz val="11"/>
        <color theme="1"/>
        <rFont val="Calibri"/>
        <family val="2"/>
        <scheme val="minor"/>
      </rPr>
      <t>oeil</t>
    </r>
  </si>
  <si>
    <r>
      <t>E</t>
    </r>
    <r>
      <rPr>
        <vertAlign val="subscript"/>
        <sz val="11"/>
        <color theme="1"/>
        <rFont val="Calibri"/>
        <family val="2"/>
        <scheme val="minor"/>
      </rPr>
      <t>bord soleil</t>
    </r>
  </si>
  <si>
    <r>
      <t>E</t>
    </r>
    <r>
      <rPr>
        <vertAlign val="subscript"/>
        <sz val="11"/>
        <color theme="1"/>
        <rFont val="Calibri"/>
        <family val="2"/>
        <scheme val="minor"/>
      </rPr>
      <t>Etoile</t>
    </r>
  </si>
  <si>
    <t>==&gt; Heure estimée de culmination a ma longitude</t>
  </si>
  <si>
    <t>Latitude de la meridienne</t>
  </si>
  <si>
    <t>LATITUDE MERIDIENNE</t>
  </si>
  <si>
    <t>Longitude de la meridienne</t>
  </si>
  <si>
    <t>Longitude Meridienne</t>
  </si>
  <si>
    <t>Calculs</t>
  </si>
  <si>
    <t>Hi - Correction = Hv =</t>
  </si>
  <si>
    <t>Latitude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</si>
</sst>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EFB2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0" fontId="0" fillId="0" borderId="0" xfId="0" quotePrefix="1" applyProtection="1"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3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/>
      <protection locked="0"/>
    </xf>
    <xf numFmtId="0" fontId="0" fillId="6" borderId="0" xfId="0" quotePrefix="1" applyFill="1" applyProtection="1">
      <protection locked="0"/>
    </xf>
    <xf numFmtId="0" fontId="0" fillId="6" borderId="0" xfId="0" applyFill="1" applyProtection="1">
      <protection locked="0"/>
    </xf>
    <xf numFmtId="0" fontId="0" fillId="6" borderId="0" xfId="0" applyFill="1" applyAlignment="1" applyProtection="1">
      <alignment horizontal="right"/>
      <protection locked="0"/>
    </xf>
    <xf numFmtId="0" fontId="0" fillId="6" borderId="0" xfId="0" quotePrefix="1" applyFill="1" applyAlignment="1" applyProtection="1">
      <alignment horizontal="right"/>
      <protection locked="0"/>
    </xf>
    <xf numFmtId="20" fontId="0" fillId="0" borderId="0" xfId="0" applyNumberFormat="1" applyProtection="1">
      <protection locked="0"/>
    </xf>
    <xf numFmtId="0" fontId="0" fillId="0" borderId="0" xfId="0" quotePrefix="1" applyAlignment="1" applyProtection="1">
      <alignment horizontal="right" vertical="center"/>
      <protection locked="0"/>
    </xf>
    <xf numFmtId="0" fontId="1" fillId="2" borderId="0" xfId="1" applyAlignment="1" applyProtection="1">
      <alignment horizontal="right" vertical="center"/>
    </xf>
    <xf numFmtId="0" fontId="1" fillId="2" borderId="0" xfId="1" applyAlignment="1" applyProtection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quotePrefix="1" applyFill="1" applyAlignment="1" applyProtection="1">
      <alignment horizontal="right" vertical="center"/>
      <protection locked="0"/>
    </xf>
    <xf numFmtId="0" fontId="1" fillId="0" borderId="0" xfId="1" applyFill="1" applyAlignment="1" applyProtection="1">
      <alignment horizontal="right" vertical="center"/>
    </xf>
    <xf numFmtId="0" fontId="1" fillId="0" borderId="0" xfId="1" applyFill="1" applyAlignment="1" applyProtection="1">
      <alignment horizontal="left" vertical="center"/>
    </xf>
    <xf numFmtId="164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0" fillId="4" borderId="0" xfId="0" applyFill="1" applyAlignment="1" applyProtection="1">
      <alignment horizontal="right"/>
      <protection locked="0"/>
    </xf>
    <xf numFmtId="0" fontId="2" fillId="0" borderId="5" xfId="0" applyFont="1" applyBorder="1" applyAlignment="1" applyProtection="1">
      <alignment horizontal="right"/>
      <protection locked="0"/>
    </xf>
    <xf numFmtId="0" fontId="0" fillId="4" borderId="6" xfId="0" applyFill="1" applyBorder="1" applyAlignment="1" applyProtection="1">
      <alignment horizontal="right"/>
      <protection locked="0"/>
    </xf>
    <xf numFmtId="0" fontId="0" fillId="0" borderId="6" xfId="0" applyBorder="1" applyProtection="1">
      <protection locked="0"/>
    </xf>
    <xf numFmtId="0" fontId="0" fillId="0" borderId="6" xfId="0" quotePrefix="1" applyBorder="1" applyProtection="1">
      <protection locked="0"/>
    </xf>
    <xf numFmtId="0" fontId="0" fillId="4" borderId="6" xfId="0" applyFill="1" applyBorder="1" applyProtection="1">
      <protection locked="0"/>
    </xf>
    <xf numFmtId="0" fontId="2" fillId="0" borderId="8" xfId="0" applyFont="1" applyBorder="1" applyAlignment="1" applyProtection="1">
      <alignment horizontal="right"/>
      <protection locked="0"/>
    </xf>
    <xf numFmtId="0" fontId="0" fillId="4" borderId="0" xfId="0" applyFill="1" applyBorder="1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2" fillId="0" borderId="10" xfId="0" applyFont="1" applyBorder="1" applyAlignment="1" applyProtection="1">
      <alignment horizontal="right"/>
      <protection locked="0"/>
    </xf>
    <xf numFmtId="0" fontId="0" fillId="4" borderId="11" xfId="0" applyFill="1" applyBorder="1" applyAlignment="1" applyProtection="1">
      <alignment horizontal="right"/>
      <protection locked="0"/>
    </xf>
    <xf numFmtId="0" fontId="0" fillId="0" borderId="11" xfId="0" applyBorder="1" applyProtection="1"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right"/>
      <protection locked="0"/>
    </xf>
    <xf numFmtId="0" fontId="0" fillId="0" borderId="8" xfId="0" applyBorder="1" applyProtection="1">
      <protection locked="0"/>
    </xf>
    <xf numFmtId="0" fontId="0" fillId="4" borderId="0" xfId="0" applyFill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10" xfId="0" applyBorder="1" applyProtection="1">
      <protection locked="0"/>
    </xf>
    <xf numFmtId="0" fontId="0" fillId="4" borderId="11" xfId="0" applyFill="1" applyBorder="1" applyProtection="1">
      <protection locked="0"/>
    </xf>
    <xf numFmtId="0" fontId="1" fillId="2" borderId="7" xfId="1" applyBorder="1" applyAlignment="1" applyProtection="1">
      <alignment horizontal="left" vertical="center"/>
    </xf>
    <xf numFmtId="0" fontId="1" fillId="2" borderId="9" xfId="1" applyBorder="1" applyAlignment="1" applyProtection="1">
      <alignment horizontal="left" vertical="center"/>
    </xf>
    <xf numFmtId="0" fontId="1" fillId="2" borderId="12" xfId="1" applyBorder="1" applyAlignment="1" applyProtection="1">
      <alignment horizontal="left" vertical="center"/>
    </xf>
    <xf numFmtId="0" fontId="0" fillId="0" borderId="0" xfId="0" quotePrefix="1" applyBorder="1" applyProtection="1">
      <protection locked="0"/>
    </xf>
    <xf numFmtId="0" fontId="0" fillId="0" borderId="6" xfId="0" quotePrefix="1" applyBorder="1" applyAlignment="1" applyProtection="1">
      <alignment horizontal="right" vertical="center"/>
      <protection locked="0"/>
    </xf>
    <xf numFmtId="0" fontId="0" fillId="0" borderId="0" xfId="0" quotePrefix="1" applyBorder="1" applyAlignment="1" applyProtection="1">
      <alignment horizontal="right" vertical="center"/>
      <protection locked="0"/>
    </xf>
    <xf numFmtId="0" fontId="0" fillId="0" borderId="11" xfId="0" quotePrefix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3" fillId="0" borderId="6" xfId="0" applyFont="1" applyBorder="1" applyProtection="1">
      <protection locked="0"/>
    </xf>
    <xf numFmtId="0" fontId="3" fillId="0" borderId="6" xfId="0" applyFont="1" applyBorder="1" applyAlignment="1" applyProtection="1">
      <alignment horizontal="right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7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0" fillId="9" borderId="4" xfId="0" applyFill="1" applyBorder="1" applyAlignment="1" applyProtection="1">
      <alignment horizontal="center"/>
      <protection locked="0"/>
    </xf>
    <xf numFmtId="0" fontId="0" fillId="9" borderId="0" xfId="0" applyFill="1" applyProtection="1">
      <protection locked="0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0" xfId="0" applyFill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11" borderId="0" xfId="0" quotePrefix="1" applyFill="1" applyProtection="1">
      <protection locked="0"/>
    </xf>
    <xf numFmtId="0" fontId="0" fillId="11" borderId="0" xfId="0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right" vertical="center"/>
      <protection locked="0"/>
    </xf>
    <xf numFmtId="0" fontId="0" fillId="6" borderId="0" xfId="0" applyFill="1" applyAlignment="1" applyProtection="1">
      <alignment vertical="center"/>
      <protection locked="0"/>
    </xf>
    <xf numFmtId="0" fontId="1" fillId="2" borderId="0" xfId="1" applyAlignment="1" applyProtection="1">
      <alignment horizontal="right" vertical="center"/>
    </xf>
    <xf numFmtId="0" fontId="1" fillId="2" borderId="0" xfId="1" applyAlignment="1" applyProtection="1">
      <alignment horizontal="left" vertic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right" vertical="center"/>
      <protection locked="0"/>
    </xf>
    <xf numFmtId="0" fontId="1" fillId="2" borderId="7" xfId="1" applyBorder="1" applyAlignment="1" applyProtection="1">
      <alignment horizontal="left" vertical="center"/>
    </xf>
    <xf numFmtId="0" fontId="1" fillId="2" borderId="9" xfId="1" applyBorder="1" applyAlignment="1" applyProtection="1">
      <alignment horizontal="left" vertical="center"/>
    </xf>
    <xf numFmtId="0" fontId="1" fillId="2" borderId="12" xfId="1" applyBorder="1" applyAlignment="1" applyProtection="1">
      <alignment horizontal="left" vertical="center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6" xfId="0" quotePrefix="1" applyBorder="1" applyAlignment="1" applyProtection="1">
      <alignment horizontal="right" vertical="center"/>
      <protection locked="0"/>
    </xf>
    <xf numFmtId="0" fontId="0" fillId="0" borderId="0" xfId="0" quotePrefix="1" applyBorder="1" applyAlignment="1" applyProtection="1">
      <alignment horizontal="right" vertical="center"/>
      <protection locked="0"/>
    </xf>
    <xf numFmtId="0" fontId="0" fillId="0" borderId="11" xfId="0" quotePrefix="1" applyBorder="1" applyAlignment="1" applyProtection="1">
      <alignment horizontal="right" vertical="center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5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10" borderId="4" xfId="0" applyFill="1" applyBorder="1" applyAlignment="1" applyProtection="1">
      <alignment horizontal="center"/>
      <protection locked="0"/>
    </xf>
    <xf numFmtId="0" fontId="3" fillId="7" borderId="16" xfId="0" applyFont="1" applyFill="1" applyBorder="1" applyAlignment="1" applyProtection="1">
      <alignment horizontal="center"/>
      <protection locked="0"/>
    </xf>
    <xf numFmtId="0" fontId="3" fillId="7" borderId="17" xfId="0" applyFont="1" applyFill="1" applyBorder="1" applyAlignment="1" applyProtection="1">
      <alignment horizontal="center"/>
      <protection locked="0"/>
    </xf>
    <xf numFmtId="0" fontId="3" fillId="7" borderId="18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0" fillId="0" borderId="0" xfId="0" quotePrefix="1" applyFill="1" applyBorder="1" applyProtection="1">
      <protection locked="0"/>
    </xf>
    <xf numFmtId="0" fontId="0" fillId="0" borderId="0" xfId="0" quotePrefix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1" fillId="0" borderId="0" xfId="1" applyFill="1" applyBorder="1" applyAlignment="1" applyProtection="1">
      <alignment vertical="center"/>
    </xf>
    <xf numFmtId="0" fontId="0" fillId="12" borderId="16" xfId="0" applyFill="1" applyBorder="1" applyAlignment="1" applyProtection="1">
      <alignment vertical="center"/>
      <protection locked="0"/>
    </xf>
    <xf numFmtId="0" fontId="2" fillId="12" borderId="17" xfId="0" applyFont="1" applyFill="1" applyBorder="1" applyAlignment="1" applyProtection="1">
      <alignment horizontal="right"/>
      <protection locked="0"/>
    </xf>
    <xf numFmtId="0" fontId="0" fillId="12" borderId="17" xfId="0" applyFill="1" applyBorder="1" applyAlignment="1" applyProtection="1">
      <alignment vertical="center"/>
      <protection locked="0"/>
    </xf>
    <xf numFmtId="0" fontId="0" fillId="12" borderId="17" xfId="0" applyFill="1" applyBorder="1" applyAlignment="1" applyProtection="1">
      <alignment horizontal="right"/>
      <protection locked="0"/>
    </xf>
    <xf numFmtId="0" fontId="0" fillId="12" borderId="17" xfId="0" applyFill="1" applyBorder="1" applyProtection="1">
      <protection locked="0"/>
    </xf>
    <xf numFmtId="0" fontId="0" fillId="12" borderId="17" xfId="0" quotePrefix="1" applyFill="1" applyBorder="1" applyProtection="1">
      <protection locked="0"/>
    </xf>
    <xf numFmtId="0" fontId="0" fillId="0" borderId="17" xfId="0" quotePrefix="1" applyBorder="1" applyProtection="1">
      <protection locked="0"/>
    </xf>
    <xf numFmtId="0" fontId="0" fillId="0" borderId="17" xfId="0" quotePrefix="1" applyBorder="1" applyAlignment="1" applyProtection="1">
      <alignment vertical="center"/>
      <protection locked="0"/>
    </xf>
    <xf numFmtId="0" fontId="1" fillId="2" borderId="17" xfId="1" applyBorder="1" applyAlignment="1" applyProtection="1">
      <alignment vertical="center"/>
    </xf>
    <xf numFmtId="0" fontId="1" fillId="2" borderId="18" xfId="1" applyBorder="1" applyAlignment="1" applyProtection="1">
      <alignment vertical="center"/>
    </xf>
    <xf numFmtId="0" fontId="3" fillId="0" borderId="0" xfId="0" applyFont="1" applyFill="1" applyProtection="1"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quotePrefix="1" applyFill="1" applyBorder="1" applyAlignment="1" applyProtection="1">
      <alignment horizontal="right" vertical="center"/>
      <protection locked="0"/>
    </xf>
    <xf numFmtId="0" fontId="1" fillId="0" borderId="0" xfId="1" applyFill="1" applyBorder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17" xfId="0" applyFill="1" applyBorder="1" applyAlignment="1" applyProtection="1">
      <alignment vertical="center"/>
      <protection locked="0"/>
    </xf>
    <xf numFmtId="0" fontId="0" fillId="0" borderId="17" xfId="0" applyFill="1" applyBorder="1" applyAlignment="1" applyProtection="1">
      <alignment horizontal="right"/>
      <protection locked="0"/>
    </xf>
    <xf numFmtId="0" fontId="0" fillId="0" borderId="17" xfId="0" applyFill="1" applyBorder="1" applyProtection="1">
      <protection locked="0"/>
    </xf>
    <xf numFmtId="0" fontId="0" fillId="0" borderId="17" xfId="0" quotePrefix="1" applyFill="1" applyBorder="1" applyProtection="1">
      <protection locked="0"/>
    </xf>
    <xf numFmtId="0" fontId="0" fillId="0" borderId="17" xfId="0" quotePrefix="1" applyFill="1" applyBorder="1" applyAlignment="1" applyProtection="1">
      <alignment vertical="center"/>
      <protection locked="0"/>
    </xf>
    <xf numFmtId="0" fontId="0" fillId="0" borderId="16" xfId="0" applyFill="1" applyBorder="1" applyAlignment="1" applyProtection="1">
      <alignment vertical="center"/>
      <protection locked="0"/>
    </xf>
    <xf numFmtId="0" fontId="2" fillId="0" borderId="17" xfId="0" applyFont="1" applyFill="1" applyBorder="1" applyAlignment="1" applyProtection="1">
      <alignment horizontal="right"/>
      <protection locked="0"/>
    </xf>
    <xf numFmtId="0" fontId="1" fillId="10" borderId="17" xfId="1" applyFill="1" applyBorder="1" applyAlignment="1" applyProtection="1">
      <alignment vertical="center"/>
    </xf>
    <xf numFmtId="0" fontId="1" fillId="10" borderId="18" xfId="1" applyFill="1" applyBorder="1" applyAlignment="1" applyProtection="1">
      <alignment vertical="center"/>
    </xf>
    <xf numFmtId="0" fontId="0" fillId="13" borderId="0" xfId="0" applyFill="1" applyProtection="1">
      <protection locked="0"/>
    </xf>
    <xf numFmtId="0" fontId="3" fillId="5" borderId="25" xfId="0" applyFont="1" applyFill="1" applyBorder="1" applyAlignment="1" applyProtection="1">
      <alignment horizontal="center" vertical="center" textRotation="255"/>
      <protection locked="0"/>
    </xf>
    <xf numFmtId="0" fontId="3" fillId="5" borderId="26" xfId="0" applyFont="1" applyFill="1" applyBorder="1" applyAlignment="1" applyProtection="1">
      <alignment horizontal="center" vertical="center" textRotation="255"/>
      <protection locked="0"/>
    </xf>
    <xf numFmtId="0" fontId="3" fillId="5" borderId="27" xfId="0" applyFont="1" applyFill="1" applyBorder="1" applyAlignment="1" applyProtection="1">
      <alignment horizontal="center" vertical="center" textRotation="255"/>
      <protection locked="0"/>
    </xf>
    <xf numFmtId="0" fontId="3" fillId="5" borderId="0" xfId="0" applyFont="1" applyFill="1" applyBorder="1" applyAlignment="1" applyProtection="1">
      <alignment horizontal="center" vertical="center" textRotation="255"/>
      <protection locked="0"/>
    </xf>
    <xf numFmtId="0" fontId="0" fillId="9" borderId="2" xfId="0" applyFill="1" applyBorder="1" applyAlignment="1" applyProtection="1">
      <alignment horizontal="center"/>
      <protection locked="0"/>
    </xf>
    <xf numFmtId="0" fontId="0" fillId="9" borderId="3" xfId="0" applyFill="1" applyBorder="1" applyAlignment="1" applyProtection="1">
      <alignment horizontal="center"/>
      <protection locked="0"/>
    </xf>
    <xf numFmtId="0" fontId="3" fillId="9" borderId="25" xfId="0" applyFont="1" applyFill="1" applyBorder="1" applyAlignment="1" applyProtection="1">
      <alignment horizontal="center" vertical="center" textRotation="255"/>
      <protection locked="0"/>
    </xf>
    <xf numFmtId="0" fontId="3" fillId="9" borderId="26" xfId="0" applyFont="1" applyFill="1" applyBorder="1" applyAlignment="1" applyProtection="1">
      <alignment horizontal="center" vertical="center" textRotation="255"/>
      <protection locked="0"/>
    </xf>
    <xf numFmtId="0" fontId="3" fillId="9" borderId="27" xfId="0" applyFont="1" applyFill="1" applyBorder="1" applyAlignment="1" applyProtection="1">
      <alignment horizontal="center" vertical="center" textRotation="255"/>
      <protection locked="0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3EFB25"/>
      <color rgb="FF00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142875</xdr:rowOff>
    </xdr:from>
    <xdr:to>
      <xdr:col>15</xdr:col>
      <xdr:colOff>142875</xdr:colOff>
      <xdr:row>14</xdr:row>
      <xdr:rowOff>142875</xdr:rowOff>
    </xdr:to>
    <xdr:cxnSp macro="">
      <xdr:nvCxnSpPr>
        <xdr:cNvPr id="3" name="Straight Arrow Connector 2"/>
        <xdr:cNvCxnSpPr/>
      </xdr:nvCxnSpPr>
      <xdr:spPr>
        <a:xfrm flipH="1">
          <a:off x="3686175" y="5324475"/>
          <a:ext cx="2486025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11</xdr:row>
      <xdr:rowOff>114300</xdr:rowOff>
    </xdr:from>
    <xdr:to>
      <xdr:col>15</xdr:col>
      <xdr:colOff>180975</xdr:colOff>
      <xdr:row>14</xdr:row>
      <xdr:rowOff>133350</xdr:rowOff>
    </xdr:to>
    <xdr:cxnSp macro="">
      <xdr:nvCxnSpPr>
        <xdr:cNvPr id="4" name="Straight Arrow Connector 3"/>
        <xdr:cNvCxnSpPr/>
      </xdr:nvCxnSpPr>
      <xdr:spPr>
        <a:xfrm flipH="1">
          <a:off x="3829050" y="6248400"/>
          <a:ext cx="23812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133351</xdr:colOff>
      <xdr:row>60</xdr:row>
      <xdr:rowOff>104775</xdr:rowOff>
    </xdr:from>
    <xdr:to>
      <xdr:col>23</xdr:col>
      <xdr:colOff>436245</xdr:colOff>
      <xdr:row>68</xdr:row>
      <xdr:rowOff>0</xdr:rowOff>
    </xdr:to>
    <xdr:sp macro="" textlink="">
      <xdr:nvSpPr>
        <xdr:cNvPr id="7" name="Left Brace 6"/>
        <xdr:cNvSpPr/>
      </xdr:nvSpPr>
      <xdr:spPr>
        <a:xfrm>
          <a:off x="7019926" y="7172325"/>
          <a:ext cx="302894" cy="1419225"/>
        </a:xfrm>
        <a:prstGeom prst="leftBrace">
          <a:avLst>
            <a:gd name="adj1" fmla="val 58647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23</xdr:col>
      <xdr:colOff>133351</xdr:colOff>
      <xdr:row>70</xdr:row>
      <xdr:rowOff>104775</xdr:rowOff>
    </xdr:from>
    <xdr:to>
      <xdr:col>23</xdr:col>
      <xdr:colOff>436245</xdr:colOff>
      <xdr:row>78</xdr:row>
      <xdr:rowOff>0</xdr:rowOff>
    </xdr:to>
    <xdr:sp macro="" textlink="">
      <xdr:nvSpPr>
        <xdr:cNvPr id="8" name="Left Brace 7"/>
        <xdr:cNvSpPr/>
      </xdr:nvSpPr>
      <xdr:spPr>
        <a:xfrm>
          <a:off x="7019926" y="6981825"/>
          <a:ext cx="302894" cy="1419225"/>
        </a:xfrm>
        <a:prstGeom prst="leftBrace">
          <a:avLst>
            <a:gd name="adj1" fmla="val 58647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23</xdr:col>
      <xdr:colOff>28575</xdr:colOff>
      <xdr:row>38</xdr:row>
      <xdr:rowOff>133350</xdr:rowOff>
    </xdr:from>
    <xdr:to>
      <xdr:col>29</xdr:col>
      <xdr:colOff>47625</xdr:colOff>
      <xdr:row>40</xdr:row>
      <xdr:rowOff>133350</xdr:rowOff>
    </xdr:to>
    <xdr:cxnSp macro="">
      <xdr:nvCxnSpPr>
        <xdr:cNvPr id="5" name="Straight Arrow Connector 4"/>
        <xdr:cNvCxnSpPr/>
      </xdr:nvCxnSpPr>
      <xdr:spPr>
        <a:xfrm flipH="1" flipV="1">
          <a:off x="6915150" y="6629400"/>
          <a:ext cx="27051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33</xdr:row>
      <xdr:rowOff>171450</xdr:rowOff>
    </xdr:from>
    <xdr:to>
      <xdr:col>25</xdr:col>
      <xdr:colOff>142875</xdr:colOff>
      <xdr:row>38</xdr:row>
      <xdr:rowOff>190500</xdr:rowOff>
    </xdr:to>
    <xdr:cxnSp macro="">
      <xdr:nvCxnSpPr>
        <xdr:cNvPr id="11" name="Straight Arrow Connector 10"/>
        <xdr:cNvCxnSpPr/>
      </xdr:nvCxnSpPr>
      <xdr:spPr>
        <a:xfrm>
          <a:off x="6762750" y="5715000"/>
          <a:ext cx="2057400" cy="971550"/>
        </a:xfrm>
        <a:prstGeom prst="straightConnector1">
          <a:avLst/>
        </a:prstGeom>
        <a:ln>
          <a:solidFill>
            <a:srgbClr val="3EFB2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"/>
  <sheetViews>
    <sheetView workbookViewId="0">
      <selection activeCell="H4" sqref="H4:R6"/>
    </sheetView>
  </sheetViews>
  <sheetFormatPr defaultRowHeight="15" x14ac:dyDescent="0.25"/>
  <sheetData>
    <row r="1" spans="2:24" s="1" customFormat="1" ht="15.75" thickBot="1" x14ac:dyDescent="0.3">
      <c r="H1" s="2"/>
      <c r="J1" s="2"/>
      <c r="M1" s="2"/>
    </row>
    <row r="2" spans="2:24" s="1" customFormat="1" ht="15.75" thickBot="1" x14ac:dyDescent="0.3">
      <c r="B2" s="80" t="s">
        <v>25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</row>
    <row r="3" spans="2:24" s="1" customFormat="1" x14ac:dyDescent="0.25">
      <c r="G3" s="1" t="s">
        <v>0</v>
      </c>
      <c r="H3" s="2" t="s">
        <v>1</v>
      </c>
      <c r="J3" s="2" t="s">
        <v>3</v>
      </c>
      <c r="L3" s="1" t="s">
        <v>5</v>
      </c>
      <c r="N3" s="2"/>
      <c r="O3" s="1" t="s">
        <v>13</v>
      </c>
    </row>
    <row r="4" spans="2:24" s="1" customFormat="1" x14ac:dyDescent="0.25">
      <c r="F4" s="2" t="s">
        <v>10</v>
      </c>
      <c r="G4" s="83" t="s">
        <v>9</v>
      </c>
      <c r="H4" s="27" t="s">
        <v>12</v>
      </c>
      <c r="I4" s="1" t="s">
        <v>2</v>
      </c>
      <c r="J4" s="27" t="s">
        <v>12</v>
      </c>
      <c r="K4" s="5" t="s">
        <v>4</v>
      </c>
      <c r="L4" s="4" t="s">
        <v>12</v>
      </c>
      <c r="M4" s="5" t="s">
        <v>6</v>
      </c>
      <c r="N4" s="76" t="s">
        <v>14</v>
      </c>
      <c r="O4" s="78">
        <f>IF(AND(NOT(ISBLANK(L4)), (L4 &lt;&gt; "x")),R4,IF(AND(NOT(ISBLANK(J5)),J5&lt;&gt;"x"),R5,R6)) * Q4</f>
        <v>-2.9876666666666667</v>
      </c>
      <c r="P4" s="79" t="s">
        <v>2</v>
      </c>
      <c r="Q4" s="83">
        <f>IF(G4=Constantes!$D$2,1,-1)</f>
        <v>-1</v>
      </c>
      <c r="R4" s="1" t="e">
        <f>H4+(L4/60 + J4)/60</f>
        <v>#VALUE!</v>
      </c>
    </row>
    <row r="5" spans="2:24" s="1" customFormat="1" x14ac:dyDescent="0.25">
      <c r="F5" s="2" t="s">
        <v>11</v>
      </c>
      <c r="G5" s="83"/>
      <c r="H5" s="27">
        <v>2</v>
      </c>
      <c r="I5" s="1" t="s">
        <v>2</v>
      </c>
      <c r="J5" s="27">
        <v>59.26</v>
      </c>
      <c r="K5" s="5" t="s">
        <v>4</v>
      </c>
      <c r="L5" s="1" t="s">
        <v>12</v>
      </c>
      <c r="N5" s="76"/>
      <c r="O5" s="78"/>
      <c r="P5" s="79"/>
      <c r="Q5" s="83"/>
      <c r="R5" s="1">
        <f>H5+J5/60</f>
        <v>2.9876666666666667</v>
      </c>
    </row>
    <row r="6" spans="2:24" s="1" customFormat="1" x14ac:dyDescent="0.25">
      <c r="F6" s="2" t="s">
        <v>11</v>
      </c>
      <c r="G6" s="83"/>
      <c r="H6" s="27" t="s">
        <v>12</v>
      </c>
      <c r="I6" s="1" t="s">
        <v>2</v>
      </c>
      <c r="J6" s="2" t="s">
        <v>12</v>
      </c>
      <c r="N6" s="76"/>
      <c r="O6" s="78"/>
      <c r="P6" s="79"/>
      <c r="Q6" s="83"/>
      <c r="R6" s="1" t="str">
        <f>H6</f>
        <v>x</v>
      </c>
    </row>
    <row r="7" spans="2:24" s="1" customFormat="1" x14ac:dyDescent="0.25">
      <c r="H7" s="2"/>
      <c r="J7" s="2"/>
      <c r="N7" s="2"/>
    </row>
    <row r="8" spans="2:24" s="1" customFormat="1" x14ac:dyDescent="0.25">
      <c r="H8" s="2"/>
      <c r="J8" s="2"/>
      <c r="N8" s="2"/>
    </row>
    <row r="9" spans="2:24" s="1" customFormat="1" x14ac:dyDescent="0.25">
      <c r="G9" s="1" t="s">
        <v>0</v>
      </c>
      <c r="H9" s="2" t="s">
        <v>1</v>
      </c>
      <c r="J9" s="2" t="s">
        <v>3</v>
      </c>
      <c r="L9" s="1" t="s">
        <v>5</v>
      </c>
      <c r="N9" s="2"/>
      <c r="O9" s="1" t="s">
        <v>13</v>
      </c>
    </row>
    <row r="10" spans="2:24" s="1" customFormat="1" x14ac:dyDescent="0.25">
      <c r="F10" s="2" t="s">
        <v>15</v>
      </c>
      <c r="G10" s="83" t="s">
        <v>17</v>
      </c>
      <c r="H10" s="27" t="s">
        <v>12</v>
      </c>
      <c r="I10" s="1" t="s">
        <v>2</v>
      </c>
      <c r="J10" s="27" t="s">
        <v>12</v>
      </c>
      <c r="K10" s="5" t="s">
        <v>4</v>
      </c>
      <c r="L10" s="4" t="s">
        <v>12</v>
      </c>
      <c r="M10" s="5" t="s">
        <v>6</v>
      </c>
      <c r="N10" s="76" t="s">
        <v>14</v>
      </c>
      <c r="O10" s="78">
        <f>IF(AND(NOT(ISBLANK(L10)), (L10 &lt;&gt; "x")),R10,IF(AND(NOT(ISBLANK(J11)),J11&lt;&gt;"x"),R11,R12)) * Q10</f>
        <v>2.4998333333333331</v>
      </c>
      <c r="P10" s="79" t="s">
        <v>2</v>
      </c>
      <c r="Q10" s="83">
        <f>IF(G10=Constantes!$G$2,1,-1)</f>
        <v>1</v>
      </c>
      <c r="R10" s="1" t="e">
        <f>H10+(L10/60 + J10)/60</f>
        <v>#VALUE!</v>
      </c>
    </row>
    <row r="11" spans="2:24" s="1" customFormat="1" x14ac:dyDescent="0.25">
      <c r="F11" s="2" t="s">
        <v>16</v>
      </c>
      <c r="G11" s="83"/>
      <c r="H11" s="27">
        <v>2</v>
      </c>
      <c r="I11" s="1" t="s">
        <v>2</v>
      </c>
      <c r="J11" s="27">
        <v>29.99</v>
      </c>
      <c r="K11" s="5" t="s">
        <v>4</v>
      </c>
      <c r="L11" s="1" t="s">
        <v>12</v>
      </c>
      <c r="N11" s="76"/>
      <c r="O11" s="78"/>
      <c r="P11" s="79"/>
      <c r="Q11" s="83"/>
      <c r="R11" s="1">
        <f>H11+J11/60</f>
        <v>2.4998333333333331</v>
      </c>
    </row>
    <row r="12" spans="2:24" s="1" customFormat="1" x14ac:dyDescent="0.25">
      <c r="F12" s="2" t="s">
        <v>16</v>
      </c>
      <c r="G12" s="83"/>
      <c r="H12" s="27" t="s">
        <v>12</v>
      </c>
      <c r="I12" s="1" t="s">
        <v>2</v>
      </c>
      <c r="J12" s="2" t="s">
        <v>12</v>
      </c>
      <c r="N12" s="76"/>
      <c r="O12" s="78"/>
      <c r="P12" s="79"/>
      <c r="Q12" s="83"/>
      <c r="R12" s="1" t="str">
        <f>H12</f>
        <v>x</v>
      </c>
    </row>
    <row r="13" spans="2:24" s="1" customFormat="1" x14ac:dyDescent="0.25">
      <c r="H13" s="2"/>
      <c r="J13" s="2"/>
      <c r="M13" s="2"/>
    </row>
    <row r="14" spans="2:24" s="1" customFormat="1" x14ac:dyDescent="0.25">
      <c r="H14" s="2"/>
      <c r="J14" s="2"/>
      <c r="M14" s="2"/>
    </row>
    <row r="15" spans="2:24" s="1" customFormat="1" x14ac:dyDescent="0.25">
      <c r="F15" s="84" t="s">
        <v>26</v>
      </c>
      <c r="H15" s="27">
        <v>12</v>
      </c>
      <c r="I15" s="1" t="s">
        <v>27</v>
      </c>
      <c r="J15" s="27">
        <v>6</v>
      </c>
      <c r="K15" s="1" t="s">
        <v>27</v>
      </c>
      <c r="L15" s="4">
        <v>0</v>
      </c>
      <c r="M15" s="2"/>
      <c r="N15" s="76" t="s">
        <v>14</v>
      </c>
      <c r="O15" s="78">
        <f>IF(AND(NOT(ISBLANK(L15)), (L15 &lt;&gt; "x")),R15,IF(AND(NOT(ISBLANK(J16)),J16&lt;&gt;"x"),R16,R17)) * Q15</f>
        <v>12.1</v>
      </c>
      <c r="P15" s="79" t="s">
        <v>28</v>
      </c>
      <c r="Q15" s="83">
        <v>1</v>
      </c>
      <c r="R15" s="1">
        <f>H15+(L15/60 + J15)/60</f>
        <v>12.1</v>
      </c>
      <c r="U15" s="77" t="s">
        <v>26</v>
      </c>
      <c r="V15" s="1">
        <f>INT(O15)</f>
        <v>12</v>
      </c>
      <c r="W15" s="25">
        <f>((O15-V15)*60)</f>
        <v>5.9999999999999787</v>
      </c>
      <c r="X15" s="1">
        <f>O15*3600 - V15*3600 - W15*60</f>
        <v>1.2505552149377763E-12</v>
      </c>
    </row>
    <row r="16" spans="2:24" s="1" customFormat="1" x14ac:dyDescent="0.25">
      <c r="F16" s="84"/>
      <c r="H16" s="27">
        <v>2</v>
      </c>
      <c r="I16" s="1" t="s">
        <v>27</v>
      </c>
      <c r="J16" s="27">
        <v>59.99</v>
      </c>
      <c r="L16" s="1" t="s">
        <v>12</v>
      </c>
      <c r="M16" s="2"/>
      <c r="N16" s="76"/>
      <c r="O16" s="78"/>
      <c r="P16" s="79"/>
      <c r="Q16" s="83"/>
      <c r="R16" s="1">
        <f>H16+J16/60</f>
        <v>2.9998333333333331</v>
      </c>
      <c r="T16" s="10" t="str">
        <f>CONCATENATE(V16, ":", TEXT(W16,"00"), ":", TEXT(X16,"00"))</f>
        <v>12:06:00</v>
      </c>
      <c r="U16" s="77"/>
      <c r="V16" s="1">
        <f>INT(O15)</f>
        <v>12</v>
      </c>
      <c r="W16" s="1">
        <f>INT(0.0000001 + (O15-V16)*60)</f>
        <v>6</v>
      </c>
      <c r="X16" s="1">
        <f>O15*3600 - V16*3600 - W16*60</f>
        <v>0</v>
      </c>
    </row>
    <row r="17" spans="6:21" s="1" customFormat="1" x14ac:dyDescent="0.25">
      <c r="F17" s="84"/>
      <c r="H17" s="27">
        <v>2.99</v>
      </c>
      <c r="J17" s="2" t="s">
        <v>12</v>
      </c>
      <c r="L17" s="1" t="s">
        <v>12</v>
      </c>
      <c r="M17" s="2"/>
      <c r="N17" s="76"/>
      <c r="O17" s="78"/>
      <c r="P17" s="79"/>
      <c r="Q17" s="83"/>
      <c r="R17" s="1">
        <f>H17</f>
        <v>2.99</v>
      </c>
      <c r="U17" s="77"/>
    </row>
    <row r="18" spans="6:21" s="1" customFormat="1" x14ac:dyDescent="0.25">
      <c r="F18" s="6"/>
      <c r="H18" s="21"/>
      <c r="I18" s="20"/>
      <c r="J18" s="21"/>
      <c r="K18" s="20"/>
      <c r="L18" s="20"/>
      <c r="M18" s="21"/>
      <c r="N18" s="22"/>
      <c r="O18" s="23"/>
      <c r="P18" s="24"/>
      <c r="Q18" s="3"/>
    </row>
    <row r="19" spans="6:21" s="1" customFormat="1" x14ac:dyDescent="0.25">
      <c r="F19" s="6"/>
      <c r="H19" s="21"/>
      <c r="I19" s="20"/>
      <c r="J19" s="21"/>
      <c r="K19" s="20"/>
      <c r="L19" s="20"/>
      <c r="M19" s="21"/>
      <c r="N19" s="22"/>
      <c r="O19" s="23"/>
      <c r="P19" s="24"/>
      <c r="Q19" s="3"/>
    </row>
    <row r="20" spans="6:21" s="1" customFormat="1" x14ac:dyDescent="0.25">
      <c r="H20" s="2"/>
      <c r="J20" s="2"/>
      <c r="M20" s="2"/>
    </row>
  </sheetData>
  <mergeCells count="17">
    <mergeCell ref="Q10:Q12"/>
    <mergeCell ref="N15:N17"/>
    <mergeCell ref="U15:U17"/>
    <mergeCell ref="O15:O17"/>
    <mergeCell ref="P15:P17"/>
    <mergeCell ref="B2:O2"/>
    <mergeCell ref="G4:G6"/>
    <mergeCell ref="O4:O6"/>
    <mergeCell ref="F15:F17"/>
    <mergeCell ref="Q4:Q6"/>
    <mergeCell ref="N4:N6"/>
    <mergeCell ref="P4:P6"/>
    <mergeCell ref="Q15:Q17"/>
    <mergeCell ref="G10:G12"/>
    <mergeCell ref="N10:N12"/>
    <mergeCell ref="O10:O12"/>
    <mergeCell ref="P10:P1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Constantes!$G$2:$G$3</xm:f>
          </x14:formula1>
          <xm:sqref>G10:G12</xm:sqref>
        </x14:dataValidation>
        <x14:dataValidation type="list" allowBlank="1" showInputMessage="1" showErrorMessage="1">
          <x14:formula1>
            <xm:f>Constantes!$D$2:$D$3</xm:f>
          </x14:formula1>
          <xm:sqref>G4:G6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85"/>
  <sheetViews>
    <sheetView tabSelected="1" workbookViewId="0">
      <selection activeCell="Y48" sqref="Y48"/>
    </sheetView>
  </sheetViews>
  <sheetFormatPr defaultRowHeight="15" outlineLevelCol="1" x14ac:dyDescent="0.25"/>
  <cols>
    <col min="1" max="1" width="9.140625" style="1"/>
    <col min="2" max="2" width="2.7109375" style="1" customWidth="1"/>
    <col min="3" max="5" width="4" style="1" customWidth="1"/>
    <col min="6" max="6" width="22" style="1" customWidth="1"/>
    <col min="7" max="7" width="14" style="1" customWidth="1"/>
    <col min="8" max="8" width="5" style="1" customWidth="1"/>
    <col min="9" max="9" width="5.7109375" style="2" customWidth="1"/>
    <col min="10" max="10" width="1.5703125" style="1" customWidth="1"/>
    <col min="11" max="11" width="7.28515625" style="2" customWidth="1"/>
    <col min="12" max="12" width="1.5703125" style="1" customWidth="1"/>
    <col min="13" max="13" width="4.28515625" style="1" customWidth="1"/>
    <col min="14" max="14" width="1.5703125" style="2" customWidth="1"/>
    <col min="15" max="15" width="9.140625" style="1"/>
    <col min="16" max="16" width="8.140625" style="1" customWidth="1"/>
    <col min="17" max="17" width="1.85546875" style="1" customWidth="1"/>
    <col min="18" max="18" width="7.140625" style="1" hidden="1" customWidth="1" outlineLevel="1"/>
    <col min="19" max="20" width="9.140625" style="1" hidden="1" customWidth="1" outlineLevel="1"/>
    <col min="21" max="21" width="17.7109375" style="1" hidden="1" customWidth="1" outlineLevel="1"/>
    <col min="22" max="22" width="14.85546875" style="1" hidden="1" customWidth="1" outlineLevel="1"/>
    <col min="23" max="23" width="2.140625" style="1" hidden="1" customWidth="1" outlineLevel="1"/>
    <col min="24" max="24" width="11.85546875" style="1" customWidth="1" collapsed="1"/>
    <col min="25" max="25" width="15" style="1" customWidth="1"/>
    <col min="26" max="26" width="5.28515625" style="1" customWidth="1"/>
    <col min="27" max="27" width="1.42578125" style="1" customWidth="1"/>
    <col min="28" max="28" width="5.28515625" style="1" customWidth="1"/>
    <col min="29" max="29" width="1.42578125" style="1" customWidth="1"/>
    <col min="30" max="30" width="8.28515625" style="1" customWidth="1"/>
    <col min="31" max="32" width="3" style="1" customWidth="1"/>
    <col min="33" max="33" width="16.7109375" style="1" customWidth="1"/>
    <col min="34" max="16384" width="9.140625" style="1"/>
  </cols>
  <sheetData>
    <row r="1" spans="1:23" ht="15.75" thickBot="1" x14ac:dyDescent="0.3"/>
    <row r="2" spans="1:23" ht="15.75" thickBot="1" x14ac:dyDescent="0.3">
      <c r="C2" s="80" t="s">
        <v>20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4" spans="1:23" x14ac:dyDescent="0.25">
      <c r="C4" s="26" t="s">
        <v>21</v>
      </c>
      <c r="D4" s="26"/>
      <c r="E4" s="26"/>
    </row>
    <row r="5" spans="1:23" x14ac:dyDescent="0.25">
      <c r="F5" s="18" t="s">
        <v>22</v>
      </c>
      <c r="H5" s="1" t="s">
        <v>12</v>
      </c>
    </row>
    <row r="6" spans="1:23" x14ac:dyDescent="0.25">
      <c r="A6" s="2"/>
      <c r="B6" s="2"/>
      <c r="C6" s="83"/>
      <c r="D6" s="17"/>
      <c r="E6" s="17"/>
      <c r="F6" s="88" t="s">
        <v>23</v>
      </c>
      <c r="G6" s="19" t="s">
        <v>15</v>
      </c>
      <c r="H6" s="83" t="s">
        <v>17</v>
      </c>
      <c r="I6" s="27">
        <v>2</v>
      </c>
      <c r="J6" s="1" t="s">
        <v>2</v>
      </c>
      <c r="K6" s="27">
        <v>15</v>
      </c>
      <c r="L6" s="5" t="s">
        <v>4</v>
      </c>
      <c r="M6" s="4">
        <v>0</v>
      </c>
      <c r="N6" s="5" t="s">
        <v>6</v>
      </c>
      <c r="O6" s="76" t="s">
        <v>14</v>
      </c>
      <c r="P6" s="78">
        <f>IF(AND(NOT(ISBLANK(M6)), (M6 &lt;&gt; "x")),S6,IF(AND(NOT(ISBLANK(K7)),K7&lt;&gt;"x"),S7,S8)) * R6</f>
        <v>-2.25</v>
      </c>
      <c r="Q6" s="79" t="s">
        <v>2</v>
      </c>
      <c r="R6" s="83">
        <f>IF(H6=Constantes!$D$2,1,-1)</f>
        <v>-1</v>
      </c>
      <c r="S6" s="1">
        <f>I6+(M6/60 + K6)/60</f>
        <v>2.25</v>
      </c>
    </row>
    <row r="7" spans="1:23" x14ac:dyDescent="0.25">
      <c r="A7" s="2"/>
      <c r="B7" s="2"/>
      <c r="C7" s="83"/>
      <c r="D7" s="17"/>
      <c r="E7" s="17"/>
      <c r="F7" s="88"/>
      <c r="G7" s="19" t="s">
        <v>16</v>
      </c>
      <c r="H7" s="83"/>
      <c r="I7" s="27" t="s">
        <v>12</v>
      </c>
      <c r="J7" s="1" t="s">
        <v>2</v>
      </c>
      <c r="K7" s="27" t="s">
        <v>12</v>
      </c>
      <c r="L7" s="5" t="s">
        <v>4</v>
      </c>
      <c r="M7" s="1" t="s">
        <v>12</v>
      </c>
      <c r="N7" s="1"/>
      <c r="O7" s="76"/>
      <c r="P7" s="78"/>
      <c r="Q7" s="79"/>
      <c r="R7" s="83"/>
      <c r="S7" s="1" t="e">
        <f>I7+K7/60</f>
        <v>#VALUE!</v>
      </c>
    </row>
    <row r="8" spans="1:23" x14ac:dyDescent="0.25">
      <c r="F8" s="88"/>
      <c r="G8" s="19" t="s">
        <v>16</v>
      </c>
      <c r="H8" s="83"/>
      <c r="I8" s="27" t="s">
        <v>12</v>
      </c>
      <c r="J8" s="1" t="s">
        <v>2</v>
      </c>
      <c r="K8" s="2" t="s">
        <v>12</v>
      </c>
      <c r="N8" s="1"/>
      <c r="O8" s="76"/>
      <c r="P8" s="78"/>
      <c r="Q8" s="79"/>
      <c r="R8" s="83"/>
      <c r="S8" s="1" t="str">
        <f>I8</f>
        <v>x</v>
      </c>
    </row>
    <row r="10" spans="1:23" x14ac:dyDescent="0.25">
      <c r="C10" s="26" t="s">
        <v>24</v>
      </c>
      <c r="D10" s="26"/>
      <c r="E10" s="26"/>
      <c r="O10" s="20"/>
      <c r="P10" s="20"/>
    </row>
    <row r="11" spans="1:23" x14ac:dyDescent="0.25">
      <c r="F11" s="88" t="s">
        <v>29</v>
      </c>
      <c r="H11" s="4"/>
      <c r="I11" s="27">
        <v>12</v>
      </c>
      <c r="J11" s="1" t="s">
        <v>27</v>
      </c>
      <c r="K11" s="27">
        <v>6</v>
      </c>
      <c r="L11" s="1" t="s">
        <v>27</v>
      </c>
      <c r="M11" s="4">
        <v>0</v>
      </c>
      <c r="O11" s="76" t="s">
        <v>14</v>
      </c>
      <c r="P11" s="78">
        <f>IF(AND(NOT(ISBLANK(M11)), (M11 &lt;&gt; "x")),S11,IF(AND(NOT(ISBLANK(K12)),K12&lt;&gt;"x"),S12,S13)) * R11</f>
        <v>12.1</v>
      </c>
      <c r="Q11" s="79" t="s">
        <v>28</v>
      </c>
      <c r="R11" s="83">
        <v>1</v>
      </c>
      <c r="S11" s="1">
        <f>I11+(M11/60 + K11)/60</f>
        <v>12.1</v>
      </c>
    </row>
    <row r="12" spans="1:23" x14ac:dyDescent="0.25">
      <c r="F12" s="88"/>
      <c r="H12" s="4"/>
      <c r="I12" s="27" t="s">
        <v>12</v>
      </c>
      <c r="J12" s="1" t="s">
        <v>27</v>
      </c>
      <c r="K12" s="27" t="s">
        <v>12</v>
      </c>
      <c r="M12" s="1" t="s">
        <v>12</v>
      </c>
      <c r="O12" s="76"/>
      <c r="P12" s="78"/>
      <c r="Q12" s="79"/>
      <c r="R12" s="83"/>
      <c r="S12" s="1" t="e">
        <f>I12+K12/60</f>
        <v>#VALUE!</v>
      </c>
    </row>
    <row r="13" spans="1:23" x14ac:dyDescent="0.25">
      <c r="F13" s="88"/>
      <c r="H13" s="4"/>
      <c r="I13" s="27" t="s">
        <v>12</v>
      </c>
      <c r="K13" s="2" t="s">
        <v>12</v>
      </c>
      <c r="M13" s="1" t="s">
        <v>12</v>
      </c>
      <c r="O13" s="76"/>
      <c r="P13" s="78"/>
      <c r="Q13" s="79"/>
      <c r="R13" s="83"/>
      <c r="S13" s="1" t="str">
        <f>I13</f>
        <v>x</v>
      </c>
    </row>
    <row r="15" spans="1:23" x14ac:dyDescent="0.25">
      <c r="F15" s="9" t="s">
        <v>81</v>
      </c>
      <c r="G15" s="10"/>
      <c r="H15" s="10"/>
      <c r="I15" s="11"/>
      <c r="J15" s="10"/>
      <c r="K15" s="11"/>
      <c r="L15" s="10"/>
      <c r="M15" s="10"/>
      <c r="N15" s="11"/>
      <c r="S15" s="20"/>
      <c r="T15" s="20"/>
      <c r="V15" s="25">
        <f>((P15-U15)*60)</f>
        <v>0</v>
      </c>
      <c r="W15" s="1">
        <f>P15*3600 - U15*3600 - V15*60</f>
        <v>0</v>
      </c>
    </row>
    <row r="16" spans="1:23" x14ac:dyDescent="0.25">
      <c r="F16" s="10"/>
      <c r="G16" s="10">
        <f>P11-P6/15</f>
        <v>12.25</v>
      </c>
      <c r="H16" s="12"/>
      <c r="I16" s="11" t="str">
        <f>S16</f>
        <v>12:15:00</v>
      </c>
      <c r="J16" s="10"/>
      <c r="K16" s="11"/>
      <c r="L16" s="10"/>
      <c r="M16" s="10"/>
      <c r="N16" s="12"/>
      <c r="P16" s="1">
        <f>G16</f>
        <v>12.25</v>
      </c>
      <c r="Q16" s="1" t="s">
        <v>28</v>
      </c>
      <c r="S16" s="20" t="str">
        <f>CONCATENATE(U16, ":", TEXT(V16,"00"), ":", TEXT(W16,"00"))</f>
        <v>12:15:00</v>
      </c>
      <c r="T16" s="60" t="s">
        <v>26</v>
      </c>
      <c r="U16" s="1">
        <f>INT(P16)</f>
        <v>12</v>
      </c>
      <c r="V16" s="1">
        <f>INT(0.0000001 + (P16-U16)*60)</f>
        <v>15</v>
      </c>
      <c r="W16" s="1">
        <f>P16*3600 - U16*3600 - V16*60</f>
        <v>0</v>
      </c>
    </row>
    <row r="17" spans="2:23" x14ac:dyDescent="0.25">
      <c r="S17" s="20"/>
      <c r="T17" s="60"/>
    </row>
    <row r="18" spans="2:23" x14ac:dyDescent="0.25">
      <c r="F18" s="5" t="s">
        <v>30</v>
      </c>
      <c r="S18" s="20"/>
      <c r="T18" s="20"/>
    </row>
    <row r="19" spans="2:23" x14ac:dyDescent="0.25">
      <c r="G19" s="1">
        <f>G16-1</f>
        <v>11.25</v>
      </c>
      <c r="H19" s="12"/>
      <c r="I19" s="11" t="str">
        <f>S19</f>
        <v>11:15:00</v>
      </c>
      <c r="J19" s="10"/>
      <c r="K19" s="11"/>
      <c r="L19" s="10"/>
      <c r="M19" s="10"/>
      <c r="N19" s="12"/>
      <c r="P19" s="1">
        <f>G19</f>
        <v>11.25</v>
      </c>
      <c r="S19" s="20" t="str">
        <f>CONCATENATE(U19, ":", TEXT(V19,"00"), ":", TEXT(W19,"00"))</f>
        <v>11:15:00</v>
      </c>
      <c r="T19" s="60" t="s">
        <v>26</v>
      </c>
      <c r="U19" s="1">
        <f>INT(P19)</f>
        <v>11</v>
      </c>
      <c r="V19" s="1">
        <f>INT(0.0000001 + (P19-U19)*60)</f>
        <v>15</v>
      </c>
      <c r="W19" s="1">
        <f>P19*3600 - U19*3600 - V19*60</f>
        <v>0</v>
      </c>
    </row>
    <row r="20" spans="2:23" x14ac:dyDescent="0.25">
      <c r="G20" s="1">
        <f>G16+1</f>
        <v>13.25</v>
      </c>
      <c r="H20" s="12"/>
      <c r="I20" s="11" t="str">
        <f>S20</f>
        <v>13:15:00</v>
      </c>
      <c r="J20" s="10"/>
      <c r="K20" s="11"/>
      <c r="L20" s="10"/>
      <c r="M20" s="10"/>
      <c r="N20" s="12"/>
      <c r="P20" s="1">
        <f>G20</f>
        <v>13.25</v>
      </c>
      <c r="S20" s="20" t="str">
        <f>CONCATENATE(U20, ":", TEXT(V20,"00"), ":", TEXT(W20,"00"))</f>
        <v>13:15:00</v>
      </c>
      <c r="T20" s="60" t="s">
        <v>26</v>
      </c>
      <c r="U20" s="1">
        <f>INT(P20)</f>
        <v>13</v>
      </c>
      <c r="V20" s="1">
        <f>INT(0.0000001 + (P20-U20)*60)</f>
        <v>15</v>
      </c>
      <c r="W20" s="1">
        <f>P20*3600 - U20*3600 - V20*60</f>
        <v>0</v>
      </c>
    </row>
    <row r="21" spans="2:23" x14ac:dyDescent="0.25">
      <c r="S21" s="20"/>
      <c r="T21" s="60"/>
    </row>
    <row r="22" spans="2:23" ht="15.75" thickBot="1" x14ac:dyDescent="0.3">
      <c r="S22" s="20"/>
      <c r="T22" s="60"/>
    </row>
    <row r="23" spans="2:23" ht="15.75" thickBot="1" x14ac:dyDescent="0.3">
      <c r="B23" s="139" t="s">
        <v>83</v>
      </c>
      <c r="C23" s="81" t="s">
        <v>82</v>
      </c>
      <c r="D23" s="81"/>
      <c r="E23" s="81"/>
      <c r="F23" s="81"/>
      <c r="G23" s="81"/>
      <c r="H23" s="81"/>
      <c r="I23" s="81"/>
      <c r="J23" s="81"/>
      <c r="K23" s="81"/>
      <c r="L23" s="82"/>
      <c r="S23" s="20"/>
      <c r="T23" s="60"/>
    </row>
    <row r="24" spans="2:23" x14ac:dyDescent="0.25">
      <c r="B24" s="140"/>
      <c r="S24" s="20"/>
      <c r="T24" s="60"/>
    </row>
    <row r="25" spans="2:23" x14ac:dyDescent="0.25">
      <c r="B25" s="140"/>
      <c r="S25" s="20"/>
      <c r="T25" s="60"/>
    </row>
    <row r="26" spans="2:23" x14ac:dyDescent="0.25">
      <c r="B26" s="140"/>
      <c r="C26" s="26" t="s">
        <v>31</v>
      </c>
    </row>
    <row r="27" spans="2:23" x14ac:dyDescent="0.25">
      <c r="B27" s="140"/>
      <c r="C27" s="26"/>
      <c r="D27" s="1" t="s">
        <v>38</v>
      </c>
    </row>
    <row r="28" spans="2:23" x14ac:dyDescent="0.25">
      <c r="B28" s="140"/>
      <c r="C28" s="26"/>
      <c r="F28" s="88" t="s">
        <v>61</v>
      </c>
      <c r="G28" s="28" t="s">
        <v>15</v>
      </c>
      <c r="H28" s="89" t="s">
        <v>63</v>
      </c>
      <c r="I28" s="29" t="s">
        <v>12</v>
      </c>
      <c r="J28" s="30" t="s">
        <v>2</v>
      </c>
      <c r="K28" s="29" t="s">
        <v>12</v>
      </c>
      <c r="L28" s="31" t="s">
        <v>4</v>
      </c>
      <c r="M28" s="32" t="s">
        <v>12</v>
      </c>
      <c r="N28" s="31" t="s">
        <v>6</v>
      </c>
      <c r="O28" s="92" t="s">
        <v>14</v>
      </c>
      <c r="P28" s="78">
        <f>IF(AND(NOT(ISBLANK(M28)), (M28 &lt;&gt; "x")),S28,IF(AND(NOT(ISBLANK(K29)),K29&lt;&gt;"x"),S29,S30)) * R28</f>
        <v>-9.3166666666666662E-2</v>
      </c>
      <c r="Q28" s="85" t="s">
        <v>2</v>
      </c>
      <c r="R28" s="83">
        <f>IF(H28=Constantes!$D$2,1,-1)</f>
        <v>-1</v>
      </c>
      <c r="S28" s="1" t="e">
        <f>I28+(M28/60 + K28)/60</f>
        <v>#VALUE!</v>
      </c>
    </row>
    <row r="29" spans="2:23" x14ac:dyDescent="0.25">
      <c r="B29" s="140"/>
      <c r="C29" s="26"/>
      <c r="F29" s="88"/>
      <c r="G29" s="33" t="s">
        <v>16</v>
      </c>
      <c r="H29" s="90"/>
      <c r="I29" s="34">
        <v>0</v>
      </c>
      <c r="J29" s="35" t="s">
        <v>2</v>
      </c>
      <c r="K29" s="34">
        <v>5.59</v>
      </c>
      <c r="L29" s="50" t="s">
        <v>4</v>
      </c>
      <c r="M29" s="35" t="s">
        <v>12</v>
      </c>
      <c r="N29" s="35"/>
      <c r="O29" s="93"/>
      <c r="P29" s="78"/>
      <c r="Q29" s="86"/>
      <c r="R29" s="83"/>
      <c r="S29" s="1">
        <f>I29+K29/60</f>
        <v>9.3166666666666662E-2</v>
      </c>
    </row>
    <row r="30" spans="2:23" x14ac:dyDescent="0.25">
      <c r="B30" s="140"/>
      <c r="C30" s="26"/>
      <c r="F30" s="88"/>
      <c r="G30" s="36" t="s">
        <v>16</v>
      </c>
      <c r="H30" s="91"/>
      <c r="I30" s="37" t="s">
        <v>12</v>
      </c>
      <c r="J30" s="38" t="s">
        <v>2</v>
      </c>
      <c r="K30" s="39" t="s">
        <v>12</v>
      </c>
      <c r="L30" s="38"/>
      <c r="M30" s="38"/>
      <c r="N30" s="38"/>
      <c r="O30" s="94"/>
      <c r="P30" s="78"/>
      <c r="Q30" s="87"/>
      <c r="R30" s="83"/>
      <c r="S30" s="1" t="str">
        <f>I30</f>
        <v>x</v>
      </c>
    </row>
    <row r="31" spans="2:23" x14ac:dyDescent="0.25">
      <c r="B31" s="140"/>
      <c r="C31" s="26"/>
    </row>
    <row r="32" spans="2:23" x14ac:dyDescent="0.25">
      <c r="B32" s="140"/>
      <c r="D32" s="26" t="s">
        <v>32</v>
      </c>
      <c r="G32" s="13"/>
    </row>
    <row r="33" spans="2:38" x14ac:dyDescent="0.25">
      <c r="B33" s="140"/>
      <c r="F33" s="88" t="s">
        <v>41</v>
      </c>
      <c r="G33" s="28" t="s">
        <v>15</v>
      </c>
      <c r="H33" s="89" t="s">
        <v>17</v>
      </c>
      <c r="I33" s="29">
        <v>25</v>
      </c>
      <c r="J33" s="30" t="s">
        <v>2</v>
      </c>
      <c r="K33" s="29">
        <v>45</v>
      </c>
      <c r="L33" s="31" t="s">
        <v>4</v>
      </c>
      <c r="M33" s="32">
        <v>12</v>
      </c>
      <c r="N33" s="31" t="s">
        <v>6</v>
      </c>
      <c r="O33" s="92" t="s">
        <v>14</v>
      </c>
      <c r="P33" s="78">
        <f>IF(AND(NOT(ISBLANK(M33)), (M33 &lt;&gt; "x")),S33,IF(AND(NOT(ISBLANK(K34)),K34&lt;&gt;"x"),S34,S35)) * R33</f>
        <v>-25.753333333333334</v>
      </c>
      <c r="Q33" s="85" t="s">
        <v>2</v>
      </c>
      <c r="R33" s="83">
        <f>IF(H33=Constantes!$D$2,1,-1)</f>
        <v>-1</v>
      </c>
      <c r="S33" s="1">
        <f>I33+(M33/60 + K33)/60</f>
        <v>25.753333333333334</v>
      </c>
      <c r="Y33" s="98" t="s">
        <v>66</v>
      </c>
      <c r="Z33" s="40"/>
      <c r="AA33" s="32"/>
      <c r="AB33" s="29">
        <v>0</v>
      </c>
      <c r="AC33" s="30" t="s">
        <v>27</v>
      </c>
      <c r="AD33" s="29">
        <v>0</v>
      </c>
      <c r="AE33" s="30" t="s">
        <v>27</v>
      </c>
      <c r="AF33" s="32">
        <v>0</v>
      </c>
      <c r="AG33" s="41"/>
      <c r="AH33" s="92" t="s">
        <v>14</v>
      </c>
      <c r="AI33" s="78">
        <f>IF(AND(NOT(ISBLANK(AF33)), (AF33 &lt;&gt; "x")),AL33,IF(AND(NOT(ISBLANK(AD34)),AD34&lt;&gt;"x"),AL34,AL35)) * AK33</f>
        <v>0</v>
      </c>
      <c r="AJ33" s="85" t="s">
        <v>28</v>
      </c>
      <c r="AK33" s="83">
        <v>1</v>
      </c>
      <c r="AL33" s="1">
        <f>AB33+(AF33/60 + AD33)/60</f>
        <v>0</v>
      </c>
    </row>
    <row r="34" spans="2:38" x14ac:dyDescent="0.25">
      <c r="B34" s="140"/>
      <c r="F34" s="88"/>
      <c r="G34" s="33" t="s">
        <v>16</v>
      </c>
      <c r="H34" s="90"/>
      <c r="I34" s="34" t="s">
        <v>12</v>
      </c>
      <c r="J34" s="35" t="s">
        <v>2</v>
      </c>
      <c r="K34" s="34" t="s">
        <v>12</v>
      </c>
      <c r="L34" s="50" t="s">
        <v>40</v>
      </c>
      <c r="M34" s="35" t="s">
        <v>12</v>
      </c>
      <c r="N34" s="35"/>
      <c r="O34" s="93"/>
      <c r="P34" s="78"/>
      <c r="Q34" s="86"/>
      <c r="R34" s="83"/>
      <c r="S34" s="1" t="e">
        <f>I34+K34/60</f>
        <v>#VALUE!</v>
      </c>
      <c r="Y34" s="88"/>
      <c r="Z34" s="42"/>
      <c r="AA34" s="43"/>
      <c r="AB34" s="34" t="s">
        <v>12</v>
      </c>
      <c r="AC34" s="35" t="s">
        <v>27</v>
      </c>
      <c r="AD34" s="34" t="s">
        <v>12</v>
      </c>
      <c r="AE34" s="35"/>
      <c r="AF34" s="35" t="s">
        <v>12</v>
      </c>
      <c r="AG34" s="44"/>
      <c r="AH34" s="93"/>
      <c r="AI34" s="78"/>
      <c r="AJ34" s="86"/>
      <c r="AK34" s="83"/>
      <c r="AL34" s="1" t="e">
        <f>AB34+AD34/60</f>
        <v>#VALUE!</v>
      </c>
    </row>
    <row r="35" spans="2:38" x14ac:dyDescent="0.25">
      <c r="B35" s="140"/>
      <c r="F35" s="88"/>
      <c r="G35" s="36" t="s">
        <v>16</v>
      </c>
      <c r="H35" s="91"/>
      <c r="I35" s="37" t="s">
        <v>12</v>
      </c>
      <c r="J35" s="38" t="s">
        <v>2</v>
      </c>
      <c r="K35" s="39" t="s">
        <v>12</v>
      </c>
      <c r="L35" s="38"/>
      <c r="M35" s="38"/>
      <c r="N35" s="38"/>
      <c r="O35" s="94"/>
      <c r="P35" s="78"/>
      <c r="Q35" s="87"/>
      <c r="R35" s="83"/>
      <c r="S35" s="1" t="str">
        <f>I35</f>
        <v>x</v>
      </c>
      <c r="Y35" s="88"/>
      <c r="Z35" s="45"/>
      <c r="AA35" s="46"/>
      <c r="AB35" s="37" t="s">
        <v>12</v>
      </c>
      <c r="AC35" s="38"/>
      <c r="AD35" s="39" t="s">
        <v>12</v>
      </c>
      <c r="AE35" s="38"/>
      <c r="AF35" s="38" t="s">
        <v>12</v>
      </c>
      <c r="AG35" s="39"/>
      <c r="AH35" s="94"/>
      <c r="AI35" s="78"/>
      <c r="AJ35" s="87"/>
      <c r="AK35" s="83"/>
      <c r="AL35" s="1" t="str">
        <f>AB35</f>
        <v>x</v>
      </c>
    </row>
    <row r="36" spans="2:38" x14ac:dyDescent="0.25">
      <c r="B36" s="140"/>
    </row>
    <row r="37" spans="2:38" x14ac:dyDescent="0.25">
      <c r="B37" s="140"/>
      <c r="C37" s="26"/>
      <c r="D37" s="1" t="s">
        <v>65</v>
      </c>
      <c r="X37" s="20"/>
      <c r="Y37" s="20"/>
      <c r="Z37" s="20"/>
      <c r="AA37" s="20"/>
      <c r="AB37" s="20"/>
    </row>
    <row r="38" spans="2:38" x14ac:dyDescent="0.25">
      <c r="B38" s="140"/>
      <c r="C38" s="26"/>
      <c r="F38" s="1" t="s">
        <v>68</v>
      </c>
      <c r="G38" s="4">
        <v>1</v>
      </c>
      <c r="H38" s="1" t="s">
        <v>54</v>
      </c>
      <c r="X38" s="20"/>
      <c r="Y38" s="20"/>
      <c r="Z38" s="20"/>
      <c r="AA38" s="20"/>
      <c r="AB38" s="20"/>
    </row>
    <row r="39" spans="2:38" ht="18" x14ac:dyDescent="0.25">
      <c r="B39" s="140"/>
      <c r="C39" s="26"/>
      <c r="F39" s="114" t="s">
        <v>78</v>
      </c>
      <c r="G39" s="115"/>
      <c r="H39" s="116"/>
      <c r="I39" s="117"/>
      <c r="J39" s="118"/>
      <c r="K39" s="117"/>
      <c r="L39" s="119"/>
      <c r="M39" s="118"/>
      <c r="N39" s="120"/>
      <c r="O39" s="121" t="s">
        <v>14</v>
      </c>
      <c r="P39" s="122">
        <f>AD41</f>
        <v>0.2345888888888889</v>
      </c>
      <c r="Q39" s="123" t="s">
        <v>2</v>
      </c>
      <c r="R39" s="83">
        <f>IF(H39=Constantes!$D$2,1,-1)</f>
        <v>-1</v>
      </c>
      <c r="S39" s="1">
        <f>I39+(M39/60 + K39)/60</f>
        <v>0</v>
      </c>
      <c r="X39" s="20"/>
      <c r="Y39" s="138" t="s">
        <v>67</v>
      </c>
      <c r="Z39" s="138">
        <f>INDEX(Constantes!$K$6:$R$17, AF39,1)</f>
        <v>20</v>
      </c>
      <c r="AA39" s="138" t="s">
        <v>2</v>
      </c>
      <c r="AB39" s="138"/>
      <c r="AC39" s="138"/>
      <c r="AD39" s="138">
        <f>INDEX(Constantes!$K$6:$R$17, AF39,$G$38+2)</f>
        <v>0.22500000000000001</v>
      </c>
      <c r="AE39" s="138" t="s">
        <v>2</v>
      </c>
      <c r="AF39" s="138">
        <f>VLOOKUP(ABS($P$33),Constantes!$K$6:$S$17,9)</f>
        <v>8</v>
      </c>
    </row>
    <row r="40" spans="2:38" x14ac:dyDescent="0.25">
      <c r="B40" s="140"/>
      <c r="C40" s="26"/>
      <c r="F40" s="107"/>
      <c r="G40" s="112"/>
      <c r="H40" s="107"/>
      <c r="I40" s="108"/>
      <c r="J40" s="109"/>
      <c r="K40" s="108"/>
      <c r="L40" s="110"/>
      <c r="M40" s="109"/>
      <c r="N40" s="109"/>
      <c r="O40" s="111"/>
      <c r="P40" s="113"/>
      <c r="Q40" s="113"/>
      <c r="R40" s="83"/>
      <c r="S40" s="1">
        <f>I40+K40/60</f>
        <v>0</v>
      </c>
      <c r="X40" s="20"/>
      <c r="Y40" s="138" t="s">
        <v>67</v>
      </c>
      <c r="Z40" s="138">
        <f>INDEX(Constantes!$K$6:$R$17, AF40,1)</f>
        <v>30</v>
      </c>
      <c r="AA40" s="138" t="s">
        <v>2</v>
      </c>
      <c r="AB40" s="138"/>
      <c r="AC40" s="138"/>
      <c r="AD40" s="138">
        <f>INDEX(Constantes!$K$6:$R$17, AF40,$G$38+2)</f>
        <v>0.24166666666666667</v>
      </c>
      <c r="AE40" s="138" t="s">
        <v>2</v>
      </c>
      <c r="AF40" s="138">
        <f>AF39+1</f>
        <v>9</v>
      </c>
    </row>
    <row r="41" spans="2:38" x14ac:dyDescent="0.25">
      <c r="B41" s="140"/>
      <c r="C41" s="26"/>
      <c r="F41" s="107"/>
      <c r="G41" s="112"/>
      <c r="H41" s="107"/>
      <c r="I41" s="108"/>
      <c r="J41" s="109"/>
      <c r="K41" s="108"/>
      <c r="L41" s="109"/>
      <c r="M41" s="109"/>
      <c r="N41" s="109"/>
      <c r="O41" s="111"/>
      <c r="P41" s="113"/>
      <c r="Q41" s="113"/>
      <c r="R41" s="83"/>
      <c r="S41" s="1">
        <f>I41</f>
        <v>0</v>
      </c>
      <c r="X41" s="20"/>
      <c r="Y41" s="138" t="s">
        <v>69</v>
      </c>
      <c r="Z41" s="138"/>
      <c r="AA41" s="138"/>
      <c r="AB41" s="138"/>
      <c r="AC41" s="138"/>
      <c r="AD41" s="138">
        <f>AD39+((ABS(P33)-Z39)/(Z40-Z39))*(AD40-AD39)</f>
        <v>0.2345888888888889</v>
      </c>
      <c r="AE41" s="138"/>
      <c r="AF41" s="138"/>
    </row>
    <row r="42" spans="2:38" x14ac:dyDescent="0.25">
      <c r="B42" s="140"/>
      <c r="C42" s="26"/>
      <c r="D42" s="1" t="s">
        <v>70</v>
      </c>
    </row>
    <row r="43" spans="2:38" x14ac:dyDescent="0.25">
      <c r="B43" s="140"/>
      <c r="C43" s="26"/>
      <c r="F43" s="1" t="s">
        <v>71</v>
      </c>
      <c r="G43" s="4" t="s">
        <v>73</v>
      </c>
    </row>
    <row r="44" spans="2:38" s="20" customFormat="1" ht="18" x14ac:dyDescent="0.25">
      <c r="B44" s="140"/>
      <c r="C44" s="124"/>
      <c r="F44" s="134" t="s">
        <v>79</v>
      </c>
      <c r="G44" s="135"/>
      <c r="H44" s="129"/>
      <c r="I44" s="130"/>
      <c r="J44" s="131"/>
      <c r="K44" s="130"/>
      <c r="L44" s="132"/>
      <c r="M44" s="131"/>
      <c r="N44" s="132"/>
      <c r="O44" s="133" t="s">
        <v>14</v>
      </c>
      <c r="P44" s="136">
        <f>IF(G43="Superieur",Constantes!L19,0)</f>
        <v>0</v>
      </c>
      <c r="Q44" s="137" t="s">
        <v>2</v>
      </c>
      <c r="R44" s="128">
        <f>IF(H44=Constantes!$D$2,1,-1)</f>
        <v>-1</v>
      </c>
      <c r="S44" s="20">
        <f>I44+(M44/60 + K44)/60</f>
        <v>0</v>
      </c>
    </row>
    <row r="45" spans="2:38" s="20" customFormat="1" x14ac:dyDescent="0.25">
      <c r="B45" s="140"/>
      <c r="C45" s="124"/>
      <c r="F45" s="125"/>
      <c r="G45" s="112"/>
      <c r="H45" s="125"/>
      <c r="I45" s="108"/>
      <c r="J45" s="109"/>
      <c r="K45" s="108"/>
      <c r="L45" s="109"/>
      <c r="M45" s="109"/>
      <c r="N45" s="109"/>
      <c r="O45" s="126"/>
      <c r="P45" s="23"/>
      <c r="Q45" s="127"/>
      <c r="R45" s="128"/>
    </row>
    <row r="46" spans="2:38" x14ac:dyDescent="0.25">
      <c r="B46" s="140"/>
      <c r="C46" s="26"/>
      <c r="D46" s="1" t="s">
        <v>75</v>
      </c>
    </row>
    <row r="47" spans="2:38" x14ac:dyDescent="0.25">
      <c r="B47" s="140"/>
      <c r="C47" s="26"/>
      <c r="F47" s="1" t="s">
        <v>45</v>
      </c>
      <c r="G47" s="4" t="s">
        <v>76</v>
      </c>
    </row>
    <row r="48" spans="2:38" ht="18" x14ac:dyDescent="0.25">
      <c r="B48" s="140"/>
      <c r="C48" s="26"/>
      <c r="F48" s="134" t="s">
        <v>80</v>
      </c>
      <c r="G48" s="135"/>
      <c r="H48" s="129"/>
      <c r="I48" s="130"/>
      <c r="J48" s="131"/>
      <c r="K48" s="130"/>
      <c r="L48" s="132"/>
      <c r="M48" s="131"/>
      <c r="N48" s="132"/>
      <c r="O48" s="133" t="s">
        <v>14</v>
      </c>
      <c r="P48" s="122">
        <f>IF(G47="Oui", Constantes!L18, 0)</f>
        <v>0</v>
      </c>
      <c r="Q48" s="123" t="s">
        <v>2</v>
      </c>
      <c r="R48" s="75">
        <f>IF(H48=Constantes!$D$2,1,-1)</f>
        <v>-1</v>
      </c>
      <c r="S48" s="1">
        <f>I48+(M48/60 + K48)/60</f>
        <v>0</v>
      </c>
    </row>
    <row r="49" spans="2:36" ht="15.75" thickBot="1" x14ac:dyDescent="0.3">
      <c r="B49" s="141"/>
      <c r="C49" s="26"/>
    </row>
    <row r="50" spans="2:36" x14ac:dyDescent="0.25">
      <c r="B50" s="142"/>
      <c r="C50" s="26"/>
    </row>
    <row r="51" spans="2:36" x14ac:dyDescent="0.25">
      <c r="B51" s="142"/>
      <c r="C51" s="26"/>
      <c r="E51" s="1" t="s">
        <v>86</v>
      </c>
    </row>
    <row r="52" spans="2:36" x14ac:dyDescent="0.25">
      <c r="B52" s="142"/>
      <c r="C52" s="26"/>
      <c r="F52" s="1" t="s">
        <v>87</v>
      </c>
      <c r="P52" s="1">
        <f>P33-P39-P44-P48</f>
        <v>-25.987922222222224</v>
      </c>
      <c r="Q52" s="1" t="s">
        <v>2</v>
      </c>
    </row>
    <row r="53" spans="2:36" x14ac:dyDescent="0.25">
      <c r="B53" s="142"/>
      <c r="C53" s="26"/>
      <c r="F53" s="10" t="s">
        <v>88</v>
      </c>
      <c r="G53" s="10"/>
      <c r="H53" s="10"/>
      <c r="I53" s="11"/>
      <c r="J53" s="10"/>
      <c r="K53" s="11"/>
      <c r="L53" s="10"/>
      <c r="M53" s="10"/>
      <c r="N53" s="11"/>
      <c r="O53" s="10"/>
      <c r="P53" s="10">
        <f>90+P52</f>
        <v>64.012077777777776</v>
      </c>
      <c r="Q53" s="10" t="s">
        <v>2</v>
      </c>
    </row>
    <row r="54" spans="2:36" x14ac:dyDescent="0.25">
      <c r="B54" s="142"/>
      <c r="C54" s="26"/>
    </row>
    <row r="55" spans="2:36" x14ac:dyDescent="0.25">
      <c r="B55" s="142"/>
      <c r="C55" s="26"/>
    </row>
    <row r="56" spans="2:36" x14ac:dyDescent="0.25">
      <c r="B56" s="142"/>
      <c r="C56" s="26"/>
    </row>
    <row r="57" spans="2:36" x14ac:dyDescent="0.25">
      <c r="B57" s="142"/>
      <c r="C57" s="26"/>
    </row>
    <row r="58" spans="2:36" ht="15.75" thickBot="1" x14ac:dyDescent="0.3">
      <c r="B58" s="142"/>
      <c r="C58" s="26"/>
    </row>
    <row r="59" spans="2:36" ht="13.5" customHeight="1" thickBot="1" x14ac:dyDescent="0.3">
      <c r="B59" s="145" t="s">
        <v>85</v>
      </c>
      <c r="C59" s="143" t="s">
        <v>84</v>
      </c>
      <c r="D59" s="143"/>
      <c r="E59" s="143"/>
      <c r="F59" s="143"/>
      <c r="G59" s="143"/>
      <c r="H59" s="143"/>
      <c r="I59" s="143"/>
      <c r="J59" s="143"/>
      <c r="K59" s="143"/>
      <c r="L59" s="144"/>
    </row>
    <row r="60" spans="2:36" x14ac:dyDescent="0.25">
      <c r="B60" s="146"/>
      <c r="D60" s="26" t="s">
        <v>34</v>
      </c>
    </row>
    <row r="61" spans="2:36" x14ac:dyDescent="0.25">
      <c r="B61" s="146"/>
      <c r="D61" s="30"/>
      <c r="E61" s="5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55"/>
      <c r="S61" s="30"/>
      <c r="T61" s="30"/>
      <c r="X61" s="59" t="s">
        <v>35</v>
      </c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2:36" x14ac:dyDescent="0.25">
      <c r="B62" s="146"/>
      <c r="I62" s="1"/>
      <c r="K62" s="1"/>
      <c r="N62" s="1"/>
      <c r="R62" s="17"/>
      <c r="Y62" s="95" t="s">
        <v>33</v>
      </c>
      <c r="Z62" s="27">
        <v>0</v>
      </c>
      <c r="AA62" s="4" t="s">
        <v>27</v>
      </c>
      <c r="AB62" s="27">
        <v>0</v>
      </c>
      <c r="AC62" s="4" t="s">
        <v>27</v>
      </c>
      <c r="AD62" s="4">
        <v>0</v>
      </c>
      <c r="AE62" s="2"/>
      <c r="AF62" s="14" t="s">
        <v>14</v>
      </c>
      <c r="AG62" s="15">
        <f>IF(AND(NOT(ISBLANK(AD62)), (AD62 &lt;&gt; "x")),AJ62,IF(AND(NOT(ISBLANK(AB63)),AB63&lt;&gt;"x"),AJ63,AJ64)) * AI62</f>
        <v>0</v>
      </c>
      <c r="AH62" s="16" t="s">
        <v>28</v>
      </c>
      <c r="AI62" s="17">
        <v>1</v>
      </c>
      <c r="AJ62" s="1">
        <f>Z62+(AD62/60 + AB62)/60</f>
        <v>0</v>
      </c>
    </row>
    <row r="63" spans="2:36" x14ac:dyDescent="0.25">
      <c r="B63" s="146"/>
      <c r="I63" s="1"/>
      <c r="K63" s="1"/>
      <c r="N63" s="1"/>
      <c r="R63" s="17"/>
      <c r="Y63" s="96"/>
      <c r="Z63" s="27" t="s">
        <v>12</v>
      </c>
      <c r="AA63" s="4" t="s">
        <v>27</v>
      </c>
      <c r="AB63" s="27" t="s">
        <v>12</v>
      </c>
      <c r="AD63" s="1" t="s">
        <v>12</v>
      </c>
      <c r="AE63" s="2"/>
      <c r="AF63" s="14"/>
      <c r="AG63" s="15"/>
      <c r="AH63" s="16"/>
      <c r="AI63" s="17"/>
      <c r="AJ63" s="1" t="e">
        <f>Z63+AB63/60</f>
        <v>#VALUE!</v>
      </c>
    </row>
    <row r="64" spans="2:36" x14ac:dyDescent="0.25">
      <c r="B64" s="146"/>
      <c r="F64" s="95" t="s">
        <v>41</v>
      </c>
      <c r="G64" s="28" t="s">
        <v>15</v>
      </c>
      <c r="H64" s="55" t="s">
        <v>17</v>
      </c>
      <c r="I64" s="29">
        <v>0</v>
      </c>
      <c r="J64" s="30" t="s">
        <v>2</v>
      </c>
      <c r="K64" s="29">
        <v>0</v>
      </c>
      <c r="L64" s="31" t="s">
        <v>4</v>
      </c>
      <c r="M64" s="32">
        <v>0</v>
      </c>
      <c r="N64" s="31" t="s">
        <v>6</v>
      </c>
      <c r="O64" s="51" t="s">
        <v>14</v>
      </c>
      <c r="P64" s="15">
        <f>IF(AND(NOT(ISBLANK(M64)), (M64 &lt;&gt; "x")),S64,IF(AND(NOT(ISBLANK(K65)),K65&lt;&gt;"x"),S65,S66)) * R64</f>
        <v>0</v>
      </c>
      <c r="Q64" s="47" t="s">
        <v>2</v>
      </c>
      <c r="R64" s="17">
        <f>IF(H64=Constantes!$D$2,1,-1)</f>
        <v>-1</v>
      </c>
      <c r="S64" s="1">
        <f>I64+(M64/60 + K64)/60</f>
        <v>0</v>
      </c>
      <c r="Y64" s="97"/>
      <c r="Z64" s="27" t="s">
        <v>12</v>
      </c>
      <c r="AB64" s="2" t="s">
        <v>12</v>
      </c>
      <c r="AD64" s="1" t="s">
        <v>12</v>
      </c>
      <c r="AE64" s="2"/>
      <c r="AF64" s="14"/>
      <c r="AG64" s="15"/>
      <c r="AH64" s="16"/>
      <c r="AI64" s="17"/>
      <c r="AJ64" s="1" t="str">
        <f>Z64</f>
        <v>x</v>
      </c>
    </row>
    <row r="65" spans="2:36" x14ac:dyDescent="0.25">
      <c r="B65" s="146"/>
      <c r="F65" s="96"/>
      <c r="G65" s="33" t="s">
        <v>16</v>
      </c>
      <c r="H65" s="56"/>
      <c r="I65" s="34" t="s">
        <v>12</v>
      </c>
      <c r="J65" s="35" t="s">
        <v>2</v>
      </c>
      <c r="K65" s="34" t="s">
        <v>12</v>
      </c>
      <c r="L65" s="50" t="s">
        <v>4</v>
      </c>
      <c r="M65" s="35" t="s">
        <v>12</v>
      </c>
      <c r="N65" s="35"/>
      <c r="O65" s="52"/>
      <c r="P65" s="15"/>
      <c r="Q65" s="48"/>
      <c r="R65" s="17"/>
      <c r="S65" s="1" t="e">
        <f>I65+K65/60</f>
        <v>#VALUE!</v>
      </c>
      <c r="X65" s="54" t="s">
        <v>36</v>
      </c>
    </row>
    <row r="66" spans="2:36" x14ac:dyDescent="0.25">
      <c r="B66" s="146"/>
      <c r="F66" s="97"/>
      <c r="G66" s="36" t="s">
        <v>16</v>
      </c>
      <c r="H66" s="57"/>
      <c r="I66" s="37" t="s">
        <v>12</v>
      </c>
      <c r="J66" s="38" t="s">
        <v>2</v>
      </c>
      <c r="K66" s="39" t="s">
        <v>12</v>
      </c>
      <c r="L66" s="38"/>
      <c r="M66" s="38"/>
      <c r="N66" s="38"/>
      <c r="O66" s="53"/>
      <c r="P66" s="15"/>
      <c r="Q66" s="49"/>
      <c r="R66" s="17"/>
      <c r="S66" s="1" t="str">
        <f>I66</f>
        <v>x</v>
      </c>
      <c r="Y66" s="95" t="s">
        <v>33</v>
      </c>
      <c r="Z66" s="27">
        <v>0</v>
      </c>
      <c r="AA66" s="4" t="s">
        <v>27</v>
      </c>
      <c r="AB66" s="27">
        <v>0</v>
      </c>
      <c r="AC66" s="4" t="s">
        <v>27</v>
      </c>
      <c r="AD66" s="4">
        <v>0</v>
      </c>
      <c r="AE66" s="2"/>
      <c r="AF66" s="14" t="s">
        <v>14</v>
      </c>
      <c r="AG66" s="15">
        <f>IF(AND(NOT(ISBLANK(AD66)), (AD66 &lt;&gt; "x")),AJ66,IF(AND(NOT(ISBLANK(AB67)),AB67&lt;&gt;"x"),AJ67,AJ68)) * AI66</f>
        <v>0</v>
      </c>
      <c r="AH66" s="16" t="s">
        <v>28</v>
      </c>
      <c r="AI66" s="17">
        <v>1</v>
      </c>
      <c r="AJ66" s="1">
        <f>Z66+(AD66/60 + AB66)/60</f>
        <v>0</v>
      </c>
    </row>
    <row r="67" spans="2:36" x14ac:dyDescent="0.25">
      <c r="B67" s="146"/>
      <c r="Y67" s="96"/>
      <c r="Z67" s="27" t="s">
        <v>12</v>
      </c>
      <c r="AA67" s="4" t="s">
        <v>27</v>
      </c>
      <c r="AB67" s="27" t="s">
        <v>12</v>
      </c>
      <c r="AD67" s="1" t="s">
        <v>12</v>
      </c>
      <c r="AE67" s="2"/>
      <c r="AF67" s="14"/>
      <c r="AG67" s="15"/>
      <c r="AH67" s="16"/>
      <c r="AI67" s="17"/>
      <c r="AJ67" s="1" t="e">
        <f>Z67+AB67/60</f>
        <v>#VALUE!</v>
      </c>
    </row>
    <row r="68" spans="2:36" x14ac:dyDescent="0.25">
      <c r="B68" s="146"/>
      <c r="Y68" s="97"/>
      <c r="Z68" s="27" t="s">
        <v>12</v>
      </c>
      <c r="AB68" s="2" t="s">
        <v>12</v>
      </c>
      <c r="AD68" s="1" t="s">
        <v>12</v>
      </c>
      <c r="AE68" s="2"/>
      <c r="AF68" s="14"/>
      <c r="AG68" s="15"/>
      <c r="AH68" s="16"/>
      <c r="AI68" s="17"/>
      <c r="AJ68" s="1" t="str">
        <f>Z68</f>
        <v>x</v>
      </c>
    </row>
    <row r="69" spans="2:36" x14ac:dyDescent="0.25">
      <c r="B69" s="146"/>
      <c r="E69" s="26"/>
      <c r="I69" s="1"/>
      <c r="K69" s="1"/>
      <c r="N69" s="1"/>
    </row>
    <row r="70" spans="2:36" x14ac:dyDescent="0.25">
      <c r="B70" s="146"/>
      <c r="D70" s="26" t="s">
        <v>37</v>
      </c>
    </row>
    <row r="71" spans="2:36" x14ac:dyDescent="0.25">
      <c r="B71" s="146"/>
      <c r="D71" s="30"/>
      <c r="E71" s="58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55"/>
      <c r="S71" s="30"/>
      <c r="T71" s="30"/>
      <c r="X71" s="59" t="s">
        <v>35</v>
      </c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spans="2:36" x14ac:dyDescent="0.25">
      <c r="B72" s="146"/>
      <c r="I72" s="1"/>
      <c r="K72" s="1"/>
      <c r="N72" s="1"/>
      <c r="R72" s="17"/>
      <c r="Y72" s="95" t="s">
        <v>33</v>
      </c>
      <c r="Z72" s="27">
        <v>0</v>
      </c>
      <c r="AA72" s="4" t="s">
        <v>27</v>
      </c>
      <c r="AB72" s="27">
        <v>0</v>
      </c>
      <c r="AC72" s="4" t="s">
        <v>27</v>
      </c>
      <c r="AD72" s="4">
        <v>0</v>
      </c>
      <c r="AE72" s="2"/>
      <c r="AF72" s="14" t="s">
        <v>14</v>
      </c>
      <c r="AG72" s="15">
        <f>IF(AND(NOT(ISBLANK(AD72)), (AD72 &lt;&gt; "x")),AJ72,IF(AND(NOT(ISBLANK(AB73)),AB73&lt;&gt;"x"),AJ73,AJ74)) * AI72</f>
        <v>0</v>
      </c>
      <c r="AH72" s="16" t="s">
        <v>28</v>
      </c>
      <c r="AI72" s="17">
        <v>1</v>
      </c>
      <c r="AJ72" s="1">
        <f>Z72+(AD72/60 + AB72)/60</f>
        <v>0</v>
      </c>
    </row>
    <row r="73" spans="2:36" x14ac:dyDescent="0.25">
      <c r="B73" s="146"/>
      <c r="I73" s="1"/>
      <c r="K73" s="1"/>
      <c r="N73" s="1"/>
      <c r="R73" s="17"/>
      <c r="Y73" s="96"/>
      <c r="Z73" s="27" t="s">
        <v>12</v>
      </c>
      <c r="AA73" s="4" t="s">
        <v>27</v>
      </c>
      <c r="AB73" s="27" t="s">
        <v>12</v>
      </c>
      <c r="AD73" s="1" t="s">
        <v>12</v>
      </c>
      <c r="AE73" s="2"/>
      <c r="AF73" s="14"/>
      <c r="AG73" s="15"/>
      <c r="AH73" s="16"/>
      <c r="AI73" s="17"/>
      <c r="AJ73" s="1" t="e">
        <f>Z73+AB73/60</f>
        <v>#VALUE!</v>
      </c>
    </row>
    <row r="74" spans="2:36" x14ac:dyDescent="0.25">
      <c r="B74" s="146"/>
      <c r="F74" s="95" t="s">
        <v>41</v>
      </c>
      <c r="G74" s="28" t="s">
        <v>15</v>
      </c>
      <c r="H74" s="55" t="s">
        <v>17</v>
      </c>
      <c r="I74" s="29">
        <v>0</v>
      </c>
      <c r="J74" s="30" t="s">
        <v>2</v>
      </c>
      <c r="K74" s="29">
        <v>0</v>
      </c>
      <c r="L74" s="31" t="s">
        <v>4</v>
      </c>
      <c r="M74" s="32">
        <v>0</v>
      </c>
      <c r="N74" s="31" t="s">
        <v>6</v>
      </c>
      <c r="O74" s="51" t="s">
        <v>14</v>
      </c>
      <c r="P74" s="15">
        <f>IF(AND(NOT(ISBLANK(M74)), (M74 &lt;&gt; "x")),S74,IF(AND(NOT(ISBLANK(K75)),K75&lt;&gt;"x"),S75,S76)) * R74</f>
        <v>0</v>
      </c>
      <c r="Q74" s="47" t="s">
        <v>2</v>
      </c>
      <c r="R74" s="17">
        <f>IF(H74=Constantes!$D$2,1,-1)</f>
        <v>-1</v>
      </c>
      <c r="S74" s="1">
        <f>I74+(M74/60 + K74)/60</f>
        <v>0</v>
      </c>
      <c r="Y74" s="97"/>
      <c r="Z74" s="27" t="s">
        <v>12</v>
      </c>
      <c r="AB74" s="2" t="s">
        <v>12</v>
      </c>
      <c r="AD74" s="1" t="s">
        <v>12</v>
      </c>
      <c r="AE74" s="2"/>
      <c r="AF74" s="14"/>
      <c r="AG74" s="15"/>
      <c r="AH74" s="16"/>
      <c r="AI74" s="17"/>
      <c r="AJ74" s="1" t="str">
        <f>Z74</f>
        <v>x</v>
      </c>
    </row>
    <row r="75" spans="2:36" x14ac:dyDescent="0.25">
      <c r="B75" s="146"/>
      <c r="F75" s="96"/>
      <c r="G75" s="33" t="s">
        <v>16</v>
      </c>
      <c r="H75" s="56"/>
      <c r="I75" s="34" t="s">
        <v>12</v>
      </c>
      <c r="J75" s="35" t="s">
        <v>2</v>
      </c>
      <c r="K75" s="34" t="s">
        <v>12</v>
      </c>
      <c r="L75" s="50" t="s">
        <v>4</v>
      </c>
      <c r="M75" s="35" t="s">
        <v>12</v>
      </c>
      <c r="N75" s="35"/>
      <c r="O75" s="52"/>
      <c r="P75" s="15"/>
      <c r="Q75" s="48"/>
      <c r="R75" s="17"/>
      <c r="S75" s="1" t="e">
        <f>I75+K75/60</f>
        <v>#VALUE!</v>
      </c>
      <c r="X75" s="54" t="s">
        <v>36</v>
      </c>
    </row>
    <row r="76" spans="2:36" x14ac:dyDescent="0.25">
      <c r="B76" s="146"/>
      <c r="F76" s="97"/>
      <c r="G76" s="36" t="s">
        <v>16</v>
      </c>
      <c r="H76" s="57"/>
      <c r="I76" s="37" t="s">
        <v>12</v>
      </c>
      <c r="J76" s="38" t="s">
        <v>2</v>
      </c>
      <c r="K76" s="39" t="s">
        <v>12</v>
      </c>
      <c r="L76" s="38"/>
      <c r="M76" s="38"/>
      <c r="N76" s="38"/>
      <c r="O76" s="53"/>
      <c r="P76" s="15"/>
      <c r="Q76" s="49"/>
      <c r="R76" s="17"/>
      <c r="S76" s="1" t="str">
        <f>I76</f>
        <v>x</v>
      </c>
      <c r="Y76" s="95" t="s">
        <v>33</v>
      </c>
      <c r="Z76" s="27">
        <v>0</v>
      </c>
      <c r="AA76" s="4" t="s">
        <v>27</v>
      </c>
      <c r="AB76" s="27">
        <v>0</v>
      </c>
      <c r="AC76" s="4" t="s">
        <v>27</v>
      </c>
      <c r="AD76" s="4">
        <v>0</v>
      </c>
      <c r="AE76" s="2"/>
      <c r="AF76" s="14" t="s">
        <v>14</v>
      </c>
      <c r="AG76" s="15">
        <f>IF(AND(NOT(ISBLANK(AD76)), (AD76 &lt;&gt; "x")),AJ76,IF(AND(NOT(ISBLANK(AB77)),AB77&lt;&gt;"x"),AJ77,AJ78)) * AI76</f>
        <v>0</v>
      </c>
      <c r="AH76" s="16" t="s">
        <v>28</v>
      </c>
      <c r="AI76" s="17">
        <v>1</v>
      </c>
      <c r="AJ76" s="1">
        <f>Z76+(AD76/60 + AB76)/60</f>
        <v>0</v>
      </c>
    </row>
    <row r="77" spans="2:36" x14ac:dyDescent="0.25">
      <c r="B77" s="146"/>
      <c r="Y77" s="96"/>
      <c r="Z77" s="27" t="s">
        <v>12</v>
      </c>
      <c r="AA77" s="4" t="s">
        <v>27</v>
      </c>
      <c r="AB77" s="27" t="s">
        <v>12</v>
      </c>
      <c r="AD77" s="1" t="s">
        <v>12</v>
      </c>
      <c r="AE77" s="2"/>
      <c r="AF77" s="14"/>
      <c r="AG77" s="15"/>
      <c r="AH77" s="16"/>
      <c r="AI77" s="17"/>
      <c r="AJ77" s="1" t="e">
        <f>Z77+AB77/60</f>
        <v>#VALUE!</v>
      </c>
    </row>
    <row r="78" spans="2:36" x14ac:dyDescent="0.25">
      <c r="B78" s="146"/>
      <c r="Y78" s="97"/>
      <c r="Z78" s="27" t="s">
        <v>12</v>
      </c>
      <c r="AB78" s="2" t="s">
        <v>12</v>
      </c>
      <c r="AD78" s="1" t="s">
        <v>12</v>
      </c>
      <c r="AE78" s="2"/>
      <c r="AF78" s="14"/>
      <c r="AG78" s="15"/>
      <c r="AH78" s="16"/>
      <c r="AI78" s="17"/>
      <c r="AJ78" s="1" t="str">
        <f>Z78</f>
        <v>x</v>
      </c>
    </row>
    <row r="79" spans="2:36" x14ac:dyDescent="0.25">
      <c r="B79" s="146"/>
      <c r="E79" s="26"/>
      <c r="I79" s="1"/>
      <c r="K79" s="1"/>
      <c r="N79" s="1"/>
    </row>
    <row r="80" spans="2:36" x14ac:dyDescent="0.25">
      <c r="B80" s="146"/>
    </row>
    <row r="81" spans="2:2" x14ac:dyDescent="0.25">
      <c r="B81" s="146"/>
    </row>
    <row r="82" spans="2:2" x14ac:dyDescent="0.25">
      <c r="B82" s="146"/>
    </row>
    <row r="83" spans="2:2" x14ac:dyDescent="0.25">
      <c r="B83" s="146"/>
    </row>
    <row r="84" spans="2:2" x14ac:dyDescent="0.25">
      <c r="B84" s="146"/>
    </row>
    <row r="85" spans="2:2" ht="15.75" thickBot="1" x14ac:dyDescent="0.3">
      <c r="B85" s="147"/>
    </row>
  </sheetData>
  <sheetProtection selectLockedCells="1"/>
  <mergeCells count="41">
    <mergeCell ref="B23:B49"/>
    <mergeCell ref="C59:L59"/>
    <mergeCell ref="B59:B85"/>
    <mergeCell ref="AI33:AI35"/>
    <mergeCell ref="AJ33:AJ35"/>
    <mergeCell ref="AK33:AK35"/>
    <mergeCell ref="Y33:Y35"/>
    <mergeCell ref="AH33:AH35"/>
    <mergeCell ref="R33:R35"/>
    <mergeCell ref="R39:R41"/>
    <mergeCell ref="Y62:Y64"/>
    <mergeCell ref="Y66:Y68"/>
    <mergeCell ref="Y72:Y74"/>
    <mergeCell ref="Y76:Y78"/>
    <mergeCell ref="F64:F66"/>
    <mergeCell ref="F74:F76"/>
    <mergeCell ref="Q33:Q35"/>
    <mergeCell ref="R28:R30"/>
    <mergeCell ref="F28:F30"/>
    <mergeCell ref="H28:H30"/>
    <mergeCell ref="O28:O30"/>
    <mergeCell ref="P28:P30"/>
    <mergeCell ref="Q28:Q30"/>
    <mergeCell ref="C2:P2"/>
    <mergeCell ref="C6:C7"/>
    <mergeCell ref="H6:H8"/>
    <mergeCell ref="F11:F13"/>
    <mergeCell ref="O11:O13"/>
    <mergeCell ref="P11:P13"/>
    <mergeCell ref="F6:F8"/>
    <mergeCell ref="F33:F35"/>
    <mergeCell ref="H33:H35"/>
    <mergeCell ref="O33:O35"/>
    <mergeCell ref="P33:P35"/>
    <mergeCell ref="C23:L23"/>
    <mergeCell ref="Q11:Q13"/>
    <mergeCell ref="R6:R8"/>
    <mergeCell ref="R11:R13"/>
    <mergeCell ref="O6:O8"/>
    <mergeCell ref="P6:P8"/>
    <mergeCell ref="Q6:Q8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Constantes!$G$2:$G$3</xm:f>
          </x14:formula1>
          <xm:sqref>H6:H8 C6:E7 H33:H35 H64:H66 H74:H76</xm:sqref>
        </x14:dataValidation>
        <x14:dataValidation type="list" allowBlank="1" showInputMessage="1" showErrorMessage="1">
          <x14:formula1>
            <xm:f>Constantes!$D$5:$D$6</xm:f>
          </x14:formula1>
          <xm:sqref>H28:H30 H39:H41 H48 H44:H45</xm:sqref>
        </x14:dataValidation>
        <x14:dataValidation type="list" allowBlank="1" showInputMessage="1" showErrorMessage="1">
          <x14:formula1>
            <xm:f>Constantes!$M$4:$Q$4</xm:f>
          </x14:formula1>
          <xm:sqref>G38</xm:sqref>
        </x14:dataValidation>
        <x14:dataValidation type="list" allowBlank="1" showInputMessage="1" showErrorMessage="1">
          <x14:formula1>
            <xm:f>Constantes!$D$8:$D$9</xm:f>
          </x14:formula1>
          <xm:sqref>G43</xm:sqref>
        </x14:dataValidation>
        <x14:dataValidation type="list" allowBlank="1" showInputMessage="1" showErrorMessage="1">
          <x14:formula1>
            <xm:f>Constantes!$D$11:$D$12</xm:f>
          </x14:formula1>
          <xm:sqref>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3" sqref="F3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AE38"/>
  <sheetViews>
    <sheetView workbookViewId="0">
      <selection activeCell="D20" sqref="D20"/>
    </sheetView>
  </sheetViews>
  <sheetFormatPr defaultRowHeight="15" x14ac:dyDescent="0.25"/>
  <cols>
    <col min="1" max="2" width="9.140625" style="1"/>
    <col min="3" max="3" width="17.7109375" style="1" customWidth="1"/>
    <col min="4" max="4" width="17" style="1" customWidth="1"/>
    <col min="5" max="5" width="9.140625" style="1"/>
    <col min="6" max="6" width="14.85546875" style="1" customWidth="1"/>
    <col min="7" max="7" width="9.140625" style="1"/>
    <col min="8" max="8" width="7.140625" style="1" customWidth="1"/>
    <col min="9" max="9" width="26.5703125" style="1" customWidth="1"/>
    <col min="10" max="17" width="15.85546875" style="1" customWidth="1"/>
    <col min="18" max="18" width="5.140625" style="1" customWidth="1"/>
    <col min="19" max="23" width="13.28515625" style="1" customWidth="1"/>
    <col min="24" max="16384" width="9.140625" style="1"/>
  </cols>
  <sheetData>
    <row r="2" spans="3:31" x14ac:dyDescent="0.25">
      <c r="C2" s="99" t="s">
        <v>7</v>
      </c>
      <c r="D2" s="7" t="s">
        <v>8</v>
      </c>
      <c r="F2" s="83" t="s">
        <v>19</v>
      </c>
      <c r="G2" s="8" t="s">
        <v>17</v>
      </c>
      <c r="J2" s="104" t="s">
        <v>42</v>
      </c>
      <c r="K2" s="105"/>
      <c r="L2" s="105"/>
      <c r="M2" s="105"/>
      <c r="N2" s="105"/>
      <c r="O2" s="105"/>
      <c r="P2" s="105"/>
      <c r="Q2" s="106"/>
    </row>
    <row r="3" spans="3:31" x14ac:dyDescent="0.25">
      <c r="C3" s="99"/>
      <c r="D3" s="7" t="s">
        <v>9</v>
      </c>
      <c r="F3" s="83"/>
      <c r="G3" s="8" t="s">
        <v>18</v>
      </c>
      <c r="K3" s="103" t="s">
        <v>43</v>
      </c>
      <c r="L3" s="103" t="s">
        <v>44</v>
      </c>
      <c r="M3" s="103"/>
      <c r="N3" s="103"/>
      <c r="O3" s="103"/>
      <c r="P3" s="103"/>
      <c r="Q3" s="62"/>
    </row>
    <row r="4" spans="3:31" x14ac:dyDescent="0.25">
      <c r="K4" s="103"/>
      <c r="L4" s="66">
        <v>0</v>
      </c>
      <c r="M4" s="66">
        <v>1</v>
      </c>
      <c r="N4" s="66">
        <v>2</v>
      </c>
      <c r="O4" s="66">
        <v>3</v>
      </c>
      <c r="P4" s="66">
        <v>4</v>
      </c>
      <c r="Q4" s="66">
        <v>5</v>
      </c>
      <c r="R4" s="63">
        <v>1000</v>
      </c>
    </row>
    <row r="5" spans="3:31" x14ac:dyDescent="0.25">
      <c r="C5" s="1" t="s">
        <v>62</v>
      </c>
      <c r="D5" s="73" t="s">
        <v>63</v>
      </c>
      <c r="J5" s="74" t="s">
        <v>50</v>
      </c>
      <c r="K5" s="64"/>
      <c r="L5" s="64">
        <v>1</v>
      </c>
      <c r="M5" s="64">
        <v>2</v>
      </c>
      <c r="N5" s="64">
        <f>M5+1</f>
        <v>3</v>
      </c>
      <c r="O5" s="64">
        <f>N5+1</f>
        <v>4</v>
      </c>
      <c r="P5" s="64">
        <f>O5+1</f>
        <v>5</v>
      </c>
      <c r="Q5" s="64">
        <f>P5+1</f>
        <v>6</v>
      </c>
      <c r="R5" s="64">
        <f>Q5+1</f>
        <v>7</v>
      </c>
    </row>
    <row r="6" spans="3:31" x14ac:dyDescent="0.25">
      <c r="D6" s="73" t="s">
        <v>64</v>
      </c>
      <c r="K6" s="66">
        <v>6</v>
      </c>
      <c r="L6" s="66">
        <v>0.125</v>
      </c>
      <c r="M6" s="66">
        <v>0.125</v>
      </c>
      <c r="N6" s="66">
        <v>8.3333333333333329E-2</v>
      </c>
      <c r="O6" s="66">
        <v>7.4999999999999997E-2</v>
      </c>
      <c r="P6" s="66">
        <v>6.6666666666666666E-2</v>
      </c>
      <c r="Q6" s="66">
        <v>5.8333333333333334E-2</v>
      </c>
      <c r="R6" s="63">
        <v>5.8333333333333334E-2</v>
      </c>
      <c r="S6" s="65">
        <v>1</v>
      </c>
      <c r="T6" s="61">
        <v>7.5</v>
      </c>
      <c r="U6" s="61">
        <v>5</v>
      </c>
      <c r="V6" s="61">
        <v>4.5</v>
      </c>
      <c r="W6" s="61">
        <v>4</v>
      </c>
      <c r="X6" s="61">
        <v>3.5</v>
      </c>
      <c r="Y6" s="61"/>
      <c r="Z6" s="61"/>
      <c r="AA6" s="61">
        <f t="shared" ref="AA6:AE7" si="0">T6/60</f>
        <v>0.125</v>
      </c>
      <c r="AB6" s="61">
        <f t="shared" si="0"/>
        <v>8.3333333333333329E-2</v>
      </c>
      <c r="AC6" s="61">
        <f t="shared" si="0"/>
        <v>7.4999999999999997E-2</v>
      </c>
      <c r="AD6" s="61">
        <f t="shared" si="0"/>
        <v>6.6666666666666666E-2</v>
      </c>
      <c r="AE6" s="61">
        <f t="shared" si="0"/>
        <v>5.8333333333333334E-2</v>
      </c>
    </row>
    <row r="7" spans="3:31" x14ac:dyDescent="0.25">
      <c r="K7" s="66">
        <v>7</v>
      </c>
      <c r="L7" s="66">
        <v>0.14499999999999999</v>
      </c>
      <c r="M7" s="66">
        <v>0.14499999999999999</v>
      </c>
      <c r="N7" s="66">
        <v>0.1</v>
      </c>
      <c r="O7" s="66">
        <v>9.166666666666666E-2</v>
      </c>
      <c r="P7" s="66">
        <v>8.3333333333333329E-2</v>
      </c>
      <c r="Q7" s="66">
        <v>7.4999999999999997E-2</v>
      </c>
      <c r="R7" s="63">
        <v>7.4999999999999997E-2</v>
      </c>
      <c r="S7" s="65">
        <f>S6+1</f>
        <v>2</v>
      </c>
      <c r="T7" s="61">
        <v>8.6999999999999993</v>
      </c>
      <c r="U7" s="61">
        <v>6</v>
      </c>
      <c r="V7" s="61">
        <v>5.5</v>
      </c>
      <c r="W7" s="61">
        <v>5</v>
      </c>
      <c r="X7" s="61">
        <v>4.5</v>
      </c>
      <c r="Y7" s="61"/>
      <c r="Z7" s="61"/>
      <c r="AA7" s="61">
        <f t="shared" si="0"/>
        <v>0.14499999999999999</v>
      </c>
      <c r="AB7" s="61">
        <f t="shared" si="0"/>
        <v>0.1</v>
      </c>
      <c r="AC7" s="61">
        <f t="shared" si="0"/>
        <v>9.166666666666666E-2</v>
      </c>
      <c r="AD7" s="61">
        <f t="shared" si="0"/>
        <v>8.3333333333333329E-2</v>
      </c>
      <c r="AE7" s="61">
        <f t="shared" si="0"/>
        <v>7.4999999999999997E-2</v>
      </c>
    </row>
    <row r="8" spans="3:31" x14ac:dyDescent="0.25">
      <c r="C8" s="1" t="s">
        <v>72</v>
      </c>
      <c r="D8" s="1" t="s">
        <v>73</v>
      </c>
      <c r="K8" s="66">
        <v>8</v>
      </c>
      <c r="L8" s="66">
        <v>0.16</v>
      </c>
      <c r="M8" s="66">
        <v>0.16</v>
      </c>
      <c r="N8" s="66">
        <v>0.11666666666666667</v>
      </c>
      <c r="O8" s="66">
        <v>0.10833333333333334</v>
      </c>
      <c r="P8" s="66">
        <v>0.1</v>
      </c>
      <c r="Q8" s="66">
        <v>9.166666666666666E-2</v>
      </c>
      <c r="R8" s="63">
        <v>9.166666666666666E-2</v>
      </c>
      <c r="S8" s="65">
        <f t="shared" ref="S8:S17" si="1">S7+1</f>
        <v>3</v>
      </c>
      <c r="T8" s="61">
        <v>9.6</v>
      </c>
      <c r="U8" s="61">
        <v>7</v>
      </c>
      <c r="V8" s="61">
        <v>6.5</v>
      </c>
      <c r="W8" s="61">
        <v>6</v>
      </c>
      <c r="X8" s="61">
        <v>5.5</v>
      </c>
      <c r="Y8" s="61"/>
      <c r="Z8" s="61"/>
      <c r="AA8" s="61">
        <f t="shared" ref="AA8:AA16" si="2">T8/60</f>
        <v>0.16</v>
      </c>
      <c r="AB8" s="61">
        <f t="shared" ref="AB8:AB16" si="3">U8/60</f>
        <v>0.11666666666666667</v>
      </c>
      <c r="AC8" s="61">
        <f t="shared" ref="AC8:AC16" si="4">V8/60</f>
        <v>0.10833333333333334</v>
      </c>
      <c r="AD8" s="61">
        <f t="shared" ref="AD8:AD16" si="5">W8/60</f>
        <v>0.1</v>
      </c>
      <c r="AE8" s="61">
        <f t="shared" ref="AE8:AE16" si="6">X8/60</f>
        <v>9.166666666666666E-2</v>
      </c>
    </row>
    <row r="9" spans="3:31" x14ac:dyDescent="0.25">
      <c r="D9" s="1" t="s">
        <v>74</v>
      </c>
      <c r="K9" s="66">
        <v>9</v>
      </c>
      <c r="L9" s="66">
        <v>0.17166666666666669</v>
      </c>
      <c r="M9" s="66">
        <v>0.17166666666666669</v>
      </c>
      <c r="N9" s="66">
        <v>0.13333333333333333</v>
      </c>
      <c r="O9" s="66">
        <v>0.11666666666666667</v>
      </c>
      <c r="P9" s="66">
        <v>0.10833333333333334</v>
      </c>
      <c r="Q9" s="66">
        <v>0.1</v>
      </c>
      <c r="R9" s="63">
        <v>0.1</v>
      </c>
      <c r="S9" s="65">
        <f t="shared" si="1"/>
        <v>4</v>
      </c>
      <c r="T9" s="61">
        <v>10.3</v>
      </c>
      <c r="U9" s="61">
        <v>8</v>
      </c>
      <c r="V9" s="61">
        <v>7</v>
      </c>
      <c r="W9" s="61">
        <v>6.5</v>
      </c>
      <c r="X9" s="61">
        <v>6</v>
      </c>
      <c r="Y9" s="61"/>
      <c r="Z9" s="61"/>
      <c r="AA9" s="61">
        <f t="shared" si="2"/>
        <v>0.17166666666666669</v>
      </c>
      <c r="AB9" s="61">
        <f t="shared" si="3"/>
        <v>0.13333333333333333</v>
      </c>
      <c r="AC9" s="61">
        <f t="shared" si="4"/>
        <v>0.11666666666666667</v>
      </c>
      <c r="AD9" s="61">
        <f t="shared" si="5"/>
        <v>0.10833333333333334</v>
      </c>
      <c r="AE9" s="61">
        <f t="shared" si="6"/>
        <v>0.1</v>
      </c>
    </row>
    <row r="10" spans="3:31" x14ac:dyDescent="0.25">
      <c r="K10" s="66">
        <v>10</v>
      </c>
      <c r="L10" s="66">
        <v>0.18000000000000002</v>
      </c>
      <c r="M10" s="66">
        <v>0.18000000000000002</v>
      </c>
      <c r="N10" s="66">
        <v>0.14166666666666666</v>
      </c>
      <c r="O10" s="66">
        <v>0.13333333333333333</v>
      </c>
      <c r="P10" s="66">
        <v>0.11666666666666667</v>
      </c>
      <c r="Q10" s="66">
        <v>0.11666666666666667</v>
      </c>
      <c r="R10" s="63">
        <v>0.11666666666666667</v>
      </c>
      <c r="S10" s="65">
        <f t="shared" si="1"/>
        <v>5</v>
      </c>
      <c r="T10" s="61">
        <v>10.8</v>
      </c>
      <c r="U10" s="61">
        <v>8.5</v>
      </c>
      <c r="V10" s="61">
        <v>8</v>
      </c>
      <c r="W10" s="61">
        <v>7</v>
      </c>
      <c r="X10" s="61">
        <v>7</v>
      </c>
      <c r="Y10" s="61"/>
      <c r="Z10" s="61"/>
      <c r="AA10" s="61">
        <f t="shared" si="2"/>
        <v>0.18000000000000002</v>
      </c>
      <c r="AB10" s="61">
        <f t="shared" si="3"/>
        <v>0.14166666666666666</v>
      </c>
      <c r="AC10" s="61">
        <f t="shared" si="4"/>
        <v>0.13333333333333333</v>
      </c>
      <c r="AD10" s="61">
        <f t="shared" si="5"/>
        <v>0.11666666666666667</v>
      </c>
      <c r="AE10" s="61">
        <f t="shared" si="6"/>
        <v>0.11666666666666667</v>
      </c>
    </row>
    <row r="11" spans="3:31" x14ac:dyDescent="0.25">
      <c r="C11" s="1" t="s">
        <v>45</v>
      </c>
      <c r="D11" s="1" t="s">
        <v>76</v>
      </c>
      <c r="K11" s="66">
        <v>12</v>
      </c>
      <c r="L11" s="66">
        <v>0.19499999999999998</v>
      </c>
      <c r="M11" s="66">
        <v>0.19499999999999998</v>
      </c>
      <c r="N11" s="66">
        <v>0.15</v>
      </c>
      <c r="O11" s="66">
        <v>0.14166666666666666</v>
      </c>
      <c r="P11" s="66">
        <v>0.13333333333333333</v>
      </c>
      <c r="Q11" s="66">
        <v>0.125</v>
      </c>
      <c r="R11" s="63">
        <v>0.125</v>
      </c>
      <c r="S11" s="65">
        <f t="shared" si="1"/>
        <v>6</v>
      </c>
      <c r="T11" s="61">
        <v>11.7</v>
      </c>
      <c r="U11" s="61">
        <v>9</v>
      </c>
      <c r="V11" s="61">
        <v>8.5</v>
      </c>
      <c r="W11" s="61">
        <v>8</v>
      </c>
      <c r="X11" s="61">
        <v>7.5</v>
      </c>
      <c r="Y11" s="61"/>
      <c r="Z11" s="61"/>
      <c r="AA11" s="61">
        <f t="shared" si="2"/>
        <v>0.19499999999999998</v>
      </c>
      <c r="AB11" s="61">
        <f t="shared" si="3"/>
        <v>0.15</v>
      </c>
      <c r="AC11" s="61">
        <f t="shared" si="4"/>
        <v>0.14166666666666666</v>
      </c>
      <c r="AD11" s="61">
        <f t="shared" si="5"/>
        <v>0.13333333333333333</v>
      </c>
      <c r="AE11" s="61">
        <f t="shared" si="6"/>
        <v>0.125</v>
      </c>
    </row>
    <row r="12" spans="3:31" x14ac:dyDescent="0.25">
      <c r="D12" s="1" t="s">
        <v>77</v>
      </c>
      <c r="K12" s="66">
        <v>15</v>
      </c>
      <c r="L12" s="66">
        <v>0.21</v>
      </c>
      <c r="M12" s="66">
        <v>0.21</v>
      </c>
      <c r="N12" s="66">
        <v>0.16666666666666666</v>
      </c>
      <c r="O12" s="66">
        <v>0.15833333333333333</v>
      </c>
      <c r="P12" s="66">
        <v>0.15</v>
      </c>
      <c r="Q12" s="66">
        <v>0.14166666666666666</v>
      </c>
      <c r="R12" s="63">
        <v>0.14166666666666666</v>
      </c>
      <c r="S12" s="65">
        <f t="shared" si="1"/>
        <v>7</v>
      </c>
      <c r="T12" s="61">
        <v>12.6</v>
      </c>
      <c r="U12" s="61">
        <v>10</v>
      </c>
      <c r="V12" s="61">
        <v>9.5</v>
      </c>
      <c r="W12" s="61">
        <v>9</v>
      </c>
      <c r="X12" s="61">
        <v>8.5</v>
      </c>
      <c r="Y12" s="61"/>
      <c r="Z12" s="61"/>
      <c r="AA12" s="61">
        <f t="shared" si="2"/>
        <v>0.21</v>
      </c>
      <c r="AB12" s="61">
        <f t="shared" si="3"/>
        <v>0.16666666666666666</v>
      </c>
      <c r="AC12" s="61">
        <f t="shared" si="4"/>
        <v>0.15833333333333333</v>
      </c>
      <c r="AD12" s="61">
        <f t="shared" si="5"/>
        <v>0.15</v>
      </c>
      <c r="AE12" s="61">
        <f t="shared" si="6"/>
        <v>0.14166666666666666</v>
      </c>
    </row>
    <row r="13" spans="3:31" x14ac:dyDescent="0.25">
      <c r="K13" s="66">
        <v>20</v>
      </c>
      <c r="L13" s="66">
        <v>0.22500000000000001</v>
      </c>
      <c r="M13" s="66">
        <v>0.22500000000000001</v>
      </c>
      <c r="N13" s="66">
        <v>0.18333333333333332</v>
      </c>
      <c r="O13" s="66">
        <v>0.17499999999999999</v>
      </c>
      <c r="P13" s="66">
        <v>0.16666666666666666</v>
      </c>
      <c r="Q13" s="66">
        <v>0.15833333333333333</v>
      </c>
      <c r="R13" s="63">
        <v>0.15833333333333333</v>
      </c>
      <c r="S13" s="65">
        <f t="shared" si="1"/>
        <v>8</v>
      </c>
      <c r="T13" s="61">
        <v>13.5</v>
      </c>
      <c r="U13" s="61">
        <v>11</v>
      </c>
      <c r="V13" s="61">
        <v>10.5</v>
      </c>
      <c r="W13" s="61">
        <v>10</v>
      </c>
      <c r="X13" s="61">
        <v>9.5</v>
      </c>
      <c r="Y13" s="61"/>
      <c r="Z13" s="61"/>
      <c r="AA13" s="61">
        <f t="shared" si="2"/>
        <v>0.22500000000000001</v>
      </c>
      <c r="AB13" s="61">
        <f t="shared" si="3"/>
        <v>0.18333333333333332</v>
      </c>
      <c r="AC13" s="61">
        <f t="shared" si="4"/>
        <v>0.17499999999999999</v>
      </c>
      <c r="AD13" s="61">
        <f t="shared" si="5"/>
        <v>0.16666666666666666</v>
      </c>
      <c r="AE13" s="61">
        <f t="shared" si="6"/>
        <v>0.15833333333333333</v>
      </c>
    </row>
    <row r="14" spans="3:31" x14ac:dyDescent="0.25">
      <c r="K14" s="66">
        <v>30</v>
      </c>
      <c r="L14" s="66">
        <v>0.24166666666666667</v>
      </c>
      <c r="M14" s="66">
        <v>0.24166666666666667</v>
      </c>
      <c r="N14" s="66">
        <v>0.2</v>
      </c>
      <c r="O14" s="66">
        <v>0.18333333333333332</v>
      </c>
      <c r="P14" s="66">
        <v>0.18333333333333332</v>
      </c>
      <c r="Q14" s="66">
        <v>0.17499999999999999</v>
      </c>
      <c r="R14" s="63">
        <v>0.17499999999999999</v>
      </c>
      <c r="S14" s="65">
        <f t="shared" si="1"/>
        <v>9</v>
      </c>
      <c r="T14" s="61">
        <v>14.5</v>
      </c>
      <c r="U14" s="61">
        <v>12</v>
      </c>
      <c r="V14" s="61">
        <v>11</v>
      </c>
      <c r="W14" s="61">
        <v>11</v>
      </c>
      <c r="X14" s="61">
        <v>10.5</v>
      </c>
      <c r="Y14" s="61"/>
      <c r="Z14" s="61"/>
      <c r="AA14" s="61">
        <f t="shared" si="2"/>
        <v>0.24166666666666667</v>
      </c>
      <c r="AB14" s="61">
        <f t="shared" si="3"/>
        <v>0.2</v>
      </c>
      <c r="AC14" s="61">
        <f t="shared" si="4"/>
        <v>0.18333333333333332</v>
      </c>
      <c r="AD14" s="61">
        <f t="shared" si="5"/>
        <v>0.18333333333333332</v>
      </c>
      <c r="AE14" s="61">
        <f t="shared" si="6"/>
        <v>0.17499999999999999</v>
      </c>
    </row>
    <row r="15" spans="3:31" x14ac:dyDescent="0.25">
      <c r="K15" s="66">
        <v>50</v>
      </c>
      <c r="L15" s="66">
        <v>0.255</v>
      </c>
      <c r="M15" s="66">
        <v>0.255</v>
      </c>
      <c r="N15" s="66">
        <v>0.21666666666666667</v>
      </c>
      <c r="O15" s="66">
        <v>0.2</v>
      </c>
      <c r="P15" s="66">
        <v>0.2</v>
      </c>
      <c r="Q15" s="66">
        <v>0.18333333333333332</v>
      </c>
      <c r="R15" s="63">
        <v>0.18333333333333332</v>
      </c>
      <c r="S15" s="65">
        <f t="shared" si="1"/>
        <v>10</v>
      </c>
      <c r="T15" s="61">
        <v>15.3</v>
      </c>
      <c r="U15" s="61">
        <v>13</v>
      </c>
      <c r="V15" s="61">
        <v>12</v>
      </c>
      <c r="W15" s="61">
        <v>12</v>
      </c>
      <c r="X15" s="61">
        <v>11</v>
      </c>
      <c r="Y15" s="61"/>
      <c r="Z15" s="61"/>
      <c r="AA15" s="61">
        <f t="shared" si="2"/>
        <v>0.255</v>
      </c>
      <c r="AB15" s="61">
        <f t="shared" si="3"/>
        <v>0.21666666666666667</v>
      </c>
      <c r="AC15" s="61">
        <f t="shared" si="4"/>
        <v>0.2</v>
      </c>
      <c r="AD15" s="61">
        <f t="shared" si="5"/>
        <v>0.2</v>
      </c>
      <c r="AE15" s="61">
        <f t="shared" si="6"/>
        <v>0.18333333333333332</v>
      </c>
    </row>
    <row r="16" spans="3:31" x14ac:dyDescent="0.25">
      <c r="K16" s="66">
        <v>90</v>
      </c>
      <c r="L16" s="66">
        <v>0.26666666666666666</v>
      </c>
      <c r="M16" s="66">
        <v>0.26666666666666666</v>
      </c>
      <c r="N16" s="66">
        <v>0.22500000000000001</v>
      </c>
      <c r="O16" s="66">
        <v>0.21666666666666667</v>
      </c>
      <c r="P16" s="66">
        <v>0.2</v>
      </c>
      <c r="Q16" s="66">
        <v>0.2</v>
      </c>
      <c r="R16" s="63">
        <v>0.2</v>
      </c>
      <c r="S16" s="65">
        <f t="shared" si="1"/>
        <v>11</v>
      </c>
      <c r="T16" s="61">
        <v>16</v>
      </c>
      <c r="U16" s="61">
        <v>13.5</v>
      </c>
      <c r="V16" s="61">
        <v>13</v>
      </c>
      <c r="W16" s="61">
        <v>12</v>
      </c>
      <c r="X16" s="61">
        <v>12</v>
      </c>
      <c r="Y16" s="61"/>
      <c r="Z16" s="61"/>
      <c r="AA16" s="61">
        <f t="shared" si="2"/>
        <v>0.26666666666666666</v>
      </c>
      <c r="AB16" s="61">
        <f t="shared" si="3"/>
        <v>0.22500000000000001</v>
      </c>
      <c r="AC16" s="61">
        <f t="shared" si="4"/>
        <v>0.21666666666666667</v>
      </c>
      <c r="AD16" s="61">
        <f t="shared" si="5"/>
        <v>0.2</v>
      </c>
      <c r="AE16" s="61">
        <f t="shared" si="6"/>
        <v>0.2</v>
      </c>
    </row>
    <row r="17" spans="11:19" x14ac:dyDescent="0.25">
      <c r="K17" s="63">
        <v>180</v>
      </c>
      <c r="L17" s="63">
        <v>0.26666666666666666</v>
      </c>
      <c r="M17" s="63">
        <v>0.26666666666666666</v>
      </c>
      <c r="N17" s="63">
        <v>0.22500000000000001</v>
      </c>
      <c r="O17" s="63">
        <v>0.21666666666666667</v>
      </c>
      <c r="P17" s="63">
        <v>0.2</v>
      </c>
      <c r="Q17" s="63">
        <v>0.2</v>
      </c>
      <c r="R17" s="63">
        <v>0.2</v>
      </c>
      <c r="S17" s="65">
        <f t="shared" si="1"/>
        <v>12</v>
      </c>
    </row>
    <row r="18" spans="11:19" x14ac:dyDescent="0.25">
      <c r="K18" s="67" t="s">
        <v>45</v>
      </c>
      <c r="L18" s="67">
        <v>-0.26666666666</v>
      </c>
    </row>
    <row r="19" spans="11:19" x14ac:dyDescent="0.25">
      <c r="K19" s="67" t="s">
        <v>46</v>
      </c>
      <c r="L19" s="67">
        <v>-0.53333333333300004</v>
      </c>
    </row>
    <row r="23" spans="11:19" x14ac:dyDescent="0.25">
      <c r="L23" s="1" t="s">
        <v>47</v>
      </c>
      <c r="M23" s="1" t="s">
        <v>48</v>
      </c>
      <c r="N23" s="1" t="str">
        <f>CONCATENATE(O23, "°")</f>
        <v>40°</v>
      </c>
      <c r="O23" s="1">
        <v>40</v>
      </c>
    </row>
    <row r="24" spans="11:19" x14ac:dyDescent="0.25">
      <c r="M24" s="1" t="s">
        <v>49</v>
      </c>
      <c r="N24" s="1" t="str">
        <f>CONCATENATE(O24, "m")</f>
        <v>0m</v>
      </c>
      <c r="O24" s="1">
        <v>0</v>
      </c>
    </row>
    <row r="25" spans="11:19" ht="15.75" thickBot="1" x14ac:dyDescent="0.3"/>
    <row r="26" spans="11:19" x14ac:dyDescent="0.25">
      <c r="M26" s="102" t="s">
        <v>55</v>
      </c>
      <c r="N26" s="100" t="s">
        <v>51</v>
      </c>
      <c r="O26" s="101"/>
      <c r="P26" s="68">
        <f>HLOOKUP(O24,L4:Q5,2)</f>
        <v>1</v>
      </c>
      <c r="Q26" s="69"/>
    </row>
    <row r="27" spans="11:19" ht="15.75" thickBot="1" x14ac:dyDescent="0.3">
      <c r="M27" s="102"/>
      <c r="N27" s="70"/>
      <c r="O27" s="71" t="s">
        <v>57</v>
      </c>
      <c r="P27" s="71">
        <f>INDEX($K$4:$R$5, 1,P26)</f>
        <v>0</v>
      </c>
      <c r="Q27" s="72" t="s">
        <v>54</v>
      </c>
    </row>
    <row r="29" spans="11:19" x14ac:dyDescent="0.25">
      <c r="M29" s="1" t="s">
        <v>41</v>
      </c>
      <c r="O29" s="1" t="s">
        <v>56</v>
      </c>
      <c r="P29" s="1">
        <f>VLOOKUP(O23,K6:S17,2)</f>
        <v>0.24166666666666667</v>
      </c>
    </row>
    <row r="30" spans="11:19" x14ac:dyDescent="0.25">
      <c r="P30" s="1">
        <f>P29+1</f>
        <v>1.2416666666666667</v>
      </c>
    </row>
    <row r="32" spans="11:19" x14ac:dyDescent="0.25">
      <c r="O32" s="1" t="s">
        <v>58</v>
      </c>
      <c r="P32" s="1" t="e">
        <f>INDEX($K$6:$K$17,P29,1)</f>
        <v>#VALUE!</v>
      </c>
    </row>
    <row r="33" spans="15:25" x14ac:dyDescent="0.25">
      <c r="O33" s="1" t="s">
        <v>59</v>
      </c>
      <c r="P33" s="1">
        <f>INDEX($K$6:$K$17,P30,1)</f>
        <v>6</v>
      </c>
    </row>
    <row r="34" spans="15:25" x14ac:dyDescent="0.25">
      <c r="O34" s="1" t="s">
        <v>60</v>
      </c>
      <c r="P34" s="1" t="e">
        <f>(O23-P32)/(P33-P32)</f>
        <v>#VALUE!</v>
      </c>
      <c r="Y34" s="1" t="e">
        <f>Constantes!P32</f>
        <v>#VALUE!</v>
      </c>
    </row>
    <row r="36" spans="15:25" x14ac:dyDescent="0.25">
      <c r="O36" s="1" t="s">
        <v>52</v>
      </c>
      <c r="P36" s="1" t="e">
        <f>INDEX($M$6:$R$17,P29,P26)</f>
        <v>#VALUE!</v>
      </c>
    </row>
    <row r="37" spans="15:25" x14ac:dyDescent="0.25">
      <c r="O37" s="1" t="s">
        <v>53</v>
      </c>
      <c r="P37" s="1">
        <f>INDEX($M$6:$R$17,P30,P26)</f>
        <v>0.125</v>
      </c>
    </row>
    <row r="38" spans="15:25" x14ac:dyDescent="0.25">
      <c r="O38" s="10" t="s">
        <v>39</v>
      </c>
      <c r="P38" s="10" t="e">
        <f>P36+P34*(P37-P36)</f>
        <v>#VALUE!</v>
      </c>
    </row>
  </sheetData>
  <sheetProtection selectLockedCells="1"/>
  <mergeCells count="7">
    <mergeCell ref="C2:C3"/>
    <mergeCell ref="F2:F3"/>
    <mergeCell ref="N26:O26"/>
    <mergeCell ref="M26:M27"/>
    <mergeCell ref="L3:P3"/>
    <mergeCell ref="K3:K4"/>
    <mergeCell ref="J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Outils</vt:lpstr>
      <vt:lpstr>Meridienne</vt:lpstr>
      <vt:lpstr>Droite hauteur</vt:lpstr>
      <vt:lpstr>Constantes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FAGES Pierre</dc:creator>
  <cp:lastModifiedBy>FAGES Pierre</cp:lastModifiedBy>
  <cp:lastPrinted>2022-08-22T16:08:01Z</cp:lastPrinted>
  <dcterms:created xsi:type="dcterms:W3CDTF">2022-08-22T06:46:28Z</dcterms:created>
  <dcterms:modified xsi:type="dcterms:W3CDTF">2022-08-23T06:50:58Z</dcterms:modified>
</cp:coreProperties>
</file>