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fs\Downloads\"/>
    </mc:Choice>
  </mc:AlternateContent>
  <xr:revisionPtr revIDLastSave="0" documentId="13_ncr:1_{55CA36FD-2BDA-4564-8505-CF7846E1C9DB}" xr6:coauthVersionLast="47" xr6:coauthVersionMax="47" xr10:uidLastSave="{00000000-0000-0000-0000-000000000000}"/>
  <bookViews>
    <workbookView xWindow="945" yWindow="0" windowWidth="28320" windowHeight="14820" tabRatio="921" activeTab="2" xr2:uid="{00000000-000D-0000-FFFF-FFFF00000000}"/>
  </bookViews>
  <sheets>
    <sheet name="Droite de hauteur-soleil" sheetId="1" r:id="rId1"/>
    <sheet name="Heure Meridienne" sheetId="26" r:id="rId2"/>
    <sheet name="Meridienne" sheetId="16" r:id="rId3"/>
    <sheet name="Meridienne Longitude par paire" sheetId="13" r:id="rId4"/>
    <sheet name="Droite de hauteur-lune" sheetId="11" r:id="rId5"/>
    <sheet name="Droite de hauteur-etoileplanete" sheetId="17" r:id="rId6"/>
    <sheet name="Latitude Polaire" sheetId="10" r:id="rId7"/>
    <sheet name="DistanceLunaire" sheetId="21" r:id="rId8"/>
    <sheet name="RecalageAstroCompas" sheetId="25" r:id="rId9"/>
    <sheet name="Outils" sheetId="15" r:id="rId10"/>
    <sheet name="ODT" sheetId="27" r:id="rId11"/>
    <sheet name="Montre" sheetId="18" r:id="rId12"/>
    <sheet name="Brouillon" sheetId="19" r:id="rId13"/>
  </sheets>
  <functionGroups builtInGroupCount="19"/>
  <definedNames>
    <definedName name="choix_calcul_des_erreurs">'Droite de hauteur-soleil'!$G$85</definedName>
    <definedName name="choix_horizon_artificiel">'Droite de hauteur-soleil'!$J$15</definedName>
    <definedName name="choix_typecalcul_AngleHoraire">'Droite de hauteur-soleil'!$G$60</definedName>
    <definedName name="choix_typecalcul_declinaison">'Droite de hauteur-soleil'!$G$39</definedName>
    <definedName name="meridienne_choix_calcul_des_erreurs">Meridienne!$G$113</definedName>
    <definedName name="meridienne_choix_horizon_artificiel">Meridienne!$J$73</definedName>
    <definedName name="meridienne_choix_typecalcul_declinaison">Meridienne!$G$92</definedName>
    <definedName name="_xlnm.Print_Area" localSheetId="5">'Droite de hauteur-etoileplanete'!$B$59:$Y$147</definedName>
    <definedName name="_xlnm.Print_Area" localSheetId="4">'Droite de hauteur-lune'!$B$206:$Q$261</definedName>
    <definedName name="_xlnm.Print_Area" localSheetId="0">'Droite de hauteur-soleil'!$B$179:$Q$234</definedName>
    <definedName name="_xlnm.Print_Area" localSheetId="1">'Heure Meridienne'!$B$191:$S$248</definedName>
    <definedName name="_xlnm.Print_Area" localSheetId="6">'Latitude Polaire'!$B$125:$Q$159</definedName>
    <definedName name="_xlnm.Print_Area" localSheetId="2">Meridienne!$B$189:$S$246</definedName>
    <definedName name="_xlnm.Print_Area" localSheetId="3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35" i="17" l="1"/>
  <c r="N135" i="17"/>
  <c r="J135" i="17"/>
  <c r="F135" i="17"/>
  <c r="V98" i="17"/>
  <c r="R98" i="17"/>
  <c r="N98" i="17"/>
  <c r="J98" i="17"/>
  <c r="F98" i="17"/>
  <c r="A97" i="17"/>
  <c r="AB36" i="17"/>
  <c r="AM54" i="17"/>
  <c r="AM53" i="17"/>
  <c r="AM52" i="17"/>
  <c r="AM50" i="17"/>
  <c r="AL54" i="17"/>
  <c r="AL53" i="17"/>
  <c r="AL52" i="17"/>
  <c r="AL50" i="17"/>
  <c r="AK54" i="17"/>
  <c r="AK53" i="17"/>
  <c r="AK52" i="17"/>
  <c r="AK51" i="17"/>
  <c r="AK50" i="17"/>
  <c r="AI51" i="17"/>
  <c r="D30" i="17"/>
  <c r="D29" i="17"/>
  <c r="D28" i="17"/>
  <c r="F12" i="17"/>
  <c r="R113" i="17"/>
  <c r="N113" i="17"/>
  <c r="J113" i="17"/>
  <c r="F113" i="17"/>
  <c r="H36" i="17"/>
  <c r="E45" i="17"/>
  <c r="E44" i="17"/>
  <c r="E43" i="17"/>
  <c r="E42" i="17"/>
  <c r="D45" i="17"/>
  <c r="D44" i="17"/>
  <c r="D43" i="17"/>
  <c r="AL51" i="17" s="1"/>
  <c r="D42" i="17"/>
  <c r="C45" i="17"/>
  <c r="C44" i="17"/>
  <c r="C43" i="17"/>
  <c r="C42" i="17"/>
  <c r="E40" i="17"/>
  <c r="D40" i="17"/>
  <c r="C40" i="17"/>
  <c r="D27" i="17"/>
  <c r="F15" i="19"/>
  <c r="K10" i="18"/>
  <c r="K9" i="18"/>
  <c r="K8" i="18"/>
  <c r="K7" i="18"/>
  <c r="K6" i="18"/>
  <c r="K5" i="18"/>
  <c r="K1" i="18"/>
  <c r="G10" i="18"/>
  <c r="F5" i="18"/>
  <c r="B9" i="18"/>
  <c r="B8" i="18"/>
  <c r="B7" i="18"/>
  <c r="B6" i="18"/>
  <c r="B5" i="18"/>
  <c r="D10" i="18"/>
  <c r="K18" i="27"/>
  <c r="J18" i="27"/>
  <c r="E3" i="27"/>
  <c r="F3" i="27" s="1"/>
  <c r="G3" i="27" s="1"/>
  <c r="H3" i="27" s="1"/>
  <c r="I3" i="27" s="1"/>
  <c r="J3" i="27" s="1"/>
  <c r="K3" i="27" s="1"/>
  <c r="L3" i="27" s="1"/>
  <c r="M3" i="27" s="1"/>
  <c r="N3" i="27" s="1"/>
  <c r="O3" i="27" s="1"/>
  <c r="AD49" i="1"/>
  <c r="J19" i="1"/>
  <c r="AD102" i="26"/>
  <c r="C86" i="26"/>
  <c r="AD55" i="26"/>
  <c r="C39" i="26"/>
  <c r="F18" i="26"/>
  <c r="E34" i="26" s="1"/>
  <c r="E81" i="26" s="1"/>
  <c r="AD12" i="26"/>
  <c r="AD10" i="26"/>
  <c r="D5" i="18"/>
  <c r="D6" i="18"/>
  <c r="D7" i="18"/>
  <c r="D9" i="18"/>
  <c r="D8" i="18"/>
  <c r="K185" i="25"/>
  <c r="J95" i="25"/>
  <c r="I169" i="25" s="1"/>
  <c r="I170" i="25" s="1"/>
  <c r="Q175" i="25" s="1"/>
  <c r="F10" i="27" a="1"/>
  <c r="X9" i="27" a="1"/>
  <c r="T9" i="27" a="1"/>
  <c r="P9" i="27" a="1"/>
  <c r="L9" i="27" a="1"/>
  <c r="H9" i="27" a="1"/>
  <c r="W7" i="27" a="1"/>
  <c r="S7" i="27" a="1"/>
  <c r="O7" i="27" a="1"/>
  <c r="K7" i="27" a="1"/>
  <c r="G7" i="27" a="1"/>
  <c r="V6" i="27" a="1"/>
  <c r="R6" i="27" a="1"/>
  <c r="N6" i="27" a="1"/>
  <c r="J6" i="27" a="1"/>
  <c r="Y5" i="27" a="1"/>
  <c r="U5" i="27" a="1"/>
  <c r="Q5" i="27" a="1"/>
  <c r="M5" i="27" a="1"/>
  <c r="I5" i="27" a="1"/>
  <c r="O9" i="27" a="1"/>
  <c r="Q6" i="27" a="1"/>
  <c r="T5" i="27" a="1"/>
  <c r="G5" i="27" a="1"/>
  <c r="F18" i="27" a="1"/>
  <c r="F16" i="27" a="1"/>
  <c r="E10" i="27" a="1"/>
  <c r="W9" i="27" a="1"/>
  <c r="S9" i="27" a="1"/>
  <c r="K9" i="27" a="1"/>
  <c r="G9" i="27" a="1"/>
  <c r="V7" i="27" a="1"/>
  <c r="R7" i="27" a="1"/>
  <c r="N7" i="27" a="1"/>
  <c r="J7" i="27" a="1"/>
  <c r="Y6" i="27" a="1"/>
  <c r="U6" i="27" a="1"/>
  <c r="M6" i="27" a="1"/>
  <c r="I6" i="27" a="1"/>
  <c r="X5" i="27" a="1"/>
  <c r="P5" i="27" a="1"/>
  <c r="L5" i="27" a="1"/>
  <c r="F19" i="27" a="1"/>
  <c r="Y7" i="27" a="1"/>
  <c r="M7" i="27" a="1"/>
  <c r="X6" i="27" a="1"/>
  <c r="P6" i="27" a="1"/>
  <c r="H6" i="27" a="1"/>
  <c r="S5" i="27" a="1"/>
  <c r="K5" i="27" a="1"/>
  <c r="E18" i="27" a="1"/>
  <c r="E16" i="27" a="1"/>
  <c r="D10" i="27" a="1"/>
  <c r="V9" i="27" a="1"/>
  <c r="R9" i="27" a="1"/>
  <c r="N9" i="27" a="1"/>
  <c r="J9" i="27" a="1"/>
  <c r="U7" i="27" a="1"/>
  <c r="Q7" i="27" a="1"/>
  <c r="I7" i="27" a="1"/>
  <c r="T6" i="27" a="1"/>
  <c r="L6" i="27" a="1"/>
  <c r="W5" i="27" a="1"/>
  <c r="O5" i="27" a="1"/>
  <c r="E19" i="27" a="1"/>
  <c r="D18" i="27" a="1"/>
  <c r="D16" i="27" a="1"/>
  <c r="Y9" i="27" a="1"/>
  <c r="U9" i="27" a="1"/>
  <c r="Q9" i="27" a="1"/>
  <c r="M9" i="27" a="1"/>
  <c r="I9" i="27" a="1"/>
  <c r="X7" i="27" a="1"/>
  <c r="T7" i="27" a="1"/>
  <c r="P7" i="27" a="1"/>
  <c r="L7" i="27" a="1"/>
  <c r="H7" i="27" a="1"/>
  <c r="W6" i="27" a="1"/>
  <c r="S6" i="27" a="1"/>
  <c r="O6" i="27" a="1"/>
  <c r="K6" i="27" a="1"/>
  <c r="G6" i="27" a="1"/>
  <c r="V5" i="27" a="1"/>
  <c r="R5" i="27" a="1"/>
  <c r="N5" i="27" a="1"/>
  <c r="J5" i="27" a="1"/>
  <c r="I172" i="25" a="1"/>
  <c r="F13" i="19" a="1"/>
  <c r="F8" i="26"/>
  <c r="O8" i="26"/>
  <c r="T6" i="26"/>
  <c r="F14" i="19" a="1"/>
  <c r="AD11" i="26" a="1"/>
  <c r="F16" i="26" a="1"/>
  <c r="F20" i="26"/>
  <c r="L6" i="26"/>
  <c r="AD13" i="26" a="1"/>
  <c r="E9" i="18"/>
  <c r="E10" i="18"/>
  <c r="Z42" i="17" a="1"/>
  <c r="Z36" i="17" a="1"/>
  <c r="R115" i="17" a="1"/>
  <c r="N115" i="17" a="1"/>
  <c r="J115" i="17" a="1"/>
  <c r="F115" i="17" a="1"/>
  <c r="F73" i="17" a="1"/>
  <c r="F117" i="17" a="1"/>
  <c r="L43" i="17"/>
  <c r="L42" i="17"/>
  <c r="F45" i="17"/>
  <c r="F44" i="17"/>
  <c r="F43" i="17"/>
  <c r="F42" i="17"/>
  <c r="F40" i="17"/>
  <c r="AR27" i="17" a="1"/>
  <c r="AR28" i="17" a="1"/>
  <c r="AR29" i="17" a="1"/>
  <c r="AR30" i="17" a="1"/>
  <c r="AP30" i="17" a="1"/>
  <c r="AP29" i="17" a="1"/>
  <c r="AP28" i="17" a="1"/>
  <c r="AP27" i="17" a="1"/>
  <c r="AQ30" i="17" a="1"/>
  <c r="AQ29" i="17" a="1"/>
  <c r="AQ28" i="17" a="1"/>
  <c r="AQ27" i="17" a="1"/>
  <c r="AO30" i="17" a="1"/>
  <c r="AO29" i="17" a="1"/>
  <c r="AO28" i="17" a="1"/>
  <c r="AO27" i="17" a="1"/>
  <c r="AG30" i="17" a="1"/>
  <c r="AH30" i="17" a="1"/>
  <c r="AJ30" i="17" a="1"/>
  <c r="AI30" i="17" a="1"/>
  <c r="AG29" i="17" a="1"/>
  <c r="AJ29" i="17" a="1"/>
  <c r="AI29" i="17" a="1"/>
  <c r="AH29" i="17" a="1"/>
  <c r="AJ28" i="17" a="1"/>
  <c r="AH28" i="17" a="1"/>
  <c r="AG28" i="17" a="1"/>
  <c r="AI28" i="17" a="1"/>
  <c r="I29" i="17"/>
  <c r="AJ27" i="17" a="1"/>
  <c r="AI27" i="17" a="1"/>
  <c r="AH27" i="17" a="1"/>
  <c r="AG27" i="17" a="1"/>
  <c r="I27" i="17"/>
  <c r="I30" i="17"/>
  <c r="I28" i="17"/>
  <c r="Z96" i="16" a="1"/>
  <c r="AD50" i="1" a="1"/>
  <c r="AM51" i="17" l="1"/>
  <c r="Z42" i="17"/>
  <c r="Z36" i="17"/>
  <c r="R115" i="17"/>
  <c r="N115" i="17"/>
  <c r="J115" i="17"/>
  <c r="F115" i="17"/>
  <c r="F73" i="17"/>
  <c r="F117" i="17"/>
  <c r="AR27" i="17"/>
  <c r="AR28" i="17"/>
  <c r="AR29" i="17"/>
  <c r="AR30" i="17"/>
  <c r="AP30" i="17"/>
  <c r="AP29" i="17"/>
  <c r="AP28" i="17"/>
  <c r="AP27" i="17"/>
  <c r="AQ30" i="17"/>
  <c r="AQ29" i="17"/>
  <c r="AQ28" i="17"/>
  <c r="AQ27" i="17"/>
  <c r="AO30" i="17"/>
  <c r="AO29" i="17"/>
  <c r="AO28" i="17"/>
  <c r="AO27" i="17"/>
  <c r="AI30" i="17"/>
  <c r="AJ30" i="17"/>
  <c r="AH30" i="17"/>
  <c r="AG30" i="17"/>
  <c r="AH29" i="17"/>
  <c r="AI29" i="17"/>
  <c r="AJ29" i="17"/>
  <c r="AG29" i="17"/>
  <c r="AI28" i="17"/>
  <c r="AG28" i="17"/>
  <c r="AH28" i="17"/>
  <c r="AJ28" i="17"/>
  <c r="AI27" i="17"/>
  <c r="AJ27" i="17"/>
  <c r="AH27" i="17"/>
  <c r="AG27" i="17"/>
  <c r="B10" i="18"/>
  <c r="J5" i="27"/>
  <c r="N5" i="27"/>
  <c r="R5" i="27"/>
  <c r="V5" i="27"/>
  <c r="G6" i="27"/>
  <c r="K6" i="27"/>
  <c r="O6" i="27"/>
  <c r="S6" i="27"/>
  <c r="W6" i="27"/>
  <c r="H7" i="27"/>
  <c r="L7" i="27"/>
  <c r="P7" i="27"/>
  <c r="T7" i="27"/>
  <c r="X7" i="27"/>
  <c r="I9" i="27"/>
  <c r="M9" i="27"/>
  <c r="Q9" i="27"/>
  <c r="U9" i="27"/>
  <c r="Y9" i="27"/>
  <c r="D16" i="27"/>
  <c r="D18" i="27"/>
  <c r="D19" i="27" s="1"/>
  <c r="E19" i="27"/>
  <c r="O5" i="27"/>
  <c r="W5" i="27"/>
  <c r="L6" i="27"/>
  <c r="T6" i="27"/>
  <c r="I7" i="27"/>
  <c r="Q7" i="27"/>
  <c r="U7" i="27"/>
  <c r="J9" i="27"/>
  <c r="N9" i="27"/>
  <c r="R9" i="27"/>
  <c r="V9" i="27"/>
  <c r="D10" i="27"/>
  <c r="E16" i="27"/>
  <c r="E18" i="27"/>
  <c r="K5" i="27"/>
  <c r="S5" i="27"/>
  <c r="H6" i="27"/>
  <c r="P6" i="27"/>
  <c r="X6" i="27"/>
  <c r="M7" i="27"/>
  <c r="Y7" i="27"/>
  <c r="F19" i="27"/>
  <c r="L5" i="27"/>
  <c r="P5" i="27"/>
  <c r="X5" i="27"/>
  <c r="I6" i="27"/>
  <c r="M6" i="27"/>
  <c r="U6" i="27"/>
  <c r="Y6" i="27"/>
  <c r="J7" i="27"/>
  <c r="N7" i="27"/>
  <c r="R7" i="27"/>
  <c r="V7" i="27"/>
  <c r="G9" i="27"/>
  <c r="K9" i="27"/>
  <c r="S9" i="27"/>
  <c r="W9" i="27"/>
  <c r="E10" i="27"/>
  <c r="F16" i="27"/>
  <c r="F18" i="27"/>
  <c r="G5" i="27"/>
  <c r="T5" i="27"/>
  <c r="Q6" i="27"/>
  <c r="O9" i="27"/>
  <c r="I5" i="27"/>
  <c r="M5" i="27"/>
  <c r="Q5" i="27"/>
  <c r="U5" i="27"/>
  <c r="Y5" i="27"/>
  <c r="J6" i="27"/>
  <c r="N6" i="27"/>
  <c r="R6" i="27"/>
  <c r="V6" i="27"/>
  <c r="G7" i="27"/>
  <c r="K7" i="27"/>
  <c r="O7" i="27"/>
  <c r="S7" i="27"/>
  <c r="W7" i="27"/>
  <c r="H9" i="27"/>
  <c r="L9" i="27"/>
  <c r="P9" i="27"/>
  <c r="T9" i="27"/>
  <c r="X9" i="27"/>
  <c r="F10" i="27"/>
  <c r="O4" i="27"/>
  <c r="P3" i="27"/>
  <c r="Z96" i="16"/>
  <c r="F14" i="19"/>
  <c r="F13" i="19"/>
  <c r="AD50" i="1"/>
  <c r="I73" i="26"/>
  <c r="AD52" i="26"/>
  <c r="AD99" i="26"/>
  <c r="AD100" i="26"/>
  <c r="AD53" i="26"/>
  <c r="X6" i="26"/>
  <c r="AA6" i="26" s="1"/>
  <c r="I65" i="26"/>
  <c r="AD13" i="26"/>
  <c r="F12" i="26" s="1"/>
  <c r="E90" i="26" s="1"/>
  <c r="AD11" i="26"/>
  <c r="F10" i="26" s="1"/>
  <c r="F25" i="26" s="1"/>
  <c r="F16" i="26"/>
  <c r="I172" i="25"/>
  <c r="D114" i="25"/>
  <c r="AD110" i="25"/>
  <c r="P16" i="27" a="1"/>
  <c r="P10" i="27" a="1"/>
  <c r="Q16" i="27" a="1"/>
  <c r="Q10" i="27" a="1"/>
  <c r="E11" i="27" a="1"/>
  <c r="T16" i="27" a="1"/>
  <c r="T10" i="27" a="1"/>
  <c r="N16" i="27" a="1"/>
  <c r="N10" i="27" a="1"/>
  <c r="K10" i="27" a="1"/>
  <c r="K16" i="27" a="1"/>
  <c r="H16" i="27" a="1"/>
  <c r="H10" i="27" a="1"/>
  <c r="D11" i="27" a="1"/>
  <c r="M16" i="27" a="1"/>
  <c r="M10" i="27" a="1"/>
  <c r="U16" i="27" a="1"/>
  <c r="U10" i="27" a="1"/>
  <c r="F17" i="27" a="1"/>
  <c r="R16" i="27" a="1"/>
  <c r="R10" i="27" a="1"/>
  <c r="O10" i="27" a="1"/>
  <c r="O16" i="27" a="1"/>
  <c r="S10" i="27" a="1"/>
  <c r="S16" i="27" a="1"/>
  <c r="W10" i="27" a="1"/>
  <c r="W16" i="27" a="1"/>
  <c r="L16" i="27" a="1"/>
  <c r="L10" i="27" a="1"/>
  <c r="I16" i="27" a="1"/>
  <c r="I10" i="27" a="1"/>
  <c r="E17" i="27" a="1"/>
  <c r="Y16" i="27" a="1"/>
  <c r="Y10" i="27" a="1"/>
  <c r="D17" i="27" a="1"/>
  <c r="J16" i="27" a="1"/>
  <c r="J10" i="27" a="1"/>
  <c r="G10" i="27" a="1"/>
  <c r="G16" i="27" a="1"/>
  <c r="X16" i="27" a="1"/>
  <c r="X10" i="27" a="1"/>
  <c r="F11" i="27" a="1"/>
  <c r="V16" i="27" a="1"/>
  <c r="V10" i="27" a="1"/>
  <c r="O10" i="26" a="1"/>
  <c r="AD115" i="25"/>
  <c r="O20" i="26"/>
  <c r="AD106" i="26" a="1"/>
  <c r="K90" i="26"/>
  <c r="O16" i="26" a="1"/>
  <c r="AE107" i="25"/>
  <c r="O12" i="26" a="1"/>
  <c r="P90" i="26"/>
  <c r="AE108" i="25"/>
  <c r="AA96" i="16" a="1"/>
  <c r="AS29" i="17" l="1"/>
  <c r="AS30" i="17"/>
  <c r="AT30" i="17"/>
  <c r="AS28" i="17"/>
  <c r="AT28" i="17"/>
  <c r="AT29" i="17"/>
  <c r="AT27" i="17"/>
  <c r="AL29" i="17"/>
  <c r="AK28" i="17"/>
  <c r="AL30" i="17"/>
  <c r="AK30" i="17"/>
  <c r="AK29" i="17"/>
  <c r="AL28" i="17"/>
  <c r="AL27" i="17"/>
  <c r="AK27" i="17"/>
  <c r="V10" i="27"/>
  <c r="V16" i="27"/>
  <c r="F11" i="27"/>
  <c r="X10" i="27"/>
  <c r="X16" i="27"/>
  <c r="G16" i="27"/>
  <c r="G10" i="27"/>
  <c r="J10" i="27"/>
  <c r="J16" i="27"/>
  <c r="D17" i="27"/>
  <c r="D21" i="27" s="1"/>
  <c r="Y10" i="27"/>
  <c r="Y16" i="27"/>
  <c r="E17" i="27"/>
  <c r="E21" i="27" s="1"/>
  <c r="I10" i="27"/>
  <c r="I16" i="27"/>
  <c r="L10" i="27"/>
  <c r="L16" i="27"/>
  <c r="W16" i="27"/>
  <c r="W10" i="27"/>
  <c r="S16" i="27"/>
  <c r="S10" i="27"/>
  <c r="O16" i="27"/>
  <c r="O10" i="27"/>
  <c r="R10" i="27"/>
  <c r="R16" i="27"/>
  <c r="F17" i="27"/>
  <c r="F21" i="27" s="1"/>
  <c r="U10" i="27"/>
  <c r="U16" i="27"/>
  <c r="M10" i="27"/>
  <c r="M16" i="27"/>
  <c r="D11" i="27"/>
  <c r="H10" i="27"/>
  <c r="H16" i="27"/>
  <c r="K16" i="27"/>
  <c r="K10" i="27"/>
  <c r="N10" i="27"/>
  <c r="N16" i="27"/>
  <c r="T10" i="27"/>
  <c r="T16" i="27"/>
  <c r="E11" i="27"/>
  <c r="Q10" i="27"/>
  <c r="Q16" i="27"/>
  <c r="P10" i="27"/>
  <c r="P16" i="27"/>
  <c r="F12" i="27"/>
  <c r="F13" i="27" s="1"/>
  <c r="P4" i="27"/>
  <c r="Q3" i="27"/>
  <c r="D20" i="27"/>
  <c r="D22" i="27" s="1"/>
  <c r="E20" i="27"/>
  <c r="F20" i="27"/>
  <c r="F22" i="27" s="1"/>
  <c r="D12" i="27"/>
  <c r="D13" i="27" s="1"/>
  <c r="E12" i="27"/>
  <c r="E13" i="27" s="1"/>
  <c r="AA96" i="16"/>
  <c r="AD54" i="26"/>
  <c r="H100" i="26"/>
  <c r="AD106" i="26"/>
  <c r="E80" i="26"/>
  <c r="E33" i="26"/>
  <c r="K34" i="26" s="1"/>
  <c r="AD103" i="26"/>
  <c r="AD101" i="26"/>
  <c r="O16" i="26"/>
  <c r="O12" i="26"/>
  <c r="O10" i="26"/>
  <c r="E43" i="26"/>
  <c r="AD160" i="25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V11" i="27" a="1"/>
  <c r="J17" i="27" a="1"/>
  <c r="L17" i="27" a="1"/>
  <c r="R17" i="27" a="1"/>
  <c r="H17" i="27" a="1"/>
  <c r="Q11" i="27" a="1"/>
  <c r="M17" i="27" a="1"/>
  <c r="I17" i="27" a="1"/>
  <c r="O11" i="27" a="1"/>
  <c r="T17" i="27" a="1"/>
  <c r="J11" i="27" a="1"/>
  <c r="L11" i="27" a="1"/>
  <c r="R11" i="27" a="1"/>
  <c r="V17" i="27" a="1"/>
  <c r="W17" i="27" a="1"/>
  <c r="K17" i="27" a="1"/>
  <c r="Q17" i="27" a="1"/>
  <c r="Y11" i="27" a="1"/>
  <c r="W11" i="27" a="1"/>
  <c r="U11" i="27" a="1"/>
  <c r="K11" i="27" a="1"/>
  <c r="P11" i="27" a="1"/>
  <c r="X17" i="27" a="1"/>
  <c r="M11" i="27" a="1"/>
  <c r="N17" i="27" a="1"/>
  <c r="G11" i="27" a="1"/>
  <c r="H11" i="27" a="1"/>
  <c r="X11" i="27" a="1"/>
  <c r="Y17" i="27" a="1"/>
  <c r="S17" i="27" a="1"/>
  <c r="U17" i="27" a="1"/>
  <c r="N11" i="27" a="1"/>
  <c r="P17" i="27" a="1"/>
  <c r="S11" i="27" a="1"/>
  <c r="G17" i="27" a="1"/>
  <c r="I11" i="27" a="1"/>
  <c r="O17" i="27" a="1"/>
  <c r="T11" i="27" a="1"/>
  <c r="T8" i="25"/>
  <c r="D116" i="25"/>
  <c r="M13" i="15"/>
  <c r="AD136" i="25" a="1"/>
  <c r="AE147" i="25" a="1"/>
  <c r="AE26" i="25" a="1"/>
  <c r="AE48" i="25" a="1"/>
  <c r="K135" i="25" a="1"/>
  <c r="I25" i="26" a="1"/>
  <c r="AD59" i="26" a="1"/>
  <c r="E93" i="25" a="1"/>
  <c r="D135" i="25" a="1"/>
  <c r="K35" i="25" a="1"/>
  <c r="AD17" i="25" a="1"/>
  <c r="R60" i="25"/>
  <c r="AD12" i="25" a="1"/>
  <c r="AD155" i="25" a="1"/>
  <c r="K156" i="25" a="1"/>
  <c r="AD157" i="25" a="1"/>
  <c r="K56" i="25" a="1"/>
  <c r="E8" i="25" a="1"/>
  <c r="AD36" i="25" a="1"/>
  <c r="AD34" i="25" a="1"/>
  <c r="AE126" i="25" a="1"/>
  <c r="AE47" i="25" a="1"/>
  <c r="AD19" i="25" a="1"/>
  <c r="T93" i="25"/>
  <c r="AD55" i="25" a="1"/>
  <c r="AE148" i="25" a="1"/>
  <c r="AE127" i="25" a="1"/>
  <c r="AD101" i="25" a="1"/>
  <c r="AD99" i="25" a="1"/>
  <c r="M14" i="15"/>
  <c r="AE27" i="25" a="1"/>
  <c r="AD9" i="25" a="1"/>
  <c r="AD57" i="25" a="1"/>
  <c r="S109" i="25"/>
  <c r="R160" i="25"/>
  <c r="D56" i="25" a="1"/>
  <c r="AD40" i="25" a="1"/>
  <c r="P160" i="25"/>
  <c r="D156" i="25" a="1"/>
  <c r="P43" i="26"/>
  <c r="G15" i="19" a="1"/>
  <c r="S107" i="25"/>
  <c r="N15" i="15"/>
  <c r="AD140" i="25" a="1"/>
  <c r="K43" i="26"/>
  <c r="P60" i="25"/>
  <c r="AD134" i="25" a="1"/>
  <c r="T11" i="27" l="1"/>
  <c r="O17" i="27"/>
  <c r="O21" i="27" s="1"/>
  <c r="I11" i="27"/>
  <c r="G17" i="27"/>
  <c r="G21" i="27" s="1"/>
  <c r="S11" i="27"/>
  <c r="P17" i="27"/>
  <c r="P21" i="27" s="1"/>
  <c r="N11" i="27"/>
  <c r="U17" i="27"/>
  <c r="U21" i="27" s="1"/>
  <c r="S17" i="27"/>
  <c r="S21" i="27" s="1"/>
  <c r="Y17" i="27"/>
  <c r="Y21" i="27" s="1"/>
  <c r="X11" i="27"/>
  <c r="H11" i="27"/>
  <c r="G11" i="27"/>
  <c r="N17" i="27"/>
  <c r="N21" i="27" s="1"/>
  <c r="M11" i="27"/>
  <c r="X17" i="27"/>
  <c r="X21" i="27" s="1"/>
  <c r="P11" i="27"/>
  <c r="K11" i="27"/>
  <c r="U11" i="27"/>
  <c r="W11" i="27"/>
  <c r="Y11" i="27"/>
  <c r="Q17" i="27"/>
  <c r="Q21" i="27" s="1"/>
  <c r="K17" i="27"/>
  <c r="K21" i="27" s="1"/>
  <c r="W17" i="27"/>
  <c r="W21" i="27" s="1"/>
  <c r="V17" i="27"/>
  <c r="V21" i="27" s="1"/>
  <c r="R11" i="27"/>
  <c r="L11" i="27"/>
  <c r="J11" i="27"/>
  <c r="T17" i="27"/>
  <c r="T21" i="27" s="1"/>
  <c r="O11" i="27"/>
  <c r="I17" i="27"/>
  <c r="I21" i="27" s="1"/>
  <c r="M17" i="27"/>
  <c r="M21" i="27" s="1"/>
  <c r="Q11" i="27"/>
  <c r="H17" i="27"/>
  <c r="H21" i="27" s="1"/>
  <c r="R17" i="27"/>
  <c r="R21" i="27" s="1"/>
  <c r="L17" i="27"/>
  <c r="L21" i="27" s="1"/>
  <c r="J17" i="27"/>
  <c r="J21" i="27" s="1"/>
  <c r="V11" i="27"/>
  <c r="T12" i="27"/>
  <c r="T13" i="27" s="1"/>
  <c r="O20" i="27"/>
  <c r="O22" i="27" s="1"/>
  <c r="I12" i="27"/>
  <c r="G20" i="27"/>
  <c r="S12" i="27"/>
  <c r="S13" i="27" s="1"/>
  <c r="P20" i="27"/>
  <c r="N12" i="27"/>
  <c r="N13" i="27" s="1"/>
  <c r="U20" i="27"/>
  <c r="S20" i="27"/>
  <c r="S22" i="27" s="1"/>
  <c r="Y20" i="27"/>
  <c r="Y22" i="27" s="1"/>
  <c r="X12" i="27"/>
  <c r="X13" i="27" s="1"/>
  <c r="H12" i="27"/>
  <c r="H13" i="27" s="1"/>
  <c r="R3" i="27"/>
  <c r="Q4" i="27"/>
  <c r="G12" i="27"/>
  <c r="G13" i="27" s="1"/>
  <c r="N20" i="27"/>
  <c r="N22" i="27" s="1"/>
  <c r="M12" i="27"/>
  <c r="M13" i="27" s="1"/>
  <c r="X20" i="27"/>
  <c r="P12" i="27"/>
  <c r="P13" i="27" s="1"/>
  <c r="K12" i="27"/>
  <c r="K13" i="27" s="1"/>
  <c r="U12" i="27"/>
  <c r="U13" i="27" s="1"/>
  <c r="W12" i="27"/>
  <c r="W13" i="27" s="1"/>
  <c r="Y12" i="27"/>
  <c r="Y13" i="27" s="1"/>
  <c r="Q20" i="27"/>
  <c r="Q22" i="27" s="1"/>
  <c r="K20" i="27"/>
  <c r="K22" i="27" s="1"/>
  <c r="W20" i="27"/>
  <c r="W22" i="27" s="1"/>
  <c r="V20" i="27"/>
  <c r="V22" i="27" s="1"/>
  <c r="R12" i="27"/>
  <c r="R13" i="27" s="1"/>
  <c r="L12" i="27"/>
  <c r="L13" i="27" s="1"/>
  <c r="J12" i="27"/>
  <c r="T20" i="27"/>
  <c r="T22" i="27" s="1"/>
  <c r="O12" i="27"/>
  <c r="O13" i="27" s="1"/>
  <c r="I20" i="27"/>
  <c r="I22" i="27" s="1"/>
  <c r="M20" i="27"/>
  <c r="M22" i="27" s="1"/>
  <c r="E22" i="27"/>
  <c r="Q12" i="27"/>
  <c r="Q13" i="27" s="1"/>
  <c r="H20" i="27"/>
  <c r="H22" i="27" s="1"/>
  <c r="R20" i="27"/>
  <c r="R22" i="27" s="1"/>
  <c r="L20" i="27"/>
  <c r="L22" i="27" s="1"/>
  <c r="J20" i="27"/>
  <c r="J22" i="27" s="1"/>
  <c r="V12" i="27"/>
  <c r="V13" i="27" s="1"/>
  <c r="G15" i="19"/>
  <c r="K81" i="26"/>
  <c r="K80" i="26"/>
  <c r="P85" i="26" s="1"/>
  <c r="H53" i="26"/>
  <c r="AD59" i="26"/>
  <c r="I25" i="26"/>
  <c r="AD56" i="26"/>
  <c r="E38" i="26"/>
  <c r="E68" i="26"/>
  <c r="K33" i="26"/>
  <c r="AD109" i="25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D41" i="25" a="1"/>
  <c r="S135" i="25" a="1"/>
  <c r="AE62" i="11" a="1"/>
  <c r="S26" i="25" a="1"/>
  <c r="N135" i="25" a="1"/>
  <c r="S56" i="25" a="1"/>
  <c r="P18" i="25" a="1"/>
  <c r="J60" i="25"/>
  <c r="AD99" i="11" a="1"/>
  <c r="I93" i="25" a="1"/>
  <c r="F89" i="21" a="1"/>
  <c r="F87" i="21" a="1"/>
  <c r="F88" i="21" a="1"/>
  <c r="J22" i="21" a="1"/>
  <c r="F86" i="21" a="1"/>
  <c r="S81" i="11" a="1"/>
  <c r="P100" i="25" a="1"/>
  <c r="K100" i="11" a="1"/>
  <c r="N156" i="25" a="1"/>
  <c r="J160" i="25"/>
  <c r="F56" i="21" a="1"/>
  <c r="S126" i="25" a="1"/>
  <c r="H68" i="26" a="1"/>
  <c r="AD49" i="11" a="1"/>
  <c r="F91" i="21" a="1"/>
  <c r="AE63" i="11" a="1"/>
  <c r="E10" i="21" a="1"/>
  <c r="S128" i="25" a="1"/>
  <c r="AE42" i="11" a="1"/>
  <c r="K35" i="21" a="1"/>
  <c r="F92" i="21" a="1"/>
  <c r="AE92" i="11" a="1"/>
  <c r="S28" i="25" a="1"/>
  <c r="S47" i="25" a="1"/>
  <c r="AD51" i="11" a="1"/>
  <c r="F90" i="21" a="1"/>
  <c r="AE41" i="11" a="1"/>
  <c r="K50" i="11" a="1"/>
  <c r="K26" i="21" a="1"/>
  <c r="D71" i="11" a="1"/>
  <c r="S35" i="25" a="1"/>
  <c r="J15" i="21" a="1"/>
  <c r="S83" i="11" a="1"/>
  <c r="N35" i="25" a="1"/>
  <c r="P16" i="25" a="1"/>
  <c r="AE91" i="11" a="1"/>
  <c r="J21" i="21" a="1"/>
  <c r="J20" i="21"/>
  <c r="D141" i="25" a="1"/>
  <c r="AD101" i="11" a="1"/>
  <c r="P98" i="25" a="1"/>
  <c r="K30" i="21" a="1"/>
  <c r="J16" i="21" a="1"/>
  <c r="F85" i="21" a="1"/>
  <c r="M10" i="21"/>
  <c r="S147" i="25" a="1"/>
  <c r="S156" i="25" a="1"/>
  <c r="N56" i="25" a="1"/>
  <c r="K28" i="21" a="1"/>
  <c r="AD55" i="11" a="1"/>
  <c r="R22" i="21"/>
  <c r="J17" i="21" a="1"/>
  <c r="AD105" i="11" a="1"/>
  <c r="E8" i="18"/>
  <c r="F11" i="17"/>
  <c r="P22" i="27" l="1"/>
  <c r="X22" i="27"/>
  <c r="U22" i="27"/>
  <c r="R4" i="27"/>
  <c r="S3" i="27"/>
  <c r="J13" i="27"/>
  <c r="J14" i="27"/>
  <c r="G22" i="27"/>
  <c r="I14" i="27"/>
  <c r="I13" i="27"/>
  <c r="H68" i="26"/>
  <c r="P38" i="26"/>
  <c r="AF48" i="25"/>
  <c r="Q15" i="15"/>
  <c r="L15" i="15" s="1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49" i="25"/>
  <c r="AD28" i="2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F40" i="21" a="1"/>
  <c r="L103" i="25"/>
  <c r="O45" i="21"/>
  <c r="P15" i="21" a="1"/>
  <c r="D110" i="25"/>
  <c r="P35" i="21"/>
  <c r="K19" i="21"/>
  <c r="S43" i="11" a="1"/>
  <c r="J45" i="21"/>
  <c r="I8" i="25" a="1"/>
  <c r="S50" i="11" a="1"/>
  <c r="P28" i="21"/>
  <c r="P26" i="21"/>
  <c r="H233" i="11" a="1"/>
  <c r="N100" i="11" a="1"/>
  <c r="S64" i="11" a="1"/>
  <c r="D56" i="11" a="1"/>
  <c r="S100" i="11" a="1"/>
  <c r="S149" i="25" a="1"/>
  <c r="S62" i="11" a="1"/>
  <c r="P30" i="21"/>
  <c r="E13" i="25" a="1"/>
  <c r="S49" i="25" a="1"/>
  <c r="S91" i="11" a="1"/>
  <c r="N50" i="11" a="1"/>
  <c r="D106" i="11" a="1"/>
  <c r="G56" i="21"/>
  <c r="AD61" i="25" a="1"/>
  <c r="S41" i="11" a="1"/>
  <c r="AD161" i="25" a="1"/>
  <c r="S4" i="27" l="1"/>
  <c r="T3" i="27"/>
  <c r="S49" i="25"/>
  <c r="K90" i="21" a="1"/>
  <c r="K90" i="21" s="1"/>
  <c r="AD161" i="25"/>
  <c r="AD61" i="25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0" i="25"/>
  <c r="D160" i="25"/>
  <c r="AD31" i="25"/>
  <c r="D26" i="25" s="1"/>
  <c r="F22" i="25" s="1"/>
  <c r="Q70" i="25" s="1"/>
  <c r="Q16" i="15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S93" i="11" a="1"/>
  <c r="O49" i="21"/>
  <c r="J49" i="21"/>
  <c r="D162" i="25" a="1"/>
  <c r="K56" i="21"/>
  <c r="D29" i="25" a="1"/>
  <c r="M16" i="15"/>
  <c r="M15" i="15"/>
  <c r="D62" i="25" a="1"/>
  <c r="F45" i="21"/>
  <c r="K22" i="25" a="1"/>
  <c r="F39" i="21" a="1"/>
  <c r="D50" i="25" a="1"/>
  <c r="D35" i="25" a="1"/>
  <c r="T4" i="27" l="1"/>
  <c r="U3" i="27"/>
  <c r="Z6" i="15"/>
  <c r="D35" i="25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F49" i="21"/>
  <c r="G52" i="21"/>
  <c r="AD35" i="11" a="1"/>
  <c r="J24" i="11" a="1"/>
  <c r="D94" i="11" a="1"/>
  <c r="D100" i="11" a="1"/>
  <c r="AD33" i="11" a="1"/>
  <c r="G39" i="21"/>
  <c r="AD66" i="25" a="1"/>
  <c r="V3" i="27" l="1"/>
  <c r="U4" i="27"/>
  <c r="AD66" i="25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8" i="16"/>
  <c r="AD104" i="16"/>
  <c r="AD102" i="16"/>
  <c r="AD98" i="16"/>
  <c r="AD96" i="16"/>
  <c r="AD95" i="16"/>
  <c r="AD50" i="10"/>
  <c r="AD48" i="10"/>
  <c r="AD41" i="10"/>
  <c r="AD40" i="10"/>
  <c r="AD28" i="10"/>
  <c r="AD24" i="10"/>
  <c r="AH10" i="17"/>
  <c r="F229" i="16"/>
  <c r="AD13" i="16"/>
  <c r="AD11" i="16"/>
  <c r="AD32" i="1"/>
  <c r="AD76" i="1"/>
  <c r="AD72" i="1"/>
  <c r="AD70" i="1"/>
  <c r="AD64" i="1"/>
  <c r="AD63" i="1"/>
  <c r="AD55" i="1"/>
  <c r="AD51" i="1"/>
  <c r="AD43" i="1"/>
  <c r="AD42" i="1"/>
  <c r="AD34" i="1"/>
  <c r="F18" i="15"/>
  <c r="G18" i="15" s="1"/>
  <c r="AL150" i="16"/>
  <c r="AL149" i="16"/>
  <c r="AL148" i="16"/>
  <c r="AL147" i="16"/>
  <c r="AL146" i="16"/>
  <c r="AL145" i="16"/>
  <c r="AL144" i="16"/>
  <c r="AL143" i="16"/>
  <c r="AL142" i="16"/>
  <c r="AD13" i="13" a="1"/>
  <c r="AH144" i="16" a="1"/>
  <c r="AD140" i="13" a="1"/>
  <c r="AD11" i="13" a="1"/>
  <c r="AH145" i="16" a="1"/>
  <c r="AD134" i="13" a="1"/>
  <c r="AD136" i="13" a="1"/>
  <c r="F16" i="13" a="1"/>
  <c r="P32" i="11" a="1"/>
  <c r="D129" i="13" a="1"/>
  <c r="F8" i="13"/>
  <c r="AF146" i="16" a="1"/>
  <c r="D135" i="13" a="1"/>
  <c r="AH143" i="16" a="1"/>
  <c r="T7" i="16"/>
  <c r="AE126" i="13" a="1"/>
  <c r="AE127" i="13" a="1"/>
  <c r="P34" i="11" a="1"/>
  <c r="T6" i="13"/>
  <c r="AH150" i="16" a="1"/>
  <c r="AG147" i="16" a="1"/>
  <c r="AD74" i="13"/>
  <c r="AH149" i="16" a="1"/>
  <c r="L6" i="13"/>
  <c r="AE64" i="1" a="1"/>
  <c r="G40" i="21"/>
  <c r="AE63" i="1" a="1"/>
  <c r="AG146" i="16" a="1"/>
  <c r="P115" i="13" a="1"/>
  <c r="E231" i="11" a="1"/>
  <c r="P84" i="16" a="1"/>
  <c r="AF147" i="16" a="1"/>
  <c r="AH142" i="16" a="1"/>
  <c r="R65" i="25" a="1"/>
  <c r="K135" i="13" a="1"/>
  <c r="F55" i="21"/>
  <c r="P25" i="1" a="1"/>
  <c r="F20" i="13"/>
  <c r="E230" i="11" a="1"/>
  <c r="K72" i="1" a="1"/>
  <c r="AG74" i="13"/>
  <c r="AD105" i="16" a="1"/>
  <c r="AD103" i="16" a="1"/>
  <c r="K104" i="16" a="1"/>
  <c r="AD109" i="16" a="1"/>
  <c r="AE96" i="16" a="1"/>
  <c r="AE95" i="16" a="1"/>
  <c r="K51" i="1" a="1"/>
  <c r="AD52" i="1" a="1"/>
  <c r="W3" i="27" l="1"/>
  <c r="V4" i="27"/>
  <c r="AD52" i="1"/>
  <c r="R65" i="25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5" i="16"/>
  <c r="AE96" i="16"/>
  <c r="AD103" i="16"/>
  <c r="K104" i="16"/>
  <c r="AD105" i="16"/>
  <c r="AD109" i="16"/>
  <c r="AE64" i="1"/>
  <c r="AE63" i="1"/>
  <c r="AF63" i="1" s="1"/>
  <c r="K72" i="1"/>
  <c r="K51" i="1"/>
  <c r="P84" i="16"/>
  <c r="X7" i="16"/>
  <c r="AA7" i="16" s="1"/>
  <c r="P25" i="1"/>
  <c r="M24" i="1" s="1"/>
  <c r="AH143" i="16"/>
  <c r="AH144" i="16"/>
  <c r="AH145" i="16"/>
  <c r="AH149" i="16"/>
  <c r="AH150" i="16"/>
  <c r="AH142" i="16"/>
  <c r="AF147" i="16"/>
  <c r="AF148" i="16" s="1"/>
  <c r="AG147" i="16"/>
  <c r="AG148" i="16" s="1"/>
  <c r="AG146" i="16"/>
  <c r="AF146" i="16"/>
  <c r="O16" i="13" a="1"/>
  <c r="K52" i="21"/>
  <c r="AD110" i="11" a="1"/>
  <c r="S128" i="13" a="1"/>
  <c r="AH148" i="16" a="1"/>
  <c r="AD164" i="13" a="1"/>
  <c r="S135" i="13" a="1"/>
  <c r="AH146" i="16" a="1"/>
  <c r="P119" i="13" a="1"/>
  <c r="I70" i="25"/>
  <c r="O8" i="13"/>
  <c r="S115" i="13" a="1"/>
  <c r="O10" i="13" a="1"/>
  <c r="Y27" i="11" a="1"/>
  <c r="D141" i="13" a="1"/>
  <c r="S126" i="13" a="1"/>
  <c r="AH147" i="16" a="1"/>
  <c r="N135" i="13" a="1"/>
  <c r="P88" i="16" a="1"/>
  <c r="O20" i="13"/>
  <c r="D110" i="16" a="1"/>
  <c r="N104" i="16" a="1"/>
  <c r="S104" i="16" a="1"/>
  <c r="S97" i="16" a="1"/>
  <c r="S95" i="16" a="1"/>
  <c r="W4" i="27" l="1"/>
  <c r="X3" i="27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10" i="16"/>
  <c r="D108" i="16"/>
  <c r="K33" i="13"/>
  <c r="O10" i="13"/>
  <c r="S104" i="16"/>
  <c r="N104" i="16"/>
  <c r="S97" i="16"/>
  <c r="S95" i="16"/>
  <c r="AD97" i="16"/>
  <c r="P88" i="16"/>
  <c r="M86" i="16" s="1"/>
  <c r="AH148" i="16"/>
  <c r="AH146" i="16"/>
  <c r="AH147" i="16"/>
  <c r="F13" i="15"/>
  <c r="F14" i="15"/>
  <c r="G14" i="15" s="1"/>
  <c r="H229" i="16"/>
  <c r="I224" i="13"/>
  <c r="AI146" i="16" a="1"/>
  <c r="T79" i="25"/>
  <c r="F5" i="19" a="1"/>
  <c r="J117" i="13" a="1"/>
  <c r="I72" i="25" a="1"/>
  <c r="O55" i="21"/>
  <c r="K122" i="13" a="1"/>
  <c r="O12" i="13" a="1"/>
  <c r="E267" i="13" a="1"/>
  <c r="F6" i="19" a="1"/>
  <c r="T80" i="25" a="1"/>
  <c r="J113" i="13" a="1"/>
  <c r="S119" i="13" a="1"/>
  <c r="AD77" i="1" a="1"/>
  <c r="AI147" i="16" a="1"/>
  <c r="R109" i="11" a="1"/>
  <c r="J55" i="21"/>
  <c r="F7" i="19" a="1"/>
  <c r="F23" i="17" a="1"/>
  <c r="AE97" i="16" a="1"/>
  <c r="AD56" i="1" a="1"/>
  <c r="X4" i="27" l="1"/>
  <c r="Y3" i="27"/>
  <c r="Y4" i="27" s="1"/>
  <c r="AE97" i="16"/>
  <c r="I72" i="25"/>
  <c r="T80" i="25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P38" i="13"/>
  <c r="M252" i="13" s="1"/>
  <c r="AI147" i="16"/>
  <c r="AI146" i="16"/>
  <c r="AD77" i="1"/>
  <c r="D76" i="1" s="1"/>
  <c r="AD56" i="1"/>
  <c r="F23" i="17"/>
  <c r="F5" i="19"/>
  <c r="F7" i="19"/>
  <c r="F6" i="19"/>
  <c r="V71" i="17"/>
  <c r="R71" i="17"/>
  <c r="N71" i="17"/>
  <c r="J71" i="17"/>
  <c r="E83" i="17"/>
  <c r="D65" i="17"/>
  <c r="F71" i="17"/>
  <c r="F236" i="11"/>
  <c r="F232" i="11"/>
  <c r="M15" i="10"/>
  <c r="E133" i="10" s="1"/>
  <c r="M54" i="10"/>
  <c r="H146" i="10"/>
  <c r="G146" i="10"/>
  <c r="E215" i="11"/>
  <c r="E198" i="16"/>
  <c r="E188" i="1"/>
  <c r="H208" i="1"/>
  <c r="F208" i="1"/>
  <c r="H204" i="1"/>
  <c r="F204" i="1"/>
  <c r="E36" i="17"/>
  <c r="AG54" i="17"/>
  <c r="AG50" i="17"/>
  <c r="L52" i="17"/>
  <c r="L49" i="17"/>
  <c r="D23" i="17"/>
  <c r="O48" i="17"/>
  <c r="P48" i="17" s="1"/>
  <c r="Q48" i="17" s="1"/>
  <c r="R48" i="17" s="1"/>
  <c r="S48" i="17" s="1"/>
  <c r="T48" i="17" s="1"/>
  <c r="U48" i="17" s="1"/>
  <c r="V48" i="17" s="1"/>
  <c r="W48" i="17" s="1"/>
  <c r="X48" i="17" s="1"/>
  <c r="Y48" i="17" s="1"/>
  <c r="D19" i="17"/>
  <c r="D39" i="17"/>
  <c r="C39" i="17"/>
  <c r="D38" i="17"/>
  <c r="C38" i="17"/>
  <c r="D37" i="17"/>
  <c r="C37" i="17"/>
  <c r="D36" i="17"/>
  <c r="C36" i="17"/>
  <c r="E39" i="17"/>
  <c r="E38" i="17"/>
  <c r="E37" i="17"/>
  <c r="D22" i="17"/>
  <c r="D21" i="17"/>
  <c r="D20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J112" i="13"/>
  <c r="O161" i="13" s="1"/>
  <c r="J111" i="13"/>
  <c r="AD161" i="13" s="1"/>
  <c r="J108" i="13"/>
  <c r="AD148" i="13" s="1"/>
  <c r="AD149" i="13" s="1"/>
  <c r="O148" i="13" s="1"/>
  <c r="E181" i="16"/>
  <c r="AD183" i="16"/>
  <c r="AD181" i="16"/>
  <c r="AG172" i="1"/>
  <c r="AD172" i="1"/>
  <c r="AD171" i="1"/>
  <c r="AD170" i="1"/>
  <c r="AE164" i="1"/>
  <c r="H147" i="10" a="1"/>
  <c r="Q76" i="11"/>
  <c r="P76" i="11"/>
  <c r="G182" i="16" a="1"/>
  <c r="E76" i="11"/>
  <c r="G181" i="16" a="1"/>
  <c r="D78" i="1" a="1"/>
  <c r="O148" i="11" a="1"/>
  <c r="K204" i="1" a="1"/>
  <c r="P116" i="13" a="1"/>
  <c r="G194" i="11" a="1"/>
  <c r="J105" i="13" a="1"/>
  <c r="AE83" i="13"/>
  <c r="AG77" i="13"/>
  <c r="E132" i="10" a="1"/>
  <c r="U148" i="13" a="1"/>
  <c r="E7" i="1" a="1"/>
  <c r="AE85" i="13"/>
  <c r="AD8" i="11" a="1"/>
  <c r="AD78" i="13"/>
  <c r="L7" i="16"/>
  <c r="H76" i="11"/>
  <c r="AD11" i="11" a="1"/>
  <c r="J76" i="11"/>
  <c r="P43" i="13"/>
  <c r="R148" i="11" a="1"/>
  <c r="AD76" i="13"/>
  <c r="J109" i="13" a="1"/>
  <c r="G76" i="11"/>
  <c r="K76" i="11"/>
  <c r="M76" i="11"/>
  <c r="AH84" i="13"/>
  <c r="O179" i="13" a="1"/>
  <c r="AG76" i="13"/>
  <c r="AH85" i="13"/>
  <c r="J110" i="13" a="1"/>
  <c r="AH87" i="13"/>
  <c r="G213" i="13" a="1"/>
  <c r="AH83" i="13"/>
  <c r="N76" i="11"/>
  <c r="J74" i="16" a="1"/>
  <c r="I76" i="11"/>
  <c r="P120" i="13" a="1"/>
  <c r="AD77" i="13"/>
  <c r="U116" i="11" a="1"/>
  <c r="AD59" i="13" a="1"/>
  <c r="O76" i="11"/>
  <c r="J106" i="13" a="1"/>
  <c r="T7" i="1"/>
  <c r="E214" i="11" a="1"/>
  <c r="J21" i="11" a="1"/>
  <c r="J16" i="11" a="1"/>
  <c r="G212" i="13" a="1"/>
  <c r="K43" i="13"/>
  <c r="L76" i="11"/>
  <c r="AE86" i="13"/>
  <c r="E7" i="11" a="1"/>
  <c r="AE164" i="13" a="1"/>
  <c r="R179" i="13" a="1"/>
  <c r="AH86" i="13"/>
  <c r="J20" i="11" a="1"/>
  <c r="AE84" i="13"/>
  <c r="J17" i="11" a="1"/>
  <c r="E212" i="11" a="1"/>
  <c r="H217" i="11" a="1"/>
  <c r="AD75" i="13"/>
  <c r="J17" i="1" a="1"/>
  <c r="AE87" i="13"/>
  <c r="AG75" i="13"/>
  <c r="F76" i="11"/>
  <c r="AG78" i="13"/>
  <c r="G193" i="11" a="1"/>
  <c r="E131" i="10" a="1"/>
  <c r="E6" i="18"/>
  <c r="E5" i="18"/>
  <c r="E7" i="18"/>
  <c r="E4" i="18"/>
  <c r="G29" i="17"/>
  <c r="G27" i="17"/>
  <c r="G28" i="17"/>
  <c r="G30" i="17"/>
  <c r="K50" i="17"/>
  <c r="K49" i="17"/>
  <c r="M20" i="17"/>
  <c r="M23" i="17"/>
  <c r="O23" i="17"/>
  <c r="E6" i="17"/>
  <c r="T6" i="17"/>
  <c r="O19" i="17"/>
  <c r="M22" i="17"/>
  <c r="O21" i="17"/>
  <c r="T21" i="17"/>
  <c r="O22" i="17"/>
  <c r="M19" i="17"/>
  <c r="T19" i="17"/>
  <c r="O20" i="17"/>
  <c r="T20" i="17"/>
  <c r="M21" i="17"/>
  <c r="F39" i="17"/>
  <c r="I23" i="17"/>
  <c r="V73" i="17" a="1"/>
  <c r="I22" i="17"/>
  <c r="R73" i="17" a="1"/>
  <c r="N73" i="17" a="1"/>
  <c r="I21" i="17"/>
  <c r="F38" i="17"/>
  <c r="J73" i="17" a="1"/>
  <c r="I20" i="17"/>
  <c r="F37" i="17"/>
  <c r="I19" i="17"/>
  <c r="G21" i="17"/>
  <c r="P114" i="17" s="1" a="1"/>
  <c r="D64" i="17" a="1"/>
  <c r="F13" i="17" a="1"/>
  <c r="F75" i="17" a="1"/>
  <c r="F10" i="17"/>
  <c r="E195" i="16" a="1"/>
  <c r="E197" i="16" a="1"/>
  <c r="D57" i="1" a="1"/>
  <c r="E187" i="1" a="1"/>
  <c r="F145" i="17" l="1"/>
  <c r="O129" i="17"/>
  <c r="O128" i="17"/>
  <c r="K129" i="17"/>
  <c r="K128" i="17"/>
  <c r="G129" i="17"/>
  <c r="G128" i="17"/>
  <c r="S129" i="17"/>
  <c r="S128" i="17"/>
  <c r="P114" i="17"/>
  <c r="AM30" i="17"/>
  <c r="P30" i="17" s="1"/>
  <c r="AU30" i="17"/>
  <c r="V30" i="17" s="1"/>
  <c r="AU28" i="17"/>
  <c r="V28" i="17" s="1"/>
  <c r="AM28" i="17"/>
  <c r="P28" i="17" s="1"/>
  <c r="AM27" i="17"/>
  <c r="P27" i="17" s="1"/>
  <c r="AU29" i="17"/>
  <c r="V29" i="17" s="1"/>
  <c r="AM29" i="17"/>
  <c r="P29" i="17" s="1"/>
  <c r="B4" i="18"/>
  <c r="F10" i="18"/>
  <c r="F9" i="18"/>
  <c r="G9" i="18" s="1"/>
  <c r="F8" i="18"/>
  <c r="G8" i="18" s="1"/>
  <c r="D57" i="1"/>
  <c r="Q156" i="11"/>
  <c r="Q168" i="11" s="1"/>
  <c r="K176" i="11" s="1"/>
  <c r="H260" i="11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AE164" i="13"/>
  <c r="AD162" i="13"/>
  <c r="F9" i="19"/>
  <c r="H10" i="19" s="1"/>
  <c r="F108" i="17"/>
  <c r="D78" i="1"/>
  <c r="D55" i="1"/>
  <c r="G9" i="19"/>
  <c r="I10" i="19" s="1"/>
  <c r="E213" i="11"/>
  <c r="F75" i="17"/>
  <c r="V73" i="17"/>
  <c r="R73" i="17"/>
  <c r="N73" i="17"/>
  <c r="J73" i="17"/>
  <c r="D64" i="17"/>
  <c r="D61" i="17"/>
  <c r="H147" i="10"/>
  <c r="E132" i="10"/>
  <c r="E131" i="10"/>
  <c r="K204" i="1"/>
  <c r="H217" i="11"/>
  <c r="E214" i="11"/>
  <c r="E212" i="11"/>
  <c r="E7" i="11"/>
  <c r="D208" i="11" s="1"/>
  <c r="E197" i="16"/>
  <c r="E195" i="16"/>
  <c r="E7" i="1"/>
  <c r="E187" i="1"/>
  <c r="G5" i="18"/>
  <c r="F6" i="18"/>
  <c r="G6" i="18" s="1"/>
  <c r="F7" i="18"/>
  <c r="G7" i="18" s="1"/>
  <c r="J17" i="1"/>
  <c r="M18" i="1" s="1"/>
  <c r="X6" i="17"/>
  <c r="AA6" i="17" s="1"/>
  <c r="AI49" i="17" s="1"/>
  <c r="O38" i="17"/>
  <c r="N83" i="17" s="1"/>
  <c r="F13" i="17"/>
  <c r="J2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2" i="16"/>
  <c r="AD184" i="16" s="1"/>
  <c r="AD185" i="16" s="1"/>
  <c r="G182" i="16"/>
  <c r="G181" i="16"/>
  <c r="I66" i="16"/>
  <c r="D191" i="16" s="1"/>
  <c r="J74" i="16"/>
  <c r="K233" i="11" a="1"/>
  <c r="J85" i="13"/>
  <c r="J237" i="11" a="1"/>
  <c r="P109" i="13" a="1"/>
  <c r="G77" i="11" a="1"/>
  <c r="P17" i="11" a="1"/>
  <c r="M77" i="11" a="1"/>
  <c r="G78" i="13"/>
  <c r="G74" i="13"/>
  <c r="P105" i="13" a="1"/>
  <c r="H77" i="11" a="1"/>
  <c r="I77" i="11" a="1"/>
  <c r="P25" i="11" a="1"/>
  <c r="P77" i="11" a="1"/>
  <c r="P21" i="11" a="1"/>
  <c r="G77" i="13"/>
  <c r="G76" i="13"/>
  <c r="U18" i="1" a="1"/>
  <c r="P16" i="11" a="1"/>
  <c r="P110" i="13" a="1"/>
  <c r="AD165" i="13" a="1"/>
  <c r="P17" i="1" a="1"/>
  <c r="L77" i="11" a="1"/>
  <c r="G75" i="13"/>
  <c r="F77" i="11" a="1"/>
  <c r="J236" i="11" a="1"/>
  <c r="N77" i="11" a="1"/>
  <c r="P106" i="13" a="1"/>
  <c r="J87" i="13"/>
  <c r="P74" i="16" a="1"/>
  <c r="I95" i="13"/>
  <c r="E77" i="11" a="1"/>
  <c r="I94" i="13"/>
  <c r="K77" i="11" a="1"/>
  <c r="J83" i="13"/>
  <c r="J84" i="13"/>
  <c r="J77" i="11" a="1"/>
  <c r="Q77" i="11" a="1"/>
  <c r="O77" i="11" a="1"/>
  <c r="P20" i="11" a="1"/>
  <c r="J86" i="13"/>
  <c r="K232" i="11" a="1"/>
  <c r="F127" i="17" a="1"/>
  <c r="F137" i="17" a="1"/>
  <c r="R127" i="17" a="1"/>
  <c r="R137" i="17" a="1"/>
  <c r="N127" i="17" a="1"/>
  <c r="N137" i="17" a="1"/>
  <c r="J127" i="17" a="1"/>
  <c r="J137" i="17" a="1"/>
  <c r="W29" i="17" a="1"/>
  <c r="W30" i="17" a="1"/>
  <c r="W28" i="17" a="1"/>
  <c r="N116" i="17" a="1"/>
  <c r="Q29" i="17" a="1"/>
  <c r="Q30" i="17" a="1"/>
  <c r="Q28" i="17" a="1"/>
  <c r="Q27" i="17" a="1"/>
  <c r="K29" i="17"/>
  <c r="V87" i="17" a="1"/>
  <c r="F87" i="17" a="1"/>
  <c r="F100" i="17" a="1"/>
  <c r="F90" i="17" a="1"/>
  <c r="R87" i="17" a="1"/>
  <c r="V100" i="17" a="1"/>
  <c r="N90" i="17" a="1"/>
  <c r="V90" i="17" a="1"/>
  <c r="J87" i="17" a="1"/>
  <c r="N87" i="17" a="1"/>
  <c r="R90" i="17" a="1"/>
  <c r="J90" i="17" a="1"/>
  <c r="J100" i="17" a="1"/>
  <c r="N100" i="17" a="1"/>
  <c r="R100" i="17" a="1"/>
  <c r="G20" i="17"/>
  <c r="L114" i="17" s="1" a="1"/>
  <c r="G22" i="17"/>
  <c r="T114" i="17" s="1" a="1"/>
  <c r="G23" i="17"/>
  <c r="P72" i="17" a="1"/>
  <c r="S38" i="17"/>
  <c r="G19" i="17"/>
  <c r="H114" i="17" s="1" a="1"/>
  <c r="F36" i="17"/>
  <c r="J13" i="17" a="1"/>
  <c r="AN51" i="17"/>
  <c r="AN50" i="17"/>
  <c r="J11" i="17"/>
  <c r="D68" i="17" a="1"/>
  <c r="J10" i="17"/>
  <c r="D67" i="17" a="1"/>
  <c r="F137" i="17" l="1"/>
  <c r="F127" i="17"/>
  <c r="F128" i="17"/>
  <c r="F129" i="17"/>
  <c r="R137" i="17"/>
  <c r="R127" i="17"/>
  <c r="R129" i="17"/>
  <c r="R128" i="17"/>
  <c r="N137" i="17"/>
  <c r="N127" i="17"/>
  <c r="N128" i="17"/>
  <c r="N129" i="17"/>
  <c r="J137" i="17"/>
  <c r="J127" i="17"/>
  <c r="J128" i="17"/>
  <c r="J129" i="17"/>
  <c r="H114" i="17"/>
  <c r="T114" i="17"/>
  <c r="L114" i="17"/>
  <c r="W28" i="17"/>
  <c r="W30" i="17"/>
  <c r="W29" i="17"/>
  <c r="W43" i="17"/>
  <c r="W45" i="17"/>
  <c r="J114" i="17"/>
  <c r="F114" i="17"/>
  <c r="R114" i="17"/>
  <c r="N114" i="17"/>
  <c r="J19" i="17"/>
  <c r="W44" i="17"/>
  <c r="N116" i="17"/>
  <c r="I44" i="17"/>
  <c r="J44" i="17" s="1"/>
  <c r="G44" i="17"/>
  <c r="U19" i="17"/>
  <c r="O40" i="17"/>
  <c r="Q28" i="17"/>
  <c r="Q30" i="17"/>
  <c r="Q29" i="17"/>
  <c r="Q27" i="17"/>
  <c r="J28" i="17"/>
  <c r="J27" i="17"/>
  <c r="J30" i="17"/>
  <c r="J10" i="18"/>
  <c r="I10" i="18" s="1"/>
  <c r="H10" i="18"/>
  <c r="U18" i="1"/>
  <c r="J7" i="18"/>
  <c r="I7" i="18" s="1"/>
  <c r="H7" i="18"/>
  <c r="J6" i="18"/>
  <c r="I6" i="18" s="1"/>
  <c r="H6" i="18"/>
  <c r="J8" i="18"/>
  <c r="I8" i="18" s="1"/>
  <c r="H8" i="18"/>
  <c r="J5" i="18"/>
  <c r="I5" i="18" s="1"/>
  <c r="H5" i="18"/>
  <c r="J9" i="18"/>
  <c r="I9" i="18" s="1"/>
  <c r="H9" i="18"/>
  <c r="O36" i="17"/>
  <c r="N100" i="17"/>
  <c r="AD57" i="1"/>
  <c r="AE57" i="1"/>
  <c r="AC57" i="1"/>
  <c r="AA7" i="1"/>
  <c r="N90" i="17"/>
  <c r="O39" i="17"/>
  <c r="R83" i="17" s="1"/>
  <c r="R84" i="17" s="1"/>
  <c r="J87" i="17"/>
  <c r="F100" i="17"/>
  <c r="R100" i="17"/>
  <c r="O118" i="11"/>
  <c r="O37" i="17"/>
  <c r="J83" i="17" s="1"/>
  <c r="J84" i="17" s="1"/>
  <c r="V83" i="17"/>
  <c r="V84" i="17" s="1"/>
  <c r="AD165" i="13"/>
  <c r="AD163" i="13"/>
  <c r="AD131" i="13"/>
  <c r="F90" i="17"/>
  <c r="J100" i="17"/>
  <c r="V90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90" i="17"/>
  <c r="J90" i="17"/>
  <c r="P72" i="17"/>
  <c r="V72" i="17"/>
  <c r="R72" i="17"/>
  <c r="N72" i="17"/>
  <c r="J72" i="17"/>
  <c r="F72" i="17"/>
  <c r="N87" i="17"/>
  <c r="D68" i="17"/>
  <c r="R87" i="17"/>
  <c r="V100" i="17"/>
  <c r="D67" i="17"/>
  <c r="V87" i="17"/>
  <c r="V179" i="13"/>
  <c r="G96" i="13"/>
  <c r="AD96" i="13" s="1"/>
  <c r="F87" i="17"/>
  <c r="N84" i="17"/>
  <c r="J237" i="11"/>
  <c r="J236" i="11"/>
  <c r="K233" i="11"/>
  <c r="K232" i="11"/>
  <c r="P17" i="1"/>
  <c r="Q38" i="17"/>
  <c r="P38" i="17"/>
  <c r="AI50" i="17"/>
  <c r="AI57" i="17"/>
  <c r="AI56" i="17"/>
  <c r="AI53" i="17"/>
  <c r="AI52" i="17"/>
  <c r="AI55" i="17"/>
  <c r="AI54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4" i="16"/>
  <c r="U115" i="11" a="1"/>
  <c r="E12" i="11" a="1"/>
  <c r="P28" i="1" a="1"/>
  <c r="J18" i="11" a="1"/>
  <c r="J75" i="16" a="1"/>
  <c r="W179" i="13" a="1"/>
  <c r="U114" i="11" a="1"/>
  <c r="U146" i="13" a="1"/>
  <c r="J107" i="13" a="1"/>
  <c r="I92" i="13"/>
  <c r="H236" i="13" a="1"/>
  <c r="W148" i="11" a="1"/>
  <c r="I93" i="13"/>
  <c r="U147" i="13" a="1"/>
  <c r="U152" i="13" a="1"/>
  <c r="I96" i="13"/>
  <c r="I7" i="11" a="1"/>
  <c r="R125" i="17" a="1"/>
  <c r="R138" i="17" a="1"/>
  <c r="N125" i="17" a="1"/>
  <c r="N138" i="17" a="1"/>
  <c r="J125" i="17" a="1"/>
  <c r="J138" i="17" a="1"/>
  <c r="AE43" i="17" a="1"/>
  <c r="N120" i="17" a="1"/>
  <c r="AE45" i="17" a="1"/>
  <c r="AE44" i="17" a="1"/>
  <c r="J116" i="17" a="1"/>
  <c r="N118" i="17" a="1"/>
  <c r="K44" i="17"/>
  <c r="F116" i="17" a="1"/>
  <c r="R116" i="17" a="1"/>
  <c r="S40" i="17"/>
  <c r="F74" i="17" a="1"/>
  <c r="K19" i="17"/>
  <c r="K28" i="17"/>
  <c r="K27" i="17"/>
  <c r="K30" i="17"/>
  <c r="S37" i="17"/>
  <c r="X72" i="17" a="1"/>
  <c r="P83" i="17" a="1"/>
  <c r="T84" i="17" a="1"/>
  <c r="T72" i="17" a="1"/>
  <c r="L72" i="17" a="1"/>
  <c r="S39" i="17"/>
  <c r="L84" i="17" a="1"/>
  <c r="X84" i="17" a="1"/>
  <c r="P84" i="17" a="1"/>
  <c r="S36" i="17"/>
  <c r="H72" i="17" a="1"/>
  <c r="J74" i="17" a="1"/>
  <c r="K21" i="17"/>
  <c r="AN53" i="17"/>
  <c r="L44" i="17" s="1"/>
  <c r="L37" i="17"/>
  <c r="N74" i="17" a="1"/>
  <c r="L36" i="17"/>
  <c r="R74" i="17" a="1"/>
  <c r="V74" i="17" a="1"/>
  <c r="K22" i="17"/>
  <c r="K23" i="17"/>
  <c r="K20" i="17"/>
  <c r="N122" i="17" a="1"/>
  <c r="N121" i="17" a="1"/>
  <c r="M44" i="17"/>
  <c r="N119" i="17" a="1"/>
  <c r="N44" i="17"/>
  <c r="R138" i="17" l="1"/>
  <c r="R125" i="17"/>
  <c r="N138" i="17"/>
  <c r="N125" i="17"/>
  <c r="J138" i="17"/>
  <c r="J125" i="17"/>
  <c r="N121" i="17"/>
  <c r="N122" i="17"/>
  <c r="AE44" i="17"/>
  <c r="AE45" i="17"/>
  <c r="N120" i="17"/>
  <c r="AE43" i="17"/>
  <c r="X44" i="17"/>
  <c r="X45" i="17"/>
  <c r="Q36" i="17"/>
  <c r="P36" i="17"/>
  <c r="X43" i="17"/>
  <c r="N119" i="17"/>
  <c r="R116" i="17"/>
  <c r="F116" i="17"/>
  <c r="N118" i="17"/>
  <c r="J116" i="17"/>
  <c r="I45" i="17"/>
  <c r="J45" i="17" s="1"/>
  <c r="G45" i="17"/>
  <c r="I42" i="17"/>
  <c r="J42" i="17" s="1"/>
  <c r="G42" i="17"/>
  <c r="I43" i="17"/>
  <c r="J43" i="17" s="1"/>
  <c r="G43" i="17"/>
  <c r="I40" i="17"/>
  <c r="J40" i="17" s="1"/>
  <c r="G40" i="17"/>
  <c r="Q40" i="17"/>
  <c r="P40" i="17"/>
  <c r="F74" i="17"/>
  <c r="F83" i="17"/>
  <c r="F84" i="17" s="1"/>
  <c r="H72" i="17"/>
  <c r="I13" i="18"/>
  <c r="P39" i="17"/>
  <c r="P28" i="1"/>
  <c r="T72" i="17"/>
  <c r="Q39" i="17"/>
  <c r="X72" i="17"/>
  <c r="Q37" i="17"/>
  <c r="L72" i="17"/>
  <c r="O162" i="13"/>
  <c r="O169" i="13" s="1"/>
  <c r="P37" i="17"/>
  <c r="X84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H252" i="11"/>
  <c r="W179" i="13"/>
  <c r="P83" i="17"/>
  <c r="P84" i="17"/>
  <c r="N74" i="17"/>
  <c r="L84" i="17"/>
  <c r="R74" i="17"/>
  <c r="J74" i="17"/>
  <c r="V74" i="17"/>
  <c r="T84" i="17"/>
  <c r="R38" i="17"/>
  <c r="T38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5" i="16"/>
  <c r="M76" i="16" s="1"/>
  <c r="D65" i="11" a="1"/>
  <c r="L179" i="13" a="1"/>
  <c r="P75" i="16" a="1"/>
  <c r="U118" i="11" a="1"/>
  <c r="L148" i="11" a="1"/>
  <c r="U162" i="13" a="1"/>
  <c r="E216" i="11" a="1"/>
  <c r="I98" i="13"/>
  <c r="P107" i="13" a="1"/>
  <c r="U150" i="13" a="1"/>
  <c r="D44" i="11" a="1"/>
  <c r="P18" i="11" a="1"/>
  <c r="Y43" i="17"/>
  <c r="Y44" i="17"/>
  <c r="Y45" i="17"/>
  <c r="U38" i="17" a="1"/>
  <c r="R126" i="17" a="1"/>
  <c r="N126" i="17" a="1"/>
  <c r="J126" i="17" a="1"/>
  <c r="Z43" i="17" a="1"/>
  <c r="AD43" i="17" a="1"/>
  <c r="R120" i="17" a="1"/>
  <c r="F120" i="17" a="1"/>
  <c r="F121" i="17" a="1"/>
  <c r="F122" i="17" a="1"/>
  <c r="Z44" i="17" a="1"/>
  <c r="AD44" i="17" a="1"/>
  <c r="J120" i="17" a="1"/>
  <c r="J121" i="17" a="1"/>
  <c r="J122" i="17" a="1"/>
  <c r="Z45" i="17" a="1"/>
  <c r="AD45" i="17" a="1"/>
  <c r="F118" i="17" a="1"/>
  <c r="M42" i="17"/>
  <c r="K42" i="17"/>
  <c r="R118" i="17" a="1"/>
  <c r="J118" i="17" a="1"/>
  <c r="M43" i="17"/>
  <c r="K43" i="17"/>
  <c r="K45" i="17"/>
  <c r="K40" i="17"/>
  <c r="AN52" i="17"/>
  <c r="L38" i="17" s="1"/>
  <c r="L83" i="17" a="1"/>
  <c r="X83" i="17" a="1"/>
  <c r="T83" i="17" a="1"/>
  <c r="N85" i="17" a="1"/>
  <c r="H84" i="17" a="1"/>
  <c r="H83" i="17" a="1"/>
  <c r="L39" i="17"/>
  <c r="AN54" i="17"/>
  <c r="N42" i="17"/>
  <c r="F119" i="17" a="1"/>
  <c r="N43" i="17"/>
  <c r="J119" i="17" a="1"/>
  <c r="L45" i="17"/>
  <c r="L40" i="17"/>
  <c r="M40" i="17" s="1"/>
  <c r="N40" i="17" s="1"/>
  <c r="U38" i="17" l="1"/>
  <c r="R36" i="17"/>
  <c r="V36" i="17" s="1"/>
  <c r="X36" i="17" s="1"/>
  <c r="R126" i="17"/>
  <c r="R146" i="17"/>
  <c r="R130" i="17"/>
  <c r="R132" i="17" s="1"/>
  <c r="N126" i="17"/>
  <c r="N146" i="17"/>
  <c r="N130" i="17"/>
  <c r="N132" i="17" s="1"/>
  <c r="J126" i="17"/>
  <c r="J146" i="17"/>
  <c r="J130" i="17"/>
  <c r="J132" i="17" s="1"/>
  <c r="AD45" i="17"/>
  <c r="Z45" i="17"/>
  <c r="R140" i="17" s="1"/>
  <c r="J122" i="17"/>
  <c r="J121" i="17"/>
  <c r="J120" i="17"/>
  <c r="AD44" i="17"/>
  <c r="Z44" i="17"/>
  <c r="F122" i="17"/>
  <c r="F121" i="17"/>
  <c r="F120" i="17"/>
  <c r="R120" i="17"/>
  <c r="AD43" i="17"/>
  <c r="Z43" i="17"/>
  <c r="R40" i="17"/>
  <c r="T40" i="17" s="1"/>
  <c r="J119" i="17"/>
  <c r="F119" i="17"/>
  <c r="J118" i="17"/>
  <c r="R118" i="17"/>
  <c r="F118" i="17"/>
  <c r="T36" i="17"/>
  <c r="T83" i="17"/>
  <c r="R39" i="17"/>
  <c r="T39" i="17" s="1"/>
  <c r="R37" i="17"/>
  <c r="L83" i="17"/>
  <c r="U162" i="13"/>
  <c r="H237" i="13" s="1"/>
  <c r="X83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83" i="17"/>
  <c r="N85" i="17"/>
  <c r="H84" i="17"/>
  <c r="W38" i="17"/>
  <c r="E216" i="11"/>
  <c r="V38" i="17"/>
  <c r="L148" i="11"/>
  <c r="O150" i="11" s="1"/>
  <c r="U118" i="11"/>
  <c r="P18" i="11"/>
  <c r="Q98" i="13"/>
  <c r="P107" i="13"/>
  <c r="L179" i="13"/>
  <c r="O181" i="13" s="1"/>
  <c r="U150" i="13"/>
  <c r="E232" i="13" s="1"/>
  <c r="P75" i="16"/>
  <c r="S98" i="13"/>
  <c r="I154" i="11" a="1"/>
  <c r="J76" i="16" a="1"/>
  <c r="U150" i="11" a="1"/>
  <c r="E238" i="11" a="1"/>
  <c r="D50" i="11" a="1"/>
  <c r="K37" i="11" a="1"/>
  <c r="U181" i="13" a="1"/>
  <c r="S28" i="11"/>
  <c r="E239" i="11" a="1"/>
  <c r="K58" i="11" a="1"/>
  <c r="Y36" i="17"/>
  <c r="U40" i="17" a="1"/>
  <c r="U39" i="17" a="1"/>
  <c r="U36" i="17" a="1"/>
  <c r="R133" i="17" a="1"/>
  <c r="R147" i="17" a="1"/>
  <c r="R141" i="17" a="1"/>
  <c r="N133" i="17" a="1"/>
  <c r="N147" i="17" a="1"/>
  <c r="N134" i="17" a="1"/>
  <c r="J147" i="17" a="1"/>
  <c r="J134" i="17" a="1"/>
  <c r="J133" i="17" a="1"/>
  <c r="AA45" i="17"/>
  <c r="AA43" i="17"/>
  <c r="AA44" i="17"/>
  <c r="F85" i="17" a="1"/>
  <c r="V85" i="17" a="1"/>
  <c r="V88" i="17" a="1"/>
  <c r="N88" i="17" a="1"/>
  <c r="N101" i="17" a="1"/>
  <c r="R85" i="17" a="1"/>
  <c r="AE38" i="17" a="1"/>
  <c r="V101" i="17" a="1"/>
  <c r="N86" i="17" a="1"/>
  <c r="R122" i="17" a="1"/>
  <c r="R121" i="17" a="1"/>
  <c r="M45" i="17"/>
  <c r="R134" i="17" s="1" a="1"/>
  <c r="N45" i="17"/>
  <c r="R119" i="17" a="1"/>
  <c r="U36" i="17" l="1"/>
  <c r="U39" i="17"/>
  <c r="U40" i="17"/>
  <c r="W36" i="17"/>
  <c r="W40" i="17"/>
  <c r="V40" i="17"/>
  <c r="X40" i="17" s="1"/>
  <c r="R141" i="17"/>
  <c r="R147" i="17"/>
  <c r="R133" i="17"/>
  <c r="N134" i="17"/>
  <c r="N147" i="17"/>
  <c r="N133" i="17"/>
  <c r="N140" i="17"/>
  <c r="J133" i="17"/>
  <c r="J134" i="17"/>
  <c r="J147" i="17"/>
  <c r="J140" i="17"/>
  <c r="R134" i="17"/>
  <c r="R121" i="17"/>
  <c r="R122" i="17"/>
  <c r="AB44" i="17"/>
  <c r="T37" i="17"/>
  <c r="V37" i="17"/>
  <c r="X37" i="17" s="1"/>
  <c r="AB43" i="17"/>
  <c r="R119" i="17"/>
  <c r="AB45" i="17"/>
  <c r="F85" i="17"/>
  <c r="R85" i="17"/>
  <c r="W39" i="17"/>
  <c r="V39" i="17"/>
  <c r="X39" i="17" s="1"/>
  <c r="V85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N86" i="17"/>
  <c r="N101" i="17"/>
  <c r="N88" i="17"/>
  <c r="AE38" i="17"/>
  <c r="V101" i="17"/>
  <c r="V88" i="17"/>
  <c r="E238" i="11"/>
  <c r="V160" i="11"/>
  <c r="X38" i="17"/>
  <c r="U150" i="11"/>
  <c r="U181" i="13"/>
  <c r="J76" i="16"/>
  <c r="J77" i="16"/>
  <c r="H219" i="11" a="1"/>
  <c r="P248" i="11" a="1"/>
  <c r="P198" i="13"/>
  <c r="AS30" i="11" a="1"/>
  <c r="U121" i="11" a="1"/>
  <c r="V161" i="11" a="1"/>
  <c r="X160" i="11"/>
  <c r="J26" i="11" a="1"/>
  <c r="P76" i="16" a="1"/>
  <c r="S100" i="13"/>
  <c r="E234" i="11" a="1"/>
  <c r="Y39" i="17"/>
  <c r="Y38" i="17"/>
  <c r="Y37" i="17"/>
  <c r="Y40" i="17"/>
  <c r="F101" i="17" a="1"/>
  <c r="F88" i="17" a="1"/>
  <c r="AE36" i="17" a="1"/>
  <c r="AE40" i="17" a="1"/>
  <c r="U37" i="17" a="1"/>
  <c r="Z40" i="17" a="1"/>
  <c r="AD40" i="17" a="1"/>
  <c r="N141" i="17" a="1"/>
  <c r="J141" i="17" a="1"/>
  <c r="J85" i="17" a="1"/>
  <c r="F86" i="17" a="1"/>
  <c r="R88" i="17" a="1"/>
  <c r="R101" i="17" a="1"/>
  <c r="AE39" i="17" a="1"/>
  <c r="N89" i="17" a="1"/>
  <c r="J86" i="17" a="1"/>
  <c r="V89" i="17" a="1"/>
  <c r="R86" i="17" a="1"/>
  <c r="J89" i="17" a="1"/>
  <c r="V86" i="17" a="1"/>
  <c r="R89" i="17" a="1"/>
  <c r="AD39" i="17" a="1"/>
  <c r="AD37" i="17" a="1"/>
  <c r="Z38" i="17" a="1"/>
  <c r="Z39" i="17" a="1"/>
  <c r="Z37" i="17" a="1"/>
  <c r="AD38" i="17" a="1"/>
  <c r="J79" i="16"/>
  <c r="J78" i="16" a="1"/>
  <c r="U37" i="17" l="1"/>
  <c r="AE40" i="17"/>
  <c r="AE36" i="17"/>
  <c r="F88" i="17"/>
  <c r="F101" i="17"/>
  <c r="W37" i="17"/>
  <c r="AD40" i="17"/>
  <c r="Z40" i="17"/>
  <c r="AB40" i="17" s="1"/>
  <c r="AC40" i="17" s="1"/>
  <c r="N141" i="17"/>
  <c r="J141" i="17"/>
  <c r="AC45" i="17"/>
  <c r="R136" i="17" s="1"/>
  <c r="AC44" i="17"/>
  <c r="N136" i="17" s="1"/>
  <c r="AC43" i="17"/>
  <c r="J136" i="17" s="1"/>
  <c r="J85" i="17"/>
  <c r="F86" i="17"/>
  <c r="R86" i="17"/>
  <c r="AE39" i="17"/>
  <c r="R88" i="17"/>
  <c r="R101" i="17"/>
  <c r="V86" i="17"/>
  <c r="J86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AD37" i="17"/>
  <c r="Z37" i="17"/>
  <c r="AD39" i="17"/>
  <c r="Z39" i="17"/>
  <c r="AD38" i="17"/>
  <c r="Z38" i="17"/>
  <c r="J109" i="17"/>
  <c r="V109" i="17"/>
  <c r="R109" i="17"/>
  <c r="N109" i="17"/>
  <c r="V89" i="17"/>
  <c r="R89" i="17"/>
  <c r="J89" i="17"/>
  <c r="N89" i="17"/>
  <c r="V161" i="11"/>
  <c r="F109" i="17"/>
  <c r="E234" i="11"/>
  <c r="P248" i="11"/>
  <c r="J26" i="11"/>
  <c r="E204" i="13"/>
  <c r="P76" i="16"/>
  <c r="J78" i="16"/>
  <c r="P249" i="11" a="1"/>
  <c r="P29" i="11" a="1"/>
  <c r="X161" i="11"/>
  <c r="J88" i="17" a="1"/>
  <c r="AE37" i="17" a="1"/>
  <c r="J101" i="17" a="1"/>
  <c r="AA40" i="17"/>
  <c r="AD36" i="17" a="1"/>
  <c r="F89" i="17" a="1"/>
  <c r="P78" i="16" a="1"/>
  <c r="J101" i="17" l="1"/>
  <c r="AE37" i="17"/>
  <c r="J88" i="17"/>
  <c r="F89" i="17"/>
  <c r="AD36" i="17"/>
  <c r="AE77" i="11" a="1"/>
  <c r="AE77" i="11" s="1"/>
  <c r="N81" i="11" s="1"/>
  <c r="AE78" i="11" a="1"/>
  <c r="AE78" i="11" s="1"/>
  <c r="N83" i="11" s="1"/>
  <c r="AD77" i="11" a="1"/>
  <c r="AD77" i="11" s="1"/>
  <c r="K81" i="11" s="1"/>
  <c r="P249" i="11"/>
  <c r="P29" i="11"/>
  <c r="H253" i="11"/>
  <c r="P78" i="16"/>
  <c r="I166" i="11" a="1"/>
  <c r="F110" i="17" a="1"/>
  <c r="F110" i="17" l="1"/>
  <c r="AD79" i="11"/>
  <c r="AD80" i="11" s="1"/>
  <c r="D81" i="11" s="1"/>
  <c r="I166" i="11"/>
  <c r="L177" i="11"/>
  <c r="L176" i="11"/>
  <c r="D84" i="11" a="1"/>
  <c r="E246" i="11" a="1"/>
  <c r="H255" i="11" a="1"/>
  <c r="T176" i="11" a="1"/>
  <c r="P79" i="16" a="1"/>
  <c r="D84" i="11" l="1"/>
  <c r="T58" i="11"/>
  <c r="E246" i="11"/>
  <c r="H255" i="11"/>
  <c r="T176" i="11"/>
  <c r="P79" i="16"/>
  <c r="J80" i="16"/>
  <c r="J81" i="16"/>
  <c r="E196" i="16" s="1"/>
  <c r="M82" i="16"/>
  <c r="E240" i="11" a="1"/>
  <c r="S84" i="16" a="1"/>
  <c r="J82" i="16" a="1"/>
  <c r="P261" i="11"/>
  <c r="E240" i="11" l="1"/>
  <c r="O129" i="11"/>
  <c r="AD133" i="11" s="1"/>
  <c r="J82" i="16"/>
  <c r="S84" i="16"/>
  <c r="AE133" i="11" a="1"/>
  <c r="H221" i="11" a="1"/>
  <c r="P85" i="16" a="1"/>
  <c r="H221" i="11" l="1"/>
  <c r="AE133" i="11"/>
  <c r="AD134" i="11" s="1"/>
  <c r="O131" i="11" s="1"/>
  <c r="P85" i="16"/>
  <c r="S88" i="16" a="1"/>
  <c r="U131" i="11" a="1"/>
  <c r="J86" i="16" a="1"/>
  <c r="H222" i="11" a="1"/>
  <c r="H222" i="11" l="1"/>
  <c r="U131" i="11"/>
  <c r="O138" i="11"/>
  <c r="J86" i="16"/>
  <c r="S88" i="16"/>
  <c r="P89" i="16" a="1"/>
  <c r="P89" i="16" l="1"/>
  <c r="J229" i="16" a="1"/>
  <c r="J229" i="16" l="1"/>
  <c r="O115" i="16"/>
  <c r="M112" i="16" s="1"/>
  <c r="O116" i="16"/>
  <c r="AD116" i="16" s="1"/>
  <c r="AD117" i="16"/>
  <c r="AD118" i="16" s="1"/>
  <c r="O117" i="16" s="1"/>
  <c r="H230" i="16" a="1"/>
  <c r="U115" i="16" a="1"/>
  <c r="U116" i="16" a="1"/>
  <c r="U117" i="16" a="1"/>
  <c r="H200" i="16" a="1"/>
  <c r="H230" i="16" l="1"/>
  <c r="H200" i="16"/>
  <c r="U115" i="16"/>
  <c r="U116" i="16"/>
  <c r="O119" i="16"/>
  <c r="U117" i="16"/>
  <c r="O121" i="16"/>
  <c r="O125" i="16"/>
  <c r="O126" i="16"/>
  <c r="O129" i="16"/>
  <c r="O130" i="16"/>
  <c r="AD130" i="16"/>
  <c r="AD132" i="16" a="1"/>
  <c r="H203" i="16" a="1"/>
  <c r="U121" i="16" a="1"/>
  <c r="U119" i="16" a="1"/>
  <c r="E199" i="16" a="1"/>
  <c r="AD132" i="16" l="1"/>
  <c r="AD127" i="16"/>
  <c r="H203" i="16"/>
  <c r="E199" i="16"/>
  <c r="U121" i="16"/>
  <c r="U119" i="16"/>
  <c r="AD131" i="16"/>
  <c r="O131" i="16" l="1"/>
  <c r="H204" i="16" a="1"/>
  <c r="U131" i="16" a="1"/>
  <c r="H204" i="16" l="1"/>
  <c r="U131" i="16"/>
  <c r="O138" i="16"/>
  <c r="J147" i="16"/>
  <c r="L147" i="16"/>
  <c r="L148" i="16" a="1"/>
  <c r="L148" i="16" l="1"/>
  <c r="O148" i="16" a="1"/>
  <c r="R148" i="16" a="1"/>
  <c r="R148" i="16" l="1"/>
  <c r="O148" i="16"/>
  <c r="I172" i="16"/>
  <c r="O150" i="16" l="1"/>
  <c r="J142" i="16" s="1"/>
  <c r="V148" i="16"/>
  <c r="R175" i="16"/>
  <c r="W148" i="16" a="1"/>
  <c r="U150" i="16" a="1"/>
  <c r="U150" i="16" l="1"/>
  <c r="W148" i="16"/>
  <c r="C40" i="16"/>
  <c r="F19" i="16"/>
  <c r="E35" i="16" s="1"/>
  <c r="E216" i="16" s="1"/>
  <c r="F5" i="15"/>
  <c r="F4" i="15"/>
  <c r="F21" i="16"/>
  <c r="G165" i="1" a="1"/>
  <c r="G166" i="1" a="1"/>
  <c r="F17" i="16"/>
  <c r="AD12" i="16" a="1"/>
  <c r="F9" i="16"/>
  <c r="AD14" i="16" a="1"/>
  <c r="F27" i="26" l="1"/>
  <c r="P34" i="26"/>
  <c r="P33" i="26"/>
  <c r="P81" i="26"/>
  <c r="P80" i="26"/>
  <c r="E86" i="26" s="1"/>
  <c r="U175" i="25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F91" i="17"/>
  <c r="P252" i="11"/>
  <c r="L252" i="11"/>
  <c r="P251" i="11"/>
  <c r="L251" i="11"/>
  <c r="L253" i="11"/>
  <c r="P253" i="11"/>
  <c r="AD54" i="16"/>
  <c r="AD53" i="16"/>
  <c r="E215" i="16"/>
  <c r="N92" i="17"/>
  <c r="R92" i="17"/>
  <c r="S92" i="17"/>
  <c r="G91" i="17"/>
  <c r="R91" i="17"/>
  <c r="N91" i="17"/>
  <c r="K91" i="17"/>
  <c r="S91" i="17"/>
  <c r="G92" i="17"/>
  <c r="W92" i="17"/>
  <c r="W91" i="17"/>
  <c r="V91" i="17"/>
  <c r="V92" i="17"/>
  <c r="K92" i="17"/>
  <c r="O91" i="17"/>
  <c r="F92" i="17"/>
  <c r="J91" i="17"/>
  <c r="O92" i="17"/>
  <c r="J92" i="17"/>
  <c r="R93" i="17"/>
  <c r="V93" i="17"/>
  <c r="F93" i="17"/>
  <c r="J93" i="17"/>
  <c r="N93" i="17"/>
  <c r="AD201" i="11"/>
  <c r="AD202" i="11" s="1"/>
  <c r="G36" i="17"/>
  <c r="I36" i="17"/>
  <c r="J36" i="17" s="1"/>
  <c r="G37" i="17"/>
  <c r="I38" i="17"/>
  <c r="J38" i="17" s="1"/>
  <c r="U167" i="11"/>
  <c r="G39" i="17"/>
  <c r="I37" i="17"/>
  <c r="J37" i="17" s="1"/>
  <c r="I39" i="17"/>
  <c r="J39" i="17" s="1"/>
  <c r="G38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9" i="16"/>
  <c r="AD121" i="16" s="1"/>
  <c r="O122" i="16" s="1"/>
  <c r="AD125" i="16"/>
  <c r="AD126" i="16" s="1"/>
  <c r="AD128" i="16" s="1"/>
  <c r="O127" i="16" s="1"/>
  <c r="E34" i="16"/>
  <c r="AD12" i="16"/>
  <c r="F11" i="16" s="1"/>
  <c r="F28" i="16" s="1"/>
  <c r="F26" i="16" s="1"/>
  <c r="AD14" i="16"/>
  <c r="F13" i="16" s="1"/>
  <c r="E44" i="16" s="1"/>
  <c r="G165" i="1"/>
  <c r="G166" i="1"/>
  <c r="D181" i="1"/>
  <c r="O21" i="16"/>
  <c r="U158" i="13" a="1"/>
  <c r="H218" i="11" a="1"/>
  <c r="I25" i="13" a="1"/>
  <c r="K58" i="21"/>
  <c r="G58" i="21"/>
  <c r="U153" i="13" a="1"/>
  <c r="U127" i="11" a="1"/>
  <c r="F78" i="17" a="1"/>
  <c r="F79" i="17" a="1"/>
  <c r="M36" i="17"/>
  <c r="F76" i="17" a="1"/>
  <c r="V76" i="17" a="1"/>
  <c r="N76" i="17" a="1"/>
  <c r="R76" i="17" a="1"/>
  <c r="J76" i="17" a="1"/>
  <c r="F80" i="17" a="1"/>
  <c r="U122" i="16" a="1"/>
  <c r="H202" i="16" a="1"/>
  <c r="H201" i="16" a="1"/>
  <c r="U127" i="16" a="1"/>
  <c r="O17" i="16" a="1"/>
  <c r="O11" i="16" a="1"/>
  <c r="O9" i="16"/>
  <c r="O13" i="16" a="1"/>
  <c r="F79" i="17" l="1"/>
  <c r="F78" i="17"/>
  <c r="E39" i="26"/>
  <c r="L38" i="26"/>
  <c r="F64" i="21"/>
  <c r="AC58" i="21"/>
  <c r="F57" i="21" s="1"/>
  <c r="J63" i="21"/>
  <c r="F68" i="21" s="1"/>
  <c r="J64" i="21"/>
  <c r="AC59" i="21"/>
  <c r="J57" i="21" s="1"/>
  <c r="J60" i="21" s="1"/>
  <c r="I25" i="13"/>
  <c r="H254" i="11"/>
  <c r="AC254" i="11" s="1"/>
  <c r="AD254" i="11" s="1"/>
  <c r="H250" i="13"/>
  <c r="E38" i="13"/>
  <c r="L38" i="13" s="1"/>
  <c r="E68" i="13"/>
  <c r="H251" i="13"/>
  <c r="E39" i="13"/>
  <c r="AD55" i="16"/>
  <c r="O13" i="16"/>
  <c r="E213" i="16" s="1"/>
  <c r="O11" i="16"/>
  <c r="E212" i="16" s="1"/>
  <c r="E70" i="16"/>
  <c r="E214" i="16"/>
  <c r="F220" i="16"/>
  <c r="R76" i="17"/>
  <c r="F76" i="17"/>
  <c r="V76" i="17"/>
  <c r="J76" i="17"/>
  <c r="N76" i="17"/>
  <c r="F95" i="17"/>
  <c r="N95" i="17"/>
  <c r="R95" i="17"/>
  <c r="V95" i="17"/>
  <c r="J95" i="17"/>
  <c r="H218" i="11"/>
  <c r="H242" i="11"/>
  <c r="H241" i="11"/>
  <c r="J242" i="11"/>
  <c r="J241" i="11"/>
  <c r="F80" i="17"/>
  <c r="H202" i="16"/>
  <c r="H201" i="16"/>
  <c r="U127" i="11"/>
  <c r="AF121" i="11"/>
  <c r="O122" i="11" s="1"/>
  <c r="U127" i="16"/>
  <c r="U122" i="16"/>
  <c r="U158" i="13"/>
  <c r="H234" i="13" s="1"/>
  <c r="U153" i="13"/>
  <c r="H235" i="13" s="1"/>
  <c r="O140" i="16"/>
  <c r="J114" i="16" s="1"/>
  <c r="S112" i="16"/>
  <c r="O134" i="16"/>
  <c r="O136" i="16"/>
  <c r="S143" i="13"/>
  <c r="O171" i="13"/>
  <c r="O165" i="13"/>
  <c r="O167" i="13"/>
  <c r="K34" i="16"/>
  <c r="P39" i="16" s="1"/>
  <c r="M219" i="16" s="1"/>
  <c r="O17" i="16"/>
  <c r="F240" i="13" a="1"/>
  <c r="K57" i="21"/>
  <c r="G57" i="21"/>
  <c r="V143" i="13" a="1"/>
  <c r="F239" i="13" a="1"/>
  <c r="F224" i="11" a="1"/>
  <c r="H68" i="13" a="1"/>
  <c r="U171" i="13" a="1"/>
  <c r="U122" i="11" a="1"/>
  <c r="H220" i="11" a="1"/>
  <c r="F241" i="13" a="1"/>
  <c r="V80" i="17" a="1"/>
  <c r="V78" i="17" a="1"/>
  <c r="K36" i="17"/>
  <c r="N78" i="17" a="1"/>
  <c r="K38" i="17"/>
  <c r="V79" i="17" a="1"/>
  <c r="R80" i="17" a="1"/>
  <c r="M39" i="17"/>
  <c r="J79" i="17" a="1"/>
  <c r="M37" i="17"/>
  <c r="N80" i="17" a="1"/>
  <c r="R79" i="17" a="1"/>
  <c r="M38" i="17"/>
  <c r="K37" i="17"/>
  <c r="N79" i="17" a="1"/>
  <c r="J78" i="17" a="1"/>
  <c r="K39" i="17"/>
  <c r="J80" i="17" a="1"/>
  <c r="R78" i="17" a="1"/>
  <c r="N96" i="17" a="1"/>
  <c r="J96" i="17" a="1"/>
  <c r="R96" i="17" a="1"/>
  <c r="V96" i="17" a="1"/>
  <c r="F96" i="17" a="1"/>
  <c r="F208" i="16" a="1"/>
  <c r="U140" i="16" a="1"/>
  <c r="F206" i="16" a="1"/>
  <c r="V112" i="16" a="1"/>
  <c r="F207" i="16" a="1"/>
  <c r="I26" i="16" a="1"/>
  <c r="AD60" i="16" a="1"/>
  <c r="P44" i="16"/>
  <c r="K44" i="16"/>
  <c r="AD57" i="26" l="1"/>
  <c r="AD58" i="26" s="1"/>
  <c r="X38" i="26"/>
  <c r="F240" i="13"/>
  <c r="F69" i="21"/>
  <c r="F59" i="21"/>
  <c r="F60" i="21"/>
  <c r="H68" i="13"/>
  <c r="AD57" i="13"/>
  <c r="AD58" i="13" s="1"/>
  <c r="H252" i="13"/>
  <c r="X38" i="13"/>
  <c r="H276" i="13"/>
  <c r="H275" i="13"/>
  <c r="J59" i="21"/>
  <c r="F239" i="13"/>
  <c r="F241" i="13"/>
  <c r="F224" i="11"/>
  <c r="O134" i="11"/>
  <c r="O136" i="11"/>
  <c r="O140" i="11"/>
  <c r="H54" i="16"/>
  <c r="AD60" i="16"/>
  <c r="AD57" i="16"/>
  <c r="I26" i="16"/>
  <c r="H217" i="16" s="1"/>
  <c r="H245" i="11"/>
  <c r="J96" i="17"/>
  <c r="F96" i="17"/>
  <c r="V96" i="17"/>
  <c r="R96" i="17"/>
  <c r="N96" i="17"/>
  <c r="E39" i="16"/>
  <c r="R80" i="17"/>
  <c r="R78" i="17"/>
  <c r="J80" i="17"/>
  <c r="F208" i="16"/>
  <c r="V78" i="17"/>
  <c r="J78" i="17"/>
  <c r="V79" i="17"/>
  <c r="N80" i="17"/>
  <c r="N78" i="17"/>
  <c r="J79" i="17"/>
  <c r="V80" i="17"/>
  <c r="R79" i="17"/>
  <c r="N79" i="17"/>
  <c r="F206" i="16"/>
  <c r="F207" i="16"/>
  <c r="P34" i="16"/>
  <c r="H220" i="11"/>
  <c r="U122" i="11"/>
  <c r="S111" i="11"/>
  <c r="V112" i="16"/>
  <c r="U140" i="16"/>
  <c r="U171" i="13"/>
  <c r="V143" i="13"/>
  <c r="F143" i="13"/>
  <c r="J145" i="13"/>
  <c r="F112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F61" i="21"/>
  <c r="I156" i="11" a="1"/>
  <c r="AD25" i="10" a="1"/>
  <c r="G59" i="21"/>
  <c r="AE41" i="10" a="1"/>
  <c r="AD23" i="10" a="1"/>
  <c r="F226" i="11" a="1"/>
  <c r="AD11" i="10" a="1"/>
  <c r="AD8" i="10" a="1"/>
  <c r="V111" i="11" a="1"/>
  <c r="K59" i="21"/>
  <c r="N99" i="10" a="1"/>
  <c r="AD51" i="10" a="1"/>
  <c r="H135" i="10" a="1"/>
  <c r="N33" i="10" a="1"/>
  <c r="AD29" i="10" a="1"/>
  <c r="U140" i="11" a="1"/>
  <c r="AE40" i="10" a="1"/>
  <c r="AD49" i="10" a="1"/>
  <c r="J61" i="21"/>
  <c r="J17" i="10" a="1"/>
  <c r="H269" i="13" a="1"/>
  <c r="U68" i="10" a="1"/>
  <c r="F225" i="11" a="1"/>
  <c r="E238" i="13" a="1"/>
  <c r="R99" i="10" a="1"/>
  <c r="J16" i="10" a="1"/>
  <c r="N39" i="17"/>
  <c r="J77" i="17" a="1"/>
  <c r="N37" i="17"/>
  <c r="N36" i="17"/>
  <c r="N77" i="17" a="1"/>
  <c r="R77" i="17" a="1"/>
  <c r="V77" i="17" a="1"/>
  <c r="F77" i="17" a="1"/>
  <c r="N38" i="17"/>
  <c r="F97" i="17" a="1"/>
  <c r="E205" i="16" a="1"/>
  <c r="H70" i="16" a="1"/>
  <c r="E228" i="16" a="1"/>
  <c r="V57" i="26" l="1"/>
  <c r="V55" i="26"/>
  <c r="V53" i="26"/>
  <c r="E69" i="26" s="1"/>
  <c r="V61" i="26"/>
  <c r="V59" i="26"/>
  <c r="H60" i="2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97" i="17"/>
  <c r="H70" i="16"/>
  <c r="T160" i="16"/>
  <c r="H269" i="13"/>
  <c r="Q186" i="13"/>
  <c r="E228" i="16"/>
  <c r="F77" i="17"/>
  <c r="L39" i="16"/>
  <c r="H218" i="16"/>
  <c r="AB39" i="17"/>
  <c r="AC39" i="17" s="1"/>
  <c r="R99" i="17" s="1"/>
  <c r="F103" i="17"/>
  <c r="V103" i="17"/>
  <c r="V77" i="17"/>
  <c r="J103" i="17"/>
  <c r="F225" i="11"/>
  <c r="F226" i="11"/>
  <c r="R77" i="17"/>
  <c r="J77" i="17"/>
  <c r="N77" i="17"/>
  <c r="I156" i="11"/>
  <c r="H135" i="10"/>
  <c r="E205" i="16"/>
  <c r="Q155" i="16"/>
  <c r="V111" i="11"/>
  <c r="U140" i="11"/>
  <c r="AB37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AD66" i="1"/>
  <c r="AD45" i="1"/>
  <c r="E144" i="10" a="1"/>
  <c r="I111" i="11"/>
  <c r="X61" i="13"/>
  <c r="AD71" i="1" a="1"/>
  <c r="U41" i="10" a="1"/>
  <c r="K147" i="10" a="1"/>
  <c r="P24" i="10" a="1"/>
  <c r="Q28" i="10" a="1"/>
  <c r="Q33" i="10" a="1"/>
  <c r="U52" i="10" a="1"/>
  <c r="AE86" i="10" a="1"/>
  <c r="U74" i="10" a="1"/>
  <c r="U43" i="10" a="1"/>
  <c r="P22" i="10" a="1"/>
  <c r="K146" i="10" a="1"/>
  <c r="S25" i="1" a="1"/>
  <c r="U67" i="10" a="1"/>
  <c r="S28" i="1" a="1"/>
  <c r="P16" i="10" a="1"/>
  <c r="E145" i="10" a="1"/>
  <c r="R120" i="1" a="1"/>
  <c r="O120" i="1" a="1"/>
  <c r="AD73" i="1" a="1"/>
  <c r="E223" i="11" a="1"/>
  <c r="X59" i="13"/>
  <c r="P52" i="10" a="1"/>
  <c r="H69" i="26" a="1"/>
  <c r="X61" i="26"/>
  <c r="X59" i="26"/>
  <c r="V97" i="17" a="1"/>
  <c r="R110" i="17" a="1"/>
  <c r="AA39" i="17"/>
  <c r="R97" i="17" a="1"/>
  <c r="N110" i="17" a="1"/>
  <c r="J97" i="17" a="1"/>
  <c r="AA36" i="17"/>
  <c r="J110" i="17" a="1"/>
  <c r="N97" i="17" a="1"/>
  <c r="AA37" i="17"/>
  <c r="AA38" i="17"/>
  <c r="V104" i="17" a="1"/>
  <c r="V110" i="17" a="1"/>
  <c r="F104" i="17" a="1"/>
  <c r="J104" i="17" a="1"/>
  <c r="H233" i="16" a="1"/>
  <c r="AE43" i="1" a="1"/>
  <c r="AE42" i="1" a="1"/>
  <c r="AD35" i="1" a="1"/>
  <c r="AD33" i="1" a="1"/>
  <c r="AC36" i="17" l="1"/>
  <c r="F99" i="17" s="1"/>
  <c r="H69" i="26"/>
  <c r="E70" i="26"/>
  <c r="E67" i="26"/>
  <c r="E76" i="26"/>
  <c r="J65" i="21"/>
  <c r="F70" i="21" s="1"/>
  <c r="J66" i="21"/>
  <c r="F66" i="21"/>
  <c r="H257" i="13"/>
  <c r="H258" i="13"/>
  <c r="E67" i="13"/>
  <c r="I185" i="13"/>
  <c r="X39" i="16"/>
  <c r="H219" i="16" s="1"/>
  <c r="AD58" i="16"/>
  <c r="AD59" i="16" s="1"/>
  <c r="V60" i="16" s="1"/>
  <c r="V104" i="17"/>
  <c r="J104" i="17"/>
  <c r="F104" i="17"/>
  <c r="R97" i="17"/>
  <c r="N97" i="17"/>
  <c r="V97" i="17"/>
  <c r="R103" i="17"/>
  <c r="N103" i="17"/>
  <c r="AB38" i="17"/>
  <c r="R110" i="17"/>
  <c r="J97" i="17"/>
  <c r="V110" i="17"/>
  <c r="J110" i="17"/>
  <c r="N110" i="17"/>
  <c r="AC37" i="17"/>
  <c r="J99" i="17" s="1"/>
  <c r="E223" i="11"/>
  <c r="K147" i="10"/>
  <c r="K146" i="10"/>
  <c r="E145" i="10"/>
  <c r="E144" i="10"/>
  <c r="H233" i="16"/>
  <c r="I154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35" i="1"/>
  <c r="G34" i="1" s="1"/>
  <c r="AD33" i="1"/>
  <c r="G32" i="1" s="1"/>
  <c r="H70" i="26" a="1"/>
  <c r="E149" i="10" a="1"/>
  <c r="L99" i="10" a="1"/>
  <c r="I187" i="13" a="1"/>
  <c r="E270" i="13"/>
  <c r="S63" i="1" a="1"/>
  <c r="G7" i="10" a="1"/>
  <c r="S65" i="1" a="1"/>
  <c r="S72" i="1" a="1"/>
  <c r="J27" i="10" a="1"/>
  <c r="I168" i="11" a="1"/>
  <c r="I160" i="11" a="1"/>
  <c r="M65" i="13"/>
  <c r="N72" i="1" a="1"/>
  <c r="E152" i="10" a="1"/>
  <c r="W99" i="10" a="1"/>
  <c r="U84" i="10" a="1"/>
  <c r="E12" i="10" a="1"/>
  <c r="H67" i="13" a="1"/>
  <c r="M65" i="26"/>
  <c r="H67" i="26" a="1"/>
  <c r="H76" i="26" a="1"/>
  <c r="R104" i="17" a="1"/>
  <c r="N104" i="17" a="1"/>
  <c r="E234" i="16"/>
  <c r="I156" i="16" a="1"/>
  <c r="J208" i="1" a="1"/>
  <c r="S42" i="1" a="1"/>
  <c r="N51" i="1" a="1"/>
  <c r="S44" i="1" a="1"/>
  <c r="S51" i="1" a="1"/>
  <c r="H209" i="1" a="1"/>
  <c r="P34" i="1" a="1"/>
  <c r="E203" i="1" a="1"/>
  <c r="E202" i="1" a="1"/>
  <c r="P32" i="1" a="1"/>
  <c r="H76" i="26" l="1"/>
  <c r="H67" i="26"/>
  <c r="H70" i="26"/>
  <c r="E85" i="26"/>
  <c r="L85" i="26" s="1"/>
  <c r="F71" i="2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 s="1"/>
  <c r="V58" i="16"/>
  <c r="I168" i="11"/>
  <c r="N104" i="17"/>
  <c r="R104" i="17"/>
  <c r="V99" i="17"/>
  <c r="AC38" i="17"/>
  <c r="N99" i="17" s="1"/>
  <c r="E152" i="10"/>
  <c r="E149" i="10"/>
  <c r="H209" i="1"/>
  <c r="J208" i="1"/>
  <c r="I156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J16" i="1" a="1"/>
  <c r="T177" i="11" a="1"/>
  <c r="X76" i="13"/>
  <c r="X77" i="13"/>
  <c r="X78" i="13"/>
  <c r="F45" i="10" a="1"/>
  <c r="X75" i="13"/>
  <c r="F78" i="21"/>
  <c r="F52" i="10" a="1"/>
  <c r="W120" i="1" a="1"/>
  <c r="X74" i="13"/>
  <c r="E247" i="11" a="1"/>
  <c r="E261" i="11" a="1"/>
  <c r="J230" i="16" a="1"/>
  <c r="X62" i="16"/>
  <c r="E245" i="16"/>
  <c r="X60" i="16"/>
  <c r="AD104" i="26" l="1"/>
  <c r="AD105" i="26" s="1"/>
  <c r="X85" i="26"/>
  <c r="E68" i="16"/>
  <c r="H221" i="16"/>
  <c r="O83" i="21"/>
  <c r="AC84" i="13"/>
  <c r="AC83" i="13"/>
  <c r="AC86" i="13"/>
  <c r="H224" i="16"/>
  <c r="E69" i="16"/>
  <c r="I95" i="16" s="1"/>
  <c r="AC87" i="13"/>
  <c r="AC85" i="13"/>
  <c r="H104" i="10"/>
  <c r="AD117" i="10" s="1"/>
  <c r="T105" i="10"/>
  <c r="J230" i="16"/>
  <c r="H222" i="1"/>
  <c r="T177" i="11"/>
  <c r="E261" i="11"/>
  <c r="AD146" i="1"/>
  <c r="M183" i="11"/>
  <c r="H225" i="16"/>
  <c r="H222" i="16"/>
  <c r="H223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H106" i="10" a="1"/>
  <c r="G86" i="13"/>
  <c r="O84" i="21"/>
  <c r="G83" i="13"/>
  <c r="P16" i="1" a="1"/>
  <c r="G85" i="13"/>
  <c r="G84" i="13"/>
  <c r="E148" i="10" a="1"/>
  <c r="G87" i="13"/>
  <c r="I154" i="10" a="1"/>
  <c r="M66" i="16"/>
  <c r="H69" i="16" a="1"/>
  <c r="H68" i="16" a="1"/>
  <c r="J21" i="1"/>
  <c r="V106" i="26" l="1"/>
  <c r="V100" i="26"/>
  <c r="V104" i="26"/>
  <c r="V108" i="26"/>
  <c r="V102" i="26"/>
  <c r="H68" i="16"/>
  <c r="I102" i="16"/>
  <c r="AD106" i="16" s="1"/>
  <c r="D102" i="16" s="1"/>
  <c r="AD99" i="16"/>
  <c r="AD100" i="16" s="1"/>
  <c r="D95" i="16" s="1"/>
  <c r="I191" i="16"/>
  <c r="H69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P16" i="1"/>
  <c r="AD89" i="1"/>
  <c r="AD90" i="1" s="1"/>
  <c r="O89" i="1" s="1"/>
  <c r="AD10" i="1"/>
  <c r="AD9" i="1"/>
  <c r="AD11" i="1" a="1"/>
  <c r="P17" i="10" a="1"/>
  <c r="I56" i="10" a="1"/>
  <c r="X106" i="26"/>
  <c r="X108" i="26"/>
  <c r="D98" i="16" a="1"/>
  <c r="D104" i="16" a="1"/>
  <c r="J20" i="1" a="1"/>
  <c r="U89" i="1" a="1"/>
  <c r="H190" i="1"/>
  <c r="AD8" i="1" a="1"/>
  <c r="E75" i="26" l="1"/>
  <c r="E77" i="26"/>
  <c r="D98" i="16"/>
  <c r="D104" i="16"/>
  <c r="F91" i="16"/>
  <c r="Q187" i="13"/>
  <c r="T192" i="13" s="1"/>
  <c r="AD185" i="11"/>
  <c r="S183" i="11" s="1"/>
  <c r="AG201" i="11" s="1"/>
  <c r="N55" i="10"/>
  <c r="I56" i="10"/>
  <c r="F54" i="10"/>
  <c r="P17" i="10"/>
  <c r="O66" i="10"/>
  <c r="O70" i="10" s="1"/>
  <c r="U89" i="1"/>
  <c r="J20" i="1"/>
  <c r="AD11" i="1"/>
  <c r="AD8" i="1"/>
  <c r="H77" i="26" a="1"/>
  <c r="E134" i="10" a="1"/>
  <c r="U183" i="11" a="1"/>
  <c r="U66" i="10" a="1"/>
  <c r="E150" i="10" a="1"/>
  <c r="H75" i="26" a="1"/>
  <c r="M73" i="26"/>
  <c r="E231" i="16" a="1"/>
  <c r="K91" i="16" a="1"/>
  <c r="E185" i="1" a="1"/>
  <c r="P20" i="1" a="1"/>
  <c r="H75" i="26" l="1"/>
  <c r="H77" i="26"/>
  <c r="K91" i="16"/>
  <c r="E231" i="16"/>
  <c r="H239" i="16"/>
  <c r="H240" i="16"/>
  <c r="Q156" i="16"/>
  <c r="T161" i="16"/>
  <c r="AC191" i="13"/>
  <c r="T190" i="13"/>
  <c r="AC192" i="13"/>
  <c r="V192" i="13" s="1"/>
  <c r="H279" i="13" s="1"/>
  <c r="R70" i="10"/>
  <c r="AD78" i="10"/>
  <c r="AD194" i="11"/>
  <c r="AD196" i="11" s="1"/>
  <c r="AD186" i="11"/>
  <c r="AD187" i="11" s="1"/>
  <c r="S184" i="11" s="1"/>
  <c r="U183" i="11"/>
  <c r="E150" i="10"/>
  <c r="AD60" i="10"/>
  <c r="E134" i="10"/>
  <c r="E185" i="1"/>
  <c r="U66" i="10"/>
  <c r="J98" i="10"/>
  <c r="O101" i="10" s="1"/>
  <c r="E11" i="1"/>
  <c r="P20" i="1"/>
  <c r="O98" i="1"/>
  <c r="O97" i="1"/>
  <c r="O102" i="1"/>
  <c r="AD103" i="1" s="1"/>
  <c r="J22" i="1"/>
  <c r="U184" i="11" a="1"/>
  <c r="U70" i="10" a="1"/>
  <c r="U101" i="10" a="1"/>
  <c r="AD104" i="1" a="1"/>
  <c r="M196" i="13" a="1"/>
  <c r="E12" i="1" a="1"/>
  <c r="I7" i="1" a="1"/>
  <c r="T159" i="16" l="1"/>
  <c r="AC161" i="16"/>
  <c r="V161" i="16" s="1"/>
  <c r="H243" i="16" s="1"/>
  <c r="AC160" i="16"/>
  <c r="AF57" i="1"/>
  <c r="AG57" i="1" s="1"/>
  <c r="AH57" i="1" s="1"/>
  <c r="M196" i="13"/>
  <c r="V190" i="13"/>
  <c r="V191" i="13"/>
  <c r="H278" i="13" s="1"/>
  <c r="M197" i="13"/>
  <c r="AD104" i="1"/>
  <c r="U184" i="11"/>
  <c r="AD195" i="11"/>
  <c r="AD197" i="11" s="1"/>
  <c r="AG197" i="11" s="1"/>
  <c r="S193" i="11" s="1"/>
  <c r="AD61" i="10"/>
  <c r="I60" i="10" s="1"/>
  <c r="N60" i="10"/>
  <c r="AD102" i="1"/>
  <c r="D182" i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U193" i="11" a="1"/>
  <c r="P197" i="13"/>
  <c r="J24" i="1" a="1"/>
  <c r="P196" i="13"/>
  <c r="U75" i="10" a="1"/>
  <c r="I61" i="10" a="1"/>
  <c r="J27" i="1" a="1"/>
  <c r="M165" i="16" a="1"/>
  <c r="M165" i="16" l="1"/>
  <c r="M166" i="16"/>
  <c r="V160" i="16"/>
  <c r="H242" i="16" s="1"/>
  <c r="V159" i="16"/>
  <c r="H241" i="16" s="1"/>
  <c r="O276" i="13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AD81" i="10"/>
  <c r="O80" i="10" s="1"/>
  <c r="U75" i="10"/>
  <c r="J27" i="1"/>
  <c r="J24" i="1"/>
  <c r="U203" i="13" a="1"/>
  <c r="H194" i="1" a="1"/>
  <c r="P29" i="1" a="1"/>
  <c r="U80" i="10" a="1"/>
  <c r="P26" i="1" a="1"/>
  <c r="E151" i="10" a="1"/>
  <c r="H136" i="10" a="1"/>
  <c r="F139" i="10" a="1"/>
  <c r="P166" i="16"/>
  <c r="E244" i="16" a="1"/>
  <c r="P165" i="16"/>
  <c r="O240" i="16" l="1"/>
  <c r="O243" i="16"/>
  <c r="E244" i="16"/>
  <c r="E172" i="16"/>
  <c r="S172" i="16" s="1"/>
  <c r="U203" i="13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80" i="10"/>
  <c r="O89" i="10"/>
  <c r="O87" i="10"/>
  <c r="P26" i="1"/>
  <c r="P29" i="1"/>
  <c r="U194" i="11" a="1"/>
  <c r="F140" i="10" a="1"/>
  <c r="U213" i="13" a="1"/>
  <c r="E137" i="10" a="1"/>
  <c r="Y63" i="10" a="1"/>
  <c r="U93" i="10" a="1"/>
  <c r="F138" i="10" a="1"/>
  <c r="J63" i="10" a="1"/>
  <c r="U212" i="13" a="1"/>
  <c r="U172" i="16" a="1"/>
  <c r="U172" i="16" l="1"/>
  <c r="AG185" i="16"/>
  <c r="S182" i="16" s="1"/>
  <c r="AG184" i="16"/>
  <c r="S181" i="16" s="1"/>
  <c r="F140" i="10"/>
  <c r="F138" i="10"/>
  <c r="U213" i="13"/>
  <c r="U212" i="13"/>
  <c r="U194" i="11"/>
  <c r="E137" i="10"/>
  <c r="J65" i="10"/>
  <c r="U93" i="10"/>
  <c r="Y63" i="10"/>
  <c r="J63" i="10"/>
  <c r="P113" i="10"/>
  <c r="T113" i="10" s="1"/>
  <c r="U181" i="16" a="1"/>
  <c r="U182" i="16" a="1"/>
  <c r="U181" i="16" l="1"/>
  <c r="U182" i="16"/>
  <c r="I63" i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U88" i="1" a="1"/>
  <c r="D66" i="1" a="1"/>
  <c r="D66" i="1" l="1"/>
  <c r="H193" i="1"/>
  <c r="D70" i="1"/>
  <c r="F59" i="1" s="1"/>
  <c r="U88" i="1"/>
  <c r="AD88" i="1"/>
  <c r="O93" i="1"/>
  <c r="L119" i="1"/>
  <c r="U139" i="1"/>
  <c r="U127" i="1"/>
  <c r="U93" i="1" a="1"/>
  <c r="L120" i="1" a="1"/>
  <c r="D72" i="1" a="1"/>
  <c r="J211" i="1" l="1"/>
  <c r="J212" i="1"/>
  <c r="D72" i="1"/>
  <c r="L120" i="1"/>
  <c r="U93" i="1"/>
  <c r="U103" i="1" a="1"/>
  <c r="E206" i="1" a="1"/>
  <c r="V133" i="1" a="1"/>
  <c r="V133" i="1" l="1"/>
  <c r="E206" i="1"/>
  <c r="AD81" i="1"/>
  <c r="U103" i="1"/>
  <c r="P18" i="1" a="1"/>
  <c r="AD82" i="1" a="1"/>
  <c r="X133" i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AD53" i="1" s="1"/>
  <c r="D45" i="1" a="1"/>
  <c r="R81" i="1" a="1"/>
  <c r="D45" i="1" l="1"/>
  <c r="R81" i="1"/>
  <c r="D49" i="1"/>
  <c r="J209" i="1" a="1"/>
  <c r="D51" i="1" a="1"/>
  <c r="J209" i="1" l="1"/>
  <c r="D51" i="1"/>
  <c r="F38" i="1"/>
  <c r="Q126" i="1" s="1"/>
  <c r="E210" i="1" a="1"/>
  <c r="K38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H110" i="10" a="1"/>
  <c r="I155" i="10" a="1"/>
  <c r="I155" i="10" l="1"/>
  <c r="H110" i="10"/>
  <c r="H112" i="10"/>
  <c r="H114" i="10" a="1"/>
  <c r="E158" i="10" a="1"/>
  <c r="E158" i="10" l="1"/>
  <c r="H114" i="10"/>
  <c r="F80" i="1"/>
  <c r="Q140" i="1" s="1"/>
  <c r="E207" i="1" a="1"/>
  <c r="I138" i="1" a="1"/>
  <c r="I138" i="1" l="1"/>
  <c r="H223" i="1"/>
  <c r="P223" i="1" s="1"/>
  <c r="E207" i="1"/>
  <c r="H230" i="1"/>
  <c r="Q128" i="1"/>
  <c r="L148" i="1"/>
  <c r="I126" i="1" a="1"/>
  <c r="T148" i="1" a="1"/>
  <c r="I126" i="1" l="1"/>
  <c r="L223" i="1"/>
  <c r="H224" i="1" s="1"/>
  <c r="T148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AD215" i="1" a="1"/>
  <c r="AD215" i="1" l="1"/>
  <c r="T118" i="10"/>
  <c r="AD119" i="10" s="1"/>
  <c r="AD120" i="10" s="1"/>
  <c r="AF120" i="10" s="1"/>
  <c r="H116" i="10" s="1"/>
  <c r="AC224" i="1"/>
  <c r="AD224" i="1" s="1"/>
  <c r="P21" i="1"/>
  <c r="O87" i="1"/>
  <c r="H118" i="10" a="1"/>
  <c r="E159" i="10" a="1"/>
  <c r="U87" i="1" a="1"/>
  <c r="I128" i="1" a="1"/>
  <c r="E216" i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U91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F197" i="1" a="1"/>
  <c r="F198" i="1"/>
  <c r="H191" i="1"/>
  <c r="U99" i="1" a="1"/>
  <c r="T149" i="1" a="1"/>
  <c r="E231" i="1"/>
  <c r="T149" i="1" l="1"/>
  <c r="R159" i="1"/>
  <c r="AD165" i="1" s="1"/>
  <c r="AD155" i="1"/>
  <c r="F197" i="1"/>
  <c r="U99" i="1"/>
  <c r="O108" i="1"/>
  <c r="O112" i="1"/>
  <c r="F84" i="1" s="1"/>
  <c r="O106" i="1"/>
  <c r="S84" i="1"/>
  <c r="V84" i="1" a="1"/>
  <c r="E195" i="1" a="1"/>
  <c r="U112" i="1" a="1"/>
  <c r="F196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K122" i="25" a="1"/>
  <c r="D129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  <c r="AS27" i="17"/>
  <c r="AU27" i="17" s="1"/>
  <c r="V27" i="17" s="1"/>
  <c r="W42" i="17" s="1"/>
  <c r="F125" i="17" a="1"/>
  <c r="F138" i="17" a="1"/>
  <c r="AE42" i="17" a="1"/>
  <c r="W27" i="17" a="1"/>
  <c r="F138" i="17" l="1"/>
  <c r="F125" i="17"/>
  <c r="AE42" i="17"/>
  <c r="X42" i="17"/>
  <c r="W27" i="17"/>
  <c r="Y42" i="17"/>
  <c r="F126" i="17" a="1"/>
  <c r="AD42" i="17" a="1"/>
  <c r="F126" i="17" l="1"/>
  <c r="F146" i="17"/>
  <c r="F130" i="17"/>
  <c r="F132" i="17" s="1"/>
  <c r="AD42" i="17"/>
  <c r="F133" i="17" a="1"/>
  <c r="F147" i="17" a="1"/>
  <c r="F134" i="17" a="1"/>
  <c r="AA42" i="17"/>
  <c r="F133" i="17" l="1"/>
  <c r="F134" i="17"/>
  <c r="F147" i="17"/>
  <c r="F140" i="17"/>
  <c r="AB42" i="17"/>
  <c r="F141" i="17" a="1"/>
  <c r="F141" i="17" l="1"/>
  <c r="AC42" i="17"/>
  <c r="F136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C20" authorId="0" shapeId="0" xr:uid="{4EB008DF-4371-4508-86EB-05AE628C826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Valeur lue sur le sextan
--&gt; ce n'est la la correction (qui serait -e …)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<sst xmlns="http://schemas.openxmlformats.org/spreadsheetml/2006/main" count="3186" uniqueCount="928">
  <si>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</si>
  <si>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</si>
  <si>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</si>
  <si>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</si>
  <si>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</si>
  <si>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</si>
  <si>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</si>
  <si>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</si>
  <si>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</si>
  <si>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</si>
  <si>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</si>
  <si>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</si>
  <si>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</si>
  <si>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</si>
  <si>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</si>
  <si>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</si>
  <si>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</si>
  <si>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</si>
  <si>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</si>
  <si>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</si>
  <si>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</si>
  <si>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</si>
  <si>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</si>
  <si>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</si>
  <si>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</si>
  <si>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</si>
  <si>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</si>
  <si>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</si>
  <si>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</si>
  <si>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</si>
  <si>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</si>
  <si>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</si>
  <si>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</si>
  <si>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</si>
  <si>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</si>
  <si>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</si>
  <si>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</si>
  <si>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</si>
  <si>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</si>
  <si>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</si>
  <si>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</si>
  <si>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</si>
  <si>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</si>
  <si>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</si>
  <si>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</si>
  <si>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</si>
  <si>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</si>
  <si>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</si>
  <si>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</si>
  <si>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</si>
  <si>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</si>
  <si>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</si>
  <si>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</si>
  <si>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</si>
  <si>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</si>
  <si>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</si>
  <si>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</si>
  <si>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</si>
  <si>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</si>
  <si>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</si>
  <si>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</si>
  <si>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</si>
  <si>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</si>
  <si>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</si>
  <si>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</si>
  <si>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</si>
  <si>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</si>
  <si>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</si>
  <si>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</si>
  <si>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</si>
  <si>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</si>
  <si>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</si>
  <si>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</si>
  <si>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</si>
  <si>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</si>
  <si>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</si>
  <si>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</si>
  <si>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</si>
  <si>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</si>
  <si>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</si>
  <si>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</si>
  <si>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</si>
  <si>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</si>
  <si>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</si>
  <si>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</si>
  <si>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</si>
  <si>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</si>
  <si>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</si>
  <si>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</si>
  <si>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</si>
  <si>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</si>
  <si>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</si>
  <si>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</si>
  <si>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</si>
  <si>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</si>
  <si>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</si>
  <si>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</si>
  <si>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</si>
  <si>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</si>
  <si>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</si>
  <si>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</si>
  <si>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</si>
  <si>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</si>
  <si>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</si>
  <si>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</si>
  <si>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</si>
  <si>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</si>
  <si>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</si>
  <si>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</si>
  <si>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</si>
  <si>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</si>
  <si>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</si>
  <si>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</si>
  <si>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</si>
  <si>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</si>
  <si>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</si>
  <si>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</si>
  <si>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</si>
  <si>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</si>
  <si>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</si>
  <si>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</si>
  <si>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</si>
  <si>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</si>
  <si>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</si>
  <si>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</si>
  <si>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</si>
  <si>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</si>
  <si>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</si>
  <si>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</si>
  <si>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</si>
  <si>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</si>
  <si>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</si>
  <si>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</si>
  <si>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</si>
  <si>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</si>
  <si>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</si>
  <si>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</si>
  <si>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</si>
  <si>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</si>
  <si>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</si>
  <si>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</si>
  <si>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</si>
  <si>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</si>
  <si>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</si>
  <si>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</si>
  <si>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</si>
  <si>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</si>
  <si>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</si>
  <si>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</si>
  <si>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</si>
  <si>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</si>
  <si>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</si>
  <si>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</si>
  <si>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</si>
  <si>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</si>
  <si>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</si>
  <si>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</si>
  <si>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</si>
  <si>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</si>
  <si>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</si>
  <si>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</si>
  <si>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</si>
  <si>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</si>
  <si>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</si>
  <si>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</si>
  <si>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</si>
  <si>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</si>
  <si>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</si>
  <si>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</si>
  <si>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</si>
  <si>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</si>
  <si>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</si>
  <si>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</si>
  <si>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</si>
  <si>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</si>
  <si>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</si>
  <si>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</si>
  <si>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</si>
  <si>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</si>
  <si>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</si>
  <si>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</si>
  <si>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</si>
  <si>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</si>
  <si>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</si>
  <si>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</si>
  <si>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</si>
  <si>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</si>
  <si>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</si>
  <si>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</si>
  <si>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</si>
  <si>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</si>
  <si>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</si>
  <si>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</si>
  <si>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</si>
  <si>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</si>
  <si>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</si>
  <si>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</si>
  <si>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</si>
  <si>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</si>
  <si>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</si>
  <si>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</si>
  <si>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</si>
  <si>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</si>
  <si>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</si>
  <si>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</si>
  <si>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</si>
  <si>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</si>
  <si>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</si>
  <si>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</si>
  <si>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</si>
  <si>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</si>
  <si>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</si>
  <si>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</si>
  <si>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</si>
  <si>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</si>
  <si>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</si>
  <si>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</si>
  <si>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</si>
  <si>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</si>
  <si>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</si>
  <si>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</si>
  <si>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</si>
  <si>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</si>
  <si>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</si>
  <si>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</si>
  <si>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</si>
  <si>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</si>
  <si>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</si>
  <si>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</si>
  <si>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</si>
  <si>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</si>
  <si>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</si>
  <si>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</si>
  <si>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</si>
  <si>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</si>
  <si>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</si>
  <si>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</si>
  <si>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</si>
  <si>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</si>
  <si>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</si>
  <si>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</si>
  <si>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</si>
  <si>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</si>
  <si>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</si>
  <si>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</si>
  <si>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</si>
  <si>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</si>
  <si>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</si>
  <si>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</si>
  <si>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</si>
  <si>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</si>
  <si>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</si>
  <si>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</si>
  <si>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</si>
  <si>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</si>
  <si>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</si>
  <si>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</si>
  <si>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</si>
  <si>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</si>
  <si>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</si>
  <si>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</si>
  <si>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</si>
  <si>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</si>
  <si>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</si>
  <si>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</si>
  <si>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</si>
  <si>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</si>
  <si>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</si>
  <si>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</si>
  <si>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</si>
  <si>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</si>
  <si>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</si>
  <si>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</si>
  <si>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</si>
  <si>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</si>
  <si>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</si>
  <si>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</si>
  <si>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</si>
  <si>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</si>
  <si>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</si>
  <si>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</si>
  <si>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</si>
  <si>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</si>
  <si>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</si>
  <si>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</si>
  <si>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</si>
  <si>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</si>
  <si>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</si>
  <si>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</si>
  <si>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</si>
  <si>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</si>
  <si>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</si>
  <si>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</si>
  <si>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</si>
  <si>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</si>
  <si>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</si>
  <si>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</si>
  <si>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</si>
  <si>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</si>
  <si>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</si>
  <si>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</si>
  <si>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</si>
  <si>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</si>
  <si>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</si>
  <si>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</si>
  <si>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</si>
  <si>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</si>
  <si>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</si>
  <si>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</si>
  <si>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</si>
  <si>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</si>
  <si>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</si>
  <si>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</si>
  <si>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</si>
  <si>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</si>
  <si>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</si>
  <si>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</si>
  <si>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</si>
  <si>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</si>
  <si>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</si>
  <si>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</si>
  <si>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</si>
  <si>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</si>
  <si>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</si>
  <si>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</si>
  <si>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</si>
  <si>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</si>
  <si>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</si>
  <si>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</si>
  <si>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</si>
  <si>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</si>
  <si>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</si>
  <si>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</si>
  <si>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</si>
  <si>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</si>
  <si>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</si>
  <si>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</si>
  <si>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</si>
  <si>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</si>
  <si>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</si>
  <si>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</si>
  <si>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</si>
  <si>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</si>
  <si>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</si>
  <si>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</si>
  <si>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</si>
  <si>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</si>
  <si>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</si>
  <si>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</si>
  <si>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</si>
  <si>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</si>
  <si>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</si>
  <si>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</si>
  <si>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</si>
  <si>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</si>
  <si>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</si>
  <si>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asin( sin(Dec) * sin (Lat estimee) + cos(Dec) * cos (Lat estimee) * cos(LHA))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</si>
  <si>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</si>
  <si>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</si>
  <si>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</si>
  <si>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</si>
  <si>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</si>
  <si>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</si>
  <si>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</si>
  <si>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</si>
  <si>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</si>
  <si>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</si>
  <si>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</si>
  <si>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</si>
  <si>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</si>
  <si>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</si>
  <si>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</si>
  <si>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</si>
  <si>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</si>
  <si>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</si>
  <si>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</si>
  <si>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</si>
  <si>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</si>
  <si>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</si>
  <si>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</si>
  <si>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</si>
  <si>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</si>
  <si>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</si>
  <si>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</si>
  <si>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</si>
  <si>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t>2024/8/5</t>
  </si>
  <si>
    <t>derive sec/mois</t>
  </si>
  <si>
    <t>derive sec/jour</t>
  </si>
  <si>
    <t>30s erreur de position &lt;=&gt; 5Mn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</si>
  <si>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</si>
  <si>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</si>
  <si>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</si>
  <si>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</si>
  <si>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</si>
  <si>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</si>
  <si>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</si>
  <si>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</si>
  <si>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</si>
  <si>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</si>
  <si>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</si>
  <si>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</si>
  <si>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</si>
  <si>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</si>
  <si>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</si>
  <si>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</si>
  <si>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</si>
  <si>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</si>
  <si>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</si>
  <si>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</si>
  <si>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</si>
  <si>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</si>
  <si>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</si>
  <si>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</si>
  <si>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</si>
  <si>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</si>
  <si>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</si>
  <si>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</si>
  <si>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</si>
  <si>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</si>
  <si>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</si>
  <si>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</si>
  <si>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</si>
  <si>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</si>
  <si>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</si>
  <si>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</si>
  <si>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</si>
  <si>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</si>
  <si>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</si>
  <si>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</si>
  <si>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</si>
  <si>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</si>
  <si>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</si>
  <si>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</si>
  <si>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</si>
  <si>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</si>
  <si>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</si>
  <si>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</si>
  <si>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</si>
  <si>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</si>
  <si>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</si>
  <si>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</si>
  <si>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</si>
  <si>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</si>
  <si>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</si>
  <si>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</si>
  <si>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</si>
  <si>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</si>
  <si>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</si>
  <si>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</si>
  <si>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</si>
  <si>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</si>
  <si>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</si>
  <si>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</si>
  <si>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</si>
  <si>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</si>
  <si>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</si>
  <si>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</si>
  <si>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</si>
  <si>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</si>
  <si>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</si>
  <si>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</si>
  <si>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</si>
  <si>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</si>
  <si>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</si>
  <si>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</si>
  <si>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</si>
  <si>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</si>
  <si>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</si>
  <si>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</si>
  <si>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</si>
  <si>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</si>
  <si>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</si>
  <si>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</si>
  <si>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</si>
  <si>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</si>
  <si>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</si>
  <si>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</si>
  <si>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</si>
  <si>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</si>
  <si>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</si>
  <si>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</si>
  <si>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276°35.0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</si>
  <si>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</si>
  <si>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</si>
  <si>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</si>
  <si>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</si>
  <si>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</si>
  <si>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</si>
  <si>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</si>
  <si>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</si>
  <si>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</si>
  <si>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cos(Z) = {sin(Dec) - sin (Lat estimee) * sin(Hc)}    /  {cos(Lat estimee) * cos(Hc)}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</si>
  <si>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</si>
  <si>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</si>
  <si>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</si>
  <si>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</si>
  <si>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</si>
  <si>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</si>
  <si>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</si>
  <si>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</si>
  <si>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</si>
  <si>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</si>
  <si>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</si>
  <si>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</si>
  <si>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</si>
  <si>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</si>
  <si>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</si>
  <si>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</si>
  <si>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</si>
  <si>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</si>
  <si>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</si>
  <si>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</si>
  <si>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</si>
  <si>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</si>
  <si>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</si>
  <si>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</si>
  <si>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</si>
  <si>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</si>
  <si>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</si>
  <si>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</si>
  <si>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</si>
  <si>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</si>
  <si>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</si>
  <si>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</si>
  <si>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</si>
  <si>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</si>
  <si>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</si>
  <si>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</si>
  <si>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</si>
  <si>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</si>
  <si>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</si>
  <si>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</si>
  <si>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</si>
  <si>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</si>
  <si>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</si>
  <si>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</si>
  <si>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</si>
  <si>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</si>
  <si>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</si>
  <si>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</si>
  <si>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</si>
  <si>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</si>
  <si>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</si>
  <si>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</si>
  <si>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</si>
  <si>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</si>
  <si>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</si>
  <si>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</si>
  <si>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</si>
  <si>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</si>
  <si>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</si>
  <si>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</si>
  <si>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</si>
  <si>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</si>
  <si>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</si>
  <si>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</si>
  <si>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</si>
  <si>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</si>
  <si>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</si>
  <si>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</si>
  <si>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</si>
  <si>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</si>
  <si>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</si>
  <si>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</si>
  <si>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</si>
  <si>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</si>
  <si>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</si>
  <si>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</si>
  <si>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</si>
  <si>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</si>
  <si>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</si>
  <si>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</si>
  <si>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</si>
  <si>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</si>
  <si>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</si>
  <si>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</si>
  <si>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</si>
  <si>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</si>
  <si>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</si>
  <si>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</si>
  <si>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</si>
  <si>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</si>
  <si>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</si>
  <si>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</si>
  <si>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</si>
  <si>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</si>
  <si>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</si>
  <si>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</si>
  <si>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</si>
  <si>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</si>
  <si>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</si>
  <si>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</si>
  <si>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</si>
  <si>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</si>
  <si>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</si>
  <si>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</si>
  <si>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</si>
  <si>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</si>
  <si>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</si>
  <si>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</si>
  <si>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</si>
  <si>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</si>
  <si>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</si>
  <si>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</si>
  <si>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</si>
  <si>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</si>
  <si>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</si>
  <si>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</si>
  <si>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</si>
  <si>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</si>
  <si>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</si>
  <si>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</si>
  <si>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</si>
  <si>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</si>
  <si>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</si>
  <si>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</si>
  <si>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</si>
  <si>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</si>
  <si>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</si>
  <si>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</si>
  <si>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</si>
  <si>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</si>
  <si>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</si>
  <si>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</si>
  <si>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</si>
  <si>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</si>
  <si>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</si>
  <si>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</si>
  <si>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</si>
  <si>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</si>
  <si>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</si>
  <si>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</si>
  <si>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</si>
  <si>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</si>
  <si>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</si>
  <si>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</si>
  <si>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</si>
  <si>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</si>
  <si>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</si>
  <si>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</si>
  <si>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</si>
  <si>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</si>
  <si>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</si>
  <si>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</si>
  <si>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</si>
  <si>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</si>
  <si>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</si>
  <si>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</si>
  <si>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</si>
  <si>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</si>
  <si>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</si>
  <si>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</si>
  <si>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</si>
  <si>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</si>
  <si>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</si>
  <si>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</si>
  <si>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</si>
  <si>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</si>
  <si>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</si>
  <si>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</si>
  <si>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</si>
  <si>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</si>
  <si>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</si>
  <si>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</si>
  <si>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</si>
  <si>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</si>
  <si>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</si>
  <si>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</si>
  <si>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</si>
  <si>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</si>
  <si>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</si>
  <si>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</si>
  <si>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</si>
  <si>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</si>
  <si>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</si>
  <si>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</si>
  <si>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</si>
  <si>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</si>
  <si>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</si>
  <si>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</si>
  <si>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</si>
  <si>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</si>
  <si>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</si>
  <si>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</si>
  <si>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</si>
  <si>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</si>
  <si>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</si>
  <si>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</si>
  <si>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</si>
  <si>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</si>
  <si>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</si>
  <si>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</si>
  <si>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</si>
  <si>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</si>
  <si>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</si>
  <si>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</si>
  <si>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</si>
  <si>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</si>
  <si>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</si>
  <si>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</si>
  <si>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</si>
  <si>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</si>
  <si>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</si>
  <si>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</si>
  <si>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</si>
  <si>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</si>
  <si>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</si>
  <si>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</si>
  <si>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</si>
  <si>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</si>
  <si>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</si>
  <si>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</si>
  <si>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</si>
  <si>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</si>
  <si>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</si>
  <si>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</si>
  <si>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</si>
  <si>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</si>
  <si>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</si>
  <si>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</si>
  <si>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</si>
  <si>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</si>
  <si>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</si>
  <si>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</si>
  <si>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</si>
  <si>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</si>
  <si>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</si>
  <si>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</si>
  <si>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</si>
  <si>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</si>
  <si>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</si>
  <si>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</si>
  <si>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</si>
  <si>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</si>
  <si>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</si>
  <si>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</si>
  <si>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</si>
  <si>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</si>
  <si>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</si>
  <si>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</si>
  <si>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</si>
  <si>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</si>
  <si>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</si>
  <si>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</si>
  <si>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</si>
  <si>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</si>
  <si>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</si>
  <si>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</si>
  <si>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</si>
  <si>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</si>
  <si>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</si>
  <si>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</si>
  <si>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Python Path</t>
  </si>
  <si>
    <t>Python Script</t>
  </si>
  <si>
    <t>DEC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</si>
  <si>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</si>
  <si>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</si>
  <si>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</si>
  <si>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</si>
  <si>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</si>
  <si>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</si>
  <si>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</si>
  <si>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</si>
  <si>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</si>
  <si>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</si>
  <si>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</si>
  <si>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</si>
  <si>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</si>
  <si>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</si>
  <si>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</si>
  <si>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</si>
  <si>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</si>
  <si>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</si>
  <si>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</si>
  <si>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</si>
  <si>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</si>
  <si>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</si>
  <si>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</si>
  <si>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</si>
  <si>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</si>
  <si>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</si>
  <si>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</si>
  <si>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</si>
  <si>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</si>
  <si>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</si>
  <si>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</si>
  <si>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</si>
  <si>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</si>
  <si>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</si>
  <si>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</si>
  <si>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</si>
  <si>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</si>
  <si>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</si>
  <si>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</si>
  <si>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</si>
  <si>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</si>
  <si>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</si>
  <si>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</si>
  <si>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</si>
  <si>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</si>
  <si>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</si>
  <si>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</si>
  <si>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</si>
  <si>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</si>
  <si>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</si>
  <si>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</si>
  <si>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</si>
  <si>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</si>
  <si>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</si>
  <si>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</si>
  <si>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</si>
  <si>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</si>
  <si>
    <t>25/9/2025</t>
  </si>
  <si>
    <t>min/an</t>
  </si>
  <si>
    <t>30/06/2025</t>
  </si>
  <si>
    <t>54°50,1'</t>
  </si>
  <si>
    <t>&lt;- latitude depart + Vitesse *  temps</t>
  </si>
  <si>
    <t>Choix de la methode de latitude moyenne (estime, ou negligeable on prend le depart)</t>
  </si>
  <si>
    <t>Latitude finale</t>
  </si>
  <si>
    <t>vers le nord ?</t>
  </si>
  <si>
    <r>
      <t>V</t>
    </r>
    <r>
      <rPr>
        <vertAlign val="subscript"/>
        <sz val="11"/>
        <color theme="1"/>
        <rFont val="Calibri"/>
        <family val="2"/>
        <scheme val="minor"/>
      </rPr>
      <t>Lat.</t>
    </r>
  </si>
  <si>
    <t>Latitude moyenne</t>
  </si>
  <si>
    <r>
      <t xml:space="preserve">Horaire de la meridienne locale </t>
    </r>
    <r>
      <rPr>
        <b/>
        <sz val="10"/>
        <color rgb="FFFF0000"/>
        <rFont val="Roboto"/>
      </rPr>
      <t>AVEC LATITUDE MOYENNE</t>
    </r>
  </si>
  <si>
    <t>Ne plus faire par latitude moyenne</t>
  </si>
  <si>
    <t>Duree Nav</t>
  </si>
  <si>
    <t>Lat estimée</t>
  </si>
  <si>
    <t>0°01'</t>
  </si>
  <si>
    <t>All</t>
  </si>
  <si>
    <t>0°01,5</t>
  </si>
  <si>
    <t>0°0,1</t>
  </si>
  <si>
    <r>
      <t xml:space="preserve">Check lock: Alt-F8
Macro: </t>
    </r>
    <r>
      <rPr>
        <b/>
        <sz val="10"/>
        <color theme="5" tint="-0.249977111117893"/>
        <rFont val="Roboto"/>
      </rPr>
      <t>ColorierCellules_NoirSiNonVerrouillees</t>
    </r>
    <r>
      <rPr>
        <sz val="10"/>
        <color theme="1"/>
        <rFont val="Roboto"/>
      </rPr>
      <t xml:space="preserve">
Reset par macro: </t>
    </r>
    <r>
      <rPr>
        <b/>
        <sz val="10"/>
        <color theme="5" tint="-0.249977111117893"/>
        <rFont val="Roboto"/>
      </rPr>
      <t>ColorierCellules_RetirerInfoVerrouillage</t>
    </r>
  </si>
  <si>
    <t>23°10,0</t>
  </si>
  <si>
    <t>23°10,0'</t>
  </si>
  <si>
    <t>23°06,2</t>
  </si>
  <si>
    <t>179°05,1</t>
  </si>
  <si>
    <t>Longitude estimé</t>
  </si>
  <si>
    <t>Estimation erreur meridienne</t>
  </si>
  <si>
    <t>Vd</t>
  </si>
  <si>
    <t>-0,2'</t>
  </si>
  <si>
    <t>Min</t>
  </si>
  <si>
    <t>5 à 10</t>
  </si>
  <si>
    <t>20 a 50</t>
  </si>
  <si>
    <t>Precision en Fct decalage heure</t>
  </si>
  <si>
    <t>Seconde</t>
  </si>
  <si>
    <t>Precision en Fct decalage angle Hs</t>
  </si>
  <si>
    <t>1'</t>
  </si>
  <si>
    <t>1°</t>
  </si>
  <si>
    <t>20"</t>
  </si>
  <si>
    <t>(Astra)</t>
  </si>
  <si>
    <r>
      <t>H</t>
    </r>
    <r>
      <rPr>
        <b/>
        <vertAlign val="subscript"/>
        <sz val="10"/>
        <color rgb="FF006100"/>
        <rFont val="Calibri"/>
        <family val="2"/>
        <scheme val="minor"/>
      </rPr>
      <t>o</t>
    </r>
    <r>
      <rPr>
        <b/>
        <sz val="10"/>
        <color rgb="FF006100"/>
        <rFont val="Calibri"/>
        <family val="2"/>
        <scheme val="minor"/>
      </rPr>
      <t xml:space="preserve"> = Hauteur vraie</t>
    </r>
  </si>
  <si>
    <r>
      <t>H</t>
    </r>
    <r>
      <rPr>
        <b/>
        <vertAlign val="subscript"/>
        <sz val="10"/>
        <color rgb="FF006100"/>
        <rFont val="Calibri"/>
        <family val="2"/>
        <scheme val="minor"/>
      </rPr>
      <t>c</t>
    </r>
    <r>
      <rPr>
        <b/>
        <sz val="10"/>
        <color rgb="FF006100"/>
        <rFont val="Calibri"/>
        <family val="2"/>
        <scheme val="minor"/>
      </rPr>
      <t xml:space="preserve"> = Hauteur calculee</t>
    </r>
  </si>
  <si>
    <t>ODT</t>
  </si>
  <si>
    <t>astroCalculHc</t>
  </si>
  <si>
    <t>Lat estimee(°)</t>
  </si>
  <si>
    <t>declinaison(°)</t>
  </si>
  <si>
    <t>LHA(°)</t>
  </si>
  <si>
    <t>Attendu(°)</t>
  </si>
  <si>
    <t>Obtenu(°)</t>
  </si>
  <si>
    <t>erreur</t>
  </si>
  <si>
    <t>status</t>
  </si>
  <si>
    <t>cas 1</t>
  </si>
  <si>
    <t>cas 2</t>
  </si>
  <si>
    <t>cas 3</t>
  </si>
  <si>
    <t>astroCalculZ</t>
  </si>
  <si>
    <t>astroCalculZ2Zn</t>
  </si>
  <si>
    <t>Z Attendu</t>
  </si>
  <si>
    <t>Zn attendu</t>
  </si>
  <si>
    <t>cas 4</t>
  </si>
  <si>
    <t>cas 5</t>
  </si>
  <si>
    <t>cas 6</t>
  </si>
  <si>
    <t>cas 7</t>
  </si>
  <si>
    <t>cas 8</t>
  </si>
  <si>
    <t>cas 9</t>
  </si>
  <si>
    <t>cas 10</t>
  </si>
  <si>
    <t>cas 11</t>
  </si>
  <si>
    <t>jj/mm/aaaa hh:mm:ss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</si>
  <si>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  <r>
      <rPr>
        <sz val="11"/>
        <color theme="1"/>
        <rFont val="Calibri"/>
        <family val="1"/>
        <charset val="2"/>
        <scheme val="minor"/>
      </rPr>
      <t xml:space="preserve"> (Now - Origin)</t>
    </r>
  </si>
  <si>
    <t>05/10/2026</t>
  </si>
  <si>
    <t>Erreur de position (Mn) / mois</t>
  </si>
  <si>
    <t>23°08,1</t>
  </si>
  <si>
    <t>23°07,8</t>
  </si>
  <si>
    <t>23°07,7</t>
  </si>
  <si>
    <t>0°0,16'</t>
  </si>
  <si>
    <t>23°10</t>
  </si>
  <si>
    <t>10°</t>
  </si>
  <si>
    <t>44°36</t>
  </si>
  <si>
    <t>-1,2'</t>
  </si>
  <si>
    <t>Achernar</t>
  </si>
  <si>
    <t>2:40:10</t>
  </si>
  <si>
    <t>39°45</t>
  </si>
  <si>
    <t>Enif</t>
  </si>
  <si>
    <t>2:43:02</t>
  </si>
  <si>
    <t>49°16,7</t>
  </si>
  <si>
    <t>2:47:10</t>
  </si>
  <si>
    <t>44°21,9</t>
  </si>
  <si>
    <t>x</t>
  </si>
  <si>
    <t>03:00</t>
  </si>
  <si>
    <t>02:00</t>
  </si>
  <si>
    <t>Dec - Par interval</t>
  </si>
  <si>
    <t>GHA - Par interval</t>
  </si>
  <si>
    <t>V</t>
  </si>
  <si>
    <t>Grad H</t>
  </si>
  <si>
    <t>Grad V</t>
  </si>
  <si>
    <t>Jupiter</t>
  </si>
  <si>
    <t>Saturne</t>
  </si>
  <si>
    <t>2:00</t>
  </si>
  <si>
    <t>3:00</t>
  </si>
  <si>
    <t>0,0'</t>
  </si>
  <si>
    <t>Hi = Hs</t>
  </si>
  <si>
    <t>0:0:0</t>
  </si>
  <si>
    <t>15°03,9</t>
  </si>
  <si>
    <t>15°04,4</t>
  </si>
  <si>
    <t>264°57,8</t>
  </si>
  <si>
    <t>279°58,5</t>
  </si>
  <si>
    <t>0:00:05</t>
  </si>
  <si>
    <t>306°39,9</t>
  </si>
  <si>
    <t>321°42,4</t>
  </si>
  <si>
    <t>336°44,8</t>
  </si>
  <si>
    <t>335°20,7</t>
  </si>
  <si>
    <t>-57°6,5</t>
  </si>
  <si>
    <t>33°39</t>
  </si>
  <si>
    <t>9°59,2</t>
  </si>
  <si>
    <t>&lt;- : Mois</t>
  </si>
  <si>
    <t>Ha Planete</t>
  </si>
  <si>
    <t>1,3'</t>
  </si>
  <si>
    <t>54°50,1</t>
  </si>
  <si>
    <t>7°5</t>
  </si>
  <si>
    <t>46°6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</si>
</sst>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  <numFmt numFmtId="172" formatCode="0.000000000000"/>
    <numFmt numFmtId="173" formatCode="dd/mm/yyyy\ hh:mm:ss"/>
  </numFmts>
  <fonts count="104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5" tint="-0.249977111117893"/>
      <name val="Roboto"/>
    </font>
    <font>
      <b/>
      <sz val="11"/>
      <color rgb="FF9C5700"/>
      <name val="Calibri"/>
      <family val="2"/>
      <scheme val="minor"/>
    </font>
    <font>
      <sz val="8"/>
      <color theme="1"/>
      <name val="Calibri"/>
      <family val="2"/>
    </font>
    <font>
      <b/>
      <vertAlign val="subscript"/>
      <sz val="10"/>
      <color rgb="FF0061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solid">
        <fgColor theme="0" tint="-0.14996795556505021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Up">
        <fgColor rgb="FFFFFF00"/>
        <bgColor theme="9" tint="0.39994506668294322"/>
      </patternFill>
    </fill>
    <fill>
      <patternFill patternType="solid">
        <fgColor rgb="FFFFC000"/>
        <bgColor indexed="64"/>
      </patternFill>
    </fill>
    <fill>
      <patternFill patternType="solid">
        <fgColor rgb="FFCDFAFF"/>
        <bgColor indexed="64"/>
      </patternFill>
    </fill>
    <fill>
      <patternFill patternType="solid">
        <fgColor theme="4" tint="0.79998168889431442"/>
        <bgColor indexed="65"/>
      </patternFill>
    </fill>
  </fills>
  <borders count="17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double">
        <color rgb="FF3F3F3F"/>
      </top>
      <bottom/>
      <diagonal style="thin">
        <color indexed="64"/>
      </diagonal>
    </border>
    <border diagonalUp="1" diagonalDown="1">
      <left/>
      <right style="thin">
        <color indexed="64"/>
      </right>
      <top style="double">
        <color rgb="FF3F3F3F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rgb="FFB2B2B2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rgb="FFB2B2B2"/>
      </bottom>
      <diagonal style="thin">
        <color indexed="64"/>
      </diagonal>
    </border>
    <border diagonalUp="1" diagonalDown="1"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 style="thin">
        <color rgb="FF7F7F7F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 style="thin">
        <color rgb="FF7F7F7F"/>
      </diagonal>
    </border>
    <border diagonalUp="1" diagonalDown="1"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indexed="64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indexed="64"/>
      </diagonal>
    </border>
    <border diagonalUp="1" diagonalDown="1"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 style="thin">
        <color indexed="64"/>
      </diagonal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thin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 diagonalUp="1">
      <left style="thin">
        <color rgb="FF3F3F3F"/>
      </left>
      <right style="thin">
        <color rgb="FF3F3F3F"/>
      </right>
      <top style="thin">
        <color rgb="FF3F3F3F"/>
      </top>
      <bottom/>
      <diagonal style="thin">
        <color indexed="64"/>
      </diagonal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 diagonalUp="1">
      <left style="thin">
        <color rgb="FF3F3F3F"/>
      </left>
      <right style="thin">
        <color rgb="FF3F3F3F"/>
      </right>
      <top/>
      <bottom style="thin">
        <color rgb="FF3F3F3F"/>
      </bottom>
      <diagonal style="thin">
        <color indexed="64"/>
      </diagonal>
    </border>
    <border>
      <left style="double">
        <color rgb="FF3F3F3F"/>
      </left>
      <right style="double">
        <color rgb="FF3F3F3F"/>
      </right>
      <top/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7" fillId="22" borderId="0" applyNumberFormat="0" applyBorder="0" applyAlignment="0" applyProtection="0"/>
    <xf numFmtId="0" fontId="5" fillId="23" borderId="0" applyNumberFormat="0" applyBorder="0" applyAlignment="0" applyProtection="0"/>
    <xf numFmtId="0" fontId="47" fillId="0" borderId="113" applyNumberFormat="0" applyFill="0" applyAlignment="0" applyProtection="0"/>
    <xf numFmtId="0" fontId="84" fillId="0" borderId="0" applyNumberFormat="0" applyFill="0" applyBorder="0" applyAlignment="0" applyProtection="0"/>
    <xf numFmtId="0" fontId="85" fillId="46" borderId="0" applyNumberFormat="0" applyBorder="0" applyAlignment="0" applyProtection="0"/>
  </cellStyleXfs>
  <cellXfs count="2062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17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4" fillId="10" borderId="30" xfId="0" applyNumberFormat="1" applyFont="1" applyFill="1" applyBorder="1" applyAlignment="1">
      <alignment horizontal="center" vertical="center"/>
    </xf>
    <xf numFmtId="1" fontId="24" fillId="10" borderId="31" xfId="0" applyNumberFormat="1" applyFont="1" applyFill="1" applyBorder="1" applyAlignment="1">
      <alignment horizontal="center" vertical="center"/>
    </xf>
    <xf numFmtId="165" fontId="24" fillId="10" borderId="32" xfId="0" applyNumberFormat="1" applyFont="1" applyFill="1" applyBorder="1" applyAlignment="1">
      <alignment horizontal="center" vertical="center"/>
    </xf>
    <xf numFmtId="165" fontId="24" fillId="10" borderId="33" xfId="0" applyNumberFormat="1" applyFont="1" applyFill="1" applyBorder="1" applyAlignment="1">
      <alignment horizontal="center" vertical="center"/>
    </xf>
    <xf numFmtId="1" fontId="24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4" fillId="8" borderId="0" xfId="0" applyNumberFormat="1" applyFont="1" applyFill="1"/>
    <xf numFmtId="165" fontId="24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4" fillId="0" borderId="0" xfId="0" applyFont="1"/>
    <xf numFmtId="165" fontId="24" fillId="10" borderId="29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0" fillId="0" borderId="0" xfId="0" applyNumberFormat="1" applyFont="1" applyAlignment="1">
      <alignment horizontal="center" vertical="center"/>
    </xf>
    <xf numFmtId="165" fontId="29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19" fillId="11" borderId="0" xfId="6" applyNumberFormat="1" applyFont="1" applyProtection="1"/>
    <xf numFmtId="2" fontId="19" fillId="11" borderId="0" xfId="6" quotePrefix="1" applyNumberFormat="1" applyFont="1" applyProtection="1"/>
    <xf numFmtId="168" fontId="18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4" fillId="10" borderId="88" xfId="0" applyNumberFormat="1" applyFont="1" applyFill="1" applyBorder="1" applyAlignment="1">
      <alignment horizontal="center" vertical="center"/>
    </xf>
    <xf numFmtId="165" fontId="24" fillId="10" borderId="2" xfId="0" quotePrefix="1" applyNumberFormat="1" applyFont="1" applyFill="1" applyBorder="1" applyAlignment="1">
      <alignment horizontal="center" vertical="center"/>
    </xf>
    <xf numFmtId="1" fontId="24" fillId="10" borderId="2" xfId="0" applyNumberFormat="1" applyFont="1" applyFill="1" applyBorder="1" applyAlignment="1">
      <alignment horizontal="center" vertical="center"/>
    </xf>
    <xf numFmtId="165" fontId="24" fillId="10" borderId="33" xfId="0" quotePrefix="1" applyNumberFormat="1" applyFont="1" applyFill="1" applyBorder="1" applyAlignment="1">
      <alignment horizontal="center" vertical="center"/>
    </xf>
    <xf numFmtId="1" fontId="24" fillId="10" borderId="33" xfId="0" applyNumberFormat="1" applyFont="1" applyFill="1" applyBorder="1" applyAlignment="1">
      <alignment horizontal="center" vertical="center"/>
    </xf>
    <xf numFmtId="168" fontId="19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4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4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1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7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8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19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0" fontId="47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3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3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4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7" fillId="0" borderId="0" xfId="0" applyNumberFormat="1" applyFont="1"/>
    <xf numFmtId="171" fontId="10" fillId="9" borderId="15" xfId="0" applyNumberFormat="1" applyFont="1" applyFill="1" applyBorder="1"/>
    <xf numFmtId="168" fontId="17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7" fillId="0" borderId="0" xfId="0" applyNumberFormat="1" applyFont="1"/>
    <xf numFmtId="165" fontId="61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4" fillId="33" borderId="28" xfId="0" applyNumberFormat="1" applyFont="1" applyFill="1" applyBorder="1" applyAlignment="1">
      <alignment horizontal="center" vertical="center"/>
    </xf>
    <xf numFmtId="165" fontId="54" fillId="33" borderId="29" xfId="0" quotePrefix="1" applyNumberFormat="1" applyFont="1" applyFill="1" applyBorder="1" applyAlignment="1">
      <alignment horizontal="center" vertical="center"/>
    </xf>
    <xf numFmtId="165" fontId="54" fillId="33" borderId="2" xfId="0" applyNumberFormat="1" applyFont="1" applyFill="1" applyBorder="1" applyAlignment="1">
      <alignment horizontal="center"/>
    </xf>
    <xf numFmtId="165" fontId="54" fillId="33" borderId="29" xfId="0" applyNumberFormat="1" applyFont="1" applyFill="1" applyBorder="1" applyAlignment="1">
      <alignment horizontal="center" vertical="center"/>
    </xf>
    <xf numFmtId="165" fontId="54" fillId="33" borderId="2" xfId="0" applyNumberFormat="1" applyFont="1" applyFill="1" applyBorder="1" applyAlignment="1">
      <alignment horizontal="center" vertical="center"/>
    </xf>
    <xf numFmtId="2" fontId="9" fillId="2" borderId="122" xfId="7" applyNumberFormat="1" applyBorder="1" applyAlignment="1">
      <alignment horizontal="center" vertical="center"/>
    </xf>
    <xf numFmtId="165" fontId="54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0" fontId="3" fillId="7" borderId="58" xfId="5" applyFont="1" applyBorder="1" applyAlignment="1">
      <alignment horizontal="center" vertical="center"/>
    </xf>
    <xf numFmtId="0" fontId="3" fillId="7" borderId="25" xfId="5" applyFont="1" applyAlignment="1">
      <alignment horizontal="center" vertical="center"/>
    </xf>
    <xf numFmtId="165" fontId="15" fillId="2" borderId="2" xfId="1" applyNumberFormat="1" applyFont="1" applyBorder="1" applyAlignment="1" applyProtection="1">
      <alignment horizontal="left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7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2" fillId="0" borderId="0" xfId="0" applyFont="1"/>
    <xf numFmtId="0" fontId="0" fillId="27" borderId="0" xfId="0" applyFill="1"/>
    <xf numFmtId="0" fontId="64" fillId="0" borderId="2" xfId="0" applyFont="1" applyBorder="1" applyAlignment="1">
      <alignment horizontal="center"/>
    </xf>
    <xf numFmtId="0" fontId="64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7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3" xfId="0" applyNumberFormat="1" applyBorder="1"/>
    <xf numFmtId="165" fontId="0" fillId="0" borderId="123" xfId="0" applyNumberFormat="1" applyBorder="1" applyAlignment="1">
      <alignment horizontal="center"/>
    </xf>
    <xf numFmtId="0" fontId="0" fillId="0" borderId="123" xfId="0" applyBorder="1"/>
    <xf numFmtId="165" fontId="0" fillId="35" borderId="0" xfId="0" applyNumberFormat="1" applyFill="1" applyAlignment="1">
      <alignment horizontal="center"/>
    </xf>
    <xf numFmtId="165" fontId="69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4" fillId="0" borderId="2" xfId="0" applyNumberFormat="1" applyFont="1" applyBorder="1" applyAlignment="1">
      <alignment horizontal="center" vertical="center"/>
    </xf>
    <xf numFmtId="165" fontId="69" fillId="0" borderId="124" xfId="0" applyNumberFormat="1" applyFont="1" applyBorder="1" applyAlignment="1">
      <alignment horizontal="center" vertical="center"/>
    </xf>
    <xf numFmtId="167" fontId="71" fillId="2" borderId="125" xfId="7" applyNumberFormat="1" applyFont="1" applyBorder="1" applyAlignment="1">
      <alignment horizontal="center" vertical="center"/>
    </xf>
    <xf numFmtId="167" fontId="59" fillId="7" borderId="29" xfId="5" applyNumberFormat="1" applyFont="1" applyBorder="1" applyAlignment="1">
      <alignment horizontal="center" vertical="center"/>
    </xf>
    <xf numFmtId="167" fontId="59" fillId="7" borderId="2" xfId="5" applyNumberFormat="1" applyFont="1" applyBorder="1" applyAlignment="1">
      <alignment horizontal="center" vertical="center"/>
    </xf>
    <xf numFmtId="0" fontId="66" fillId="0" borderId="0" xfId="0" applyFont="1"/>
    <xf numFmtId="168" fontId="54" fillId="0" borderId="29" xfId="0" quotePrefix="1" applyNumberFormat="1" applyFont="1" applyBorder="1" applyAlignment="1">
      <alignment horizontal="center" vertical="center"/>
    </xf>
    <xf numFmtId="168" fontId="54" fillId="0" borderId="29" xfId="0" applyNumberFormat="1" applyFont="1" applyBorder="1" applyAlignment="1">
      <alignment horizontal="center" vertical="center"/>
    </xf>
    <xf numFmtId="167" fontId="54" fillId="0" borderId="29" xfId="0" applyNumberFormat="1" applyFont="1" applyBorder="1" applyAlignment="1">
      <alignment horizontal="center" vertical="center"/>
    </xf>
    <xf numFmtId="168" fontId="54" fillId="0" borderId="2" xfId="0" quotePrefix="1" applyNumberFormat="1" applyFont="1" applyBorder="1" applyAlignment="1">
      <alignment horizontal="center" vertical="center"/>
    </xf>
    <xf numFmtId="170" fontId="32" fillId="10" borderId="89" xfId="0" applyNumberFormat="1" applyFont="1" applyFill="1" applyBorder="1" applyAlignment="1">
      <alignment horizontal="center"/>
    </xf>
    <xf numFmtId="165" fontId="32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68" fontId="58" fillId="7" borderId="29" xfId="5" quotePrefix="1" applyNumberFormat="1" applyFont="1" applyBorder="1" applyAlignment="1">
      <alignment horizontal="center" vertical="center"/>
    </xf>
    <xf numFmtId="168" fontId="58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7" fontId="69" fillId="0" borderId="88" xfId="0" applyNumberFormat="1" applyFont="1" applyBorder="1" applyAlignment="1">
      <alignment horizontal="center" vertical="center"/>
    </xf>
    <xf numFmtId="167" fontId="69" fillId="37" borderId="2" xfId="0" applyNumberFormat="1" applyFont="1" applyFill="1" applyBorder="1" applyAlignment="1">
      <alignment horizontal="center" vertical="center"/>
    </xf>
    <xf numFmtId="167" fontId="69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69" fillId="34" borderId="6" xfId="0" applyFont="1" applyFill="1" applyBorder="1"/>
    <xf numFmtId="0" fontId="69" fillId="34" borderId="6" xfId="0" applyFont="1" applyFill="1" applyBorder="1" applyAlignment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1" fillId="6" borderId="6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7" fillId="12" borderId="6" xfId="0" applyFont="1" applyFill="1" applyBorder="1"/>
    <xf numFmtId="0" fontId="17" fillId="12" borderId="2" xfId="0" applyFont="1" applyFill="1" applyBorder="1"/>
    <xf numFmtId="0" fontId="33" fillId="12" borderId="6" xfId="0" applyFont="1" applyFill="1" applyBorder="1" applyAlignment="1">
      <alignment horizontal="right"/>
    </xf>
    <xf numFmtId="0" fontId="33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7" fillId="0" borderId="0" xfId="0" applyNumberFormat="1" applyFont="1"/>
    <xf numFmtId="0" fontId="17" fillId="30" borderId="0" xfId="0" applyFont="1" applyFill="1"/>
    <xf numFmtId="165" fontId="17" fillId="30" borderId="0" xfId="0" applyNumberFormat="1" applyFont="1" applyFill="1"/>
    <xf numFmtId="165" fontId="17" fillId="25" borderId="0" xfId="0" applyNumberFormat="1" applyFont="1" applyFill="1"/>
    <xf numFmtId="0" fontId="17" fillId="25" borderId="0" xfId="0" applyFont="1" applyFill="1"/>
    <xf numFmtId="165" fontId="0" fillId="4" borderId="4" xfId="0" applyNumberFormat="1" applyFill="1" applyBorder="1"/>
    <xf numFmtId="0" fontId="17" fillId="38" borderId="0" xfId="0" applyFont="1" applyFill="1"/>
    <xf numFmtId="0" fontId="69" fillId="34" borderId="23" xfId="0" applyFont="1" applyFill="1" applyBorder="1"/>
    <xf numFmtId="165" fontId="69" fillId="44" borderId="137" xfId="5" applyNumberFormat="1" applyFont="1" applyFill="1" applyBorder="1" applyAlignment="1" applyProtection="1"/>
    <xf numFmtId="165" fontId="69" fillId="44" borderId="58" xfId="5" applyNumberFormat="1" applyFont="1" applyFill="1" applyBorder="1" applyAlignment="1" applyProtection="1"/>
    <xf numFmtId="165" fontId="69" fillId="44" borderId="134" xfId="5" applyNumberFormat="1" applyFont="1" applyFill="1" applyBorder="1" applyAlignment="1" applyProtection="1"/>
    <xf numFmtId="165" fontId="69" fillId="44" borderId="135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6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4" fillId="0" borderId="0" xfId="0" applyNumberFormat="1" applyFont="1"/>
    <xf numFmtId="0" fontId="17" fillId="0" borderId="2" xfId="0" applyFont="1" applyBorder="1"/>
    <xf numFmtId="0" fontId="1" fillId="2" borderId="2" xfId="1" applyBorder="1" applyProtection="1"/>
    <xf numFmtId="0" fontId="88" fillId="2" borderId="2" xfId="1" applyFont="1" applyBorder="1" applyProtection="1"/>
    <xf numFmtId="167" fontId="88" fillId="2" borderId="2" xfId="1" applyNumberFormat="1" applyFont="1" applyBorder="1" applyProtection="1"/>
    <xf numFmtId="1" fontId="88" fillId="2" borderId="2" xfId="1" applyNumberFormat="1" applyFont="1" applyBorder="1" applyProtection="1"/>
    <xf numFmtId="165" fontId="85" fillId="47" borderId="0" xfId="13" applyNumberFormat="1" applyFill="1" applyBorder="1" applyProtection="1"/>
    <xf numFmtId="165" fontId="85" fillId="47" borderId="0" xfId="13" applyNumberFormat="1" applyFill="1" applyBorder="1" applyAlignment="1" applyProtection="1"/>
    <xf numFmtId="165" fontId="85" fillId="47" borderId="0" xfId="13" applyNumberFormat="1" applyFill="1" applyProtection="1"/>
    <xf numFmtId="0" fontId="85" fillId="47" borderId="0" xfId="13" applyFill="1" applyProtection="1"/>
    <xf numFmtId="0" fontId="85" fillId="47" borderId="0" xfId="13" applyFill="1"/>
    <xf numFmtId="165" fontId="85" fillId="47" borderId="15" xfId="13" applyNumberFormat="1" applyFill="1" applyBorder="1" applyAlignment="1" applyProtection="1"/>
    <xf numFmtId="166" fontId="85" fillId="47" borderId="0" xfId="13" applyNumberFormat="1" applyFill="1" applyProtection="1"/>
    <xf numFmtId="165" fontId="85" fillId="47" borderId="0" xfId="13" applyNumberFormat="1" applyFill="1"/>
    <xf numFmtId="164" fontId="85" fillId="47" borderId="0" xfId="13" applyNumberFormat="1" applyFill="1" applyBorder="1" applyAlignment="1" applyProtection="1">
      <alignment vertical="center" wrapText="1"/>
    </xf>
    <xf numFmtId="0" fontId="0" fillId="47" borderId="0" xfId="0" applyFill="1"/>
    <xf numFmtId="164" fontId="85" fillId="47" borderId="4" xfId="13" applyNumberFormat="1" applyFill="1" applyBorder="1" applyAlignment="1" applyProtection="1">
      <alignment vertical="center" wrapText="1"/>
    </xf>
    <xf numFmtId="164" fontId="85" fillId="47" borderId="12" xfId="13" applyNumberFormat="1" applyFill="1" applyBorder="1" applyAlignment="1" applyProtection="1">
      <alignment vertical="center" wrapText="1"/>
    </xf>
    <xf numFmtId="0" fontId="17" fillId="38" borderId="28" xfId="0" applyFont="1" applyFill="1" applyBorder="1"/>
    <xf numFmtId="165" fontId="4" fillId="47" borderId="0" xfId="3" applyNumberFormat="1" applyFill="1" applyBorder="1" applyProtection="1"/>
    <xf numFmtId="165" fontId="4" fillId="47" borderId="0" xfId="3" applyNumberFormat="1" applyFill="1" applyBorder="1" applyAlignment="1" applyProtection="1"/>
    <xf numFmtId="165" fontId="4" fillId="47" borderId="0" xfId="3" applyNumberFormat="1" applyFill="1" applyProtection="1"/>
    <xf numFmtId="165" fontId="4" fillId="47" borderId="15" xfId="3" applyNumberFormat="1" applyFill="1" applyBorder="1" applyAlignment="1" applyProtection="1"/>
    <xf numFmtId="166" fontId="4" fillId="47" borderId="0" xfId="3" applyNumberFormat="1" applyFill="1" applyProtection="1"/>
    <xf numFmtId="165" fontId="4" fillId="47" borderId="16" xfId="3" applyNumberFormat="1" applyFill="1" applyBorder="1" applyAlignment="1" applyProtection="1"/>
    <xf numFmtId="165" fontId="4" fillId="47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0" fontId="15" fillId="2" borderId="6" xfId="1" applyFont="1" applyBorder="1" applyAlignment="1" applyProtection="1"/>
    <xf numFmtId="165" fontId="32" fillId="10" borderId="34" xfId="0" quotePrefix="1" applyNumberFormat="1" applyFont="1" applyFill="1" applyBorder="1" applyAlignment="1">
      <alignment horizontal="center"/>
    </xf>
    <xf numFmtId="165" fontId="24" fillId="10" borderId="29" xfId="0" quotePrefix="1" applyNumberFormat="1" applyFont="1" applyFill="1" applyBorder="1" applyAlignment="1">
      <alignment horizontal="center" vertical="center"/>
    </xf>
    <xf numFmtId="1" fontId="24" fillId="10" borderId="29" xfId="0" applyNumberFormat="1" applyFont="1" applyFill="1" applyBorder="1" applyAlignment="1">
      <alignment horizontal="center" vertical="center"/>
    </xf>
    <xf numFmtId="170" fontId="32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3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0" fillId="7" borderId="25" xfId="5" applyFont="1"/>
    <xf numFmtId="0" fontId="0" fillId="7" borderId="25" xfId="5" applyFont="1" applyAlignment="1"/>
    <xf numFmtId="0" fontId="0" fillId="41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57" xfId="1" applyNumberFormat="1" applyBorder="1" applyAlignment="1"/>
    <xf numFmtId="165" fontId="1" fillId="2" borderId="158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70" fontId="0" fillId="0" borderId="0" xfId="0" applyNumberFormat="1"/>
    <xf numFmtId="172" fontId="0" fillId="0" borderId="0" xfId="0" applyNumberFormat="1"/>
    <xf numFmtId="1" fontId="24" fillId="10" borderId="49" xfId="0" applyNumberFormat="1" applyFont="1" applyFill="1" applyBorder="1" applyAlignment="1">
      <alignment horizontal="center" vertical="center"/>
    </xf>
    <xf numFmtId="165" fontId="32" fillId="10" borderId="89" xfId="0" quotePrefix="1" applyNumberFormat="1" applyFont="1" applyFill="1" applyBorder="1" applyAlignment="1">
      <alignment horizontal="center"/>
    </xf>
    <xf numFmtId="170" fontId="32" fillId="10" borderId="50" xfId="0" quotePrefix="1" applyNumberFormat="1" applyFont="1" applyFill="1" applyBorder="1" applyAlignment="1">
      <alignment horizontal="center"/>
    </xf>
    <xf numFmtId="0" fontId="37" fillId="47" borderId="0" xfId="0" applyFont="1" applyFill="1"/>
    <xf numFmtId="0" fontId="95" fillId="0" borderId="0" xfId="0" applyFont="1"/>
    <xf numFmtId="0" fontId="75" fillId="0" borderId="0" xfId="0" applyFont="1"/>
    <xf numFmtId="165" fontId="10" fillId="0" borderId="22" xfId="0" applyNumberFormat="1" applyFont="1" applyBorder="1"/>
    <xf numFmtId="165" fontId="4" fillId="3" borderId="0" xfId="3" applyNumberFormat="1" applyFill="1" applyBorder="1" applyAlignment="1" applyProtection="1"/>
    <xf numFmtId="165" fontId="10" fillId="21" borderId="14" xfId="0" applyNumberFormat="1" applyFont="1" applyFill="1" applyBorder="1"/>
    <xf numFmtId="0" fontId="0" fillId="38" borderId="2" xfId="0" applyFill="1" applyBorder="1"/>
    <xf numFmtId="0" fontId="0" fillId="7" borderId="25" xfId="5" quotePrefix="1" applyFont="1" applyAlignment="1" applyProtection="1">
      <alignment horizontal="center"/>
    </xf>
    <xf numFmtId="165" fontId="1" fillId="2" borderId="116" xfId="1" applyNumberFormat="1" applyBorder="1" applyAlignment="1" applyProtection="1">
      <alignment vertical="center"/>
    </xf>
    <xf numFmtId="165" fontId="10" fillId="15" borderId="28" xfId="8" applyNumberFormat="1" applyFont="1" applyBorder="1" applyAlignment="1" applyProtection="1">
      <alignment vertical="center"/>
    </xf>
    <xf numFmtId="165" fontId="10" fillId="0" borderId="0" xfId="0" applyNumberFormat="1" applyFont="1" applyProtection="1"/>
    <xf numFmtId="0" fontId="0" fillId="0" borderId="0" xfId="0" applyProtection="1"/>
    <xf numFmtId="165" fontId="24" fillId="0" borderId="0" xfId="0" applyNumberFormat="1" applyFont="1" applyProtection="1"/>
    <xf numFmtId="165" fontId="10" fillId="0" borderId="0" xfId="0" applyNumberFormat="1" applyFont="1" applyAlignment="1" applyProtection="1">
      <alignment horizontal="center"/>
    </xf>
    <xf numFmtId="0" fontId="0" fillId="47" borderId="0" xfId="0" applyFill="1" applyProtection="1"/>
    <xf numFmtId="165" fontId="10" fillId="9" borderId="14" xfId="0" applyNumberFormat="1" applyFont="1" applyFill="1" applyBorder="1" applyAlignment="1" applyProtection="1">
      <alignment horizontal="left" vertical="center"/>
    </xf>
    <xf numFmtId="165" fontId="10" fillId="9" borderId="15" xfId="0" applyNumberFormat="1" applyFont="1" applyFill="1" applyBorder="1" applyAlignment="1" applyProtection="1">
      <alignment horizontal="left" vertical="center"/>
    </xf>
    <xf numFmtId="165" fontId="10" fillId="25" borderId="15" xfId="0" applyNumberFormat="1" applyFont="1" applyFill="1" applyBorder="1" applyAlignment="1" applyProtection="1">
      <alignment horizontal="left" vertical="center"/>
    </xf>
    <xf numFmtId="165" fontId="10" fillId="9" borderId="15" xfId="0" applyNumberFormat="1" applyFont="1" applyFill="1" applyBorder="1" applyProtection="1"/>
    <xf numFmtId="1" fontId="10" fillId="9" borderId="15" xfId="0" applyNumberFormat="1" applyFont="1" applyFill="1" applyBorder="1" applyProtection="1"/>
    <xf numFmtId="0" fontId="17" fillId="0" borderId="0" xfId="0" applyFont="1" applyProtection="1"/>
    <xf numFmtId="165" fontId="10" fillId="47" borderId="0" xfId="0" applyNumberFormat="1" applyFont="1" applyFill="1" applyProtection="1"/>
    <xf numFmtId="0" fontId="24" fillId="0" borderId="0" xfId="0" applyFont="1" applyProtection="1"/>
    <xf numFmtId="165" fontId="10" fillId="9" borderId="14" xfId="0" applyNumberFormat="1" applyFont="1" applyFill="1" applyBorder="1" applyProtection="1"/>
    <xf numFmtId="165" fontId="10" fillId="9" borderId="16" xfId="0" applyNumberFormat="1" applyFont="1" applyFill="1" applyBorder="1" applyProtection="1"/>
    <xf numFmtId="0" fontId="17" fillId="38" borderId="0" xfId="0" applyFont="1" applyFill="1" applyProtection="1"/>
    <xf numFmtId="0" fontId="44" fillId="0" borderId="0" xfId="0" applyFont="1" applyProtection="1"/>
    <xf numFmtId="0" fontId="44" fillId="47" borderId="0" xfId="0" applyFont="1" applyFill="1" applyProtection="1"/>
    <xf numFmtId="0" fontId="0" fillId="0" borderId="0" xfId="0" applyAlignment="1" applyProtection="1">
      <alignment horizontal="right"/>
    </xf>
    <xf numFmtId="165" fontId="10" fillId="4" borderId="14" xfId="0" applyNumberFormat="1" applyFont="1" applyFill="1" applyBorder="1" applyProtection="1"/>
    <xf numFmtId="165" fontId="10" fillId="4" borderId="22" xfId="0" applyNumberFormat="1" applyFont="1" applyFill="1" applyBorder="1" applyProtection="1"/>
    <xf numFmtId="165" fontId="10" fillId="4" borderId="15" xfId="0" applyNumberFormat="1" applyFont="1" applyFill="1" applyBorder="1" applyProtection="1"/>
    <xf numFmtId="165" fontId="10" fillId="25" borderId="15" xfId="0" applyNumberFormat="1" applyFont="1" applyFill="1" applyBorder="1" applyAlignment="1" applyProtection="1">
      <alignment horizontal="center"/>
    </xf>
    <xf numFmtId="165" fontId="10" fillId="25" borderId="15" xfId="0" applyNumberFormat="1" applyFont="1" applyFill="1" applyBorder="1" applyProtection="1"/>
    <xf numFmtId="165" fontId="10" fillId="4" borderId="16" xfId="0" applyNumberFormat="1" applyFont="1" applyFill="1" applyBorder="1" applyProtection="1"/>
    <xf numFmtId="165" fontId="10" fillId="0" borderId="0" xfId="0" applyNumberFormat="1" applyFont="1" applyAlignment="1" applyProtection="1">
      <alignment horizontal="center" vertical="center"/>
    </xf>
    <xf numFmtId="0" fontId="0" fillId="12" borderId="2" xfId="0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right" vertical="center"/>
    </xf>
    <xf numFmtId="0" fontId="0" fillId="0" borderId="0" xfId="0" quotePrefix="1" applyProtection="1"/>
    <xf numFmtId="165" fontId="10" fillId="4" borderId="0" xfId="0" applyNumberFormat="1" applyFont="1" applyFill="1" applyAlignment="1" applyProtection="1">
      <alignment horizontal="left"/>
    </xf>
    <xf numFmtId="165" fontId="10" fillId="21" borderId="15" xfId="0" applyNumberFormat="1" applyFont="1" applyFill="1" applyBorder="1" applyProtection="1"/>
    <xf numFmtId="165" fontId="10" fillId="9" borderId="0" xfId="0" applyNumberFormat="1" applyFont="1" applyFill="1" applyProtection="1"/>
    <xf numFmtId="0" fontId="17" fillId="9" borderId="0" xfId="0" applyFont="1" applyFill="1" applyProtection="1"/>
    <xf numFmtId="165" fontId="10" fillId="9" borderId="2" xfId="0" applyNumberFormat="1" applyFont="1" applyFill="1" applyBorder="1" applyProtection="1"/>
    <xf numFmtId="165" fontId="10" fillId="9" borderId="2" xfId="0" quotePrefix="1" applyNumberFormat="1" applyFont="1" applyFill="1" applyBorder="1" applyProtection="1"/>
    <xf numFmtId="165" fontId="10" fillId="0" borderId="0" xfId="0" quotePrefix="1" applyNumberFormat="1" applyFont="1" applyProtection="1"/>
    <xf numFmtId="165" fontId="10" fillId="0" borderId="2" xfId="0" quotePrefix="1" applyNumberFormat="1" applyFont="1" applyBorder="1" applyProtection="1"/>
    <xf numFmtId="165" fontId="10" fillId="0" borderId="43" xfId="0" quotePrefix="1" applyNumberFormat="1" applyFont="1" applyBorder="1" applyProtection="1"/>
    <xf numFmtId="165" fontId="10" fillId="0" borderId="56" xfId="0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 applyProtection="1">
      <alignment horizontal="center"/>
    </xf>
    <xf numFmtId="165" fontId="0" fillId="0" borderId="0" xfId="0" applyNumberFormat="1" applyProtection="1"/>
    <xf numFmtId="165" fontId="10" fillId="0" borderId="0" xfId="0" applyNumberFormat="1" applyFont="1" applyAlignment="1" applyProtection="1">
      <alignment vertical="center"/>
    </xf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5" fontId="13" fillId="27" borderId="2" xfId="0" applyNumberFormat="1" applyFont="1" applyFill="1" applyBorder="1" applyAlignment="1" applyProtection="1">
      <alignment horizontal="left" vertical="center"/>
    </xf>
    <xf numFmtId="0" fontId="0" fillId="30" borderId="0" xfId="0" applyFill="1" applyProtection="1"/>
    <xf numFmtId="165" fontId="0" fillId="30" borderId="0" xfId="0" applyNumberFormat="1" applyFill="1" applyProtection="1"/>
    <xf numFmtId="0" fontId="53" fillId="30" borderId="0" xfId="0" applyFont="1" applyFill="1" applyProtection="1"/>
    <xf numFmtId="165" fontId="0" fillId="25" borderId="0" xfId="0" applyNumberFormat="1" applyFill="1" applyProtection="1"/>
    <xf numFmtId="0" fontId="0" fillId="25" borderId="0" xfId="0" applyFill="1" applyProtection="1"/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5" fontId="67" fillId="0" borderId="0" xfId="0" applyNumberFormat="1" applyFont="1" applyAlignment="1" applyProtection="1">
      <alignment horizontal="center"/>
    </xf>
    <xf numFmtId="0" fontId="0" fillId="0" borderId="123" xfId="0" applyBorder="1" applyProtection="1"/>
    <xf numFmtId="165" fontId="0" fillId="0" borderId="123" xfId="0" applyNumberFormat="1" applyBorder="1" applyAlignment="1" applyProtection="1">
      <alignment horizontal="center"/>
    </xf>
    <xf numFmtId="165" fontId="0" fillId="0" borderId="123" xfId="0" applyNumberFormat="1" applyBorder="1" applyProtection="1"/>
    <xf numFmtId="165" fontId="0" fillId="35" borderId="0" xfId="0" applyNumberFormat="1" applyFill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165" fontId="0" fillId="4" borderId="4" xfId="0" applyNumberFormat="1" applyFill="1" applyBorder="1" applyProtection="1"/>
    <xf numFmtId="0" fontId="69" fillId="34" borderId="6" xfId="0" applyFont="1" applyFill="1" applyBorder="1" applyProtection="1"/>
    <xf numFmtId="0" fontId="69" fillId="34" borderId="23" xfId="0" applyFont="1" applyFill="1" applyBorder="1" applyProtection="1"/>
    <xf numFmtId="0" fontId="69" fillId="34" borderId="6" xfId="0" applyFont="1" applyFill="1" applyBorder="1" applyAlignment="1" applyProtection="1">
      <alignment horizontal="center"/>
    </xf>
    <xf numFmtId="165" fontId="69" fillId="0" borderId="0" xfId="0" applyNumberFormat="1" applyFont="1" applyProtection="1"/>
    <xf numFmtId="165" fontId="10" fillId="9" borderId="22" xfId="0" applyNumberFormat="1" applyFont="1" applyFill="1" applyBorder="1" applyProtection="1"/>
    <xf numFmtId="0" fontId="86" fillId="0" borderId="0" xfId="0" applyFont="1" applyProtection="1"/>
    <xf numFmtId="165" fontId="10" fillId="0" borderId="0" xfId="0" applyNumberFormat="1" applyFont="1" applyAlignment="1" applyProtection="1">
      <alignment wrapText="1"/>
    </xf>
    <xf numFmtId="172" fontId="0" fillId="0" borderId="0" xfId="0" applyNumberFormat="1" applyProtection="1"/>
    <xf numFmtId="167" fontId="0" fillId="0" borderId="0" xfId="0" applyNumberFormat="1" applyProtection="1"/>
    <xf numFmtId="170" fontId="0" fillId="0" borderId="0" xfId="0" applyNumberFormat="1" applyProtection="1"/>
    <xf numFmtId="165" fontId="30" fillId="0" borderId="0" xfId="0" applyNumberFormat="1" applyFont="1" applyAlignment="1" applyProtection="1">
      <alignment horizontal="center" vertical="center"/>
    </xf>
    <xf numFmtId="165" fontId="10" fillId="9" borderId="56" xfId="0" applyNumberFormat="1" applyFont="1" applyFill="1" applyBorder="1" applyProtection="1"/>
    <xf numFmtId="0" fontId="17" fillId="0" borderId="0" xfId="0" applyFont="1" applyProtection="1"/>
    <xf numFmtId="165" fontId="10" fillId="0" borderId="0" xfId="0" applyNumberFormat="1" applyFont="1" applyAlignment="1" applyProtection="1">
      <alignment horizontal="center"/>
    </xf>
    <xf numFmtId="0" fontId="0" fillId="28" borderId="0" xfId="0" applyFill="1" applyProtection="1"/>
    <xf numFmtId="165" fontId="0" fillId="28" borderId="0" xfId="0" applyNumberFormat="1" applyFill="1" applyProtection="1"/>
    <xf numFmtId="0" fontId="53" fillId="28" borderId="0" xfId="0" applyFont="1" applyFill="1" applyProtection="1"/>
    <xf numFmtId="169" fontId="0" fillId="0" borderId="0" xfId="0" applyNumberFormat="1" applyProtection="1"/>
    <xf numFmtId="165" fontId="0" fillId="25" borderId="2" xfId="0" applyNumberFormat="1" applyFill="1" applyBorder="1" applyAlignment="1" applyProtection="1">
      <alignment vertical="center"/>
    </xf>
    <xf numFmtId="165" fontId="44" fillId="0" borderId="0" xfId="0" applyNumberFormat="1" applyFont="1" applyProtection="1"/>
    <xf numFmtId="168" fontId="3" fillId="13" borderId="1" xfId="2" applyNumberFormat="1" applyAlignment="1" applyProtection="1">
      <protection locked="0"/>
    </xf>
    <xf numFmtId="0" fontId="0" fillId="34" borderId="2" xfId="0" applyFill="1" applyBorder="1" applyAlignment="1" applyProtection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Protection="1"/>
    <xf numFmtId="0" fontId="0" fillId="0" borderId="0" xfId="0" applyFill="1" applyProtection="1"/>
    <xf numFmtId="165" fontId="24" fillId="0" borderId="0" xfId="0" applyNumberFormat="1" applyFont="1" applyFill="1" applyProtection="1"/>
    <xf numFmtId="165" fontId="10" fillId="0" borderId="0" xfId="0" applyNumberFormat="1" applyFont="1" applyFill="1" applyAlignment="1" applyProtection="1">
      <alignment horizontal="center"/>
    </xf>
    <xf numFmtId="0" fontId="17" fillId="0" borderId="0" xfId="0" applyFont="1" applyFill="1" applyProtection="1"/>
    <xf numFmtId="0" fontId="1" fillId="0" borderId="3" xfId="1" applyFill="1" applyBorder="1" applyProtection="1"/>
    <xf numFmtId="0" fontId="1" fillId="0" borderId="1" xfId="1" applyFill="1" applyProtection="1"/>
    <xf numFmtId="0" fontId="24" fillId="0" borderId="0" xfId="0" applyFont="1" applyFill="1" applyProtection="1"/>
    <xf numFmtId="0" fontId="44" fillId="0" borderId="0" xfId="0" applyFont="1" applyFill="1" applyProtection="1"/>
    <xf numFmtId="0" fontId="0" fillId="0" borderId="0" xfId="0" applyFill="1" applyAlignment="1" applyProtection="1">
      <alignment horizontal="right"/>
    </xf>
    <xf numFmtId="165" fontId="1" fillId="0" borderId="1" xfId="1" applyNumberFormat="1" applyFill="1" applyProtection="1"/>
    <xf numFmtId="165" fontId="10" fillId="0" borderId="0" xfId="0" applyNumberFormat="1" applyFont="1" applyFill="1" applyAlignment="1" applyProtection="1">
      <alignment horizontal="center" vertical="center"/>
    </xf>
    <xf numFmtId="0" fontId="0" fillId="0" borderId="2" xfId="0" applyFill="1" applyBorder="1" applyProtection="1"/>
    <xf numFmtId="0" fontId="17" fillId="0" borderId="0" xfId="0" applyFont="1" applyFill="1" applyAlignment="1" applyProtection="1">
      <alignment horizontal="right" vertical="center"/>
    </xf>
    <xf numFmtId="0" fontId="1" fillId="0" borderId="13" xfId="1" applyFill="1" applyBorder="1" applyProtection="1"/>
    <xf numFmtId="0" fontId="0" fillId="0" borderId="0" xfId="0" quotePrefix="1" applyFill="1" applyProtection="1"/>
    <xf numFmtId="165" fontId="10" fillId="0" borderId="0" xfId="0" applyNumberFormat="1" applyFont="1" applyFill="1" applyAlignment="1" applyProtection="1">
      <alignment horizontal="left"/>
    </xf>
    <xf numFmtId="0" fontId="1" fillId="0" borderId="1" xfId="1" quotePrefix="1" applyFill="1" applyProtection="1"/>
    <xf numFmtId="165" fontId="10" fillId="0" borderId="2" xfId="0" quotePrefix="1" applyNumberFormat="1" applyFont="1" applyFill="1" applyBorder="1" applyProtection="1"/>
    <xf numFmtId="165" fontId="10" fillId="0" borderId="0" xfId="0" quotePrefix="1" applyNumberFormat="1" applyFont="1" applyFill="1" applyProtection="1"/>
    <xf numFmtId="165" fontId="10" fillId="0" borderId="43" xfId="0" quotePrefix="1" applyNumberFormat="1" applyFont="1" applyFill="1" applyBorder="1" applyProtection="1"/>
    <xf numFmtId="165" fontId="10" fillId="0" borderId="56" xfId="0" applyNumberFormat="1" applyFont="1" applyFill="1" applyBorder="1" applyAlignment="1" applyProtection="1">
      <alignment horizontal="center"/>
    </xf>
    <xf numFmtId="165" fontId="10" fillId="0" borderId="0" xfId="0" quotePrefix="1" applyNumberFormat="1" applyFont="1" applyFill="1" applyAlignment="1" applyProtection="1">
      <alignment horizontal="center"/>
    </xf>
    <xf numFmtId="0" fontId="10" fillId="0" borderId="0" xfId="0" applyFont="1" applyFill="1" applyProtection="1"/>
    <xf numFmtId="165" fontId="0" fillId="0" borderId="0" xfId="0" applyNumberFormat="1" applyFill="1" applyProtection="1"/>
    <xf numFmtId="165" fontId="15" fillId="0" borderId="9" xfId="1" applyNumberFormat="1" applyFont="1" applyFill="1" applyBorder="1" applyAlignment="1" applyProtection="1"/>
    <xf numFmtId="165" fontId="10" fillId="0" borderId="0" xfId="0" applyNumberFormat="1" applyFont="1" applyFill="1" applyAlignment="1" applyProtection="1">
      <alignment vertical="center"/>
    </xf>
    <xf numFmtId="165" fontId="15" fillId="0" borderId="6" xfId="1" applyNumberFormat="1" applyFont="1" applyFill="1" applyBorder="1" applyAlignment="1" applyProtection="1"/>
    <xf numFmtId="0" fontId="0" fillId="0" borderId="16" xfId="0" applyFill="1" applyBorder="1" applyProtection="1"/>
    <xf numFmtId="0" fontId="53" fillId="0" borderId="0" xfId="0" applyFont="1" applyFill="1" applyProtection="1"/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/>
    </xf>
    <xf numFmtId="165" fontId="67" fillId="0" borderId="0" xfId="0" applyNumberFormat="1" applyFont="1" applyFill="1" applyAlignment="1" applyProtection="1">
      <alignment horizontal="center"/>
    </xf>
    <xf numFmtId="0" fontId="0" fillId="0" borderId="123" xfId="0" applyFill="1" applyBorder="1" applyProtection="1"/>
    <xf numFmtId="165" fontId="0" fillId="0" borderId="123" xfId="0" applyNumberFormat="1" applyFill="1" applyBorder="1" applyAlignment="1" applyProtection="1">
      <alignment horizontal="center"/>
    </xf>
    <xf numFmtId="165" fontId="0" fillId="0" borderId="123" xfId="0" applyNumberFormat="1" applyFill="1" applyBorder="1" applyProtection="1"/>
    <xf numFmtId="165" fontId="0" fillId="0" borderId="0" xfId="0" applyNumberFormat="1" applyFill="1" applyAlignment="1" applyProtection="1">
      <alignment horizontal="center"/>
    </xf>
    <xf numFmtId="165" fontId="69" fillId="0" borderId="0" xfId="0" applyNumberFormat="1" applyFont="1" applyFill="1" applyProtection="1"/>
    <xf numFmtId="168" fontId="3" fillId="13" borderId="1" xfId="2" quotePrefix="1" applyNumberFormat="1" applyAlignment="1" applyProtection="1">
      <alignment horizontal="center"/>
      <protection locked="0"/>
    </xf>
    <xf numFmtId="165" fontId="10" fillId="28" borderId="14" xfId="0" applyNumberFormat="1" applyFont="1" applyFill="1" applyBorder="1" applyAlignment="1" applyProtection="1">
      <alignment horizontal="left" vertical="center"/>
    </xf>
    <xf numFmtId="165" fontId="10" fillId="28" borderId="15" xfId="0" applyNumberFormat="1" applyFont="1" applyFill="1" applyBorder="1" applyAlignment="1" applyProtection="1">
      <alignment horizontal="left" vertical="center"/>
    </xf>
    <xf numFmtId="165" fontId="10" fillId="28" borderId="14" xfId="0" applyNumberFormat="1" applyFont="1" applyFill="1" applyBorder="1" applyProtection="1"/>
    <xf numFmtId="165" fontId="10" fillId="28" borderId="15" xfId="0" applyNumberFormat="1" applyFont="1" applyFill="1" applyBorder="1" applyProtection="1"/>
    <xf numFmtId="165" fontId="10" fillId="28" borderId="16" xfId="0" applyNumberFormat="1" applyFont="1" applyFill="1" applyBorder="1" applyProtection="1"/>
    <xf numFmtId="165" fontId="4" fillId="5" borderId="15" xfId="3" applyNumberFormat="1" applyBorder="1" applyAlignment="1" applyProtection="1">
      <alignment horizontal="left" vertical="center"/>
    </xf>
    <xf numFmtId="1" fontId="10" fillId="28" borderId="15" xfId="0" applyNumberFormat="1" applyFont="1" applyFill="1" applyBorder="1" applyProtection="1"/>
    <xf numFmtId="0" fontId="47" fillId="49" borderId="113" xfId="11" applyFill="1" applyAlignment="1" applyProtection="1">
      <alignment horizontal="center"/>
    </xf>
    <xf numFmtId="0" fontId="0" fillId="44" borderId="2" xfId="0" applyFill="1" applyBorder="1" applyProtection="1"/>
    <xf numFmtId="0" fontId="11" fillId="44" borderId="2" xfId="0" applyFont="1" applyFill="1" applyBorder="1" applyAlignment="1" applyProtection="1">
      <alignment horizontal="right"/>
    </xf>
    <xf numFmtId="0" fontId="11" fillId="44" borderId="2" xfId="0" applyFont="1" applyFill="1" applyBorder="1" applyAlignment="1" applyProtection="1">
      <alignment horizontal="center"/>
    </xf>
    <xf numFmtId="0" fontId="10" fillId="39" borderId="8" xfId="8" applyFont="1" applyFill="1" applyBorder="1" applyAlignment="1" applyProtection="1">
      <alignment vertical="center"/>
    </xf>
    <xf numFmtId="0" fontId="10" fillId="39" borderId="9" xfId="8" applyFont="1" applyFill="1" applyBorder="1" applyAlignment="1" applyProtection="1">
      <alignment vertical="center"/>
    </xf>
    <xf numFmtId="0" fontId="10" fillId="39" borderId="45" xfId="8" applyFont="1" applyFill="1" applyBorder="1" applyAlignment="1" applyProtection="1">
      <alignment vertical="center"/>
    </xf>
    <xf numFmtId="0" fontId="10" fillId="39" borderId="10" xfId="8" applyFont="1" applyFill="1" applyBorder="1" applyAlignment="1" applyProtection="1">
      <alignment vertical="center"/>
    </xf>
    <xf numFmtId="165" fontId="4" fillId="5" borderId="15" xfId="3" applyNumberFormat="1" applyBorder="1" applyProtection="1"/>
    <xf numFmtId="0" fontId="1" fillId="2" borderId="3" xfId="1" quotePrefix="1" applyBorder="1" applyProtection="1"/>
    <xf numFmtId="165" fontId="29" fillId="49" borderId="25" xfId="5" applyNumberFormat="1" applyFont="1" applyFill="1" applyProtection="1"/>
    <xf numFmtId="165" fontId="10" fillId="28" borderId="2" xfId="0" applyNumberFormat="1" applyFont="1" applyFill="1" applyBorder="1" applyProtection="1"/>
    <xf numFmtId="165" fontId="10" fillId="28" borderId="2" xfId="0" quotePrefix="1" applyNumberFormat="1" applyFont="1" applyFill="1" applyBorder="1" applyProtection="1"/>
    <xf numFmtId="2" fontId="1" fillId="2" borderId="1" xfId="1" applyNumberFormat="1" applyProtection="1"/>
    <xf numFmtId="165" fontId="10" fillId="49" borderId="0" xfId="0" quotePrefix="1" applyNumberFormat="1" applyFont="1" applyFill="1" applyProtection="1"/>
    <xf numFmtId="0" fontId="0" fillId="49" borderId="25" xfId="5" quotePrefix="1" applyFont="1" applyFill="1" applyAlignment="1" applyProtection="1">
      <alignment horizontal="center"/>
    </xf>
    <xf numFmtId="0" fontId="0" fillId="49" borderId="25" xfId="5" applyFont="1" applyFill="1" applyProtection="1"/>
    <xf numFmtId="165" fontId="6" fillId="6" borderId="24" xfId="4" applyNumberFormat="1" applyAlignment="1" applyProtection="1"/>
    <xf numFmtId="165" fontId="19" fillId="29" borderId="6" xfId="6" applyNumberFormat="1" applyFont="1" applyFill="1" applyBorder="1" applyAlignment="1" applyProtection="1">
      <alignment vertical="center"/>
    </xf>
    <xf numFmtId="0" fontId="0" fillId="4" borderId="14" xfId="0" applyFill="1" applyBorder="1" applyProtection="1"/>
    <xf numFmtId="0" fontId="0" fillId="4" borderId="15" xfId="0" applyFill="1" applyBorder="1" applyProtection="1"/>
    <xf numFmtId="0" fontId="0" fillId="4" borderId="16" xfId="0" applyFill="1" applyBorder="1" applyProtection="1"/>
    <xf numFmtId="165" fontId="10" fillId="50" borderId="25" xfId="5" applyNumberFormat="1" applyFont="1" applyFill="1" applyProtection="1"/>
    <xf numFmtId="0" fontId="10" fillId="49" borderId="2" xfId="5" applyFont="1" applyFill="1" applyBorder="1" applyAlignment="1" applyProtection="1">
      <alignment vertical="center"/>
    </xf>
    <xf numFmtId="0" fontId="10" fillId="49" borderId="25" xfId="5" applyFont="1" applyFill="1" applyAlignment="1" applyProtection="1">
      <alignment vertical="center"/>
    </xf>
    <xf numFmtId="165" fontId="13" fillId="25" borderId="2" xfId="0" applyNumberFormat="1" applyFont="1" applyFill="1" applyBorder="1" applyAlignment="1" applyProtection="1">
      <alignment horizontal="left" vertical="center"/>
    </xf>
    <xf numFmtId="0" fontId="8" fillId="11" borderId="0" xfId="6"/>
    <xf numFmtId="49" fontId="3" fillId="13" borderId="1" xfId="2" quotePrefix="1" applyNumberFormat="1" applyAlignment="1" applyProtection="1">
      <alignment vertical="center"/>
      <protection locked="0"/>
    </xf>
    <xf numFmtId="0" fontId="3" fillId="13" borderId="1" xfId="2" quotePrefix="1" applyNumberFormat="1" applyAlignment="1" applyProtection="1">
      <alignment vertical="center"/>
      <protection locked="0"/>
    </xf>
    <xf numFmtId="165" fontId="4" fillId="5" borderId="2" xfId="3" applyNumberFormat="1" applyBorder="1" applyAlignment="1">
      <alignment horizontal="center" vertical="center" wrapText="1"/>
    </xf>
    <xf numFmtId="165" fontId="6" fillId="6" borderId="24" xfId="4" applyNumberFormat="1" applyAlignment="1">
      <alignment vertical="center"/>
    </xf>
    <xf numFmtId="167" fontId="15" fillId="2" borderId="1" xfId="1" applyNumberFormat="1" applyFont="1" applyAlignment="1">
      <alignment horizontal="center" vertical="center"/>
    </xf>
    <xf numFmtId="0" fontId="101" fillId="11" borderId="28" xfId="6" applyFont="1" applyBorder="1" applyAlignment="1">
      <alignment horizontal="center"/>
    </xf>
    <xf numFmtId="0" fontId="8" fillId="11" borderId="29" xfId="6" applyBorder="1" applyAlignment="1">
      <alignment horizontal="center"/>
    </xf>
    <xf numFmtId="165" fontId="10" fillId="3" borderId="2" xfId="8" applyNumberFormat="1" applyFont="1" applyFill="1" applyBorder="1" applyAlignment="1" applyProtection="1">
      <alignment vertical="center"/>
    </xf>
    <xf numFmtId="165" fontId="10" fillId="3" borderId="0" xfId="0" applyNumberFormat="1" applyFont="1" applyFill="1" applyProtection="1"/>
    <xf numFmtId="0" fontId="0" fillId="3" borderId="0" xfId="0" applyFill="1" applyProtection="1"/>
    <xf numFmtId="165" fontId="10" fillId="7" borderId="25" xfId="5" applyNumberFormat="1" applyFont="1" applyAlignment="1" applyProtection="1">
      <alignment vertical="center"/>
    </xf>
    <xf numFmtId="165" fontId="10" fillId="34" borderId="2" xfId="0" applyNumberFormat="1" applyFont="1" applyFill="1" applyBorder="1" applyProtection="1"/>
    <xf numFmtId="1" fontId="10" fillId="34" borderId="2" xfId="0" quotePrefix="1" applyNumberFormat="1" applyFont="1" applyFill="1" applyBorder="1" applyAlignment="1" applyProtection="1">
      <alignment horizontal="center"/>
    </xf>
    <xf numFmtId="1" fontId="10" fillId="34" borderId="2" xfId="0" applyNumberFormat="1" applyFont="1" applyFill="1" applyBorder="1" applyAlignment="1" applyProtection="1">
      <alignment horizontal="center"/>
    </xf>
    <xf numFmtId="0" fontId="0" fillId="34" borderId="2" xfId="0" applyFill="1" applyBorder="1" applyProtection="1"/>
    <xf numFmtId="0" fontId="17" fillId="34" borderId="2" xfId="0" applyFont="1" applyFill="1" applyBorder="1" applyAlignment="1" applyProtection="1">
      <alignment horizontal="center"/>
    </xf>
    <xf numFmtId="0" fontId="4" fillId="5" borderId="2" xfId="3" applyBorder="1"/>
    <xf numFmtId="0" fontId="0" fillId="0" borderId="2" xfId="0" applyBorder="1" applyAlignment="1">
      <alignment horizontal="center"/>
    </xf>
    <xf numFmtId="0" fontId="4" fillId="5" borderId="2" xfId="3" applyBorder="1" applyAlignment="1">
      <alignment horizontal="center"/>
    </xf>
    <xf numFmtId="0" fontId="6" fillId="6" borderId="24" xfId="4"/>
    <xf numFmtId="0" fontId="3" fillId="13" borderId="1" xfId="2" quotePrefix="1"/>
    <xf numFmtId="0" fontId="3" fillId="13" borderId="1" xfId="2"/>
    <xf numFmtId="0" fontId="6" fillId="6" borderId="24" xfId="4" quotePrefix="1"/>
    <xf numFmtId="173" fontId="6" fillId="6" borderId="24" xfId="4" applyNumberFormat="1"/>
    <xf numFmtId="165" fontId="3" fillId="13" borderId="1" xfId="2" quotePrefix="1" applyNumberFormat="1" applyAlignment="1" applyProtection="1">
      <alignment horizontal="center" vertical="center"/>
      <protection locked="0"/>
    </xf>
    <xf numFmtId="165" fontId="3" fillId="13" borderId="1" xfId="2" applyNumberFormat="1" applyAlignment="1" applyProtection="1">
      <alignment horizontal="center" vertical="center"/>
      <protection locked="0"/>
    </xf>
    <xf numFmtId="0" fontId="3" fillId="13" borderId="1" xfId="2" applyAlignment="1" applyProtection="1">
      <alignment horizontal="center" vertical="center"/>
      <protection locked="0"/>
    </xf>
    <xf numFmtId="0" fontId="3" fillId="13" borderId="1" xfId="2" quotePrefix="1" applyAlignment="1" applyProtection="1">
      <alignment horizontal="center" vertical="center"/>
      <protection locked="0"/>
    </xf>
    <xf numFmtId="0" fontId="17" fillId="0" borderId="0" xfId="0" applyFont="1"/>
    <xf numFmtId="165" fontId="10" fillId="0" borderId="0" xfId="0" applyNumberFormat="1" applyFont="1" applyAlignment="1">
      <alignment horizontal="center"/>
    </xf>
    <xf numFmtId="2" fontId="10" fillId="7" borderId="2" xfId="5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7" fontId="54" fillId="0" borderId="57" xfId="0" applyNumberFormat="1" applyFont="1" applyBorder="1" applyAlignment="1">
      <alignment horizontal="center" vertical="center"/>
    </xf>
    <xf numFmtId="167" fontId="54" fillId="0" borderId="29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15" fillId="2" borderId="13" xfId="1" applyNumberFormat="1" applyFont="1" applyBorder="1" applyAlignment="1" applyProtection="1">
      <alignment horizontal="center"/>
    </xf>
    <xf numFmtId="165" fontId="10" fillId="34" borderId="2" xfId="0" applyNumberFormat="1" applyFont="1" applyFill="1" applyBorder="1" applyAlignment="1" applyProtection="1">
      <alignment horizontal="center" vertical="center" wrapText="1"/>
    </xf>
    <xf numFmtId="0" fontId="0" fillId="12" borderId="9" xfId="0" applyFill="1" applyBorder="1" applyAlignment="1" applyProtection="1">
      <alignment horizontal="center" vertical="center"/>
    </xf>
    <xf numFmtId="0" fontId="0" fillId="12" borderId="4" xfId="0" applyFill="1" applyBorder="1" applyAlignment="1" applyProtection="1">
      <alignment horizontal="center" vertical="center"/>
    </xf>
    <xf numFmtId="0" fontId="0" fillId="12" borderId="46" xfId="0" applyFill="1" applyBorder="1" applyAlignment="1" applyProtection="1">
      <alignment horizontal="center" vertical="center"/>
    </xf>
    <xf numFmtId="0" fontId="17" fillId="0" borderId="0" xfId="0" applyFont="1" applyProtection="1"/>
    <xf numFmtId="0" fontId="0" fillId="25" borderId="0" xfId="0" applyFill="1" applyAlignment="1" applyProtection="1">
      <alignment horizontal="center" vertical="center"/>
    </xf>
    <xf numFmtId="165" fontId="13" fillId="3" borderId="5" xfId="0" applyNumberFormat="1" applyFont="1" applyFill="1" applyBorder="1" applyAlignment="1" applyProtection="1">
      <alignment horizontal="center"/>
    </xf>
    <xf numFmtId="165" fontId="13" fillId="3" borderId="23" xfId="0" applyNumberFormat="1" applyFont="1" applyFill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13" fillId="27" borderId="2" xfId="0" applyNumberFormat="1" applyFont="1" applyFill="1" applyBorder="1" applyAlignment="1" applyProtection="1">
      <alignment horizontal="left" vertical="center"/>
    </xf>
    <xf numFmtId="165" fontId="21" fillId="6" borderId="24" xfId="4" applyNumberFormat="1" applyFont="1" applyAlignment="1" applyProtection="1">
      <alignment horizont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165" fontId="21" fillId="6" borderId="40" xfId="4" applyNumberFormat="1" applyFont="1" applyBorder="1" applyAlignment="1" applyProtection="1">
      <alignment horizontal="center"/>
    </xf>
    <xf numFmtId="0" fontId="3" fillId="13" borderId="1" xfId="2" quotePrefix="1" applyAlignment="1" applyProtection="1">
      <alignment horizontal="center"/>
      <protection locked="0"/>
    </xf>
    <xf numFmtId="165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5" fontId="3" fillId="13" borderId="1" xfId="2" applyNumberFormat="1" applyAlignment="1" applyProtection="1">
      <alignment horizontal="center" vertical="center"/>
      <protection locked="0"/>
    </xf>
    <xf numFmtId="165" fontId="19" fillId="11" borderId="15" xfId="6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10" fillId="15" borderId="2" xfId="8" applyNumberFormat="1" applyFont="1" applyBorder="1" applyAlignment="1" applyProtection="1">
      <alignment horizontal="center" wrapText="1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19" fillId="11" borderId="2" xfId="6" applyNumberFormat="1" applyFont="1" applyBorder="1" applyAlignment="1" applyProtection="1">
      <alignment horizontal="center" vertical="center"/>
    </xf>
    <xf numFmtId="165" fontId="19" fillId="11" borderId="5" xfId="6" applyNumberFormat="1" applyFont="1" applyBorder="1" applyAlignment="1" applyProtection="1">
      <alignment horizontal="center"/>
    </xf>
    <xf numFmtId="165" fontId="19" fillId="11" borderId="23" xfId="6" applyNumberFormat="1" applyFont="1" applyBorder="1" applyAlignment="1" applyProtection="1">
      <alignment horizontal="center"/>
    </xf>
    <xf numFmtId="165" fontId="19" fillId="11" borderId="6" xfId="6" applyNumberFormat="1" applyFont="1" applyBorder="1" applyAlignment="1" applyProtection="1">
      <alignment horizontal="center"/>
    </xf>
    <xf numFmtId="165" fontId="6" fillId="6" borderId="24" xfId="4" applyNumberFormat="1" applyAlignment="1" applyProtection="1">
      <alignment horizontal="center" vertical="center"/>
    </xf>
    <xf numFmtId="165" fontId="21" fillId="6" borderId="24" xfId="4" applyNumberFormat="1" applyFont="1" applyAlignment="1" applyProtection="1">
      <alignment horizontal="center" vertical="center"/>
    </xf>
    <xf numFmtId="0" fontId="21" fillId="6" borderId="24" xfId="4" applyFont="1" applyAlignment="1" applyProtection="1">
      <alignment horizontal="center" vertical="center"/>
    </xf>
    <xf numFmtId="165" fontId="21" fillId="6" borderId="47" xfId="4" applyNumberFormat="1" applyFont="1" applyBorder="1" applyAlignment="1" applyProtection="1">
      <alignment horizontal="center"/>
    </xf>
    <xf numFmtId="0" fontId="3" fillId="13" borderId="1" xfId="2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center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9" fillId="11" borderId="1" xfId="6" quotePrefix="1" applyNumberFormat="1" applyFont="1" applyBorder="1" applyAlignment="1" applyProtection="1">
      <alignment horizontal="center"/>
    </xf>
    <xf numFmtId="165" fontId="19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5" fontId="15" fillId="2" borderId="150" xfId="1" applyNumberFormat="1" applyFont="1" applyBorder="1" applyAlignment="1" applyProtection="1">
      <alignment horizontal="center"/>
    </xf>
    <xf numFmtId="165" fontId="3" fillId="13" borderId="1" xfId="2" quotePrefix="1" applyNumberFormat="1" applyAlignment="1" applyProtection="1">
      <alignment horizontal="center" vertical="center"/>
      <protection locked="0"/>
    </xf>
    <xf numFmtId="165" fontId="20" fillId="5" borderId="5" xfId="3" applyNumberFormat="1" applyFont="1" applyBorder="1" applyAlignment="1" applyProtection="1">
      <alignment horizontal="center"/>
    </xf>
    <xf numFmtId="165" fontId="20" fillId="5" borderId="23" xfId="3" applyNumberFormat="1" applyFont="1" applyBorder="1" applyAlignment="1" applyProtection="1">
      <alignment horizontal="center"/>
    </xf>
    <xf numFmtId="165" fontId="20" fillId="5" borderId="6" xfId="3" applyNumberFormat="1" applyFont="1" applyBorder="1" applyAlignment="1" applyProtection="1">
      <alignment horizontal="center"/>
    </xf>
    <xf numFmtId="0" fontId="10" fillId="19" borderId="28" xfId="8" applyFont="1" applyFill="1" applyBorder="1" applyAlignment="1" applyProtection="1">
      <alignment horizontal="right"/>
    </xf>
    <xf numFmtId="0" fontId="84" fillId="45" borderId="5" xfId="12" applyFill="1" applyBorder="1" applyAlignment="1" applyProtection="1">
      <alignment horizontal="center"/>
    </xf>
    <xf numFmtId="0" fontId="84" fillId="45" borderId="23" xfId="12" applyFill="1" applyBorder="1" applyAlignment="1" applyProtection="1">
      <alignment horizontal="center"/>
    </xf>
    <xf numFmtId="0" fontId="84" fillId="45" borderId="6" xfId="12" applyFill="1" applyBorder="1" applyAlignment="1" applyProtection="1">
      <alignment horizontal="center"/>
    </xf>
    <xf numFmtId="165" fontId="15" fillId="2" borderId="101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0" fontId="27" fillId="5" borderId="5" xfId="3" applyFont="1" applyBorder="1" applyAlignment="1" applyProtection="1">
      <alignment horizontal="center" vertical="center"/>
    </xf>
    <xf numFmtId="0" fontId="27" fillId="5" borderId="23" xfId="3" applyFont="1" applyBorder="1" applyAlignment="1" applyProtection="1">
      <alignment horizontal="center" vertical="center"/>
    </xf>
    <xf numFmtId="0" fontId="27" fillId="5" borderId="6" xfId="3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165" fontId="13" fillId="27" borderId="2" xfId="0" applyNumberFormat="1" applyFont="1" applyFill="1" applyBorder="1" applyAlignment="1" applyProtection="1">
      <alignment horizontal="center" vertical="center"/>
    </xf>
    <xf numFmtId="165" fontId="10" fillId="0" borderId="11" xfId="0" applyNumberFormat="1" applyFont="1" applyBorder="1" applyAlignment="1" applyProtection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3" fillId="13" borderId="1" xfId="2" applyNumberFormat="1" applyAlignment="1" applyProtection="1">
      <alignment horizontal="center"/>
      <protection locked="0"/>
    </xf>
    <xf numFmtId="165" fontId="10" fillId="7" borderId="2" xfId="5" quotePrefix="1" applyNumberFormat="1" applyFont="1" applyBorder="1" applyAlignment="1" applyProtection="1">
      <alignment horizontal="left"/>
    </xf>
    <xf numFmtId="165" fontId="15" fillId="2" borderId="35" xfId="1" applyNumberFormat="1" applyFont="1" applyBorder="1" applyAlignment="1" applyProtection="1">
      <alignment horizontal="center"/>
    </xf>
    <xf numFmtId="165" fontId="19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49" fontId="3" fillId="13" borderId="1" xfId="2" quotePrefix="1" applyNumberFormat="1" applyAlignment="1" applyProtection="1">
      <alignment horizontal="center"/>
      <protection locked="0"/>
    </xf>
    <xf numFmtId="49" fontId="3" fillId="13" borderId="1" xfId="2" applyNumberFormat="1" applyAlignment="1" applyProtection="1">
      <alignment horizontal="center"/>
      <protection locked="0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20" fillId="5" borderId="41" xfId="3" applyNumberFormat="1" applyFont="1" applyBorder="1" applyAlignment="1" applyProtection="1">
      <alignment horizontal="right"/>
    </xf>
    <xf numFmtId="165" fontId="20" fillId="5" borderId="23" xfId="3" applyNumberFormat="1" applyFont="1" applyBorder="1" applyAlignment="1" applyProtection="1">
      <alignment horizontal="right"/>
    </xf>
    <xf numFmtId="165" fontId="20" fillId="5" borderId="6" xfId="3" applyNumberFormat="1" applyFont="1" applyBorder="1" applyAlignment="1" applyProtection="1">
      <alignment horizontal="right"/>
    </xf>
    <xf numFmtId="165" fontId="26" fillId="17" borderId="0" xfId="0" applyNumberFormat="1" applyFont="1" applyFill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8" fillId="13" borderId="20" xfId="2" quotePrefix="1" applyFont="1" applyBorder="1" applyAlignment="1" applyProtection="1">
      <alignment horizontal="center" vertical="center"/>
    </xf>
    <xf numFmtId="0" fontId="18" fillId="13" borderId="0" xfId="2" quotePrefix="1" applyFont="1" applyBorder="1" applyAlignment="1" applyProtection="1">
      <alignment horizontal="center" vertical="center"/>
    </xf>
    <xf numFmtId="165" fontId="25" fillId="17" borderId="0" xfId="0" applyNumberFormat="1" applyFont="1" applyFill="1" applyAlignment="1" applyProtection="1">
      <alignment horizontal="center" vertical="center"/>
    </xf>
    <xf numFmtId="165" fontId="29" fillId="9" borderId="15" xfId="0" applyNumberFormat="1" applyFont="1" applyFill="1" applyBorder="1" applyAlignment="1" applyProtection="1">
      <alignment horizontal="center"/>
    </xf>
    <xf numFmtId="0" fontId="10" fillId="15" borderId="2" xfId="8" applyFont="1" applyBorder="1" applyAlignment="1" applyProtection="1">
      <alignment horizontal="right" vertical="center"/>
    </xf>
    <xf numFmtId="165" fontId="10" fillId="15" borderId="8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0" fontId="3" fillId="13" borderId="1" xfId="2" applyAlignment="1" applyProtection="1">
      <alignment horizontal="center" vertical="center"/>
      <protection locked="0"/>
    </xf>
    <xf numFmtId="0" fontId="1" fillId="2" borderId="1" xfId="1" quotePrefix="1" applyAlignment="1" applyProtection="1">
      <alignment horizontal="center"/>
    </xf>
    <xf numFmtId="165" fontId="28" fillId="14" borderId="39" xfId="4" applyNumberFormat="1" applyFont="1" applyFill="1" applyBorder="1" applyAlignment="1" applyProtection="1">
      <alignment horizontal="center"/>
    </xf>
    <xf numFmtId="165" fontId="28" fillId="14" borderId="40" xfId="4" applyNumberFormat="1" applyFont="1" applyFill="1" applyBorder="1" applyAlignment="1" applyProtection="1">
      <alignment horizontal="center"/>
    </xf>
    <xf numFmtId="165" fontId="10" fillId="27" borderId="2" xfId="0" applyNumberFormat="1" applyFont="1" applyFill="1" applyBorder="1" applyAlignment="1" applyProtection="1">
      <alignment horizontal="center" vertical="center"/>
    </xf>
    <xf numFmtId="165" fontId="10" fillId="9" borderId="0" xfId="0" applyNumberFormat="1" applyFont="1" applyFill="1" applyAlignment="1" applyProtection="1">
      <alignment horizontal="center"/>
    </xf>
    <xf numFmtId="1" fontId="10" fillId="9" borderId="15" xfId="0" applyNumberFormat="1" applyFont="1" applyFill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9" fillId="11" borderId="2" xfId="6" applyNumberFormat="1" applyFont="1" applyBorder="1" applyAlignment="1" applyProtection="1">
      <alignment horizontal="center"/>
    </xf>
    <xf numFmtId="165" fontId="23" fillId="5" borderId="7" xfId="3" applyNumberFormat="1" applyFont="1" applyBorder="1" applyAlignment="1" applyProtection="1">
      <alignment horizontal="center" vertical="center"/>
    </xf>
    <xf numFmtId="165" fontId="23" fillId="5" borderId="8" xfId="3" applyNumberFormat="1" applyFont="1" applyBorder="1" applyAlignment="1" applyProtection="1">
      <alignment horizontal="center" vertical="center"/>
    </xf>
    <xf numFmtId="165" fontId="23" fillId="5" borderId="45" xfId="3" applyNumberFormat="1" applyFont="1" applyBorder="1" applyAlignment="1" applyProtection="1">
      <alignment horizontal="center" vertical="center"/>
    </xf>
    <xf numFmtId="165" fontId="23" fillId="5" borderId="0" xfId="3" applyNumberFormat="1" applyFont="1" applyBorder="1" applyAlignment="1" applyProtection="1">
      <alignment horizontal="center" vertical="center"/>
    </xf>
    <xf numFmtId="165" fontId="23" fillId="5" borderId="10" xfId="3" applyNumberFormat="1" applyFont="1" applyBorder="1" applyAlignment="1" applyProtection="1">
      <alignment horizontal="center" vertical="center"/>
    </xf>
    <xf numFmtId="165" fontId="23" fillId="5" borderId="11" xfId="3" applyNumberFormat="1" applyFont="1" applyBorder="1" applyAlignment="1" applyProtection="1">
      <alignment horizontal="center" vertical="center"/>
    </xf>
    <xf numFmtId="165" fontId="20" fillId="5" borderId="5" xfId="3" applyNumberFormat="1" applyFont="1" applyBorder="1" applyAlignment="1" applyProtection="1">
      <alignment horizontal="right"/>
    </xf>
    <xf numFmtId="0" fontId="20" fillId="5" borderId="5" xfId="3" applyFont="1" applyBorder="1" applyAlignment="1" applyProtection="1">
      <alignment horizontal="center"/>
    </xf>
    <xf numFmtId="0" fontId="20" fillId="5" borderId="23" xfId="3" applyFont="1" applyBorder="1" applyAlignment="1" applyProtection="1">
      <alignment horizontal="center"/>
    </xf>
    <xf numFmtId="0" fontId="20" fillId="5" borderId="6" xfId="3" applyFont="1" applyBorder="1" applyAlignment="1" applyProtection="1">
      <alignment horizontal="center"/>
    </xf>
    <xf numFmtId="165" fontId="29" fillId="7" borderId="22" xfId="5" applyNumberFormat="1" applyFont="1" applyBorder="1" applyAlignment="1" applyProtection="1">
      <alignment horizontal="center"/>
    </xf>
    <xf numFmtId="165" fontId="10" fillId="9" borderId="2" xfId="0" applyNumberFormat="1" applyFont="1" applyFill="1" applyBorder="1" applyAlignment="1" applyProtection="1">
      <alignment horizontal="left"/>
    </xf>
    <xf numFmtId="165" fontId="10" fillId="0" borderId="2" xfId="0" applyNumberFormat="1" applyFont="1" applyBorder="1" applyAlignment="1" applyProtection="1">
      <alignment horizontal="left"/>
    </xf>
    <xf numFmtId="1" fontId="3" fillId="13" borderId="1" xfId="2" quotePrefix="1" applyNumberFormat="1" applyAlignment="1" applyProtection="1">
      <alignment horizontal="center"/>
      <protection locked="0"/>
    </xf>
    <xf numFmtId="1" fontId="3" fillId="13" borderId="1" xfId="2" applyNumberFormat="1" applyAlignment="1" applyProtection="1">
      <alignment horizontal="center"/>
      <protection locked="0"/>
    </xf>
    <xf numFmtId="165" fontId="19" fillId="11" borderId="7" xfId="6" applyNumberFormat="1" applyFont="1" applyBorder="1" applyAlignment="1" applyProtection="1">
      <alignment horizontal="center" vertical="center"/>
    </xf>
    <xf numFmtId="165" fontId="19" fillId="11" borderId="9" xfId="6" applyNumberFormat="1" applyFont="1" applyBorder="1" applyAlignment="1" applyProtection="1">
      <alignment horizontal="center" vertical="center"/>
    </xf>
    <xf numFmtId="165" fontId="19" fillId="11" borderId="10" xfId="6" applyNumberFormat="1" applyFont="1" applyBorder="1" applyAlignment="1" applyProtection="1">
      <alignment horizontal="center" vertical="center"/>
    </xf>
    <xf numFmtId="165" fontId="19" fillId="11" borderId="12" xfId="6" applyNumberFormat="1" applyFont="1" applyBorder="1" applyAlignment="1" applyProtection="1">
      <alignment horizontal="center" vertical="center"/>
    </xf>
    <xf numFmtId="165" fontId="21" fillId="6" borderId="79" xfId="4" applyNumberFormat="1" applyFont="1" applyBorder="1" applyAlignment="1" applyProtection="1">
      <alignment horizontal="center"/>
    </xf>
    <xf numFmtId="165" fontId="21" fillId="6" borderId="39" xfId="4" applyNumberFormat="1" applyFont="1" applyBorder="1" applyAlignment="1" applyProtection="1">
      <alignment horizontal="center"/>
    </xf>
    <xf numFmtId="165" fontId="13" fillId="3" borderId="9" xfId="0" applyNumberFormat="1" applyFont="1" applyFill="1" applyBorder="1" applyAlignment="1" applyProtection="1">
      <alignment horizontal="center"/>
    </xf>
    <xf numFmtId="165" fontId="19" fillId="11" borderId="2" xfId="6" quotePrefix="1" applyNumberFormat="1" applyFont="1" applyBorder="1" applyAlignment="1" applyProtection="1">
      <alignment horizontal="center"/>
    </xf>
    <xf numFmtId="165" fontId="54" fillId="27" borderId="2" xfId="0" applyNumberFormat="1" applyFont="1" applyFill="1" applyBorder="1" applyAlignment="1" applyProtection="1">
      <alignment horizontal="center"/>
    </xf>
    <xf numFmtId="0" fontId="20" fillId="5" borderId="10" xfId="3" applyFont="1" applyBorder="1" applyAlignment="1" applyProtection="1">
      <alignment horizontal="center"/>
    </xf>
    <xf numFmtId="0" fontId="20" fillId="5" borderId="11" xfId="3" applyFont="1" applyBorder="1" applyAlignment="1" applyProtection="1">
      <alignment horizontal="center"/>
    </xf>
    <xf numFmtId="0" fontId="20" fillId="5" borderId="12" xfId="3" applyFont="1" applyBorder="1" applyAlignment="1" applyProtection="1">
      <alignment horizontal="center"/>
    </xf>
    <xf numFmtId="0" fontId="19" fillId="11" borderId="5" xfId="6" applyFont="1" applyBorder="1" applyAlignment="1" applyProtection="1">
      <alignment horizontal="left"/>
    </xf>
    <xf numFmtId="0" fontId="19" fillId="11" borderId="23" xfId="6" applyFont="1" applyBorder="1" applyAlignment="1" applyProtection="1">
      <alignment horizontal="left"/>
    </xf>
    <xf numFmtId="0" fontId="19" fillId="11" borderId="6" xfId="6" applyFont="1" applyBorder="1" applyAlignment="1" applyProtection="1">
      <alignment horizontal="left"/>
    </xf>
    <xf numFmtId="0" fontId="15" fillId="2" borderId="27" xfId="1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right"/>
    </xf>
    <xf numFmtId="165" fontId="19" fillId="11" borderId="2" xfId="6" quotePrefix="1" applyNumberFormat="1" applyFont="1" applyBorder="1" applyAlignment="1" applyProtection="1">
      <alignment horizontal="center" vertical="center"/>
    </xf>
    <xf numFmtId="1" fontId="3" fillId="13" borderId="1" xfId="2" applyNumberFormat="1" applyAlignment="1" applyProtection="1">
      <alignment horizontal="center" vertical="center"/>
      <protection locked="0"/>
    </xf>
    <xf numFmtId="0" fontId="27" fillId="5" borderId="147" xfId="3" applyFont="1" applyBorder="1" applyAlignment="1" applyProtection="1">
      <alignment horizontal="center" vertical="center"/>
    </xf>
    <xf numFmtId="0" fontId="27" fillId="5" borderId="148" xfId="3" applyFont="1" applyBorder="1" applyAlignment="1" applyProtection="1">
      <alignment horizontal="center" vertical="center"/>
    </xf>
    <xf numFmtId="0" fontId="27" fillId="5" borderId="149" xfId="3" applyFont="1" applyBorder="1" applyAlignment="1" applyProtection="1">
      <alignment horizontal="center" vertical="center"/>
    </xf>
    <xf numFmtId="165" fontId="69" fillId="4" borderId="2" xfId="0" applyNumberFormat="1" applyFont="1" applyFill="1" applyBorder="1" applyAlignment="1" applyProtection="1">
      <alignment horizontal="center" textRotation="255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3" fillId="13" borderId="1" xfId="2" quotePrefix="1" applyAlignment="1" applyProtection="1">
      <alignment horizontal="center" vertical="center"/>
      <protection locked="0"/>
    </xf>
    <xf numFmtId="0" fontId="10" fillId="15" borderId="1" xfId="8" applyFon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165" fontId="10" fillId="15" borderId="1" xfId="8" applyNumberFormat="1" applyFont="1" applyBorder="1" applyAlignment="1" applyProtection="1">
      <alignment horizontal="center" vertical="center"/>
    </xf>
    <xf numFmtId="0" fontId="20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10" fillId="24" borderId="2" xfId="8" applyFont="1" applyFill="1" applyBorder="1" applyAlignment="1" applyProtection="1">
      <alignment horizontal="right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5" fontId="46" fillId="6" borderId="79" xfId="4" applyNumberFormat="1" applyFont="1" applyBorder="1" applyAlignment="1" applyProtection="1">
      <alignment horizontal="center"/>
    </xf>
    <xf numFmtId="165" fontId="46" fillId="6" borderId="39" xfId="4" applyNumberFormat="1" applyFont="1" applyBorder="1" applyAlignment="1" applyProtection="1">
      <alignment horizontal="center"/>
    </xf>
    <xf numFmtId="165" fontId="46" fillId="6" borderId="40" xfId="4" applyNumberFormat="1" applyFont="1" applyBorder="1" applyAlignment="1" applyProtection="1">
      <alignment horizontal="center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1" fillId="2" borderId="1" xfId="1" applyAlignment="1" applyProtection="1">
      <alignment horizontal="center"/>
    </xf>
    <xf numFmtId="165" fontId="10" fillId="9" borderId="15" xfId="0" applyNumberFormat="1" applyFont="1" applyFill="1" applyBorder="1" applyAlignment="1" applyProtection="1">
      <alignment horizontal="center"/>
    </xf>
    <xf numFmtId="165" fontId="10" fillId="9" borderId="87" xfId="0" applyNumberFormat="1" applyFont="1" applyFill="1" applyBorder="1" applyAlignment="1" applyProtection="1">
      <alignment horizontal="center"/>
    </xf>
    <xf numFmtId="0" fontId="31" fillId="5" borderId="5" xfId="3" applyFont="1" applyBorder="1" applyAlignment="1" applyProtection="1">
      <alignment horizontal="center" vertical="center"/>
    </xf>
    <xf numFmtId="0" fontId="31" fillId="5" borderId="23" xfId="3" applyFont="1" applyBorder="1" applyAlignment="1" applyProtection="1">
      <alignment horizontal="center" vertical="center"/>
    </xf>
    <xf numFmtId="0" fontId="31" fillId="5" borderId="6" xfId="3" applyFont="1" applyBorder="1" applyAlignment="1" applyProtection="1">
      <alignment horizontal="center" vertical="center"/>
    </xf>
    <xf numFmtId="0" fontId="22" fillId="7" borderId="143" xfId="5" applyFont="1" applyBorder="1" applyAlignment="1" applyProtection="1">
      <alignment horizontal="center"/>
    </xf>
    <xf numFmtId="0" fontId="22" fillId="7" borderId="8" xfId="5" applyFont="1" applyBorder="1" applyAlignment="1" applyProtection="1">
      <alignment horizontal="center"/>
    </xf>
    <xf numFmtId="0" fontId="22" fillId="7" borderId="144" xfId="5" applyFont="1" applyBorder="1" applyAlignment="1" applyProtection="1">
      <alignment horizontal="center"/>
    </xf>
    <xf numFmtId="0" fontId="17" fillId="12" borderId="2" xfId="0" applyFont="1" applyFill="1" applyBorder="1" applyAlignment="1" applyProtection="1">
      <alignment horizontal="left" vertical="center"/>
    </xf>
    <xf numFmtId="0" fontId="17" fillId="12" borderId="28" xfId="0" applyFont="1" applyFill="1" applyBorder="1" applyAlignment="1" applyProtection="1">
      <alignment horizontal="left" vertical="center"/>
    </xf>
    <xf numFmtId="165" fontId="15" fillId="2" borderId="27" xfId="1" applyNumberFormat="1" applyFont="1" applyBorder="1" applyAlignment="1" applyProtection="1">
      <alignment horizontal="center"/>
    </xf>
    <xf numFmtId="0" fontId="0" fillId="12" borderId="2" xfId="0" applyFill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0" fontId="21" fillId="6" borderId="24" xfId="4" applyFont="1" applyAlignment="1" applyProtection="1">
      <alignment horizontal="center"/>
    </xf>
    <xf numFmtId="0" fontId="21" fillId="6" borderId="47" xfId="4" applyFont="1" applyBorder="1" applyAlignment="1" applyProtection="1">
      <alignment horizontal="center"/>
    </xf>
    <xf numFmtId="165" fontId="20" fillId="5" borderId="15" xfId="3" applyNumberFormat="1" applyFont="1" applyBorder="1" applyAlignment="1" applyProtection="1">
      <alignment horizontal="center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0" borderId="0" xfId="0" applyNumberFormat="1" applyFont="1" applyAlignment="1" applyProtection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9" fillId="11" borderId="45" xfId="6" applyNumberFormat="1" applyFont="1" applyBorder="1" applyAlignment="1" applyProtection="1">
      <alignment horizontal="center" vertical="center"/>
    </xf>
    <xf numFmtId="2" fontId="19" fillId="11" borderId="0" xfId="6" quotePrefix="1" applyNumberFormat="1" applyFont="1" applyAlignment="1" applyProtection="1">
      <alignment horizontal="center"/>
    </xf>
    <xf numFmtId="2" fontId="19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54" fillId="27" borderId="2" xfId="0" applyNumberFormat="1" applyFont="1" applyFill="1" applyBorder="1" applyAlignment="1" applyProtection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165" fontId="55" fillId="27" borderId="2" xfId="0" applyNumberFormat="1" applyFont="1" applyFill="1" applyBorder="1" applyAlignment="1" applyProtection="1">
      <alignment horizontal="center" vertical="center"/>
    </xf>
    <xf numFmtId="165" fontId="3" fillId="13" borderId="1" xfId="2" quotePrefix="1" applyNumberFormat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5" borderId="7" xfId="3" applyFont="1" applyBorder="1" applyAlignment="1" applyProtection="1">
      <alignment horizontal="center"/>
    </xf>
    <xf numFmtId="0" fontId="20" fillId="5" borderId="8" xfId="3" applyFont="1" applyBorder="1" applyAlignment="1" applyProtection="1">
      <alignment horizontal="center"/>
    </xf>
    <xf numFmtId="0" fontId="20" fillId="5" borderId="9" xfId="3" applyFont="1" applyBorder="1" applyAlignment="1" applyProtection="1">
      <alignment horizontal="center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7" fillId="3" borderId="5" xfId="0" applyFont="1" applyFill="1" applyBorder="1" applyAlignment="1" applyProtection="1">
      <alignment horizontal="center"/>
    </xf>
    <xf numFmtId="0" fontId="17" fillId="3" borderId="23" xfId="0" applyFont="1" applyFill="1" applyBorder="1" applyAlignment="1" applyProtection="1">
      <alignment horizontal="center"/>
    </xf>
    <xf numFmtId="0" fontId="17" fillId="3" borderId="6" xfId="0" applyFont="1" applyFill="1" applyBorder="1" applyAlignment="1" applyProtection="1">
      <alignment horizontal="center"/>
    </xf>
    <xf numFmtId="165" fontId="29" fillId="7" borderId="61" xfId="5" applyNumberFormat="1" applyFont="1" applyBorder="1" applyAlignment="1" applyProtection="1">
      <alignment horizontal="center"/>
    </xf>
    <xf numFmtId="165" fontId="29" fillId="7" borderId="0" xfId="5" applyNumberFormat="1" applyFont="1" applyBorder="1" applyAlignment="1" applyProtection="1">
      <alignment horizontal="center"/>
    </xf>
    <xf numFmtId="165" fontId="19" fillId="11" borderId="57" xfId="6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54" fillId="27" borderId="2" xfId="0" applyFont="1" applyFill="1" applyBorder="1" applyAlignment="1" applyProtection="1">
      <alignment horizont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0" fontId="21" fillId="6" borderId="39" xfId="4" applyFont="1" applyBorder="1" applyAlignment="1" applyProtection="1">
      <alignment horizontal="center"/>
    </xf>
    <xf numFmtId="0" fontId="21" fillId="6" borderId="40" xfId="4" applyFont="1" applyBorder="1" applyAlignment="1" applyProtection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165" fontId="23" fillId="36" borderId="7" xfId="3" applyNumberFormat="1" applyFont="1" applyFill="1" applyBorder="1" applyAlignment="1" applyProtection="1">
      <alignment horizontal="center" vertical="center"/>
    </xf>
    <xf numFmtId="165" fontId="23" fillId="36" borderId="8" xfId="3" applyNumberFormat="1" applyFont="1" applyFill="1" applyBorder="1" applyAlignment="1" applyProtection="1">
      <alignment horizontal="center" vertical="center"/>
    </xf>
    <xf numFmtId="165" fontId="23" fillId="36" borderId="9" xfId="3" applyNumberFormat="1" applyFont="1" applyFill="1" applyBorder="1" applyAlignment="1" applyProtection="1">
      <alignment horizontal="center" vertical="center"/>
    </xf>
    <xf numFmtId="165" fontId="23" fillId="36" borderId="45" xfId="3" applyNumberFormat="1" applyFont="1" applyFill="1" applyBorder="1" applyAlignment="1" applyProtection="1">
      <alignment horizontal="center" vertical="center"/>
    </xf>
    <xf numFmtId="165" fontId="23" fillId="36" borderId="0" xfId="3" applyNumberFormat="1" applyFont="1" applyFill="1" applyBorder="1" applyAlignment="1" applyProtection="1">
      <alignment horizontal="center" vertical="center"/>
    </xf>
    <xf numFmtId="165" fontId="23" fillId="36" borderId="4" xfId="3" applyNumberFormat="1" applyFont="1" applyFill="1" applyBorder="1" applyAlignment="1" applyProtection="1">
      <alignment horizontal="center" vertical="center"/>
    </xf>
    <xf numFmtId="165" fontId="23" fillId="36" borderId="10" xfId="3" applyNumberFormat="1" applyFont="1" applyFill="1" applyBorder="1" applyAlignment="1" applyProtection="1">
      <alignment horizontal="center" vertical="center"/>
    </xf>
    <xf numFmtId="165" fontId="23" fillId="36" borderId="11" xfId="3" applyNumberFormat="1" applyFont="1" applyFill="1" applyBorder="1" applyAlignment="1" applyProtection="1">
      <alignment horizontal="center" vertical="center"/>
    </xf>
    <xf numFmtId="165" fontId="23" fillId="36" borderId="12" xfId="3" applyNumberFormat="1" applyFont="1" applyFill="1" applyBorder="1" applyAlignment="1" applyProtection="1">
      <alignment horizontal="center" vertic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1" fillId="6" borderId="104" xfId="4" applyNumberFormat="1" applyFont="1" applyBorder="1" applyAlignment="1" applyProtection="1">
      <alignment horizontal="left"/>
    </xf>
    <xf numFmtId="0" fontId="22" fillId="7" borderId="25" xfId="5" applyFont="1" applyProtection="1"/>
    <xf numFmtId="0" fontId="54" fillId="27" borderId="2" xfId="0" applyFont="1" applyFill="1" applyBorder="1" applyAlignment="1" applyProtection="1">
      <alignment horizontal="left"/>
    </xf>
    <xf numFmtId="165" fontId="69" fillId="34" borderId="2" xfId="0" applyNumberFormat="1" applyFont="1" applyFill="1" applyBorder="1" applyAlignment="1" applyProtection="1">
      <alignment horizontal="center"/>
    </xf>
    <xf numFmtId="165" fontId="0" fillId="4" borderId="2" xfId="0" applyNumberFormat="1" applyFill="1" applyBorder="1" applyAlignment="1" applyProtection="1">
      <alignment horizontal="center"/>
    </xf>
    <xf numFmtId="165" fontId="0" fillId="4" borderId="2" xfId="0" applyNumberFormat="1" applyFill="1" applyBorder="1" applyAlignment="1" applyProtection="1">
      <alignment horizontal="center" vertical="center"/>
    </xf>
    <xf numFmtId="165" fontId="0" fillId="21" borderId="2" xfId="0" applyNumberForma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5" fontId="21" fillId="6" borderId="142" xfId="4" applyNumberFormat="1" applyFont="1" applyBorder="1" applyAlignment="1" applyProtection="1">
      <alignment horizontal="center" vertical="center"/>
    </xf>
    <xf numFmtId="165" fontId="21" fillId="6" borderId="39" xfId="4" applyNumberFormat="1" applyFont="1" applyBorder="1" applyAlignment="1" applyProtection="1">
      <alignment horizontal="center" vertical="center"/>
    </xf>
    <xf numFmtId="165" fontId="21" fillId="6" borderId="40" xfId="4" applyNumberFormat="1" applyFont="1" applyBorder="1" applyAlignment="1" applyProtection="1">
      <alignment horizontal="center" vertical="center"/>
    </xf>
    <xf numFmtId="0" fontId="0" fillId="4" borderId="29" xfId="0" applyFill="1" applyBorder="1" applyAlignment="1" applyProtection="1">
      <alignment horizontal="center" vertical="center"/>
    </xf>
    <xf numFmtId="0" fontId="63" fillId="4" borderId="2" xfId="0" applyFont="1" applyFill="1" applyBorder="1" applyAlignment="1" applyProtection="1">
      <alignment horizontal="center"/>
    </xf>
    <xf numFmtId="0" fontId="69" fillId="34" borderId="28" xfId="0" applyFont="1" applyFill="1" applyBorder="1" applyAlignment="1" applyProtection="1">
      <alignment horizontal="center"/>
    </xf>
    <xf numFmtId="165" fontId="59" fillId="42" borderId="5" xfId="0" applyNumberFormat="1" applyFont="1" applyFill="1" applyBorder="1" applyAlignment="1" applyProtection="1">
      <alignment horizontal="center"/>
    </xf>
    <xf numFmtId="165" fontId="59" fillId="42" borderId="6" xfId="0" applyNumberFormat="1" applyFont="1" applyFill="1" applyBorder="1" applyAlignment="1" applyProtection="1">
      <alignment horizontal="center"/>
    </xf>
    <xf numFmtId="165" fontId="69" fillId="44" borderId="68" xfId="5" applyNumberFormat="1" applyFont="1" applyFill="1" applyBorder="1" applyAlignment="1" applyProtection="1">
      <alignment horizontal="center"/>
    </xf>
    <xf numFmtId="165" fontId="69" fillId="44" borderId="69" xfId="5" applyNumberFormat="1" applyFont="1" applyFill="1" applyBorder="1" applyAlignment="1" applyProtection="1">
      <alignment horizontal="center"/>
    </xf>
    <xf numFmtId="165" fontId="10" fillId="25" borderId="2" xfId="0" applyNumberFormat="1" applyFont="1" applyFill="1" applyBorder="1" applyAlignment="1" applyProtection="1">
      <alignment horizontal="center" vertical="center"/>
    </xf>
    <xf numFmtId="165" fontId="10" fillId="25" borderId="28" xfId="0" applyNumberFormat="1" applyFont="1" applyFill="1" applyBorder="1" applyAlignment="1" applyProtection="1">
      <alignment horizontal="center" vertical="center"/>
    </xf>
    <xf numFmtId="165" fontId="69" fillId="34" borderId="5" xfId="0" applyNumberFormat="1" applyFont="1" applyFill="1" applyBorder="1" applyAlignment="1" applyProtection="1">
      <alignment horizontal="center"/>
    </xf>
    <xf numFmtId="165" fontId="69" fillId="34" borderId="23" xfId="0" applyNumberFormat="1" applyFont="1" applyFill="1" applyBorder="1" applyAlignment="1" applyProtection="1">
      <alignment horizontal="center"/>
    </xf>
    <xf numFmtId="165" fontId="69" fillId="34" borderId="6" xfId="0" applyNumberFormat="1" applyFont="1" applyFill="1" applyBorder="1" applyAlignment="1" applyProtection="1">
      <alignment horizontal="center"/>
    </xf>
    <xf numFmtId="165" fontId="69" fillId="44" borderId="70" xfId="5" applyNumberFormat="1" applyFont="1" applyFill="1" applyBorder="1" applyAlignment="1" applyProtection="1">
      <alignment horizontal="center"/>
    </xf>
    <xf numFmtId="165" fontId="69" fillId="44" borderId="71" xfId="5" applyNumberFormat="1" applyFont="1" applyFill="1" applyBorder="1" applyAlignment="1" applyProtection="1">
      <alignment horizontal="center"/>
    </xf>
    <xf numFmtId="165" fontId="69" fillId="34" borderId="29" xfId="0" applyNumberFormat="1" applyFont="1" applyFill="1" applyBorder="1" applyAlignment="1" applyProtection="1">
      <alignment horizontal="center"/>
    </xf>
    <xf numFmtId="165" fontId="80" fillId="42" borderId="5" xfId="0" applyNumberFormat="1" applyFont="1" applyFill="1" applyBorder="1" applyAlignment="1" applyProtection="1">
      <alignment horizontal="center"/>
    </xf>
    <xf numFmtId="165" fontId="80" fillId="42" borderId="6" xfId="0" applyNumberFormat="1" applyFont="1" applyFill="1" applyBorder="1" applyAlignment="1" applyProtection="1">
      <alignment horizontal="center"/>
    </xf>
    <xf numFmtId="165" fontId="80" fillId="42" borderId="2" xfId="0" applyNumberFormat="1" applyFont="1" applyFill="1" applyBorder="1" applyAlignment="1" applyProtection="1">
      <alignment horizontal="center"/>
    </xf>
    <xf numFmtId="165" fontId="0" fillId="25" borderId="2" xfId="0" applyNumberFormat="1" applyFill="1" applyBorder="1" applyAlignment="1" applyProtection="1">
      <alignment horizontal="center"/>
    </xf>
    <xf numFmtId="165" fontId="0" fillId="25" borderId="7" xfId="0" applyNumberFormat="1" applyFill="1" applyBorder="1" applyAlignment="1" applyProtection="1">
      <alignment horizontal="center" vertical="center"/>
    </xf>
    <xf numFmtId="165" fontId="0" fillId="25" borderId="9" xfId="0" applyNumberFormat="1" applyFill="1" applyBorder="1" applyAlignment="1" applyProtection="1">
      <alignment horizontal="center" vertical="center"/>
    </xf>
    <xf numFmtId="165" fontId="0" fillId="25" borderId="45" xfId="0" applyNumberFormat="1" applyFill="1" applyBorder="1" applyAlignment="1" applyProtection="1">
      <alignment horizontal="center" vertical="center"/>
    </xf>
    <xf numFmtId="165" fontId="0" fillId="25" borderId="4" xfId="0" applyNumberFormat="1" applyFill="1" applyBorder="1" applyAlignment="1" applyProtection="1">
      <alignment horizontal="center" vertical="center"/>
    </xf>
    <xf numFmtId="165" fontId="0" fillId="25" borderId="10" xfId="0" applyNumberFormat="1" applyFill="1" applyBorder="1" applyAlignment="1" applyProtection="1">
      <alignment horizontal="center" vertical="center"/>
    </xf>
    <xf numFmtId="165" fontId="0" fillId="25" borderId="12" xfId="0" applyNumberFormat="1" applyFill="1" applyBorder="1" applyAlignment="1" applyProtection="1">
      <alignment horizontal="center" vertical="center"/>
    </xf>
    <xf numFmtId="165" fontId="69" fillId="44" borderId="65" xfId="5" quotePrefix="1" applyNumberFormat="1" applyFont="1" applyFill="1" applyBorder="1" applyAlignment="1" applyProtection="1">
      <alignment horizontal="left"/>
    </xf>
    <xf numFmtId="165" fontId="69" fillId="44" borderId="66" xfId="5" quotePrefix="1" applyNumberFormat="1" applyFont="1" applyFill="1" applyBorder="1" applyAlignment="1" applyProtection="1">
      <alignment horizontal="left"/>
    </xf>
    <xf numFmtId="165" fontId="69" fillId="44" borderId="67" xfId="5" quotePrefix="1" applyNumberFormat="1" applyFont="1" applyFill="1" applyBorder="1" applyAlignment="1" applyProtection="1">
      <alignment horizontal="left"/>
    </xf>
    <xf numFmtId="165" fontId="69" fillId="44" borderId="90" xfId="5" applyNumberFormat="1" applyFont="1" applyFill="1" applyBorder="1" applyAlignment="1" applyProtection="1">
      <alignment horizontal="center"/>
    </xf>
    <xf numFmtId="165" fontId="69" fillId="44" borderId="29" xfId="5" applyNumberFormat="1" applyFont="1" applyFill="1" applyBorder="1" applyAlignment="1" applyProtection="1">
      <alignment horizontal="center"/>
    </xf>
    <xf numFmtId="165" fontId="69" fillId="44" borderId="63" xfId="5" applyNumberFormat="1" applyFont="1" applyFill="1" applyBorder="1" applyAlignment="1" applyProtection="1">
      <alignment horizontal="left"/>
    </xf>
    <xf numFmtId="165" fontId="69" fillId="44" borderId="74" xfId="5" applyNumberFormat="1" applyFont="1" applyFill="1" applyBorder="1" applyAlignment="1" applyProtection="1">
      <alignment horizontal="left"/>
    </xf>
    <xf numFmtId="165" fontId="69" fillId="44" borderId="62" xfId="5" applyNumberFormat="1" applyFont="1" applyFill="1" applyBorder="1" applyAlignment="1" applyProtection="1">
      <alignment horizontal="left"/>
    </xf>
    <xf numFmtId="165" fontId="69" fillId="44" borderId="64" xfId="5" applyNumberFormat="1" applyFont="1" applyFill="1" applyBorder="1" applyAlignment="1" applyProtection="1">
      <alignment horizontal="left"/>
    </xf>
    <xf numFmtId="165" fontId="69" fillId="44" borderId="72" xfId="5" applyNumberFormat="1" applyFont="1" applyFill="1" applyBorder="1" applyAlignment="1" applyProtection="1">
      <alignment horizontal="left"/>
    </xf>
    <xf numFmtId="165" fontId="69" fillId="44" borderId="73" xfId="5" applyNumberFormat="1" applyFont="1" applyFill="1" applyBorder="1" applyAlignment="1" applyProtection="1">
      <alignment horizontal="left"/>
    </xf>
    <xf numFmtId="165" fontId="0" fillId="25" borderId="2" xfId="0" applyNumberFormat="1" applyFill="1" applyBorder="1" applyAlignment="1" applyProtection="1">
      <alignment horizontal="center" vertical="center"/>
    </xf>
    <xf numFmtId="165" fontId="29" fillId="42" borderId="0" xfId="0" applyNumberFormat="1" applyFont="1" applyFill="1" applyAlignment="1" applyProtection="1">
      <alignment horizontal="left" vertical="center"/>
    </xf>
    <xf numFmtId="165" fontId="29" fillId="42" borderId="4" xfId="0" applyNumberFormat="1" applyFont="1" applyFill="1" applyBorder="1" applyAlignment="1" applyProtection="1">
      <alignment horizontal="left" vertical="center"/>
    </xf>
    <xf numFmtId="165" fontId="80" fillId="42" borderId="23" xfId="0" applyNumberFormat="1" applyFont="1" applyFill="1" applyBorder="1" applyAlignment="1" applyProtection="1">
      <alignment horizontal="center"/>
    </xf>
    <xf numFmtId="165" fontId="69" fillId="44" borderId="5" xfId="0" applyNumberFormat="1" applyFont="1" applyFill="1" applyBorder="1" applyAlignment="1" applyProtection="1">
      <alignment horizontal="center"/>
    </xf>
    <xf numFmtId="165" fontId="69" fillId="44" borderId="23" xfId="0" applyNumberFormat="1" applyFont="1" applyFill="1" applyBorder="1" applyAlignment="1" applyProtection="1">
      <alignment horizontal="center"/>
    </xf>
    <xf numFmtId="165" fontId="69" fillId="44" borderId="6" xfId="0" applyNumberFormat="1" applyFont="1" applyFill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0" fillId="0" borderId="2" xfId="0" applyNumberFormat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5" fontId="69" fillId="34" borderId="2" xfId="0" applyNumberFormat="1" applyFont="1" applyFill="1" applyBorder="1" applyAlignment="1" applyProtection="1">
      <alignment horizontal="center" vertical="center"/>
    </xf>
    <xf numFmtId="165" fontId="67" fillId="4" borderId="29" xfId="0" applyNumberFormat="1" applyFont="1" applyFill="1" applyBorder="1" applyAlignment="1" applyProtection="1">
      <alignment horizontal="center" vertical="center"/>
    </xf>
    <xf numFmtId="165" fontId="0" fillId="4" borderId="29" xfId="0" applyNumberFormat="1" applyFill="1" applyBorder="1" applyAlignment="1" applyProtection="1">
      <alignment horizontal="center"/>
    </xf>
    <xf numFmtId="165" fontId="0" fillId="25" borderId="28" xfId="0" applyNumberFormat="1" applyFill="1" applyBorder="1" applyAlignment="1" applyProtection="1">
      <alignment horizontal="center"/>
    </xf>
    <xf numFmtId="165" fontId="69" fillId="34" borderId="28" xfId="0" applyNumberFormat="1" applyFont="1" applyFill="1" applyBorder="1" applyAlignment="1" applyProtection="1">
      <alignment horizontal="center"/>
    </xf>
    <xf numFmtId="165" fontId="10" fillId="52" borderId="0" xfId="0" applyNumberFormat="1" applyFont="1" applyFill="1" applyAlignment="1" applyProtection="1">
      <alignment horizontal="left" wrapText="1"/>
    </xf>
    <xf numFmtId="0" fontId="17" fillId="0" borderId="0" xfId="0" applyFont="1" applyAlignment="1" applyProtection="1">
      <alignment horizontal="center" vertical="center"/>
    </xf>
    <xf numFmtId="165" fontId="54" fillId="4" borderId="2" xfId="0" applyNumberFormat="1" applyFont="1" applyFill="1" applyBorder="1" applyAlignment="1" applyProtection="1">
      <alignment horizontal="center" textRotation="255"/>
    </xf>
    <xf numFmtId="165" fontId="19" fillId="11" borderId="4" xfId="6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69" fillId="4" borderId="5" xfId="0" applyNumberFormat="1" applyFont="1" applyFill="1" applyBorder="1" applyAlignment="1" applyProtection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0" fontId="6" fillId="6" borderId="2" xfId="4" applyBorder="1" applyAlignment="1" applyProtection="1">
      <alignment horizontal="center"/>
    </xf>
    <xf numFmtId="165" fontId="76" fillId="25" borderId="2" xfId="4" applyNumberFormat="1" applyFont="1" applyFill="1" applyBorder="1" applyAlignment="1" applyProtection="1">
      <alignment horizontal="center" vertical="center"/>
    </xf>
    <xf numFmtId="0" fontId="86" fillId="39" borderId="45" xfId="0" applyFont="1" applyFill="1" applyBorder="1" applyAlignment="1" applyProtection="1">
      <alignment horizontal="center" vertical="center"/>
    </xf>
    <xf numFmtId="0" fontId="86" fillId="39" borderId="0" xfId="0" applyFont="1" applyFill="1" applyAlignment="1" applyProtection="1">
      <alignment horizontal="center" vertical="center"/>
    </xf>
    <xf numFmtId="0" fontId="49" fillId="3" borderId="2" xfId="1" applyFont="1" applyFill="1" applyBorder="1" applyAlignment="1" applyProtection="1">
      <alignment horizontal="center" vertical="center"/>
    </xf>
    <xf numFmtId="165" fontId="49" fillId="3" borderId="1" xfId="1" applyNumberFormat="1" applyFont="1" applyFill="1" applyAlignment="1" applyProtection="1">
      <alignment horizontal="center" vertical="center"/>
    </xf>
    <xf numFmtId="0" fontId="49" fillId="3" borderId="35" xfId="1" applyFont="1" applyFill="1" applyBorder="1" applyAlignment="1" applyProtection="1">
      <alignment horizontal="center" vertical="center"/>
    </xf>
    <xf numFmtId="0" fontId="49" fillId="3" borderId="1" xfId="1" applyFont="1" applyFill="1" applyAlignment="1" applyProtection="1">
      <alignment horizontal="center" vertical="center"/>
    </xf>
    <xf numFmtId="165" fontId="21" fillId="6" borderId="2" xfId="4" applyNumberFormat="1" applyFont="1" applyBorder="1" applyAlignment="1" applyProtection="1">
      <alignment horizontal="center" vertical="center"/>
    </xf>
    <xf numFmtId="165" fontId="76" fillId="7" borderId="2" xfId="5" applyNumberFormat="1" applyFont="1" applyBorder="1" applyAlignment="1" applyProtection="1">
      <alignment horizontal="center" vertical="center"/>
    </xf>
    <xf numFmtId="0" fontId="49" fillId="25" borderId="2" xfId="1" applyFont="1" applyFill="1" applyBorder="1" applyAlignment="1" applyProtection="1">
      <alignment horizontal="center" vertical="center"/>
    </xf>
    <xf numFmtId="165" fontId="49" fillId="25" borderId="1" xfId="1" applyNumberFormat="1" applyFont="1" applyFill="1" applyAlignment="1" applyProtection="1">
      <alignment horizontal="center" vertical="center"/>
    </xf>
    <xf numFmtId="0" fontId="49" fillId="25" borderId="1" xfId="1" applyFont="1" applyFill="1" applyAlignment="1" applyProtection="1">
      <alignment horizontal="center" vertical="center"/>
    </xf>
    <xf numFmtId="165" fontId="49" fillId="25" borderId="27" xfId="1" applyNumberFormat="1" applyFont="1" applyFill="1" applyBorder="1" applyAlignment="1" applyProtection="1">
      <alignment horizontal="center" vertical="center"/>
    </xf>
    <xf numFmtId="165" fontId="49" fillId="25" borderId="102" xfId="1" applyNumberFormat="1" applyFont="1" applyFill="1" applyBorder="1" applyAlignment="1" applyProtection="1">
      <alignment horizontal="center" vertical="center"/>
    </xf>
    <xf numFmtId="0" fontId="49" fillId="25" borderId="35" xfId="1" applyFont="1" applyFill="1" applyBorder="1" applyAlignment="1" applyProtection="1">
      <alignment horizontal="center" vertical="center"/>
    </xf>
    <xf numFmtId="165" fontId="49" fillId="25" borderId="28" xfId="1" applyNumberFormat="1" applyFont="1" applyFill="1" applyBorder="1" applyAlignment="1" applyProtection="1">
      <alignment horizontal="center" vertical="center"/>
    </xf>
    <xf numFmtId="165" fontId="49" fillId="25" borderId="29" xfId="1" applyNumberFormat="1" applyFont="1" applyFill="1" applyBorder="1" applyAlignment="1" applyProtection="1">
      <alignment horizontal="center" vertical="center"/>
    </xf>
    <xf numFmtId="165" fontId="42" fillId="7" borderId="2" xfId="5" applyNumberFormat="1" applyFont="1" applyBorder="1" applyAlignment="1" applyProtection="1">
      <alignment horizontal="left" vertical="center"/>
    </xf>
    <xf numFmtId="165" fontId="29" fillId="7" borderId="2" xfId="5" applyNumberFormat="1" applyFont="1" applyBorder="1" applyAlignment="1" applyProtection="1">
      <alignment horizontal="center" vertical="center" wrapText="1"/>
    </xf>
    <xf numFmtId="165" fontId="47" fillId="7" borderId="113" xfId="11" applyNumberForma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0" fontId="8" fillId="11" borderId="114" xfId="6" applyBorder="1" applyAlignment="1" applyProtection="1">
      <alignment horizontal="center" vertical="center"/>
    </xf>
    <xf numFmtId="0" fontId="8" fillId="11" borderId="116" xfId="6" applyBorder="1" applyAlignment="1" applyProtection="1">
      <alignment horizontal="center" vertical="center"/>
    </xf>
    <xf numFmtId="0" fontId="8" fillId="11" borderId="5" xfId="6" applyBorder="1" applyAlignment="1" applyProtection="1">
      <alignment horizontal="center" vertical="center"/>
    </xf>
    <xf numFmtId="0" fontId="8" fillId="11" borderId="6" xfId="6" applyBorder="1" applyAlignment="1" applyProtection="1">
      <alignment horizontal="center" vertical="center"/>
    </xf>
    <xf numFmtId="0" fontId="8" fillId="11" borderId="42" xfId="6" applyBorder="1" applyAlignment="1" applyProtection="1">
      <alignment horizontal="center" vertical="center"/>
    </xf>
    <xf numFmtId="0" fontId="8" fillId="11" borderId="3" xfId="6" applyBorder="1" applyAlignment="1" applyProtection="1">
      <alignment horizontal="center" vertical="center"/>
    </xf>
    <xf numFmtId="0" fontId="0" fillId="26" borderId="5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7" fillId="7" borderId="5" xfId="5" quotePrefix="1" applyNumberFormat="1" applyFont="1" applyBorder="1" applyAlignment="1" applyProtection="1">
      <alignment horizontal="center"/>
    </xf>
    <xf numFmtId="49" fontId="87" fillId="7" borderId="23" xfId="5" quotePrefix="1" applyNumberFormat="1" applyFont="1" applyBorder="1" applyAlignment="1" applyProtection="1">
      <alignment horizontal="center"/>
    </xf>
    <xf numFmtId="49" fontId="87" fillId="7" borderId="6" xfId="5" quotePrefix="1" applyNumberFormat="1" applyFont="1" applyBorder="1" applyAlignment="1" applyProtection="1">
      <alignment horizontal="center"/>
    </xf>
    <xf numFmtId="0" fontId="40" fillId="26" borderId="5" xfId="0" applyFont="1" applyFill="1" applyBorder="1" applyAlignment="1" applyProtection="1">
      <alignment horizontal="center" vertical="center"/>
    </xf>
    <xf numFmtId="0" fontId="40" fillId="26" borderId="23" xfId="0" applyFont="1" applyFill="1" applyBorder="1" applyAlignment="1" applyProtection="1">
      <alignment horizontal="center" vertical="center"/>
    </xf>
    <xf numFmtId="170" fontId="1" fillId="2" borderId="1" xfId="1" quotePrefix="1" applyNumberFormat="1" applyAlignment="1" applyProtection="1">
      <alignment horizontal="center" vertical="center"/>
    </xf>
    <xf numFmtId="170" fontId="0" fillId="0" borderId="84" xfId="0" applyNumberFormat="1" applyBorder="1" applyAlignment="1" applyProtection="1">
      <alignment horizontal="center"/>
    </xf>
    <xf numFmtId="170" fontId="0" fillId="0" borderId="0" xfId="0" applyNumberFormat="1" applyAlignment="1" applyProtection="1">
      <alignment horizontal="center"/>
    </xf>
    <xf numFmtId="165" fontId="42" fillId="7" borderId="5" xfId="5" applyNumberFormat="1" applyFont="1" applyBorder="1" applyAlignment="1" applyProtection="1">
      <alignment horizontal="left" vertical="center"/>
    </xf>
    <xf numFmtId="165" fontId="42" fillId="7" borderId="23" xfId="5" applyNumberFormat="1" applyFont="1" applyBorder="1" applyAlignment="1" applyProtection="1">
      <alignment horizontal="left" vertical="center"/>
    </xf>
    <xf numFmtId="165" fontId="42" fillId="7" borderId="8" xfId="5" applyNumberFormat="1" applyFont="1" applyBorder="1" applyAlignment="1" applyProtection="1">
      <alignment horizontal="left" vertical="center"/>
    </xf>
    <xf numFmtId="165" fontId="42" fillId="7" borderId="9" xfId="5" applyNumberFormat="1" applyFont="1" applyBorder="1" applyAlignment="1" applyProtection="1">
      <alignment horizontal="left" vertical="center"/>
    </xf>
    <xf numFmtId="165" fontId="19" fillId="11" borderId="29" xfId="6" applyNumberFormat="1" applyFont="1" applyBorder="1" applyAlignment="1" applyProtection="1">
      <alignment horizontal="center"/>
    </xf>
    <xf numFmtId="0" fontId="40" fillId="26" borderId="2" xfId="0" applyFont="1" applyFill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0" fillId="26" borderId="2" xfId="0" applyFill="1" applyBorder="1" applyAlignment="1" applyProtection="1">
      <alignment horizontal="center" vertical="center"/>
    </xf>
    <xf numFmtId="0" fontId="0" fillId="26" borderId="7" xfId="0" applyFill="1" applyBorder="1" applyAlignment="1" applyProtection="1">
      <alignment horizontal="center" vertical="center"/>
    </xf>
    <xf numFmtId="0" fontId="0" fillId="26" borderId="8" xfId="0" applyFill="1" applyBorder="1" applyAlignment="1" applyProtection="1">
      <alignment horizontal="center" vertical="center"/>
    </xf>
    <xf numFmtId="0" fontId="0" fillId="26" borderId="9" xfId="0" applyFill="1" applyBorder="1" applyAlignment="1" applyProtection="1">
      <alignment horizontal="center" vertical="center"/>
    </xf>
    <xf numFmtId="0" fontId="0" fillId="26" borderId="10" xfId="0" applyFill="1" applyBorder="1" applyAlignment="1" applyProtection="1">
      <alignment horizontal="center" vertical="center"/>
    </xf>
    <xf numFmtId="0" fontId="0" fillId="26" borderId="11" xfId="0" applyFill="1" applyBorder="1" applyAlignment="1" applyProtection="1">
      <alignment horizontal="center" vertical="center"/>
    </xf>
    <xf numFmtId="0" fontId="0" fillId="26" borderId="12" xfId="0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7" fontId="76" fillId="7" borderId="5" xfId="5" applyNumberFormat="1" applyFont="1" applyBorder="1" applyAlignment="1" applyProtection="1">
      <alignment horizontal="center" vertical="center"/>
    </xf>
    <xf numFmtId="167" fontId="76" fillId="7" borderId="23" xfId="5" applyNumberFormat="1" applyFont="1" applyBorder="1" applyAlignment="1" applyProtection="1">
      <alignment horizontal="center" vertical="center"/>
    </xf>
    <xf numFmtId="167" fontId="76" fillId="7" borderId="151" xfId="5" applyNumberFormat="1" applyFont="1" applyBorder="1" applyAlignment="1" applyProtection="1">
      <alignment horizontal="center" vertical="center"/>
    </xf>
    <xf numFmtId="165" fontId="76" fillId="7" borderId="5" xfId="5" applyNumberFormat="1" applyFont="1" applyBorder="1" applyAlignment="1" applyProtection="1">
      <alignment horizontal="center" vertical="center"/>
    </xf>
    <xf numFmtId="165" fontId="76" fillId="7" borderId="23" xfId="5" applyNumberFormat="1" applyFont="1" applyBorder="1" applyAlignment="1" applyProtection="1">
      <alignment horizontal="center" vertical="center"/>
    </xf>
    <xf numFmtId="165" fontId="76" fillId="7" borderId="151" xfId="5" applyNumberFormat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5" fontId="13" fillId="4" borderId="14" xfId="0" applyNumberFormat="1" applyFont="1" applyFill="1" applyBorder="1" applyAlignment="1" applyProtection="1">
      <alignment horizontal="left"/>
    </xf>
    <xf numFmtId="165" fontId="13" fillId="4" borderId="15" xfId="0" applyNumberFormat="1" applyFont="1" applyFill="1" applyBorder="1" applyAlignment="1" applyProtection="1">
      <alignment horizontal="left"/>
    </xf>
    <xf numFmtId="165" fontId="42" fillId="7" borderId="6" xfId="5" applyNumberFormat="1" applyFont="1" applyBorder="1" applyAlignment="1" applyProtection="1">
      <alignment horizontal="left" vertical="center"/>
    </xf>
    <xf numFmtId="165" fontId="29" fillId="29" borderId="7" xfId="8" applyNumberFormat="1" applyFont="1" applyFill="1" applyBorder="1" applyAlignment="1" applyProtection="1">
      <alignment horizontal="center" vertical="center" wrapText="1"/>
    </xf>
    <xf numFmtId="165" fontId="29" fillId="29" borderId="8" xfId="8" applyNumberFormat="1" applyFont="1" applyFill="1" applyBorder="1" applyAlignment="1" applyProtection="1">
      <alignment horizontal="center" vertical="center" wrapText="1"/>
    </xf>
    <xf numFmtId="165" fontId="29" fillId="29" borderId="9" xfId="8" applyNumberFormat="1" applyFont="1" applyFill="1" applyBorder="1" applyAlignment="1" applyProtection="1">
      <alignment horizontal="center" vertical="center" wrapText="1"/>
    </xf>
    <xf numFmtId="165" fontId="29" fillId="29" borderId="10" xfId="8" applyNumberFormat="1" applyFont="1" applyFill="1" applyBorder="1" applyAlignment="1" applyProtection="1">
      <alignment horizontal="center" vertical="center" wrapText="1"/>
    </xf>
    <xf numFmtId="165" fontId="29" fillId="29" borderId="11" xfId="8" applyNumberFormat="1" applyFont="1" applyFill="1" applyBorder="1" applyAlignment="1" applyProtection="1">
      <alignment horizontal="center" vertical="center" wrapText="1"/>
    </xf>
    <xf numFmtId="165" fontId="29" fillId="29" borderId="12" xfId="8" applyNumberFormat="1" applyFont="1" applyFill="1" applyBorder="1" applyAlignment="1" applyProtection="1">
      <alignment horizontal="center" vertical="center" wrapText="1"/>
    </xf>
    <xf numFmtId="165" fontId="12" fillId="2" borderId="18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6" fillId="6" borderId="24" xfId="4" applyNumberFormat="1" applyFont="1" applyAlignment="1" applyProtection="1">
      <alignment horizontal="center" vertical="center"/>
    </xf>
    <xf numFmtId="165" fontId="12" fillId="2" borderId="159" xfId="1" applyNumberFormat="1" applyFont="1" applyBorder="1" applyAlignment="1" applyProtection="1">
      <alignment horizontal="center" vertical="center"/>
    </xf>
    <xf numFmtId="0" fontId="12" fillId="2" borderId="159" xfId="1" applyFont="1" applyBorder="1" applyAlignment="1" applyProtection="1">
      <alignment horizontal="center" vertical="center"/>
    </xf>
    <xf numFmtId="165" fontId="42" fillId="7" borderId="5" xfId="5" applyNumberFormat="1" applyFont="1" applyBorder="1" applyAlignment="1" applyProtection="1">
      <alignment horizontal="center" vertical="center"/>
    </xf>
    <xf numFmtId="165" fontId="42" fillId="7" borderId="23" xfId="5" applyNumberFormat="1" applyFont="1" applyBorder="1" applyAlignment="1" applyProtection="1">
      <alignment horizontal="center" vertical="center"/>
    </xf>
    <xf numFmtId="165" fontId="42" fillId="7" borderId="6" xfId="5" applyNumberFormat="1" applyFont="1" applyBorder="1" applyAlignment="1" applyProtection="1">
      <alignment horizontal="center" vertical="center"/>
    </xf>
    <xf numFmtId="0" fontId="49" fillId="25" borderId="131" xfId="1" applyFont="1" applyFill="1" applyBorder="1" applyAlignment="1" applyProtection="1">
      <alignment horizontal="center" vertical="center"/>
    </xf>
    <xf numFmtId="0" fontId="49" fillId="25" borderId="20" xfId="1" applyFont="1" applyFill="1" applyBorder="1" applyAlignment="1" applyProtection="1">
      <alignment horizontal="center" vertical="center"/>
    </xf>
    <xf numFmtId="0" fontId="49" fillId="25" borderId="44" xfId="1" applyFont="1" applyFill="1" applyBorder="1" applyAlignment="1" applyProtection="1">
      <alignment horizontal="center" vertical="center"/>
    </xf>
    <xf numFmtId="0" fontId="49" fillId="25" borderId="43" xfId="1" applyFont="1" applyFill="1" applyBorder="1" applyAlignment="1" applyProtection="1">
      <alignment horizontal="center" vertical="center"/>
    </xf>
    <xf numFmtId="165" fontId="76" fillId="7" borderId="7" xfId="5" applyNumberFormat="1" applyFont="1" applyBorder="1" applyAlignment="1" applyProtection="1">
      <alignment horizontal="center" vertical="center"/>
    </xf>
    <xf numFmtId="165" fontId="76" fillId="7" borderId="8" xfId="5" applyNumberFormat="1" applyFont="1" applyBorder="1" applyAlignment="1" applyProtection="1">
      <alignment horizontal="center" vertical="center"/>
    </xf>
    <xf numFmtId="165" fontId="76" fillId="7" borderId="26" xfId="5" applyNumberFormat="1" applyFont="1" applyBorder="1" applyAlignment="1" applyProtection="1">
      <alignment horizontal="center" vertical="center"/>
    </xf>
    <xf numFmtId="0" fontId="6" fillId="6" borderId="109" xfId="4" applyBorder="1" applyAlignment="1" applyProtection="1">
      <alignment horizontal="center"/>
    </xf>
    <xf numFmtId="0" fontId="6" fillId="6" borderId="51" xfId="4" applyBorder="1" applyAlignment="1" applyProtection="1">
      <alignment horizontal="center"/>
    </xf>
    <xf numFmtId="0" fontId="6" fillId="6" borderId="52" xfId="4" applyBorder="1" applyAlignment="1" applyProtection="1">
      <alignment horizont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165" fontId="45" fillId="13" borderId="159" xfId="2" quotePrefix="1" applyNumberFormat="1" applyFont="1" applyBorder="1" applyAlignment="1" applyProtection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0" fontId="86" fillId="0" borderId="160" xfId="5" quotePrefix="1" applyFont="1" applyFill="1" applyBorder="1" applyAlignment="1" applyProtection="1">
      <alignment horizontal="center" wrapText="1"/>
    </xf>
    <xf numFmtId="0" fontId="86" fillId="0" borderId="161" xfId="5" applyFont="1" applyFill="1" applyBorder="1" applyAlignment="1" applyProtection="1">
      <alignment horizontal="center" wrapText="1"/>
    </xf>
    <xf numFmtId="0" fontId="86" fillId="0" borderId="162" xfId="5" applyFont="1" applyFill="1" applyBorder="1" applyAlignment="1" applyProtection="1">
      <alignment horizontal="center" wrapText="1"/>
    </xf>
    <xf numFmtId="0" fontId="86" fillId="0" borderId="163" xfId="5" applyFont="1" applyFill="1" applyBorder="1" applyAlignment="1" applyProtection="1">
      <alignment horizontal="center" wrapText="1"/>
    </xf>
    <xf numFmtId="165" fontId="3" fillId="13" borderId="164" xfId="2" quotePrefix="1" applyNumberFormat="1" applyBorder="1" applyAlignment="1" applyProtection="1">
      <alignment horizontal="center" vertical="center"/>
    </xf>
    <xf numFmtId="165" fontId="3" fillId="13" borderId="165" xfId="2" quotePrefix="1" applyNumberFormat="1" applyBorder="1" applyAlignment="1" applyProtection="1">
      <alignment horizontal="center" vertical="center"/>
    </xf>
    <xf numFmtId="0" fontId="44" fillId="7" borderId="25" xfId="5" applyFont="1" applyAlignment="1" applyProtection="1">
      <alignment horizontal="center" wrapText="1"/>
    </xf>
    <xf numFmtId="167" fontId="1" fillId="2" borderId="1" xfId="1" applyNumberFormat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10" fillId="7" borderId="25" xfId="5" applyNumberFormat="1" applyFont="1" applyAlignment="1" applyProtection="1">
      <alignment horizontal="center" vertical="center"/>
    </xf>
    <xf numFmtId="0" fontId="86" fillId="44" borderId="45" xfId="0" applyFont="1" applyFill="1" applyBorder="1" applyAlignment="1" applyProtection="1">
      <alignment horizontal="center" vertical="center"/>
    </xf>
    <xf numFmtId="0" fontId="86" fillId="44" borderId="0" xfId="0" applyFont="1" applyFill="1" applyAlignment="1" applyProtection="1">
      <alignment horizontal="center" vertical="center"/>
    </xf>
    <xf numFmtId="168" fontId="6" fillId="6" borderId="24" xfId="4" applyNumberFormat="1" applyAlignment="1" applyProtection="1">
      <alignment horizontal="right"/>
    </xf>
    <xf numFmtId="0" fontId="0" fillId="0" borderId="0" xfId="0" applyFill="1" applyAlignment="1" applyProtection="1">
      <alignment horizontal="center" wrapText="1"/>
    </xf>
    <xf numFmtId="168" fontId="19" fillId="29" borderId="2" xfId="6" applyNumberFormat="1" applyFont="1" applyFill="1" applyBorder="1" applyAlignment="1" applyProtection="1">
      <alignment horizontal="center"/>
    </xf>
    <xf numFmtId="165" fontId="19" fillId="29" borderId="2" xfId="6" applyNumberFormat="1" applyFont="1" applyFill="1" applyBorder="1" applyAlignment="1" applyProtection="1">
      <alignment horizontal="center"/>
    </xf>
    <xf numFmtId="165" fontId="1" fillId="2" borderId="1" xfId="1" applyNumberFormat="1" applyAlignment="1" applyProtection="1">
      <alignment horizontal="left"/>
    </xf>
    <xf numFmtId="165" fontId="10" fillId="28" borderId="2" xfId="0" applyNumberFormat="1" applyFont="1" applyFill="1" applyBorder="1" applyAlignment="1" applyProtection="1">
      <alignment horizontal="left"/>
    </xf>
    <xf numFmtId="0" fontId="1" fillId="2" borderId="3" xfId="1" quotePrefix="1" applyBorder="1" applyAlignment="1" applyProtection="1">
      <alignment horizontal="left" vertical="center"/>
    </xf>
    <xf numFmtId="165" fontId="1" fillId="2" borderId="42" xfId="1" applyNumberFormat="1" applyBorder="1" applyAlignment="1" applyProtection="1">
      <alignment horizontal="right"/>
    </xf>
    <xf numFmtId="0" fontId="1" fillId="2" borderId="36" xfId="1" applyBorder="1" applyAlignment="1" applyProtection="1">
      <alignment horizontal="right"/>
    </xf>
    <xf numFmtId="168" fontId="15" fillId="0" borderId="7" xfId="1" applyNumberFormat="1" applyFont="1" applyFill="1" applyBorder="1" applyAlignment="1" applyProtection="1">
      <alignment horizontal="center"/>
    </xf>
    <xf numFmtId="168" fontId="15" fillId="0" borderId="8" xfId="1" applyNumberFormat="1" applyFont="1" applyFill="1" applyBorder="1" applyAlignment="1" applyProtection="1">
      <alignment horizontal="center"/>
    </xf>
    <xf numFmtId="165" fontId="0" fillId="4" borderId="5" xfId="0" applyNumberFormat="1" applyFill="1" applyBorder="1" applyAlignment="1" applyProtection="1">
      <alignment horizontal="center"/>
    </xf>
    <xf numFmtId="165" fontId="0" fillId="4" borderId="23" xfId="0" applyNumberFormat="1" applyFill="1" applyBorder="1" applyAlignment="1" applyProtection="1">
      <alignment horizontal="center"/>
    </xf>
    <xf numFmtId="165" fontId="10" fillId="50" borderId="2" xfId="5" quotePrefix="1" applyNumberFormat="1" applyFont="1" applyFill="1" applyBorder="1" applyAlignment="1" applyProtection="1">
      <alignment horizontal="left"/>
    </xf>
    <xf numFmtId="165" fontId="10" fillId="50" borderId="25" xfId="5" applyNumberFormat="1" applyFont="1" applyFill="1" applyAlignment="1" applyProtection="1">
      <alignment horizontal="left" vertical="center"/>
    </xf>
    <xf numFmtId="165" fontId="10" fillId="0" borderId="0" xfId="0" quotePrefix="1" applyNumberFormat="1" applyFont="1" applyFill="1" applyAlignment="1" applyProtection="1">
      <alignment horizontal="center" vertical="center"/>
    </xf>
    <xf numFmtId="165" fontId="13" fillId="3" borderId="6" xfId="0" applyNumberFormat="1" applyFont="1" applyFill="1" applyBorder="1" applyAlignment="1" applyProtection="1">
      <alignment horizontal="center"/>
    </xf>
    <xf numFmtId="165" fontId="10" fillId="0" borderId="14" xfId="0" applyNumberFormat="1" applyFont="1" applyFill="1" applyBorder="1" applyAlignment="1" applyProtection="1">
      <alignment horizontal="left"/>
    </xf>
    <xf numFmtId="165" fontId="10" fillId="0" borderId="15" xfId="0" applyNumberFormat="1" applyFont="1" applyFill="1" applyBorder="1" applyAlignment="1" applyProtection="1">
      <alignment horizontal="left"/>
    </xf>
    <xf numFmtId="165" fontId="3" fillId="13" borderId="1" xfId="2" quotePrefix="1" applyNumberFormat="1" applyAlignment="1" applyProtection="1">
      <alignment horizontal="center" vertical="center"/>
    </xf>
    <xf numFmtId="165" fontId="3" fillId="13" borderId="1" xfId="2" applyNumberFormat="1" applyAlignment="1" applyProtection="1">
      <alignment horizontal="center" vertical="center"/>
    </xf>
    <xf numFmtId="165" fontId="13" fillId="49" borderId="5" xfId="5" quotePrefix="1" applyNumberFormat="1" applyFont="1" applyFill="1" applyBorder="1" applyAlignment="1" applyProtection="1">
      <alignment horizontal="left"/>
    </xf>
    <xf numFmtId="165" fontId="13" fillId="49" borderId="23" xfId="5" quotePrefix="1" applyNumberFormat="1" applyFont="1" applyFill="1" applyBorder="1" applyAlignment="1" applyProtection="1">
      <alignment horizontal="left"/>
    </xf>
    <xf numFmtId="165" fontId="13" fillId="49" borderId="6" xfId="5" quotePrefix="1" applyNumberFormat="1" applyFont="1" applyFill="1" applyBorder="1" applyAlignment="1" applyProtection="1">
      <alignment horizontal="left"/>
    </xf>
    <xf numFmtId="0" fontId="0" fillId="0" borderId="0" xfId="0" applyFill="1" applyAlignment="1" applyProtection="1">
      <alignment horizontal="center" vertical="center"/>
    </xf>
    <xf numFmtId="0" fontId="20" fillId="25" borderId="5" xfId="3" applyFont="1" applyFill="1" applyBorder="1" applyAlignment="1" applyProtection="1">
      <alignment horizontal="center"/>
    </xf>
    <xf numFmtId="0" fontId="20" fillId="25" borderId="23" xfId="3" applyFont="1" applyFill="1" applyBorder="1" applyAlignment="1" applyProtection="1">
      <alignment horizontal="center"/>
    </xf>
    <xf numFmtId="0" fontId="20" fillId="25" borderId="6" xfId="3" applyFont="1" applyFill="1" applyBorder="1" applyAlignment="1" applyProtection="1">
      <alignment horizontal="center"/>
    </xf>
    <xf numFmtId="0" fontId="20" fillId="25" borderId="10" xfId="3" applyFont="1" applyFill="1" applyBorder="1" applyAlignment="1" applyProtection="1">
      <alignment horizontal="center"/>
    </xf>
    <xf numFmtId="0" fontId="20" fillId="25" borderId="11" xfId="3" applyFont="1" applyFill="1" applyBorder="1" applyAlignment="1" applyProtection="1">
      <alignment horizontal="center"/>
    </xf>
    <xf numFmtId="0" fontId="20" fillId="25" borderId="12" xfId="3" applyFont="1" applyFill="1" applyBorder="1" applyAlignment="1" applyProtection="1">
      <alignment horizontal="center"/>
    </xf>
    <xf numFmtId="0" fontId="20" fillId="25" borderId="7" xfId="3" applyFont="1" applyFill="1" applyBorder="1" applyAlignment="1" applyProtection="1">
      <alignment horizontal="center"/>
    </xf>
    <xf numFmtId="0" fontId="20" fillId="25" borderId="8" xfId="3" applyFont="1" applyFill="1" applyBorder="1" applyAlignment="1" applyProtection="1">
      <alignment horizontal="center"/>
    </xf>
    <xf numFmtId="0" fontId="20" fillId="25" borderId="9" xfId="3" applyFont="1" applyFill="1" applyBorder="1" applyAlignment="1" applyProtection="1">
      <alignment horizontal="center"/>
    </xf>
    <xf numFmtId="165" fontId="19" fillId="29" borderId="29" xfId="6" applyNumberFormat="1" applyFont="1" applyFill="1" applyBorder="1" applyAlignment="1" applyProtection="1">
      <alignment horizontal="center"/>
    </xf>
    <xf numFmtId="165" fontId="19" fillId="29" borderId="10" xfId="6" applyNumberFormat="1" applyFont="1" applyFill="1" applyBorder="1" applyAlignment="1" applyProtection="1">
      <alignment horizontal="center"/>
    </xf>
    <xf numFmtId="165" fontId="19" fillId="29" borderId="5" xfId="6" applyNumberFormat="1" applyFont="1" applyFill="1" applyBorder="1" applyAlignment="1" applyProtection="1">
      <alignment horizontal="center"/>
    </xf>
    <xf numFmtId="165" fontId="19" fillId="29" borderId="23" xfId="6" applyNumberFormat="1" applyFont="1" applyFill="1" applyBorder="1" applyAlignment="1" applyProtection="1">
      <alignment horizontal="center"/>
    </xf>
    <xf numFmtId="165" fontId="10" fillId="50" borderId="2" xfId="5" applyNumberFormat="1" applyFont="1" applyFill="1" applyBorder="1" applyAlignment="1" applyProtection="1">
      <alignment horizontal="left"/>
    </xf>
    <xf numFmtId="165" fontId="13" fillId="25" borderId="2" xfId="0" applyNumberFormat="1" applyFont="1" applyFill="1" applyBorder="1" applyAlignment="1" applyProtection="1">
      <alignment horizontal="left" vertical="center"/>
    </xf>
    <xf numFmtId="165" fontId="1" fillId="2" borderId="170" xfId="1" applyNumberFormat="1" applyBorder="1" applyAlignment="1" applyProtection="1">
      <alignment horizontal="center"/>
    </xf>
    <xf numFmtId="165" fontId="1" fillId="2" borderId="115" xfId="1" applyNumberFormat="1" applyBorder="1" applyAlignment="1" applyProtection="1">
      <alignment horizontal="center"/>
    </xf>
    <xf numFmtId="165" fontId="10" fillId="49" borderId="2" xfId="5" applyNumberFormat="1" applyFont="1" applyFill="1" applyBorder="1" applyAlignment="1" applyProtection="1">
      <alignment horizontal="center"/>
    </xf>
    <xf numFmtId="165" fontId="10" fillId="49" borderId="5" xfId="5" applyNumberFormat="1" applyFont="1" applyFill="1" applyBorder="1" applyAlignment="1" applyProtection="1">
      <alignment horizontal="center"/>
    </xf>
    <xf numFmtId="165" fontId="10" fillId="49" borderId="23" xfId="5" applyNumberFormat="1" applyFont="1" applyFill="1" applyBorder="1" applyAlignment="1" applyProtection="1">
      <alignment horizontal="center"/>
    </xf>
    <xf numFmtId="165" fontId="10" fillId="49" borderId="6" xfId="5" applyNumberFormat="1" applyFont="1" applyFill="1" applyBorder="1" applyAlignment="1" applyProtection="1">
      <alignment horizontal="center"/>
    </xf>
    <xf numFmtId="165" fontId="29" fillId="49" borderId="5" xfId="5" applyNumberFormat="1" applyFont="1" applyFill="1" applyBorder="1" applyAlignment="1" applyProtection="1">
      <alignment horizontal="center"/>
    </xf>
    <xf numFmtId="165" fontId="29" fillId="49" borderId="23" xfId="5" applyNumberFormat="1" applyFont="1" applyFill="1" applyBorder="1" applyAlignment="1" applyProtection="1">
      <alignment horizontal="center"/>
    </xf>
    <xf numFmtId="165" fontId="29" fillId="49" borderId="8" xfId="5" applyNumberFormat="1" applyFont="1" applyFill="1" applyBorder="1" applyAlignment="1" applyProtection="1">
      <alignment horizontal="center"/>
    </xf>
    <xf numFmtId="165" fontId="29" fillId="49" borderId="9" xfId="5" applyNumberFormat="1" applyFont="1" applyFill="1" applyBorder="1" applyAlignment="1" applyProtection="1">
      <alignment horizontal="center"/>
    </xf>
    <xf numFmtId="168" fontId="1" fillId="2" borderId="1" xfId="1" applyNumberFormat="1" applyAlignment="1" applyProtection="1">
      <alignment horizontal="center"/>
    </xf>
    <xf numFmtId="165" fontId="23" fillId="25" borderId="7" xfId="3" applyNumberFormat="1" applyFont="1" applyFill="1" applyBorder="1" applyAlignment="1" applyProtection="1">
      <alignment horizontal="center" vertical="center"/>
    </xf>
    <xf numFmtId="165" fontId="23" fillId="25" borderId="8" xfId="3" applyNumberFormat="1" applyFont="1" applyFill="1" applyBorder="1" applyAlignment="1" applyProtection="1">
      <alignment horizontal="center" vertical="center"/>
    </xf>
    <xf numFmtId="165" fontId="23" fillId="25" borderId="45" xfId="3" applyNumberFormat="1" applyFont="1" applyFill="1" applyBorder="1" applyAlignment="1" applyProtection="1">
      <alignment horizontal="center" vertical="center"/>
    </xf>
    <xf numFmtId="165" fontId="23" fillId="25" borderId="0" xfId="3" applyNumberFormat="1" applyFont="1" applyFill="1" applyBorder="1" applyAlignment="1" applyProtection="1">
      <alignment horizontal="center" vertical="center"/>
    </xf>
    <xf numFmtId="165" fontId="23" fillId="25" borderId="10" xfId="3" applyNumberFormat="1" applyFont="1" applyFill="1" applyBorder="1" applyAlignment="1" applyProtection="1">
      <alignment horizontal="center" vertical="center"/>
    </xf>
    <xf numFmtId="165" fontId="23" fillId="25" borderId="11" xfId="3" applyNumberFormat="1" applyFont="1" applyFill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3" fillId="49" borderId="2" xfId="5" quotePrefix="1" applyNumberFormat="1" applyFont="1" applyFill="1" applyBorder="1" applyAlignment="1" applyProtection="1">
      <alignment horizontal="left"/>
    </xf>
    <xf numFmtId="165" fontId="1" fillId="2" borderId="1" xfId="1" quotePrefix="1" applyNumberFormat="1" applyAlignment="1" applyProtection="1">
      <alignment horizontal="center"/>
    </xf>
    <xf numFmtId="0" fontId="1" fillId="0" borderId="1" xfId="1" applyFill="1" applyAlignment="1" applyProtection="1">
      <alignment horizontal="center"/>
    </xf>
    <xf numFmtId="165" fontId="1" fillId="0" borderId="1" xfId="1" applyNumberFormat="1" applyFill="1" applyAlignment="1" applyProtection="1">
      <alignment horizontal="center"/>
    </xf>
    <xf numFmtId="0" fontId="19" fillId="29" borderId="5" xfId="6" applyFont="1" applyFill="1" applyBorder="1" applyAlignment="1" applyProtection="1">
      <alignment horizontal="left"/>
    </xf>
    <xf numFmtId="0" fontId="19" fillId="29" borderId="23" xfId="6" applyFont="1" applyFill="1" applyBorder="1" applyAlignment="1" applyProtection="1">
      <alignment horizontal="left"/>
    </xf>
    <xf numFmtId="0" fontId="19" fillId="29" borderId="6" xfId="6" applyFont="1" applyFill="1" applyBorder="1" applyAlignment="1" applyProtection="1">
      <alignment horizontal="left"/>
    </xf>
    <xf numFmtId="165" fontId="19" fillId="29" borderId="7" xfId="6" applyNumberFormat="1" applyFont="1" applyFill="1" applyBorder="1" applyAlignment="1" applyProtection="1">
      <alignment horizontal="center" vertical="center"/>
    </xf>
    <xf numFmtId="165" fontId="19" fillId="29" borderId="9" xfId="6" applyNumberFormat="1" applyFont="1" applyFill="1" applyBorder="1" applyAlignment="1" applyProtection="1">
      <alignment horizontal="center" vertical="center"/>
    </xf>
    <xf numFmtId="165" fontId="19" fillId="29" borderId="10" xfId="6" applyNumberFormat="1" applyFont="1" applyFill="1" applyBorder="1" applyAlignment="1" applyProtection="1">
      <alignment horizontal="center" vertical="center"/>
    </xf>
    <xf numFmtId="165" fontId="19" fillId="29" borderId="12" xfId="6" applyNumberFormat="1" applyFont="1" applyFill="1" applyBorder="1" applyAlignment="1" applyProtection="1">
      <alignment horizontal="center" vertical="center"/>
    </xf>
    <xf numFmtId="165" fontId="1" fillId="2" borderId="114" xfId="1" applyNumberFormat="1" applyBorder="1" applyAlignment="1" applyProtection="1">
      <alignment horizontal="right" vertical="center"/>
    </xf>
    <xf numFmtId="165" fontId="1" fillId="2" borderId="115" xfId="1" applyNumberFormat="1" applyBorder="1" applyAlignment="1" applyProtection="1">
      <alignment horizontal="right" vertical="center"/>
    </xf>
    <xf numFmtId="165" fontId="1" fillId="2" borderId="42" xfId="1" applyNumberFormat="1" applyBorder="1" applyAlignment="1" applyProtection="1">
      <alignment horizontal="right" vertical="center"/>
    </xf>
    <xf numFmtId="165" fontId="1" fillId="2" borderId="36" xfId="1" applyNumberFormat="1" applyBorder="1" applyAlignment="1" applyProtection="1">
      <alignment horizontal="right" vertical="center"/>
    </xf>
    <xf numFmtId="0" fontId="1" fillId="2" borderId="116" xfId="1" quotePrefix="1" applyBorder="1" applyAlignment="1" applyProtection="1">
      <alignment horizontal="left" vertical="center"/>
    </xf>
    <xf numFmtId="165" fontId="15" fillId="42" borderId="5" xfId="1" applyNumberFormat="1" applyFont="1" applyFill="1" applyBorder="1" applyAlignment="1" applyProtection="1">
      <alignment horizontal="center"/>
    </xf>
    <xf numFmtId="165" fontId="15" fillId="42" borderId="23" xfId="1" applyNumberFormat="1" applyFont="1" applyFill="1" applyBorder="1" applyAlignment="1" applyProtection="1">
      <alignment horizontal="center"/>
    </xf>
    <xf numFmtId="165" fontId="15" fillId="42" borderId="6" xfId="1" applyNumberFormat="1" applyFont="1" applyFill="1" applyBorder="1" applyAlignment="1" applyProtection="1">
      <alignment horizontal="center"/>
    </xf>
    <xf numFmtId="165" fontId="10" fillId="0" borderId="2" xfId="0" applyNumberFormat="1" applyFont="1" applyFill="1" applyBorder="1" applyAlignment="1" applyProtection="1">
      <alignment horizontal="left"/>
    </xf>
    <xf numFmtId="2" fontId="1" fillId="2" borderId="1" xfId="1" quotePrefix="1" applyNumberFormat="1" applyAlignment="1" applyProtection="1">
      <alignment horizontal="center"/>
    </xf>
    <xf numFmtId="0" fontId="0" fillId="49" borderId="61" xfId="5" quotePrefix="1" applyFont="1" applyFill="1" applyBorder="1" applyAlignment="1" applyProtection="1">
      <alignment horizontal="center"/>
    </xf>
    <xf numFmtId="0" fontId="0" fillId="49" borderId="110" xfId="5" quotePrefix="1" applyFont="1" applyFill="1" applyBorder="1" applyAlignment="1" applyProtection="1">
      <alignment horizontal="center"/>
    </xf>
    <xf numFmtId="0" fontId="0" fillId="49" borderId="111" xfId="5" quotePrefix="1" applyFont="1" applyFill="1" applyBorder="1" applyAlignment="1" applyProtection="1">
      <alignment horizontal="center"/>
    </xf>
    <xf numFmtId="0" fontId="0" fillId="49" borderId="112" xfId="5" quotePrefix="1" applyFont="1" applyFill="1" applyBorder="1" applyAlignment="1" applyProtection="1">
      <alignment horizontal="center"/>
    </xf>
    <xf numFmtId="0" fontId="17" fillId="44" borderId="2" xfId="0" applyFont="1" applyFill="1" applyBorder="1" applyAlignment="1" applyProtection="1">
      <alignment horizontal="left" vertical="center"/>
    </xf>
    <xf numFmtId="0" fontId="27" fillId="25" borderId="5" xfId="3" applyFont="1" applyFill="1" applyBorder="1" applyAlignment="1" applyProtection="1">
      <alignment horizontal="center" vertical="center"/>
    </xf>
    <xf numFmtId="0" fontId="27" fillId="25" borderId="23" xfId="3" applyFont="1" applyFill="1" applyBorder="1" applyAlignment="1" applyProtection="1">
      <alignment horizontal="center" vertical="center"/>
    </xf>
    <xf numFmtId="0" fontId="27" fillId="25" borderId="6" xfId="3" applyFont="1" applyFill="1" applyBorder="1" applyAlignment="1" applyProtection="1">
      <alignment horizontal="center" vertical="center"/>
    </xf>
    <xf numFmtId="0" fontId="31" fillId="25" borderId="5" xfId="3" applyFont="1" applyFill="1" applyBorder="1" applyAlignment="1" applyProtection="1">
      <alignment horizontal="center" vertical="center"/>
    </xf>
    <xf numFmtId="0" fontId="31" fillId="25" borderId="23" xfId="3" applyFont="1" applyFill="1" applyBorder="1" applyAlignment="1" applyProtection="1">
      <alignment horizontal="center" vertical="center"/>
    </xf>
    <xf numFmtId="0" fontId="31" fillId="25" borderId="6" xfId="3" applyFont="1" applyFill="1" applyBorder="1" applyAlignment="1" applyProtection="1">
      <alignment horizontal="center" vertical="center"/>
    </xf>
    <xf numFmtId="0" fontId="22" fillId="49" borderId="58" xfId="5" applyFont="1" applyFill="1" applyBorder="1" applyAlignment="1" applyProtection="1">
      <alignment horizontal="center"/>
    </xf>
    <xf numFmtId="0" fontId="22" fillId="49" borderId="25" xfId="5" applyFont="1" applyFill="1" applyProtection="1"/>
    <xf numFmtId="0" fontId="0" fillId="0" borderId="9" xfId="0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0" borderId="46" xfId="0" applyFill="1" applyBorder="1" applyAlignment="1" applyProtection="1">
      <alignment horizontal="center" vertical="center"/>
    </xf>
    <xf numFmtId="0" fontId="27" fillId="25" borderId="2" xfId="3" applyFont="1" applyFill="1" applyBorder="1" applyAlignment="1" applyProtection="1">
      <alignment horizontal="center" vertical="center"/>
    </xf>
    <xf numFmtId="0" fontId="20" fillId="25" borderId="2" xfId="3" applyFont="1" applyFill="1" applyBorder="1" applyAlignment="1" applyProtection="1">
      <alignment horizontal="center"/>
    </xf>
    <xf numFmtId="0" fontId="10" fillId="43" borderId="2" xfId="8" applyFont="1" applyFill="1" applyBorder="1" applyAlignment="1" applyProtection="1">
      <alignment horizontal="right" vertical="center"/>
    </xf>
    <xf numFmtId="0" fontId="0" fillId="0" borderId="2" xfId="0" applyFill="1" applyBorder="1" applyAlignment="1" applyProtection="1">
      <alignment horizontal="center" vertical="center"/>
    </xf>
    <xf numFmtId="165" fontId="10" fillId="43" borderId="2" xfId="8" applyNumberFormat="1" applyFont="1" applyFill="1" applyBorder="1" applyAlignment="1" applyProtection="1">
      <alignment horizontal="center" wrapText="1"/>
    </xf>
    <xf numFmtId="165" fontId="10" fillId="43" borderId="7" xfId="8" applyNumberFormat="1" applyFont="1" applyFill="1" applyBorder="1" applyAlignment="1" applyProtection="1">
      <alignment horizontal="center" vertical="center" wrapText="1"/>
    </xf>
    <xf numFmtId="165" fontId="10" fillId="43" borderId="9" xfId="8" applyNumberFormat="1" applyFont="1" applyFill="1" applyBorder="1" applyAlignment="1" applyProtection="1">
      <alignment horizontal="center" vertical="center"/>
    </xf>
    <xf numFmtId="165" fontId="10" fillId="43" borderId="10" xfId="8" applyNumberFormat="1" applyFont="1" applyFill="1" applyBorder="1" applyAlignment="1" applyProtection="1">
      <alignment horizontal="center" vertical="center"/>
    </xf>
    <xf numFmtId="165" fontId="10" fillId="43" borderId="12" xfId="8" applyNumberFormat="1" applyFont="1" applyFill="1" applyBorder="1" applyAlignment="1" applyProtection="1">
      <alignment horizontal="center" vertical="center"/>
    </xf>
    <xf numFmtId="165" fontId="10" fillId="43" borderId="8" xfId="8" applyNumberFormat="1" applyFont="1" applyFill="1" applyBorder="1" applyAlignment="1" applyProtection="1">
      <alignment horizontal="center" vertical="center" wrapText="1"/>
    </xf>
    <xf numFmtId="165" fontId="10" fillId="43" borderId="9" xfId="8" applyNumberFormat="1" applyFont="1" applyFill="1" applyBorder="1" applyAlignment="1" applyProtection="1">
      <alignment horizontal="center" vertical="center" wrapText="1"/>
    </xf>
    <xf numFmtId="165" fontId="10" fillId="43" borderId="10" xfId="8" applyNumberFormat="1" applyFont="1" applyFill="1" applyBorder="1" applyAlignment="1" applyProtection="1">
      <alignment horizontal="center" vertical="center" wrapText="1"/>
    </xf>
    <xf numFmtId="165" fontId="10" fillId="43" borderId="11" xfId="8" applyNumberFormat="1" applyFont="1" applyFill="1" applyBorder="1" applyAlignment="1" applyProtection="1">
      <alignment horizontal="center" vertical="center" wrapText="1"/>
    </xf>
    <xf numFmtId="165" fontId="10" fillId="43" borderId="12" xfId="8" applyNumberFormat="1" applyFont="1" applyFill="1" applyBorder="1" applyAlignment="1" applyProtection="1">
      <alignment horizontal="center" vertical="center" wrapText="1"/>
    </xf>
    <xf numFmtId="0" fontId="17" fillId="44" borderId="29" xfId="0" applyFont="1" applyFill="1" applyBorder="1" applyAlignment="1" applyProtection="1">
      <alignment horizontal="left" vertical="center"/>
    </xf>
    <xf numFmtId="0" fontId="17" fillId="44" borderId="28" xfId="0" applyFont="1" applyFill="1" applyBorder="1" applyAlignment="1" applyProtection="1">
      <alignment horizontal="left" vertical="center"/>
    </xf>
    <xf numFmtId="165" fontId="10" fillId="4" borderId="22" xfId="0" applyNumberFormat="1" applyFont="1" applyFill="1" applyBorder="1" applyAlignment="1" applyProtection="1">
      <alignment horizontal="center"/>
    </xf>
    <xf numFmtId="165" fontId="10" fillId="4" borderId="169" xfId="0" applyNumberFormat="1" applyFont="1" applyFill="1" applyBorder="1" applyAlignment="1" applyProtection="1">
      <alignment horizontal="center"/>
    </xf>
    <xf numFmtId="165" fontId="1" fillId="2" borderId="27" xfId="1" applyNumberFormat="1" applyBorder="1" applyAlignment="1" applyProtection="1">
      <alignment horizontal="center"/>
    </xf>
    <xf numFmtId="165" fontId="6" fillId="6" borderId="24" xfId="4" applyNumberFormat="1" applyAlignment="1" applyProtection="1">
      <alignment horizontal="left"/>
    </xf>
    <xf numFmtId="0" fontId="10" fillId="43" borderId="35" xfId="8" applyFont="1" applyFill="1" applyBorder="1" applyAlignment="1" applyProtection="1">
      <alignment horizontal="right" vertical="center"/>
    </xf>
    <xf numFmtId="0" fontId="10" fillId="43" borderId="36" xfId="8" applyFont="1" applyFill="1" applyBorder="1" applyAlignment="1" applyProtection="1">
      <alignment horizontal="right" vertical="center"/>
    </xf>
    <xf numFmtId="0" fontId="10" fillId="43" borderId="3" xfId="8" applyFont="1" applyFill="1" applyBorder="1" applyAlignment="1" applyProtection="1">
      <alignment horizontal="right" vertical="center"/>
    </xf>
    <xf numFmtId="0" fontId="10" fillId="39" borderId="2" xfId="8" applyFont="1" applyFill="1" applyBorder="1" applyAlignment="1" applyProtection="1">
      <alignment horizontal="right"/>
    </xf>
    <xf numFmtId="0" fontId="4" fillId="5" borderId="5" xfId="3" applyBorder="1" applyAlignment="1" applyProtection="1">
      <alignment horizontal="center"/>
    </xf>
    <xf numFmtId="0" fontId="4" fillId="5" borderId="23" xfId="3" applyBorder="1" applyAlignment="1" applyProtection="1">
      <alignment horizontal="center"/>
    </xf>
    <xf numFmtId="0" fontId="4" fillId="5" borderId="6" xfId="3" applyBorder="1" applyAlignment="1" applyProtection="1">
      <alignment horizontal="center"/>
    </xf>
    <xf numFmtId="0" fontId="10" fillId="39" borderId="0" xfId="8" applyFont="1" applyFill="1" applyBorder="1" applyAlignment="1" applyProtection="1">
      <alignment horizontal="right" vertical="center" wrapText="1"/>
    </xf>
    <xf numFmtId="0" fontId="10" fillId="39" borderId="4" xfId="8" applyFont="1" applyFill="1" applyBorder="1" applyAlignment="1" applyProtection="1">
      <alignment horizontal="right" vertical="center" wrapText="1"/>
    </xf>
    <xf numFmtId="0" fontId="10" fillId="39" borderId="11" xfId="8" applyFont="1" applyFill="1" applyBorder="1" applyAlignment="1" applyProtection="1">
      <alignment horizontal="right" vertical="center" wrapText="1"/>
    </xf>
    <xf numFmtId="0" fontId="10" fillId="39" borderId="12" xfId="8" applyFont="1" applyFill="1" applyBorder="1" applyAlignment="1" applyProtection="1">
      <alignment horizontal="right" vertical="center" wrapText="1"/>
    </xf>
    <xf numFmtId="0" fontId="10" fillId="39" borderId="7" xfId="8" applyFont="1" applyFill="1" applyBorder="1" applyAlignment="1" applyProtection="1">
      <alignment horizontal="center" vertical="center" wrapText="1"/>
    </xf>
    <xf numFmtId="0" fontId="10" fillId="39" borderId="8" xfId="8" applyFont="1" applyFill="1" applyBorder="1" applyAlignment="1" applyProtection="1">
      <alignment horizontal="center" vertical="center" wrapText="1"/>
    </xf>
    <xf numFmtId="0" fontId="10" fillId="39" borderId="7" xfId="8" applyFont="1" applyFill="1" applyBorder="1" applyAlignment="1" applyProtection="1">
      <alignment horizontal="right" vertical="center"/>
    </xf>
    <xf numFmtId="0" fontId="10" fillId="39" borderId="8" xfId="8" applyFont="1" applyFill="1" applyBorder="1" applyAlignment="1" applyProtection="1">
      <alignment horizontal="right" vertical="center"/>
    </xf>
    <xf numFmtId="0" fontId="10" fillId="39" borderId="9" xfId="8" applyFont="1" applyFill="1" applyBorder="1" applyAlignment="1" applyProtection="1">
      <alignment horizontal="right" vertical="center"/>
    </xf>
    <xf numFmtId="0" fontId="10" fillId="39" borderId="45" xfId="8" applyFont="1" applyFill="1" applyBorder="1" applyAlignment="1" applyProtection="1">
      <alignment horizontal="right" vertical="center"/>
    </xf>
    <xf numFmtId="0" fontId="10" fillId="39" borderId="0" xfId="8" applyFont="1" applyFill="1" applyBorder="1" applyAlignment="1" applyProtection="1">
      <alignment horizontal="right" vertical="center"/>
    </xf>
    <xf numFmtId="0" fontId="10" fillId="39" borderId="4" xfId="8" applyFont="1" applyFill="1" applyBorder="1" applyAlignment="1" applyProtection="1">
      <alignment horizontal="right" vertical="center"/>
    </xf>
    <xf numFmtId="0" fontId="10" fillId="39" borderId="10" xfId="8" applyFont="1" applyFill="1" applyBorder="1" applyAlignment="1" applyProtection="1">
      <alignment horizontal="right" vertical="center"/>
    </xf>
    <xf numFmtId="0" fontId="10" fillId="39" borderId="11" xfId="8" applyFont="1" applyFill="1" applyBorder="1" applyAlignment="1" applyProtection="1">
      <alignment horizontal="right" vertical="center"/>
    </xf>
    <xf numFmtId="0" fontId="10" fillId="39" borderId="12" xfId="8" applyFont="1" applyFill="1" applyBorder="1" applyAlignment="1" applyProtection="1">
      <alignment horizontal="right" vertical="center"/>
    </xf>
    <xf numFmtId="0" fontId="8" fillId="29" borderId="29" xfId="6" applyFill="1" applyBorder="1" applyAlignment="1" applyProtection="1">
      <alignment horizontal="center" vertical="center"/>
    </xf>
    <xf numFmtId="0" fontId="8" fillId="29" borderId="2" xfId="6" applyFill="1" applyBorder="1" applyAlignment="1" applyProtection="1">
      <alignment horizontal="center" vertical="center"/>
    </xf>
    <xf numFmtId="165" fontId="42" fillId="49" borderId="5" xfId="5" applyNumberFormat="1" applyFont="1" applyFill="1" applyBorder="1" applyAlignment="1" applyProtection="1">
      <alignment horizontal="left" vertical="center"/>
    </xf>
    <xf numFmtId="165" fontId="42" fillId="49" borderId="23" xfId="5" applyNumberFormat="1" applyFont="1" applyFill="1" applyBorder="1" applyAlignment="1" applyProtection="1">
      <alignment horizontal="left" vertical="center"/>
    </xf>
    <xf numFmtId="165" fontId="42" fillId="49" borderId="8" xfId="5" applyNumberFormat="1" applyFont="1" applyFill="1" applyBorder="1" applyAlignment="1" applyProtection="1">
      <alignment horizontal="left" vertical="center"/>
    </xf>
    <xf numFmtId="165" fontId="42" fillId="49" borderId="9" xfId="5" applyNumberFormat="1" applyFont="1" applyFill="1" applyBorder="1" applyAlignment="1" applyProtection="1">
      <alignment horizontal="left" vertical="center"/>
    </xf>
    <xf numFmtId="0" fontId="0" fillId="26" borderId="29" xfId="0" applyFill="1" applyBorder="1" applyAlignment="1" applyProtection="1">
      <alignment horizontal="center" vertical="center"/>
    </xf>
    <xf numFmtId="165" fontId="1" fillId="2" borderId="166" xfId="1" applyNumberFormat="1" applyBorder="1" applyAlignment="1" applyProtection="1">
      <alignment horizontal="center" vertical="center"/>
    </xf>
    <xf numFmtId="0" fontId="1" fillId="2" borderId="167" xfId="1" applyBorder="1" applyAlignment="1" applyProtection="1">
      <alignment horizontal="center" vertical="center"/>
    </xf>
    <xf numFmtId="0" fontId="1" fillId="2" borderId="168" xfId="1" applyBorder="1" applyAlignment="1" applyProtection="1">
      <alignment horizontal="center" vertical="center"/>
    </xf>
    <xf numFmtId="0" fontId="1" fillId="2" borderId="166" xfId="1" applyBorder="1" applyAlignment="1" applyProtection="1">
      <alignment horizontal="center" vertical="center"/>
    </xf>
    <xf numFmtId="0" fontId="13" fillId="14" borderId="28" xfId="8" applyFont="1" applyFill="1" applyBorder="1" applyAlignment="1" applyProtection="1">
      <alignment horizontal="right"/>
    </xf>
    <xf numFmtId="165" fontId="21" fillId="0" borderId="24" xfId="4" applyNumberFormat="1" applyFont="1" applyFill="1" applyAlignment="1" applyProtection="1">
      <alignment horizontal="center"/>
    </xf>
    <xf numFmtId="165" fontId="29" fillId="49" borderId="2" xfId="5" applyNumberFormat="1" applyFont="1" applyFill="1" applyBorder="1" applyAlignment="1" applyProtection="1">
      <alignment horizontal="center" vertical="center" wrapText="1"/>
    </xf>
    <xf numFmtId="165" fontId="47" fillId="49" borderId="113" xfId="11" applyNumberFormat="1" applyFill="1" applyAlignment="1" applyProtection="1">
      <alignment horizontal="center" vertical="center"/>
    </xf>
    <xf numFmtId="0" fontId="8" fillId="29" borderId="13" xfId="6" applyFill="1" applyBorder="1" applyAlignment="1" applyProtection="1">
      <alignment horizontal="center" vertical="center"/>
    </xf>
    <xf numFmtId="0" fontId="8" fillId="29" borderId="1" xfId="6" applyFill="1" applyBorder="1" applyAlignment="1" applyProtection="1">
      <alignment horizontal="center" vertical="center"/>
    </xf>
    <xf numFmtId="165" fontId="13" fillId="28" borderId="14" xfId="0" applyNumberFormat="1" applyFont="1" applyFill="1" applyBorder="1" applyAlignment="1" applyProtection="1">
      <alignment horizontal="left"/>
    </xf>
    <xf numFmtId="165" fontId="13" fillId="28" borderId="15" xfId="0" applyNumberFormat="1" applyFont="1" applyFill="1" applyBorder="1" applyAlignment="1" applyProtection="1">
      <alignment horizontal="left"/>
    </xf>
    <xf numFmtId="165" fontId="42" fillId="49" borderId="2" xfId="5" applyNumberFormat="1" applyFont="1" applyFill="1" applyBorder="1" applyAlignment="1" applyProtection="1">
      <alignment horizontal="left" vertical="center"/>
    </xf>
    <xf numFmtId="170" fontId="0" fillId="0" borderId="84" xfId="0" applyNumberFormat="1" applyFill="1" applyBorder="1" applyAlignment="1" applyProtection="1">
      <alignment horizontal="center"/>
    </xf>
    <xf numFmtId="170" fontId="0" fillId="0" borderId="0" xfId="0" applyNumberFormat="1" applyFill="1" applyAlignment="1" applyProtection="1">
      <alignment horizontal="center"/>
    </xf>
    <xf numFmtId="165" fontId="42" fillId="49" borderId="6" xfId="5" applyNumberFormat="1" applyFont="1" applyFill="1" applyBorder="1" applyAlignment="1" applyProtection="1">
      <alignment horizontal="left" vertical="center"/>
    </xf>
    <xf numFmtId="165" fontId="10" fillId="48" borderId="84" xfId="8" applyNumberFormat="1" applyFont="1" applyFill="1" applyBorder="1" applyAlignment="1" applyProtection="1">
      <alignment horizontal="center" vertical="center"/>
    </xf>
    <xf numFmtId="165" fontId="10" fillId="48" borderId="0" xfId="8" applyNumberFormat="1" applyFont="1" applyFill="1" applyBorder="1" applyAlignment="1" applyProtection="1">
      <alignment horizontal="center" vertical="center"/>
    </xf>
    <xf numFmtId="165" fontId="10" fillId="48" borderId="37" xfId="8" applyNumberFormat="1" applyFont="1" applyFill="1" applyBorder="1" applyAlignment="1" applyProtection="1">
      <alignment horizontal="center" vertical="center"/>
    </xf>
    <xf numFmtId="165" fontId="10" fillId="48" borderId="17" xfId="8" applyNumberFormat="1" applyFont="1" applyFill="1" applyBorder="1" applyAlignment="1" applyProtection="1">
      <alignment horizontal="center" vertical="center"/>
    </xf>
    <xf numFmtId="165" fontId="10" fillId="48" borderId="43" xfId="8" applyNumberFormat="1" applyFont="1" applyFill="1" applyBorder="1" applyAlignment="1" applyProtection="1">
      <alignment horizontal="center" vertical="center"/>
    </xf>
    <xf numFmtId="165" fontId="10" fillId="48" borderId="18" xfId="8" applyNumberFormat="1" applyFont="1" applyFill="1" applyBorder="1" applyAlignment="1" applyProtection="1">
      <alignment horizontal="center" vertical="center"/>
    </xf>
    <xf numFmtId="0" fontId="10" fillId="48" borderId="19" xfId="8" applyFont="1" applyFill="1" applyBorder="1" applyAlignment="1" applyProtection="1">
      <alignment horizontal="center" vertical="center"/>
    </xf>
    <xf numFmtId="0" fontId="10" fillId="48" borderId="20" xfId="8" applyFont="1" applyFill="1" applyBorder="1" applyAlignment="1" applyProtection="1">
      <alignment horizontal="center" vertical="center"/>
    </xf>
    <xf numFmtId="0" fontId="10" fillId="48" borderId="21" xfId="8" applyFont="1" applyFill="1" applyBorder="1" applyAlignment="1" applyProtection="1">
      <alignment horizontal="center" vertical="center"/>
    </xf>
    <xf numFmtId="0" fontId="10" fillId="48" borderId="17" xfId="8" applyFont="1" applyFill="1" applyBorder="1" applyAlignment="1" applyProtection="1">
      <alignment horizontal="center" vertical="center"/>
    </xf>
    <xf numFmtId="0" fontId="10" fillId="48" borderId="43" xfId="8" applyFont="1" applyFill="1" applyBorder="1" applyAlignment="1" applyProtection="1">
      <alignment horizontal="center" vertical="center"/>
    </xf>
    <xf numFmtId="0" fontId="10" fillId="48" borderId="18" xfId="8" applyFont="1" applyFill="1" applyBorder="1" applyAlignment="1" applyProtection="1">
      <alignment horizontal="center" vertical="center"/>
    </xf>
    <xf numFmtId="165" fontId="10" fillId="48" borderId="29" xfId="8" applyNumberFormat="1" applyFont="1" applyFill="1" applyBorder="1" applyAlignment="1" applyProtection="1">
      <alignment horizontal="center" vertical="center" wrapText="1"/>
    </xf>
    <xf numFmtId="165" fontId="10" fillId="48" borderId="29" xfId="8" applyNumberFormat="1" applyFont="1" applyFill="1" applyBorder="1" applyAlignment="1" applyProtection="1">
      <alignment horizontal="center" vertical="center"/>
    </xf>
    <xf numFmtId="165" fontId="10" fillId="48" borderId="2" xfId="8" applyNumberFormat="1" applyFont="1" applyFill="1" applyBorder="1" applyAlignment="1" applyProtection="1">
      <alignment horizontal="center" vertical="center"/>
    </xf>
    <xf numFmtId="0" fontId="3" fillId="13" borderId="1" xfId="2" quotePrefix="1" applyAlignment="1" applyProtection="1">
      <alignment horizontal="center" vertical="center"/>
    </xf>
    <xf numFmtId="165" fontId="4" fillId="5" borderId="2" xfId="3" applyNumberFormat="1" applyBorder="1" applyAlignment="1" applyProtection="1">
      <alignment horizontal="center" vertical="center"/>
    </xf>
    <xf numFmtId="1" fontId="10" fillId="28" borderId="15" xfId="0" applyNumberFormat="1" applyFont="1" applyFill="1" applyBorder="1" applyAlignment="1" applyProtection="1">
      <alignment horizontal="center"/>
    </xf>
    <xf numFmtId="165" fontId="10" fillId="28" borderId="0" xfId="0" applyNumberFormat="1" applyFont="1" applyFill="1" applyAlignment="1" applyProtection="1">
      <alignment horizontal="center"/>
    </xf>
    <xf numFmtId="165" fontId="10" fillId="48" borderId="105" xfId="8" applyNumberFormat="1" applyFont="1" applyFill="1" applyBorder="1" applyAlignment="1" applyProtection="1">
      <alignment horizontal="center"/>
    </xf>
    <xf numFmtId="165" fontId="10" fillId="48" borderId="22" xfId="8" applyNumberFormat="1" applyFont="1" applyFill="1" applyBorder="1" applyAlignment="1" applyProtection="1">
      <alignment horizontal="center"/>
    </xf>
    <xf numFmtId="165" fontId="42" fillId="49" borderId="5" xfId="5" applyNumberFormat="1" applyFont="1" applyFill="1" applyBorder="1" applyAlignment="1" applyProtection="1">
      <alignment horizontal="center" vertical="center"/>
    </xf>
    <xf numFmtId="165" fontId="42" fillId="49" borderId="23" xfId="5" applyNumberFormat="1" applyFont="1" applyFill="1" applyBorder="1" applyAlignment="1" applyProtection="1">
      <alignment horizontal="center" vertical="center"/>
    </xf>
    <xf numFmtId="165" fontId="42" fillId="49" borderId="6" xfId="5" applyNumberFormat="1" applyFont="1" applyFill="1" applyBorder="1" applyAlignment="1" applyProtection="1">
      <alignment horizontal="center" vertical="center"/>
    </xf>
    <xf numFmtId="0" fontId="1" fillId="2" borderId="1" xfId="1" quotePrefix="1" applyAlignment="1" applyProtection="1">
      <alignment horizontal="center" vertical="center"/>
    </xf>
    <xf numFmtId="165" fontId="10" fillId="48" borderId="2" xfId="8" applyNumberFormat="1" applyFont="1" applyFill="1" applyBorder="1" applyAlignment="1" applyProtection="1">
      <alignment horizontal="center" vertical="center" wrapText="1"/>
    </xf>
    <xf numFmtId="0" fontId="10" fillId="48" borderId="2" xfId="8" applyFont="1" applyFill="1" applyBorder="1" applyAlignment="1" applyProtection="1">
      <alignment horizontal="center" vertical="center" wrapText="1"/>
    </xf>
    <xf numFmtId="0" fontId="10" fillId="48" borderId="2" xfId="8" applyFont="1" applyFill="1" applyBorder="1" applyAlignment="1" applyProtection="1">
      <alignment horizontal="center" vertical="center"/>
    </xf>
    <xf numFmtId="0" fontId="0" fillId="34" borderId="29" xfId="0" applyFill="1" applyBorder="1" applyAlignment="1" applyProtection="1">
      <alignment horizontal="center" vertical="center"/>
    </xf>
    <xf numFmtId="0" fontId="0" fillId="34" borderId="29" xfId="0" applyFill="1" applyBorder="1" applyAlignment="1" applyProtection="1">
      <alignment horizontal="center"/>
    </xf>
    <xf numFmtId="0" fontId="13" fillId="51" borderId="98" xfId="8" applyFont="1" applyFill="1" applyBorder="1" applyAlignment="1" applyProtection="1">
      <alignment horizontal="right"/>
    </xf>
    <xf numFmtId="0" fontId="13" fillId="51" borderId="99" xfId="8" applyFont="1" applyFill="1" applyBorder="1" applyAlignment="1" applyProtection="1">
      <alignment horizontal="right"/>
    </xf>
    <xf numFmtId="0" fontId="13" fillId="51" borderId="100" xfId="8" applyFont="1" applyFill="1" applyBorder="1" applyAlignment="1" applyProtection="1">
      <alignment horizontal="right"/>
    </xf>
    <xf numFmtId="0" fontId="13" fillId="14" borderId="98" xfId="8" applyFont="1" applyFill="1" applyBorder="1" applyAlignment="1" applyProtection="1">
      <alignment horizontal="right"/>
    </xf>
    <xf numFmtId="0" fontId="13" fillId="14" borderId="99" xfId="8" applyFont="1" applyFill="1" applyBorder="1" applyAlignment="1" applyProtection="1">
      <alignment horizontal="right"/>
    </xf>
    <xf numFmtId="0" fontId="13" fillId="14" borderId="100" xfId="8" applyFont="1" applyFill="1" applyBorder="1" applyAlignment="1" applyProtection="1">
      <alignment horizontal="right"/>
    </xf>
    <xf numFmtId="165" fontId="10" fillId="7" borderId="25" xfId="5" applyNumberFormat="1" applyFont="1" applyAlignment="1" applyProtection="1">
      <alignment horizontal="center"/>
    </xf>
    <xf numFmtId="49" fontId="1" fillId="2" borderId="1" xfId="1" quotePrefix="1" applyNumberFormat="1" applyAlignment="1" applyProtection="1">
      <alignment horizontal="center"/>
    </xf>
    <xf numFmtId="49" fontId="1" fillId="2" borderId="1" xfId="1" applyNumberFormat="1" applyAlignment="1" applyProtection="1">
      <alignment horizontal="center"/>
    </xf>
    <xf numFmtId="0" fontId="10" fillId="44" borderId="10" xfId="8" applyFont="1" applyFill="1" applyBorder="1" applyAlignment="1" applyProtection="1">
      <alignment horizontal="right"/>
    </xf>
    <xf numFmtId="0" fontId="10" fillId="44" borderId="11" xfId="8" applyFont="1" applyFill="1" applyBorder="1" applyAlignment="1" applyProtection="1">
      <alignment horizontal="right"/>
    </xf>
    <xf numFmtId="0" fontId="10" fillId="44" borderId="12" xfId="8" applyFont="1" applyFill="1" applyBorder="1" applyAlignment="1" applyProtection="1">
      <alignment horizontal="right"/>
    </xf>
    <xf numFmtId="0" fontId="10" fillId="44" borderId="2" xfId="8" applyFont="1" applyFill="1" applyBorder="1" applyAlignment="1" applyProtection="1">
      <alignment horizontal="right"/>
    </xf>
    <xf numFmtId="165" fontId="0" fillId="34" borderId="2" xfId="0" applyNumberFormat="1" applyFill="1" applyBorder="1" applyAlignment="1" applyProtection="1">
      <alignment horizontal="center" vertical="center"/>
    </xf>
    <xf numFmtId="165" fontId="10" fillId="43" borderId="6" xfId="8" applyNumberFormat="1" applyFont="1" applyFill="1" applyBorder="1" applyAlignment="1" applyProtection="1">
      <alignment horizontal="center" vertical="center"/>
    </xf>
    <xf numFmtId="165" fontId="10" fillId="43" borderId="2" xfId="8" applyNumberFormat="1" applyFont="1" applyFill="1" applyBorder="1" applyAlignment="1" applyProtection="1">
      <alignment horizontal="center" vertical="center"/>
    </xf>
    <xf numFmtId="0" fontId="10" fillId="44" borderId="28" xfId="8" applyFont="1" applyFill="1" applyBorder="1" applyAlignment="1" applyProtection="1">
      <alignment horizontal="right"/>
    </xf>
    <xf numFmtId="0" fontId="63" fillId="34" borderId="2" xfId="0" applyFont="1" applyFill="1" applyBorder="1" applyAlignment="1" applyProtection="1">
      <alignment horizontal="center"/>
    </xf>
    <xf numFmtId="0" fontId="0" fillId="34" borderId="2" xfId="0" applyFill="1" applyBorder="1" applyAlignment="1" applyProtection="1">
      <alignment horizontal="center"/>
    </xf>
    <xf numFmtId="0" fontId="0" fillId="34" borderId="28" xfId="0" applyFill="1" applyBorder="1" applyAlignment="1" applyProtection="1">
      <alignment horizontal="center"/>
    </xf>
    <xf numFmtId="165" fontId="67" fillId="34" borderId="2" xfId="0" applyNumberFormat="1" applyFont="1" applyFill="1" applyBorder="1" applyAlignment="1" applyProtection="1">
      <alignment horizontal="center" vertical="center"/>
    </xf>
    <xf numFmtId="165" fontId="0" fillId="34" borderId="2" xfId="0" applyNumberFormat="1" applyFill="1" applyBorder="1" applyAlignment="1" applyProtection="1">
      <alignment horizontal="center"/>
    </xf>
    <xf numFmtId="0" fontId="69" fillId="34" borderId="23" xfId="0" applyFont="1" applyFill="1" applyBorder="1" applyAlignment="1" applyProtection="1">
      <alignment horizontal="center"/>
    </xf>
    <xf numFmtId="165" fontId="54" fillId="34" borderId="23" xfId="0" applyNumberFormat="1" applyFont="1" applyFill="1" applyBorder="1" applyAlignment="1" applyProtection="1">
      <alignment horizontal="center"/>
    </xf>
    <xf numFmtId="0" fontId="0" fillId="34" borderId="2" xfId="0" applyFill="1" applyBorder="1" applyAlignment="1" applyProtection="1">
      <alignment horizontal="center" vertical="center" wrapText="1"/>
    </xf>
    <xf numFmtId="0" fontId="0" fillId="34" borderId="2" xfId="0" applyFill="1" applyBorder="1" applyAlignment="1" applyProtection="1">
      <alignment horizontal="center" vertical="center"/>
    </xf>
    <xf numFmtId="165" fontId="54" fillId="34" borderId="5" xfId="0" applyNumberFormat="1" applyFont="1" applyFill="1" applyBorder="1" applyAlignment="1" applyProtection="1">
      <alignment horizontal="center"/>
    </xf>
    <xf numFmtId="165" fontId="54" fillId="34" borderId="6" xfId="0" applyNumberFormat="1" applyFont="1" applyFill="1" applyBorder="1" applyAlignment="1" applyProtection="1">
      <alignment horizontal="center"/>
    </xf>
    <xf numFmtId="165" fontId="0" fillId="4" borderId="57" xfId="0" applyNumberFormat="1" applyFill="1" applyBorder="1" applyAlignment="1" applyProtection="1">
      <alignment horizontal="center"/>
    </xf>
    <xf numFmtId="165" fontId="83" fillId="34" borderId="2" xfId="0" applyNumberFormat="1" applyFont="1" applyFill="1" applyBorder="1" applyAlignment="1" applyProtection="1">
      <alignment horizontal="center"/>
    </xf>
    <xf numFmtId="165" fontId="17" fillId="34" borderId="2" xfId="0" applyNumberFormat="1" applyFont="1" applyFill="1" applyBorder="1" applyAlignment="1" applyProtection="1">
      <alignment horizontal="center"/>
    </xf>
    <xf numFmtId="165" fontId="69" fillId="34" borderId="7" xfId="0" applyNumberFormat="1" applyFont="1" applyFill="1" applyBorder="1" applyAlignment="1" applyProtection="1">
      <alignment horizontal="center" vertical="center"/>
    </xf>
    <xf numFmtId="165" fontId="69" fillId="34" borderId="8" xfId="0" applyNumberFormat="1" applyFont="1" applyFill="1" applyBorder="1" applyAlignment="1" applyProtection="1">
      <alignment horizontal="center" vertical="center"/>
    </xf>
    <xf numFmtId="165" fontId="69" fillId="34" borderId="10" xfId="0" applyNumberFormat="1" applyFont="1" applyFill="1" applyBorder="1" applyAlignment="1" applyProtection="1">
      <alignment horizontal="center" vertical="center"/>
    </xf>
    <xf numFmtId="165" fontId="69" fillId="34" borderId="11" xfId="0" applyNumberFormat="1" applyFont="1" applyFill="1" applyBorder="1" applyAlignment="1" applyProtection="1">
      <alignment horizontal="center" vertical="center"/>
    </xf>
    <xf numFmtId="0" fontId="69" fillId="34" borderId="5" xfId="0" applyFont="1" applyFill="1" applyBorder="1" applyAlignment="1" applyProtection="1">
      <alignment horizontal="center"/>
    </xf>
    <xf numFmtId="165" fontId="69" fillId="33" borderId="8" xfId="0" applyNumberFormat="1" applyFont="1" applyFill="1" applyBorder="1" applyAlignment="1" applyProtection="1">
      <alignment horizontal="center"/>
    </xf>
    <xf numFmtId="165" fontId="69" fillId="33" borderId="9" xfId="0" applyNumberFormat="1" applyFont="1" applyFill="1" applyBorder="1" applyAlignment="1" applyProtection="1">
      <alignment horizontal="center"/>
    </xf>
    <xf numFmtId="165" fontId="69" fillId="33" borderId="6" xfId="0" applyNumberFormat="1" applyFont="1" applyFill="1" applyBorder="1" applyAlignment="1" applyProtection="1">
      <alignment horizontal="center"/>
    </xf>
    <xf numFmtId="165" fontId="69" fillId="33" borderId="2" xfId="0" applyNumberFormat="1" applyFont="1" applyFill="1" applyBorder="1" applyAlignment="1" applyProtection="1">
      <alignment horizontal="center"/>
    </xf>
    <xf numFmtId="165" fontId="69" fillId="33" borderId="29" xfId="0" applyNumberFormat="1" applyFont="1" applyFill="1" applyBorder="1" applyAlignment="1" applyProtection="1">
      <alignment horizontal="center"/>
    </xf>
    <xf numFmtId="165" fontId="29" fillId="39" borderId="0" xfId="0" applyNumberFormat="1" applyFont="1" applyFill="1" applyAlignment="1" applyProtection="1">
      <alignment horizontal="left" vertical="center"/>
    </xf>
    <xf numFmtId="165" fontId="29" fillId="39" borderId="4" xfId="0" applyNumberFormat="1" applyFont="1" applyFill="1" applyBorder="1" applyAlignment="1" applyProtection="1">
      <alignment horizontal="left" vertical="center"/>
    </xf>
    <xf numFmtId="165" fontId="80" fillId="39" borderId="2" xfId="0" applyNumberFormat="1" applyFont="1" applyFill="1" applyBorder="1" applyAlignment="1" applyProtection="1">
      <alignment horizontal="center"/>
    </xf>
    <xf numFmtId="165" fontId="80" fillId="39" borderId="5" xfId="0" applyNumberFormat="1" applyFont="1" applyFill="1" applyBorder="1" applyAlignment="1" applyProtection="1">
      <alignment horizontal="center"/>
    </xf>
    <xf numFmtId="165" fontId="80" fillId="39" borderId="23" xfId="0" applyNumberFormat="1" applyFont="1" applyFill="1" applyBorder="1" applyAlignment="1" applyProtection="1">
      <alignment horizontal="center"/>
    </xf>
    <xf numFmtId="165" fontId="80" fillId="39" borderId="6" xfId="0" applyNumberFormat="1" applyFont="1" applyFill="1" applyBorder="1" applyAlignment="1" applyProtection="1">
      <alignment horizontal="center"/>
    </xf>
    <xf numFmtId="165" fontId="69" fillId="39" borderId="7" xfId="0" applyNumberFormat="1" applyFont="1" applyFill="1" applyBorder="1" applyAlignment="1" applyProtection="1">
      <alignment horizontal="center"/>
    </xf>
    <xf numFmtId="165" fontId="69" fillId="39" borderId="8" xfId="0" applyNumberFormat="1" applyFont="1" applyFill="1" applyBorder="1" applyAlignment="1" applyProtection="1">
      <alignment horizontal="center"/>
    </xf>
    <xf numFmtId="165" fontId="10" fillId="44" borderId="5" xfId="5" applyNumberFormat="1" applyFont="1" applyFill="1" applyBorder="1" applyAlignment="1" applyProtection="1">
      <alignment horizontal="center"/>
    </xf>
    <xf numFmtId="165" fontId="10" fillId="44" borderId="23" xfId="5" applyNumberFormat="1" applyFont="1" applyFill="1" applyBorder="1" applyAlignment="1" applyProtection="1">
      <alignment horizontal="center"/>
    </xf>
    <xf numFmtId="165" fontId="10" fillId="44" borderId="6" xfId="5" applyNumberFormat="1" applyFont="1" applyFill="1" applyBorder="1" applyAlignment="1" applyProtection="1">
      <alignment horizontal="center"/>
    </xf>
    <xf numFmtId="165" fontId="10" fillId="44" borderId="2" xfId="5" applyNumberFormat="1" applyFont="1" applyFill="1" applyBorder="1" applyAlignment="1" applyProtection="1">
      <alignment horizontal="center"/>
    </xf>
    <xf numFmtId="165" fontId="10" fillId="44" borderId="2" xfId="5" quotePrefix="1" applyNumberFormat="1" applyFont="1" applyFill="1" applyBorder="1" applyAlignment="1" applyProtection="1">
      <alignment horizontal="left"/>
    </xf>
    <xf numFmtId="165" fontId="46" fillId="6" borderId="24" xfId="4" applyNumberFormat="1" applyFont="1" applyAlignment="1" applyProtection="1">
      <alignment horizontal="center"/>
    </xf>
    <xf numFmtId="165" fontId="0" fillId="4" borderId="2" xfId="0" applyNumberFormat="1" applyFill="1" applyBorder="1" applyAlignment="1" applyProtection="1">
      <alignment horizontal="center" vertical="center" textRotation="255"/>
    </xf>
    <xf numFmtId="165" fontId="69" fillId="33" borderId="5" xfId="0" applyNumberFormat="1" applyFont="1" applyFill="1" applyBorder="1" applyAlignment="1" applyProtection="1">
      <alignment horizontal="center"/>
    </xf>
    <xf numFmtId="165" fontId="69" fillId="33" borderId="23" xfId="0" applyNumberFormat="1" applyFont="1" applyFill="1" applyBorder="1" applyAlignment="1" applyProtection="1">
      <alignment horizontal="center"/>
    </xf>
    <xf numFmtId="165" fontId="0" fillId="9" borderId="2" xfId="0" applyNumberFormat="1" applyFill="1" applyBorder="1" applyAlignment="1" applyProtection="1">
      <alignment horizontal="center"/>
    </xf>
    <xf numFmtId="165" fontId="0" fillId="34" borderId="29" xfId="0" applyNumberFormat="1" applyFill="1" applyBorder="1" applyAlignment="1" applyProtection="1">
      <alignment horizontal="center"/>
    </xf>
    <xf numFmtId="165" fontId="10" fillId="44" borderId="5" xfId="5" quotePrefix="1" applyNumberFormat="1" applyFont="1" applyFill="1" applyBorder="1" applyAlignment="1" applyProtection="1">
      <alignment horizontal="left"/>
    </xf>
    <xf numFmtId="165" fontId="10" fillId="44" borderId="23" xfId="5" quotePrefix="1" applyNumberFormat="1" applyFont="1" applyFill="1" applyBorder="1" applyAlignment="1" applyProtection="1">
      <alignment horizontal="left"/>
    </xf>
    <xf numFmtId="165" fontId="10" fillId="44" borderId="6" xfId="5" quotePrefix="1" applyNumberFormat="1" applyFont="1" applyFill="1" applyBorder="1" applyAlignment="1" applyProtection="1">
      <alignment horizontal="left"/>
    </xf>
    <xf numFmtId="165" fontId="10" fillId="43" borderId="7" xfId="8" applyNumberFormat="1" applyFont="1" applyFill="1" applyBorder="1" applyAlignment="1" applyProtection="1">
      <alignment horizontal="center" wrapText="1"/>
    </xf>
    <xf numFmtId="165" fontId="10" fillId="43" borderId="8" xfId="8" applyNumberFormat="1" applyFont="1" applyFill="1" applyBorder="1" applyAlignment="1" applyProtection="1">
      <alignment horizontal="center" wrapText="1"/>
    </xf>
    <xf numFmtId="165" fontId="10" fillId="43" borderId="9" xfId="8" applyNumberFormat="1" applyFont="1" applyFill="1" applyBorder="1" applyAlignment="1" applyProtection="1">
      <alignment horizontal="center" wrapText="1"/>
    </xf>
    <xf numFmtId="165" fontId="10" fillId="43" borderId="10" xfId="8" applyNumberFormat="1" applyFont="1" applyFill="1" applyBorder="1" applyAlignment="1" applyProtection="1">
      <alignment horizontal="center" wrapText="1"/>
    </xf>
    <xf numFmtId="165" fontId="10" fillId="43" borderId="11" xfId="8" applyNumberFormat="1" applyFont="1" applyFill="1" applyBorder="1" applyAlignment="1" applyProtection="1">
      <alignment horizontal="center" wrapText="1"/>
    </xf>
    <xf numFmtId="165" fontId="10" fillId="43" borderId="12" xfId="8" applyNumberFormat="1" applyFont="1" applyFill="1" applyBorder="1" applyAlignment="1" applyProtection="1">
      <alignment horizontal="center" wrapText="1"/>
    </xf>
    <xf numFmtId="165" fontId="21" fillId="0" borderId="79" xfId="4" applyNumberFormat="1" applyFont="1" applyFill="1" applyBorder="1" applyAlignment="1" applyProtection="1">
      <alignment horizontal="center"/>
    </xf>
    <xf numFmtId="165" fontId="21" fillId="0" borderId="39" xfId="4" applyNumberFormat="1" applyFont="1" applyFill="1" applyBorder="1" applyAlignment="1" applyProtection="1">
      <alignment horizontal="center"/>
    </xf>
    <xf numFmtId="165" fontId="21" fillId="0" borderId="40" xfId="4" applyNumberFormat="1" applyFont="1" applyFill="1" applyBorder="1" applyAlignment="1" applyProtection="1">
      <alignment horizontal="center"/>
    </xf>
    <xf numFmtId="0" fontId="6" fillId="6" borderId="24" xfId="4" applyAlignment="1" applyProtection="1">
      <alignment horizontal="center" vertical="center"/>
    </xf>
    <xf numFmtId="0" fontId="0" fillId="12" borderId="2" xfId="0" applyFill="1" applyBorder="1" applyAlignment="1">
      <alignment horizontal="center" vertical="center"/>
    </xf>
    <xf numFmtId="165" fontId="54" fillId="4" borderId="2" xfId="0" applyNumberFormat="1" applyFont="1" applyFill="1" applyBorder="1" applyAlignment="1">
      <alignment horizontal="center" textRotation="255"/>
    </xf>
    <xf numFmtId="0" fontId="0" fillId="0" borderId="2" xfId="0" applyBorder="1" applyAlignment="1">
      <alignment horizontal="center"/>
    </xf>
    <xf numFmtId="165" fontId="1" fillId="2" borderId="2" xfId="1" applyNumberFormat="1" applyBorder="1" applyAlignment="1" applyProtection="1">
      <alignment horizontal="center"/>
    </xf>
    <xf numFmtId="0" fontId="17" fillId="0" borderId="5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86" fillId="39" borderId="45" xfId="0" applyFont="1" applyFill="1" applyBorder="1" applyAlignment="1">
      <alignment horizontal="center" vertical="center"/>
    </xf>
    <xf numFmtId="0" fontId="86" fillId="39" borderId="0" xfId="0" applyFont="1" applyFill="1" applyAlignment="1">
      <alignment horizontal="center" vertic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7" fontId="3" fillId="13" borderId="1" xfId="2" applyNumberFormat="1" applyAlignment="1" applyProtection="1">
      <alignment horizontal="center" vertical="center"/>
      <protection locked="0"/>
    </xf>
    <xf numFmtId="0" fontId="17" fillId="0" borderId="2" xfId="0" applyFont="1" applyBorder="1" applyAlignment="1">
      <alignment horizontal="center"/>
    </xf>
    <xf numFmtId="168" fontId="19" fillId="11" borderId="2" xfId="6" applyNumberFormat="1" applyFont="1" applyBorder="1" applyAlignment="1" applyProtection="1">
      <alignment horizontal="center"/>
    </xf>
    <xf numFmtId="165" fontId="19" fillId="11" borderId="10" xfId="6" applyNumberFormat="1" applyFont="1" applyBorder="1" applyAlignment="1" applyProtection="1">
      <alignment horizontal="center"/>
    </xf>
    <xf numFmtId="165" fontId="10" fillId="7" borderId="23" xfId="5" applyNumberFormat="1" applyFont="1" applyBorder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left"/>
    </xf>
    <xf numFmtId="168" fontId="81" fillId="6" borderId="5" xfId="4" applyNumberFormat="1" applyFont="1" applyBorder="1" applyAlignment="1" applyProtection="1">
      <alignment horizontal="right"/>
    </xf>
    <xf numFmtId="168" fontId="81" fillId="6" borderId="23" xfId="4" applyNumberFormat="1" applyFont="1" applyBorder="1" applyAlignment="1" applyProtection="1">
      <alignment horizontal="right"/>
    </xf>
    <xf numFmtId="165" fontId="81" fillId="6" borderId="6" xfId="4" applyNumberFormat="1" applyFont="1" applyBorder="1" applyAlignment="1" applyProtection="1">
      <alignment horizontal="center"/>
    </xf>
    <xf numFmtId="165" fontId="81" fillId="6" borderId="2" xfId="4" applyNumberFormat="1" applyFont="1" applyBorder="1" applyAlignment="1" applyProtection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23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165" fontId="69" fillId="34" borderId="23" xfId="0" applyNumberFormat="1" applyFont="1" applyFill="1" applyBorder="1" applyAlignment="1">
      <alignment horizontal="center"/>
    </xf>
    <xf numFmtId="165" fontId="69" fillId="34" borderId="6" xfId="0" applyNumberFormat="1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69" fillId="34" borderId="5" xfId="0" applyNumberFormat="1" applyFont="1" applyFill="1" applyBorder="1" applyAlignment="1">
      <alignment horizontal="center"/>
    </xf>
    <xf numFmtId="0" fontId="69" fillId="34" borderId="23" xfId="0" applyFont="1" applyFill="1" applyBorder="1" applyAlignment="1">
      <alignment horizontal="center"/>
    </xf>
    <xf numFmtId="165" fontId="54" fillId="34" borderId="23" xfId="0" applyNumberFormat="1" applyFont="1" applyFill="1" applyBorder="1" applyAlignment="1">
      <alignment horizontal="center"/>
    </xf>
    <xf numFmtId="165" fontId="54" fillId="34" borderId="5" xfId="0" applyNumberFormat="1" applyFont="1" applyFill="1" applyBorder="1" applyAlignment="1">
      <alignment horizontal="center"/>
    </xf>
    <xf numFmtId="165" fontId="54" fillId="34" borderId="6" xfId="0" applyNumberFormat="1" applyFont="1" applyFill="1" applyBorder="1" applyAlignment="1">
      <alignment horizontal="center"/>
    </xf>
    <xf numFmtId="165" fontId="69" fillId="33" borderId="29" xfId="0" applyNumberFormat="1" applyFont="1" applyFill="1" applyBorder="1" applyAlignment="1">
      <alignment horizontal="center"/>
    </xf>
    <xf numFmtId="165" fontId="69" fillId="33" borderId="6" xfId="0" applyNumberFormat="1" applyFont="1" applyFill="1" applyBorder="1" applyAlignment="1">
      <alignment horizontal="center"/>
    </xf>
    <xf numFmtId="165" fontId="69" fillId="33" borderId="2" xfId="0" applyNumberFormat="1" applyFont="1" applyFill="1" applyBorder="1" applyAlignment="1">
      <alignment horizontal="center"/>
    </xf>
    <xf numFmtId="165" fontId="69" fillId="33" borderId="8" xfId="0" applyNumberFormat="1" applyFont="1" applyFill="1" applyBorder="1" applyAlignment="1">
      <alignment horizontal="center"/>
    </xf>
    <xf numFmtId="165" fontId="69" fillId="33" borderId="9" xfId="0" applyNumberFormat="1" applyFont="1" applyFill="1" applyBorder="1" applyAlignment="1">
      <alignment horizontal="center"/>
    </xf>
    <xf numFmtId="165" fontId="69" fillId="34" borderId="2" xfId="0" applyNumberFormat="1" applyFont="1" applyFill="1" applyBorder="1" applyAlignment="1">
      <alignment horizontal="center"/>
    </xf>
    <xf numFmtId="165" fontId="69" fillId="34" borderId="2" xfId="0" applyNumberFormat="1" applyFon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/>
    </xf>
    <xf numFmtId="165" fontId="69" fillId="34" borderId="28" xfId="0" applyNumberFormat="1" applyFont="1" applyFill="1" applyBorder="1" applyAlignment="1">
      <alignment horizontal="center"/>
    </xf>
    <xf numFmtId="0" fontId="69" fillId="34" borderId="28" xfId="0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0" fontId="63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 applyAlignment="1">
      <alignment horizontal="center" vertical="center"/>
    </xf>
    <xf numFmtId="165" fontId="67" fillId="4" borderId="2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0" fontId="0" fillId="0" borderId="0" xfId="0" applyAlignment="1">
      <alignment horizontal="center"/>
    </xf>
    <xf numFmtId="0" fontId="17" fillId="12" borderId="2" xfId="0" applyFont="1" applyFill="1" applyBorder="1" applyAlignment="1">
      <alignment horizontal="left" vertical="center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0" fontId="57" fillId="7" borderId="2" xfId="5" applyFont="1" applyBorder="1" applyAlignment="1" applyProtection="1">
      <alignment horizontal="center"/>
    </xf>
    <xf numFmtId="164" fontId="54" fillId="15" borderId="105" xfId="8" applyNumberFormat="1" applyFont="1" applyBorder="1" applyAlignment="1" applyProtection="1">
      <alignment horizontal="center" vertical="center" wrapText="1"/>
    </xf>
    <xf numFmtId="164" fontId="54" fillId="15" borderId="22" xfId="8" applyNumberFormat="1" applyFont="1" applyBorder="1" applyAlignment="1" applyProtection="1">
      <alignment horizontal="center" vertical="center" wrapText="1"/>
    </xf>
    <xf numFmtId="164" fontId="54" fillId="15" borderId="106" xfId="8" applyNumberFormat="1" applyFont="1" applyBorder="1" applyAlignment="1" applyProtection="1">
      <alignment horizontal="center" vertical="center" wrapText="1"/>
    </xf>
    <xf numFmtId="164" fontId="54" fillId="15" borderId="10" xfId="8" applyNumberFormat="1" applyFont="1" applyBorder="1" applyAlignment="1" applyProtection="1">
      <alignment horizontal="center" vertical="center" wrapText="1"/>
    </xf>
    <xf numFmtId="164" fontId="54" fillId="15" borderId="11" xfId="8" applyNumberFormat="1" applyFont="1" applyBorder="1" applyAlignment="1" applyProtection="1">
      <alignment horizontal="center" vertical="center" wrapText="1"/>
    </xf>
    <xf numFmtId="164" fontId="54" fillId="15" borderId="12" xfId="8" applyNumberFormat="1" applyFont="1" applyBorder="1" applyAlignment="1" applyProtection="1">
      <alignment horizontal="center" vertical="center" wrapText="1"/>
    </xf>
    <xf numFmtId="164" fontId="54" fillId="15" borderId="2" xfId="8" applyNumberFormat="1" applyFont="1" applyBorder="1" applyAlignment="1" applyProtection="1">
      <alignment horizontal="center" vertical="center" wrapText="1"/>
    </xf>
    <xf numFmtId="167" fontId="3" fillId="13" borderId="1" xfId="2" applyNumberFormat="1" applyAlignment="1" applyProtection="1">
      <alignment horizontal="center"/>
      <protection locked="0"/>
    </xf>
    <xf numFmtId="167" fontId="3" fillId="13" borderId="1" xfId="2" quotePrefix="1" applyNumberFormat="1" applyAlignment="1" applyProtection="1">
      <alignment horizontal="center"/>
      <protection locked="0"/>
    </xf>
    <xf numFmtId="164" fontId="54" fillId="25" borderId="2" xfId="8" applyNumberFormat="1" applyFont="1" applyFill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8" fillId="6" borderId="39" xfId="4" applyFont="1" applyBorder="1" applyAlignment="1" applyProtection="1">
      <alignment horizontal="center"/>
    </xf>
    <xf numFmtId="0" fontId="38" fillId="6" borderId="40" xfId="4" applyFont="1" applyBorder="1" applyAlignment="1" applyProtection="1">
      <alignment horizontal="center"/>
    </xf>
    <xf numFmtId="0" fontId="38" fillId="6" borderId="53" xfId="4" applyFont="1" applyBorder="1" applyAlignment="1" applyProtection="1">
      <alignment horizontal="center"/>
    </xf>
    <xf numFmtId="0" fontId="38" fillId="6" borderId="54" xfId="4" applyFont="1" applyBorder="1" applyAlignment="1" applyProtection="1">
      <alignment horizontal="center"/>
    </xf>
    <xf numFmtId="0" fontId="17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165" fontId="13" fillId="27" borderId="2" xfId="0" applyNumberFormat="1" applyFont="1" applyFill="1" applyBorder="1" applyAlignment="1">
      <alignment horizontal="left" vertical="center"/>
    </xf>
    <xf numFmtId="165" fontId="13" fillId="7" borderId="2" xfId="5" quotePrefix="1" applyNumberFormat="1" applyFont="1" applyBorder="1" applyAlignment="1" applyProtection="1">
      <alignment horizontal="left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0" fillId="3" borderId="25" xfId="5" applyNumberFormat="1" applyFont="1" applyFill="1" applyAlignment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1" fillId="6" borderId="52" xfId="4" applyNumberFormat="1" applyFont="1" applyBorder="1" applyAlignment="1" applyProtection="1">
      <alignment horizontal="center"/>
    </xf>
    <xf numFmtId="165" fontId="21" fillId="6" borderId="146" xfId="4" applyNumberFormat="1" applyFont="1" applyBorder="1" applyAlignment="1" applyProtection="1">
      <alignment horizontal="center"/>
    </xf>
    <xf numFmtId="165" fontId="10" fillId="7" borderId="2" xfId="5" applyNumberFormat="1" applyFont="1" applyBorder="1" applyAlignment="1" applyProtection="1">
      <alignment horizontal="left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1" fillId="6" borderId="54" xfId="4" applyNumberFormat="1" applyFont="1" applyBorder="1" applyAlignment="1" applyProtection="1">
      <alignment horizont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0" xfId="0" quotePrefix="1" applyNumberFormat="1" applyFont="1" applyAlignment="1">
      <alignment horizontal="center" vertical="center"/>
    </xf>
    <xf numFmtId="165" fontId="10" fillId="0" borderId="2" xfId="0" applyNumberFormat="1" applyFont="1" applyBorder="1" applyAlignment="1">
      <alignment horizontal="left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29" fillId="7" borderId="5" xfId="5" applyNumberFormat="1" applyFont="1" applyBorder="1" applyAlignment="1" applyProtection="1">
      <alignment horizontal="center"/>
    </xf>
    <xf numFmtId="165" fontId="29" fillId="7" borderId="23" xfId="5" applyNumberFormat="1" applyFont="1" applyBorder="1" applyAlignment="1" applyProtection="1">
      <alignment horizontal="center"/>
    </xf>
    <xf numFmtId="165" fontId="29" fillId="7" borderId="8" xfId="5" applyNumberFormat="1" applyFont="1" applyBorder="1" applyAlignment="1" applyProtection="1">
      <alignment horizontal="center"/>
    </xf>
    <xf numFmtId="165" fontId="29" fillId="7" borderId="9" xfId="5" applyNumberFormat="1" applyFont="1" applyBorder="1" applyAlignment="1" applyProtection="1">
      <alignment horizontal="center"/>
    </xf>
    <xf numFmtId="0" fontId="22" fillId="7" borderId="58" xfId="5" applyFont="1" applyBorder="1" applyAlignment="1" applyProtection="1">
      <alignment horizontal="center"/>
    </xf>
    <xf numFmtId="0" fontId="17" fillId="12" borderId="6" xfId="0" applyFont="1" applyFill="1" applyBorder="1" applyAlignment="1">
      <alignment horizontal="center" vertical="center"/>
    </xf>
    <xf numFmtId="0" fontId="17" fillId="12" borderId="28" xfId="0" applyFont="1" applyFill="1" applyBorder="1" applyAlignment="1">
      <alignment horizontal="left" vertic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10" fillId="9" borderId="15" xfId="0" applyNumberFormat="1" applyFont="1" applyFill="1" applyBorder="1" applyAlignment="1">
      <alignment horizontal="center"/>
    </xf>
    <xf numFmtId="165" fontId="10" fillId="9" borderId="87" xfId="0" applyNumberFormat="1" applyFont="1" applyFill="1" applyBorder="1" applyAlignment="1">
      <alignment horizontal="center"/>
    </xf>
    <xf numFmtId="165" fontId="21" fillId="6" borderId="107" xfId="4" applyNumberFormat="1" applyFont="1" applyBorder="1" applyAlignment="1" applyProtection="1">
      <alignment horizontal="left"/>
    </xf>
    <xf numFmtId="165" fontId="21" fillId="6" borderId="15" xfId="4" applyNumberFormat="1" applyFont="1" applyBorder="1" applyAlignment="1" applyProtection="1">
      <alignment horizontal="left"/>
    </xf>
    <xf numFmtId="165" fontId="21" fillId="6" borderId="108" xfId="4" applyNumberFormat="1" applyFont="1" applyBorder="1" applyAlignment="1" applyProtection="1">
      <alignment horizontal="left"/>
    </xf>
    <xf numFmtId="165" fontId="69" fillId="4" borderId="2" xfId="0" applyNumberFormat="1" applyFont="1" applyFill="1" applyBorder="1" applyAlignment="1">
      <alignment horizontal="center" textRotation="255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27" fillId="5" borderId="2" xfId="3" applyFont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164" fontId="54" fillId="15" borderId="57" xfId="8" applyNumberFormat="1" applyFont="1" applyBorder="1" applyAlignment="1" applyProtection="1">
      <alignment horizontal="center" vertical="center" wrapText="1"/>
    </xf>
    <xf numFmtId="164" fontId="54" fillId="15" borderId="29" xfId="8" applyNumberFormat="1" applyFont="1" applyBorder="1" applyAlignment="1" applyProtection="1">
      <alignment horizontal="center" vertical="center" wrapText="1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38" fillId="6" borderId="79" xfId="4" applyFont="1" applyBorder="1" applyAlignment="1" applyProtection="1">
      <alignment horizontal="center"/>
    </xf>
    <xf numFmtId="165" fontId="25" fillId="17" borderId="0" xfId="0" applyNumberFormat="1" applyFont="1" applyFill="1" applyAlignment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10" fillId="27" borderId="2" xfId="0" applyNumberFormat="1" applyFont="1" applyFill="1" applyBorder="1" applyAlignment="1">
      <alignment horizontal="center" vertical="center"/>
    </xf>
    <xf numFmtId="165" fontId="13" fillId="27" borderId="2" xfId="0" applyNumberFormat="1" applyFont="1" applyFill="1" applyBorder="1" applyAlignment="1">
      <alignment horizontal="center" vertical="center"/>
    </xf>
    <xf numFmtId="0" fontId="40" fillId="26" borderId="2" xfId="0" applyFont="1" applyFill="1" applyBorder="1" applyAlignment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5" fontId="10" fillId="9" borderId="0" xfId="0" applyNumberFormat="1" applyFont="1" applyFill="1" applyAlignment="1">
      <alignment horizontal="center"/>
    </xf>
    <xf numFmtId="165" fontId="56" fillId="29" borderId="7" xfId="9" applyNumberFormat="1" applyFont="1" applyFill="1" applyBorder="1" applyAlignment="1" applyProtection="1">
      <alignment horizontal="center" vertical="center"/>
    </xf>
    <xf numFmtId="165" fontId="56" fillId="29" borderId="8" xfId="9" applyNumberFormat="1" applyFont="1" applyFill="1" applyBorder="1" applyAlignment="1" applyProtection="1">
      <alignment horizontal="center" vertical="center"/>
    </xf>
    <xf numFmtId="165" fontId="56" fillId="29" borderId="9" xfId="9" applyNumberFormat="1" applyFont="1" applyFill="1" applyBorder="1" applyAlignment="1" applyProtection="1">
      <alignment horizontal="center" vertical="center"/>
    </xf>
    <xf numFmtId="165" fontId="56" fillId="29" borderId="10" xfId="9" applyNumberFormat="1" applyFont="1" applyFill="1" applyBorder="1" applyAlignment="1" applyProtection="1">
      <alignment horizontal="center" vertical="center"/>
    </xf>
    <xf numFmtId="165" fontId="56" fillId="29" borderId="11" xfId="9" applyNumberFormat="1" applyFont="1" applyFill="1" applyBorder="1" applyAlignment="1" applyProtection="1">
      <alignment horizontal="center" vertical="center"/>
    </xf>
    <xf numFmtId="165" fontId="56" fillId="29" borderId="12" xfId="9" applyNumberFormat="1" applyFont="1" applyFill="1" applyBorder="1" applyAlignment="1" applyProtection="1">
      <alignment horizontal="center" vertical="center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0" fillId="4" borderId="2" xfId="0" applyNumberFormat="1" applyFill="1" applyBorder="1" applyAlignment="1">
      <alignment horizontal="center" vertical="center" textRotation="255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69" fillId="34" borderId="7" xfId="0" applyNumberFormat="1" applyFont="1" applyFill="1" applyBorder="1" applyAlignment="1">
      <alignment horizontal="center" vertical="center"/>
    </xf>
    <xf numFmtId="165" fontId="69" fillId="34" borderId="8" xfId="0" applyNumberFormat="1" applyFont="1" applyFill="1" applyBorder="1" applyAlignment="1">
      <alignment horizontal="center" vertical="center"/>
    </xf>
    <xf numFmtId="165" fontId="69" fillId="34" borderId="10" xfId="0" applyNumberFormat="1" applyFont="1" applyFill="1" applyBorder="1" applyAlignment="1">
      <alignment horizontal="center" vertical="center"/>
    </xf>
    <xf numFmtId="165" fontId="69" fillId="34" borderId="11" xfId="0" applyNumberFormat="1" applyFont="1" applyFill="1" applyBorder="1" applyAlignment="1">
      <alignment horizontal="center" vertical="center"/>
    </xf>
    <xf numFmtId="0" fontId="69" fillId="34" borderId="5" xfId="0" applyFont="1" applyFill="1" applyBorder="1" applyAlignment="1">
      <alignment horizontal="center"/>
    </xf>
    <xf numFmtId="165" fontId="83" fillId="34" borderId="2" xfId="0" applyNumberFormat="1" applyFont="1" applyFill="1" applyBorder="1" applyAlignment="1">
      <alignment horizontal="center"/>
    </xf>
    <xf numFmtId="165" fontId="17" fillId="34" borderId="2" xfId="0" applyNumberFormat="1" applyFont="1" applyFill="1" applyBorder="1" applyAlignment="1">
      <alignment horizontal="center"/>
    </xf>
    <xf numFmtId="165" fontId="46" fillId="6" borderId="5" xfId="4" applyNumberFormat="1" applyFont="1" applyBorder="1" applyAlignment="1" applyProtection="1">
      <alignment horizontal="center"/>
    </xf>
    <xf numFmtId="165" fontId="46" fillId="6" borderId="23" xfId="4" applyNumberFormat="1" applyFont="1" applyBorder="1" applyAlignment="1" applyProtection="1">
      <alignment horizontal="center"/>
    </xf>
    <xf numFmtId="165" fontId="46" fillId="6" borderId="6" xfId="4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9" xfId="0" applyNumberFormat="1" applyFill="1" applyBorder="1" applyAlignment="1">
      <alignment horizontal="center"/>
    </xf>
    <xf numFmtId="165" fontId="29" fillId="43" borderId="0" xfId="0" applyNumberFormat="1" applyFont="1" applyFill="1" applyAlignment="1">
      <alignment horizontal="left" vertical="center"/>
    </xf>
    <xf numFmtId="165" fontId="29" fillId="43" borderId="4" xfId="0" applyNumberFormat="1" applyFont="1" applyFill="1" applyBorder="1" applyAlignment="1">
      <alignment horizontal="left" vertical="center"/>
    </xf>
    <xf numFmtId="165" fontId="80" fillId="43" borderId="2" xfId="0" applyNumberFormat="1" applyFont="1" applyFill="1" applyBorder="1" applyAlignment="1">
      <alignment horizontal="center"/>
    </xf>
    <xf numFmtId="165" fontId="69" fillId="43" borderId="5" xfId="0" applyNumberFormat="1" applyFont="1" applyFill="1" applyBorder="1" applyAlignment="1">
      <alignment horizontal="center"/>
    </xf>
    <xf numFmtId="165" fontId="69" fillId="43" borderId="23" xfId="0" applyNumberFormat="1" applyFont="1" applyFill="1" applyBorder="1" applyAlignment="1">
      <alignment horizontal="center"/>
    </xf>
    <xf numFmtId="165" fontId="69" fillId="43" borderId="6" xfId="0" applyNumberFormat="1" applyFont="1" applyFill="1" applyBorder="1" applyAlignment="1">
      <alignment horizontal="center"/>
    </xf>
    <xf numFmtId="165" fontId="80" fillId="43" borderId="5" xfId="0" applyNumberFormat="1" applyFont="1" applyFill="1" applyBorder="1" applyAlignment="1">
      <alignment horizontal="center"/>
    </xf>
    <xf numFmtId="165" fontId="80" fillId="43" borderId="23" xfId="0" applyNumberFormat="1" applyFont="1" applyFill="1" applyBorder="1" applyAlignment="1">
      <alignment horizontal="center"/>
    </xf>
    <xf numFmtId="165" fontId="80" fillId="43" borderId="6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12" fillId="2" borderId="13" xfId="1" applyNumberFormat="1" applyFont="1" applyBorder="1" applyAlignment="1" applyProtection="1">
      <alignment horizontal="center" vertical="center"/>
    </xf>
    <xf numFmtId="165" fontId="12" fillId="2" borderId="2" xfId="1" applyNumberFormat="1" applyFont="1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0" fontId="40" fillId="26" borderId="5" xfId="0" applyFont="1" applyFill="1" applyBorder="1" applyAlignment="1">
      <alignment horizontal="center" vertical="center"/>
    </xf>
    <xf numFmtId="0" fontId="40" fillId="26" borderId="23" xfId="0" applyFont="1" applyFill="1" applyBorder="1" applyAlignment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0" fontId="38" fillId="6" borderId="109" xfId="4" applyFont="1" applyBorder="1" applyAlignment="1" applyProtection="1">
      <alignment horizontal="center"/>
    </xf>
    <xf numFmtId="0" fontId="38" fillId="6" borderId="51" xfId="4" applyFont="1" applyBorder="1" applyAlignment="1" applyProtection="1">
      <alignment horizontal="center"/>
    </xf>
    <xf numFmtId="0" fontId="38" fillId="6" borderId="52" xfId="4" applyFont="1" applyBorder="1" applyAlignment="1" applyProtection="1">
      <alignment horizontal="center"/>
    </xf>
    <xf numFmtId="164" fontId="54" fillId="15" borderId="7" xfId="8" applyNumberFormat="1" applyFont="1" applyBorder="1" applyAlignment="1" applyProtection="1">
      <alignment horizontal="center" vertical="center" wrapText="1"/>
    </xf>
    <xf numFmtId="164" fontId="54" fillId="15" borderId="8" xfId="8" applyNumberFormat="1" applyFont="1" applyBorder="1" applyAlignment="1" applyProtection="1">
      <alignment horizontal="center" vertical="center" wrapText="1"/>
    </xf>
    <xf numFmtId="164" fontId="54" fillId="15" borderId="9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165" fontId="0" fillId="25" borderId="2" xfId="0" applyNumberFormat="1" applyFill="1" applyBorder="1" applyAlignment="1">
      <alignment horizontal="center" vertical="center"/>
    </xf>
    <xf numFmtId="165" fontId="63" fillId="0" borderId="2" xfId="0" applyNumberFormat="1" applyFont="1" applyBorder="1" applyAlignment="1">
      <alignment horizontal="center"/>
    </xf>
    <xf numFmtId="165" fontId="89" fillId="15" borderId="7" xfId="8" applyNumberFormat="1" applyFont="1" applyBorder="1" applyAlignment="1" applyProtection="1">
      <alignment horizontal="center" vertical="center" wrapText="1"/>
    </xf>
    <xf numFmtId="165" fontId="89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18" fillId="13" borderId="2" xfId="2" quotePrefix="1" applyNumberFormat="1" applyFont="1" applyBorder="1" applyAlignment="1" applyProtection="1">
      <alignment horizontal="center" vertical="center"/>
      <protection locked="0"/>
    </xf>
    <xf numFmtId="165" fontId="69" fillId="4" borderId="5" xfId="0" applyNumberFormat="1" applyFont="1" applyFill="1" applyBorder="1" applyAlignment="1">
      <alignment horizontal="center" textRotation="255"/>
    </xf>
    <xf numFmtId="49" fontId="18" fillId="13" borderId="20" xfId="2" quotePrefix="1" applyNumberFormat="1" applyFont="1" applyBorder="1" applyAlignment="1" applyProtection="1">
      <alignment horizontal="center" vertical="center"/>
      <protection locked="0"/>
    </xf>
    <xf numFmtId="49" fontId="18" fillId="13" borderId="85" xfId="2" quotePrefix="1" applyNumberFormat="1" applyFont="1" applyBorder="1" applyAlignment="1" applyProtection="1">
      <alignment horizontal="center" vertical="center"/>
      <protection locked="0"/>
    </xf>
    <xf numFmtId="49" fontId="18" fillId="13" borderId="43" xfId="2" quotePrefix="1" applyNumberFormat="1" applyFont="1" applyBorder="1" applyAlignment="1" applyProtection="1">
      <alignment horizontal="center" vertical="center"/>
      <protection locked="0"/>
    </xf>
    <xf numFmtId="49" fontId="18" fillId="13" borderId="86" xfId="2" quotePrefix="1" applyNumberFormat="1" applyFont="1" applyBorder="1" applyAlignment="1" applyProtection="1">
      <alignment horizontal="center" vertical="center"/>
      <protection locked="0"/>
    </xf>
    <xf numFmtId="165" fontId="18" fillId="13" borderId="7" xfId="2" applyNumberFormat="1" applyFont="1" applyBorder="1" applyAlignment="1" applyProtection="1">
      <alignment horizontal="center" vertical="center"/>
      <protection locked="0"/>
    </xf>
    <xf numFmtId="165" fontId="18" fillId="13" borderId="8" xfId="2" applyNumberFormat="1" applyFont="1" applyBorder="1" applyAlignment="1" applyProtection="1">
      <alignment horizontal="center" vertical="center"/>
      <protection locked="0"/>
    </xf>
    <xf numFmtId="165" fontId="18" fillId="13" borderId="9" xfId="2" applyNumberFormat="1" applyFont="1" applyBorder="1" applyAlignment="1" applyProtection="1">
      <alignment horizontal="center" vertical="center"/>
      <protection locked="0"/>
    </xf>
    <xf numFmtId="165" fontId="18" fillId="13" borderId="10" xfId="2" applyNumberFormat="1" applyFont="1" applyBorder="1" applyAlignment="1" applyProtection="1">
      <alignment horizontal="center" vertical="center"/>
      <protection locked="0"/>
    </xf>
    <xf numFmtId="165" fontId="18" fillId="13" borderId="11" xfId="2" applyNumberFormat="1" applyFont="1" applyBorder="1" applyAlignment="1" applyProtection="1">
      <alignment horizontal="center" vertical="center"/>
      <protection locked="0"/>
    </xf>
    <xf numFmtId="165" fontId="18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5" fontId="18" fillId="13" borderId="44" xfId="2" applyNumberFormat="1" applyFont="1" applyBorder="1" applyAlignment="1" applyProtection="1">
      <alignment horizontal="center" vertical="center"/>
      <protection locked="0"/>
    </xf>
    <xf numFmtId="165" fontId="18" fillId="13" borderId="43" xfId="2" applyNumberFormat="1" applyFont="1" applyBorder="1" applyAlignment="1" applyProtection="1">
      <alignment horizontal="center" vertical="center"/>
      <protection locked="0"/>
    </xf>
    <xf numFmtId="165" fontId="18" fillId="13" borderId="46" xfId="2" applyNumberFormat="1" applyFont="1" applyBorder="1" applyAlignment="1" applyProtection="1">
      <alignment horizontal="center" vertical="center"/>
      <protection locked="0"/>
    </xf>
    <xf numFmtId="49" fontId="18" fillId="13" borderId="8" xfId="2" quotePrefix="1" applyNumberFormat="1" applyFont="1" applyBorder="1" applyAlignment="1" applyProtection="1">
      <alignment horizontal="center" vertical="center"/>
      <protection locked="0"/>
    </xf>
    <xf numFmtId="49" fontId="18" fillId="13" borderId="26" xfId="2" quotePrefix="1" applyNumberFormat="1" applyFont="1" applyBorder="1" applyAlignment="1" applyProtection="1">
      <alignment horizontal="center" vertical="center"/>
      <protection locked="0"/>
    </xf>
    <xf numFmtId="165" fontId="18" fillId="13" borderId="2" xfId="2" applyNumberFormat="1" applyFont="1" applyBorder="1" applyAlignment="1" applyProtection="1">
      <alignment horizontal="center" vertical="center"/>
      <protection locked="0"/>
    </xf>
    <xf numFmtId="0" fontId="18" fillId="13" borderId="37" xfId="2" applyFont="1" applyBorder="1" applyAlignment="1" applyProtection="1">
      <alignment horizontal="center" vertical="center"/>
      <protection locked="0"/>
    </xf>
    <xf numFmtId="0" fontId="18" fillId="13" borderId="102" xfId="2" applyFont="1" applyBorder="1" applyAlignment="1" applyProtection="1">
      <alignment horizontal="center" vertical="center"/>
      <protection locked="0"/>
    </xf>
    <xf numFmtId="0" fontId="18" fillId="13" borderId="13" xfId="2" applyFont="1" applyBorder="1" applyAlignment="1" applyProtection="1">
      <alignment horizontal="center" vertical="center"/>
      <protection locked="0"/>
    </xf>
    <xf numFmtId="165" fontId="18" fillId="13" borderId="7" xfId="2" quotePrefix="1" applyNumberFormat="1" applyFont="1" applyBorder="1" applyAlignment="1" applyProtection="1">
      <alignment horizontal="center" vertical="center"/>
      <protection locked="0"/>
    </xf>
    <xf numFmtId="165" fontId="18" fillId="13" borderId="8" xfId="2" quotePrefix="1" applyNumberFormat="1" applyFont="1" applyBorder="1" applyAlignment="1" applyProtection="1">
      <alignment horizontal="center" vertical="center"/>
      <protection locked="0"/>
    </xf>
    <xf numFmtId="165" fontId="18" fillId="13" borderId="81" xfId="2" quotePrefix="1" applyNumberFormat="1" applyFont="1" applyBorder="1" applyAlignment="1" applyProtection="1">
      <alignment horizontal="center" vertical="center"/>
      <protection locked="0"/>
    </xf>
    <xf numFmtId="165" fontId="18" fillId="13" borderId="44" xfId="2" quotePrefix="1" applyNumberFormat="1" applyFont="1" applyBorder="1" applyAlignment="1" applyProtection="1">
      <alignment horizontal="center" vertical="center"/>
      <protection locked="0"/>
    </xf>
    <xf numFmtId="165" fontId="18" fillId="13" borderId="43" xfId="2" quotePrefix="1" applyNumberFormat="1" applyFont="1" applyBorder="1" applyAlignment="1" applyProtection="1">
      <alignment horizontal="center" vertical="center"/>
      <protection locked="0"/>
    </xf>
    <xf numFmtId="165" fontId="18" fillId="13" borderId="18" xfId="2" quotePrefix="1" applyNumberFormat="1" applyFont="1" applyBorder="1" applyAlignment="1" applyProtection="1">
      <alignment horizontal="center" vertical="center"/>
      <protection locked="0"/>
    </xf>
    <xf numFmtId="165" fontId="18" fillId="13" borderId="131" xfId="2" quotePrefix="1" applyNumberFormat="1" applyFont="1" applyBorder="1" applyAlignment="1" applyProtection="1">
      <alignment horizontal="center" vertical="center"/>
      <protection locked="0"/>
    </xf>
    <xf numFmtId="165" fontId="18" fillId="13" borderId="20" xfId="2" quotePrefix="1" applyNumberFormat="1" applyFont="1" applyBorder="1" applyAlignment="1" applyProtection="1">
      <alignment horizontal="center" vertical="center"/>
      <protection locked="0"/>
    </xf>
    <xf numFmtId="165" fontId="18" fillId="13" borderId="21" xfId="2" quotePrefix="1" applyNumberFormat="1" applyFont="1" applyBorder="1" applyAlignment="1" applyProtection="1">
      <alignment horizontal="center" vertical="center"/>
      <protection locked="0"/>
    </xf>
    <xf numFmtId="165" fontId="18" fillId="13" borderId="53" xfId="2" quotePrefix="1" applyNumberFormat="1" applyFont="1" applyBorder="1" applyAlignment="1" applyProtection="1">
      <alignment horizontal="center" vertical="center"/>
      <protection locked="0"/>
    </xf>
    <xf numFmtId="165" fontId="18" fillId="13" borderId="1" xfId="2" applyNumberFormat="1" applyFont="1" applyAlignment="1" applyProtection="1">
      <alignment horizontal="center" vertical="center"/>
      <protection locked="0"/>
    </xf>
    <xf numFmtId="49" fontId="18" fillId="13" borderId="13" xfId="2" quotePrefix="1" applyNumberFormat="1" applyFont="1" applyBorder="1" applyAlignment="1" applyProtection="1">
      <alignment horizontal="center" vertical="center"/>
      <protection locked="0"/>
    </xf>
    <xf numFmtId="49" fontId="18" fillId="13" borderId="13" xfId="2" applyNumberFormat="1" applyFont="1" applyBorder="1" applyAlignment="1" applyProtection="1">
      <alignment horizontal="center" vertical="center"/>
      <protection locked="0"/>
    </xf>
    <xf numFmtId="49" fontId="18" fillId="13" borderId="1" xfId="2" applyNumberFormat="1" applyFont="1" applyAlignment="1" applyProtection="1">
      <alignment horizontal="center" vertical="center"/>
      <protection locked="0"/>
    </xf>
    <xf numFmtId="49" fontId="18" fillId="13" borderId="1" xfId="2" quotePrefix="1" applyNumberFormat="1" applyFont="1" applyAlignment="1" applyProtection="1">
      <alignment horizontal="center" vertical="center"/>
      <protection locked="0"/>
    </xf>
    <xf numFmtId="165" fontId="18" fillId="13" borderId="131" xfId="2" applyNumberFormat="1" applyFont="1" applyBorder="1" applyAlignment="1" applyProtection="1">
      <alignment horizontal="center" vertical="center"/>
      <protection locked="0"/>
    </xf>
    <xf numFmtId="165" fontId="18" fillId="13" borderId="20" xfId="2" applyNumberFormat="1" applyFont="1" applyBorder="1" applyAlignment="1" applyProtection="1">
      <alignment horizontal="center" vertical="center"/>
      <protection locked="0"/>
    </xf>
    <xf numFmtId="165" fontId="18" fillId="13" borderId="145" xfId="2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165" fontId="18" fillId="13" borderId="1" xfId="2" quotePrefix="1" applyNumberFormat="1" applyFont="1" applyAlignment="1" applyProtection="1">
      <alignment horizontal="center" vertical="center"/>
      <protection locked="0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2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17" fillId="0" borderId="0" xfId="0" applyFont="1"/>
    <xf numFmtId="165" fontId="10" fillId="0" borderId="0" xfId="0" applyNumberFormat="1" applyFont="1" applyAlignment="1">
      <alignment horizont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55" fillId="27" borderId="2" xfId="0" applyNumberFormat="1" applyFont="1" applyFill="1" applyBorder="1" applyAlignment="1">
      <alignment horizontal="center" vertical="center"/>
    </xf>
    <xf numFmtId="165" fontId="69" fillId="27" borderId="2" xfId="0" applyNumberFormat="1" applyFont="1" applyFill="1" applyBorder="1" applyAlignment="1">
      <alignment horizontal="center"/>
    </xf>
    <xf numFmtId="165" fontId="69" fillId="27" borderId="2" xfId="0" applyNumberFormat="1" applyFont="1" applyFill="1" applyBorder="1" applyAlignment="1">
      <alignment horizontal="left"/>
    </xf>
    <xf numFmtId="0" fontId="69" fillId="27" borderId="2" xfId="0" applyFont="1" applyFill="1" applyBorder="1" applyAlignment="1">
      <alignment horizontal="center"/>
    </xf>
    <xf numFmtId="0" fontId="69" fillId="27" borderId="2" xfId="0" applyFont="1" applyFill="1" applyBorder="1" applyAlignment="1">
      <alignment horizontal="left"/>
    </xf>
    <xf numFmtId="165" fontId="23" fillId="5" borderId="9" xfId="3" applyNumberFormat="1" applyFont="1" applyBorder="1" applyAlignment="1" applyProtection="1">
      <alignment horizontal="center" vertical="center"/>
    </xf>
    <xf numFmtId="165" fontId="23" fillId="5" borderId="4" xfId="3" applyNumberFormat="1" applyFont="1" applyBorder="1" applyAlignment="1" applyProtection="1">
      <alignment horizontal="center" vertical="center"/>
    </xf>
    <xf numFmtId="165" fontId="23" fillId="5" borderId="12" xfId="3" applyNumberFormat="1" applyFont="1" applyBorder="1" applyAlignment="1" applyProtection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8" fillId="13" borderId="35" xfId="2" quotePrefix="1" applyNumberFormat="1" applyFont="1" applyBorder="1" applyAlignment="1" applyProtection="1">
      <alignment horizontal="center"/>
      <protection locked="0"/>
    </xf>
    <xf numFmtId="165" fontId="18" fillId="13" borderId="3" xfId="2" quotePrefix="1" applyNumberFormat="1" applyFont="1" applyBorder="1" applyAlignment="1" applyProtection="1">
      <alignment horizontal="center"/>
      <protection locked="0"/>
    </xf>
    <xf numFmtId="0" fontId="18" fillId="13" borderId="2" xfId="2" applyFont="1" applyBorder="1" applyAlignment="1" applyProtection="1">
      <alignment horizontal="center"/>
      <protection locked="0"/>
    </xf>
    <xf numFmtId="0" fontId="18" fillId="13" borderId="1" xfId="2" quotePrefix="1" applyFont="1" applyAlignment="1" applyProtection="1">
      <alignment horizontal="center"/>
      <protection locked="0"/>
    </xf>
    <xf numFmtId="0" fontId="18" fillId="13" borderId="1" xfId="2" applyFont="1" applyAlignment="1" applyProtection="1">
      <alignment horizontal="center"/>
      <protection locked="0"/>
    </xf>
    <xf numFmtId="49" fontId="18" fillId="13" borderId="18" xfId="2" quotePrefix="1" applyNumberFormat="1" applyFont="1" applyBorder="1" applyAlignment="1" applyProtection="1">
      <alignment horizontal="center"/>
      <protection locked="0"/>
    </xf>
    <xf numFmtId="49" fontId="18" fillId="13" borderId="13" xfId="2" applyNumberFormat="1" applyFont="1" applyBorder="1" applyAlignment="1" applyProtection="1">
      <alignment horizontal="center"/>
      <protection locked="0"/>
    </xf>
    <xf numFmtId="0" fontId="18" fillId="13" borderId="19" xfId="2" quotePrefix="1" applyFont="1" applyBorder="1" applyAlignment="1" applyProtection="1">
      <alignment horizontal="center"/>
      <protection locked="0"/>
    </xf>
    <xf numFmtId="0" fontId="18" fillId="13" borderId="20" xfId="2" applyFont="1" applyBorder="1" applyAlignment="1" applyProtection="1">
      <alignment horizontal="center"/>
      <protection locked="0"/>
    </xf>
    <xf numFmtId="0" fontId="18" fillId="13" borderId="21" xfId="2" applyFont="1" applyBorder="1" applyAlignment="1" applyProtection="1">
      <alignment horizontal="center"/>
      <protection locked="0"/>
    </xf>
    <xf numFmtId="49" fontId="18" fillId="13" borderId="29" xfId="2" quotePrefix="1" applyNumberFormat="1" applyFont="1" applyBorder="1" applyAlignment="1" applyProtection="1">
      <alignment horizontal="center" vertical="center"/>
      <protection locked="0"/>
    </xf>
    <xf numFmtId="0" fontId="18" fillId="13" borderId="93" xfId="2" quotePrefix="1" applyFont="1" applyBorder="1" applyAlignment="1" applyProtection="1">
      <alignment horizontal="center"/>
      <protection locked="0"/>
    </xf>
    <xf numFmtId="0" fontId="18" fillId="13" borderId="94" xfId="2" quotePrefix="1" applyFont="1" applyBorder="1" applyAlignment="1" applyProtection="1">
      <alignment horizontal="center"/>
      <protection locked="0"/>
    </xf>
    <xf numFmtId="0" fontId="18" fillId="13" borderId="95" xfId="2" quotePrefix="1" applyFont="1" applyBorder="1" applyAlignment="1" applyProtection="1">
      <alignment horizontal="center"/>
      <protection locked="0"/>
    </xf>
    <xf numFmtId="1" fontId="18" fillId="13" borderId="13" xfId="2" applyNumberFormat="1" applyFont="1" applyBorder="1" applyAlignment="1" applyProtection="1">
      <alignment horizontal="center" vertical="center"/>
      <protection locked="0"/>
    </xf>
    <xf numFmtId="1" fontId="18" fillId="13" borderId="17" xfId="2" applyNumberFormat="1" applyFont="1" applyBorder="1" applyAlignment="1" applyProtection="1">
      <alignment horizontal="center" vertical="center"/>
      <protection locked="0"/>
    </xf>
    <xf numFmtId="0" fontId="18" fillId="13" borderId="5" xfId="2" applyFont="1" applyBorder="1" applyAlignment="1" applyProtection="1">
      <alignment horizontal="center"/>
    </xf>
    <xf numFmtId="0" fontId="18" fillId="13" borderId="23" xfId="2" applyFont="1" applyBorder="1" applyAlignment="1" applyProtection="1">
      <alignment horizontal="center"/>
    </xf>
    <xf numFmtId="0" fontId="18" fillId="13" borderId="6" xfId="2" applyFont="1" applyBorder="1" applyAlignment="1" applyProtection="1">
      <alignment horizontal="center"/>
    </xf>
    <xf numFmtId="165" fontId="28" fillId="14" borderId="53" xfId="4" applyNumberFormat="1" applyFont="1" applyFill="1" applyBorder="1" applyAlignment="1" applyProtection="1">
      <alignment horizontal="center"/>
    </xf>
    <xf numFmtId="165" fontId="28" fillId="14" borderId="54" xfId="4" applyNumberFormat="1" applyFont="1" applyFill="1" applyBorder="1" applyAlignment="1" applyProtection="1">
      <alignment horizontal="center"/>
    </xf>
    <xf numFmtId="0" fontId="18" fillId="13" borderId="7" xfId="2" quotePrefix="1" applyFont="1" applyBorder="1" applyAlignment="1" applyProtection="1">
      <alignment horizontal="center" vertical="center"/>
      <protection locked="0"/>
    </xf>
    <xf numFmtId="0" fontId="18" fillId="13" borderId="8" xfId="2" quotePrefix="1" applyFont="1" applyBorder="1" applyAlignment="1" applyProtection="1">
      <alignment horizontal="center" vertical="center"/>
      <protection locked="0"/>
    </xf>
    <xf numFmtId="0" fontId="18" fillId="13" borderId="45" xfId="2" quotePrefix="1" applyFont="1" applyBorder="1" applyAlignment="1" applyProtection="1">
      <alignment horizontal="center" vertical="center"/>
      <protection locked="0"/>
    </xf>
    <xf numFmtId="0" fontId="18" fillId="13" borderId="0" xfId="2" quotePrefix="1" applyFont="1" applyBorder="1" applyAlignment="1" applyProtection="1">
      <alignment horizontal="center" vertical="center"/>
      <protection locked="0"/>
    </xf>
    <xf numFmtId="0" fontId="18" fillId="13" borderId="10" xfId="2" quotePrefix="1" applyFont="1" applyBorder="1" applyAlignment="1" applyProtection="1">
      <alignment horizontal="center" vertical="center"/>
      <protection locked="0"/>
    </xf>
    <xf numFmtId="0" fontId="18" fillId="13" borderId="11" xfId="2" quotePrefix="1" applyFont="1" applyBorder="1" applyAlignment="1" applyProtection="1">
      <alignment horizontal="center" vertical="center"/>
      <protection locked="0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18" fillId="13" borderId="43" xfId="2" applyFont="1" applyBorder="1" applyAlignment="1" applyProtection="1">
      <alignment horizontal="center" vertical="center"/>
      <protection locked="0"/>
    </xf>
    <xf numFmtId="0" fontId="18" fillId="13" borderId="18" xfId="2" applyFont="1" applyBorder="1" applyAlignment="1" applyProtection="1">
      <alignment horizontal="center" vertical="center"/>
      <protection locked="0"/>
    </xf>
    <xf numFmtId="165" fontId="29" fillId="9" borderId="15" xfId="0" applyNumberFormat="1" applyFont="1" applyFill="1" applyBorder="1" applyAlignment="1">
      <alignment horizontal="center"/>
    </xf>
    <xf numFmtId="165" fontId="18" fillId="13" borderId="13" xfId="2" quotePrefix="1" applyNumberFormat="1" applyFont="1" applyBorder="1" applyAlignment="1" applyProtection="1">
      <alignment horizontal="center" vertical="center"/>
      <protection locked="0"/>
    </xf>
    <xf numFmtId="165" fontId="18" fillId="13" borderId="13" xfId="2" applyNumberFormat="1" applyFont="1" applyBorder="1" applyAlignment="1" applyProtection="1">
      <alignment horizontal="center" vertical="center"/>
      <protection locked="0"/>
    </xf>
    <xf numFmtId="0" fontId="21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165" fontId="18" fillId="13" borderId="81" xfId="2" applyNumberFormat="1" applyFont="1" applyBorder="1" applyAlignment="1" applyProtection="1">
      <alignment horizontal="center" vertical="center"/>
      <protection locked="0"/>
    </xf>
    <xf numFmtId="165" fontId="18" fillId="13" borderId="18" xfId="2" applyNumberFormat="1" applyFont="1" applyBorder="1" applyAlignment="1" applyProtection="1">
      <alignment horizontal="center" vertical="center"/>
      <protection locked="0"/>
    </xf>
    <xf numFmtId="165" fontId="20" fillId="5" borderId="29" xfId="3" applyNumberFormat="1" applyFont="1" applyBorder="1" applyAlignment="1" applyProtection="1">
      <alignment horizontal="center"/>
    </xf>
    <xf numFmtId="165" fontId="20" fillId="5" borderId="2" xfId="3" applyNumberFormat="1" applyFont="1" applyBorder="1" applyAlignment="1" applyProtection="1">
      <alignment horizontal="right"/>
    </xf>
    <xf numFmtId="165" fontId="20" fillId="5" borderId="2" xfId="3" applyNumberFormat="1" applyFont="1" applyBorder="1" applyAlignment="1" applyProtection="1">
      <alignment horizontal="center"/>
    </xf>
    <xf numFmtId="1" fontId="18" fillId="13" borderId="1" xfId="2" quotePrefix="1" applyNumberFormat="1" applyFont="1" applyAlignment="1" applyProtection="1">
      <alignment horizontal="center"/>
      <protection locked="0"/>
    </xf>
    <xf numFmtId="1" fontId="18" fillId="13" borderId="1" xfId="2" applyNumberFormat="1" applyFont="1" applyAlignment="1" applyProtection="1">
      <alignment horizontal="center"/>
      <protection locked="0"/>
    </xf>
    <xf numFmtId="0" fontId="22" fillId="7" borderId="25" xfId="5" applyFont="1" applyAlignment="1" applyProtection="1">
      <alignment horizontal="center"/>
    </xf>
    <xf numFmtId="0" fontId="20" fillId="5" borderId="45" xfId="3" applyFont="1" applyBorder="1" applyAlignment="1" applyProtection="1">
      <alignment horizontal="center"/>
    </xf>
    <xf numFmtId="0" fontId="20" fillId="5" borderId="0" xfId="3" applyFont="1" applyBorder="1" applyAlignment="1" applyProtection="1">
      <alignment horizontal="center"/>
    </xf>
    <xf numFmtId="0" fontId="20" fillId="5" borderId="4" xfId="3" applyFont="1" applyBorder="1" applyAlignment="1" applyProtection="1">
      <alignment horizontal="center"/>
    </xf>
    <xf numFmtId="165" fontId="20" fillId="5" borderId="59" xfId="3" applyNumberFormat="1" applyFont="1" applyBorder="1" applyAlignment="1" applyProtection="1">
      <alignment horizontal="right"/>
    </xf>
    <xf numFmtId="165" fontId="20" fillId="5" borderId="11" xfId="3" applyNumberFormat="1" applyFont="1" applyBorder="1" applyAlignment="1" applyProtection="1">
      <alignment horizontal="right"/>
    </xf>
    <xf numFmtId="165" fontId="20" fillId="5" borderId="12" xfId="3" applyNumberFormat="1" applyFont="1" applyBorder="1" applyAlignment="1" applyProtection="1">
      <alignment horizontal="right"/>
    </xf>
    <xf numFmtId="0" fontId="20" fillId="5" borderId="29" xfId="3" applyFont="1" applyBorder="1" applyAlignment="1" applyProtection="1">
      <alignment horizontal="center"/>
    </xf>
    <xf numFmtId="165" fontId="67" fillId="4" borderId="29" xfId="0" applyNumberFormat="1" applyFont="1" applyFill="1" applyBorder="1" applyAlignment="1">
      <alignment horizontal="center" vertical="center"/>
    </xf>
    <xf numFmtId="165" fontId="10" fillId="25" borderId="2" xfId="0" applyNumberFormat="1" applyFont="1" applyFill="1" applyBorder="1" applyAlignment="1">
      <alignment horizontal="center" vertical="center"/>
    </xf>
    <xf numFmtId="165" fontId="69" fillId="44" borderId="2" xfId="0" applyNumberFormat="1" applyFont="1" applyFill="1" applyBorder="1" applyAlignment="1">
      <alignment horizontal="center"/>
    </xf>
    <xf numFmtId="0" fontId="69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80" fillId="42" borderId="5" xfId="0" applyNumberFormat="1" applyFont="1" applyFill="1" applyBorder="1" applyAlignment="1">
      <alignment horizontal="center"/>
    </xf>
    <xf numFmtId="165" fontId="80" fillId="42" borderId="23" xfId="0" applyNumberFormat="1" applyFon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0" fillId="25" borderId="28" xfId="0" applyNumberFormat="1" applyFill="1" applyBorder="1" applyAlignment="1">
      <alignment horizontal="center"/>
    </xf>
    <xf numFmtId="165" fontId="69" fillId="44" borderId="5" xfId="0" applyNumberFormat="1" applyFont="1" applyFill="1" applyBorder="1" applyAlignment="1">
      <alignment horizontal="center"/>
    </xf>
    <xf numFmtId="165" fontId="69" fillId="44" borderId="23" xfId="0" applyNumberFormat="1" applyFont="1" applyFill="1" applyBorder="1" applyAlignment="1">
      <alignment horizontal="center"/>
    </xf>
    <xf numFmtId="165" fontId="69" fillId="44" borderId="6" xfId="0" applyNumberFormat="1" applyFont="1" applyFill="1" applyBorder="1" applyAlignment="1">
      <alignment horizontal="center"/>
    </xf>
    <xf numFmtId="165" fontId="29" fillId="42" borderId="0" xfId="0" applyNumberFormat="1" applyFont="1" applyFill="1" applyAlignment="1">
      <alignment horizontal="left" vertical="center"/>
    </xf>
    <xf numFmtId="165" fontId="29" fillId="42" borderId="4" xfId="0" applyNumberFormat="1" applyFont="1" applyFill="1" applyBorder="1" applyAlignment="1">
      <alignment horizontal="left" vertical="center"/>
    </xf>
    <xf numFmtId="165" fontId="80" fillId="42" borderId="2" xfId="0" applyNumberFormat="1" applyFont="1" applyFill="1" applyBorder="1" applyAlignment="1">
      <alignment horizontal="center"/>
    </xf>
    <xf numFmtId="165" fontId="80" fillId="42" borderId="6" xfId="0" applyNumberFormat="1" applyFont="1" applyFill="1" applyBorder="1" applyAlignment="1">
      <alignment horizontal="center"/>
    </xf>
    <xf numFmtId="165" fontId="59" fillId="42" borderId="5" xfId="0" applyNumberFormat="1" applyFont="1" applyFill="1" applyBorder="1" applyAlignment="1">
      <alignment horizontal="center"/>
    </xf>
    <xf numFmtId="165" fontId="59" fillId="42" borderId="6" xfId="0" applyNumberFormat="1" applyFont="1" applyFill="1" applyBorder="1" applyAlignment="1">
      <alignment horizontal="center"/>
    </xf>
    <xf numFmtId="165" fontId="69" fillId="34" borderId="29" xfId="0" applyNumberFormat="1" applyFont="1" applyFill="1" applyBorder="1" applyAlignment="1">
      <alignment horizont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75" fillId="4" borderId="5" xfId="0" applyNumberFormat="1" applyFont="1" applyFill="1" applyBorder="1" applyAlignment="1">
      <alignment horizontal="center"/>
    </xf>
    <xf numFmtId="165" fontId="75" fillId="4" borderId="23" xfId="0" applyNumberFormat="1" applyFont="1" applyFill="1" applyBorder="1" applyAlignment="1">
      <alignment horizontal="center"/>
    </xf>
    <xf numFmtId="165" fontId="54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4" fillId="5" borderId="2" xfId="3" applyNumberFormat="1" applyBorder="1" applyAlignment="1">
      <alignment horizontal="center" vertical="center"/>
    </xf>
    <xf numFmtId="165" fontId="54" fillId="53" borderId="2" xfId="0" applyNumberFormat="1" applyFont="1" applyFill="1" applyBorder="1" applyAlignment="1">
      <alignment horizontal="center" vertical="center" wrapText="1"/>
    </xf>
    <xf numFmtId="165" fontId="10" fillId="5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0" fillId="31" borderId="2" xfId="0" applyNumberFormat="1" applyFont="1" applyFill="1" applyBorder="1" applyAlignment="1">
      <alignment horizontal="center" textRotation="255"/>
    </xf>
    <xf numFmtId="165" fontId="102" fillId="32" borderId="2" xfId="0" applyNumberFormat="1" applyFont="1" applyFill="1" applyBorder="1" applyAlignment="1">
      <alignment horizontal="center" textRotation="255"/>
    </xf>
    <xf numFmtId="167" fontId="54" fillId="0" borderId="28" xfId="0" applyNumberFormat="1" applyFont="1" applyBorder="1" applyAlignment="1">
      <alignment horizontal="center" vertical="center"/>
    </xf>
    <xf numFmtId="167" fontId="54" fillId="0" borderId="57" xfId="0" applyNumberFormat="1" applyFont="1" applyBorder="1" applyAlignment="1">
      <alignment horizontal="center" vertical="center"/>
    </xf>
    <xf numFmtId="167" fontId="54" fillId="0" borderId="29" xfId="0" applyNumberFormat="1" applyFont="1" applyBorder="1" applyAlignment="1">
      <alignment horizontal="center" vertical="center"/>
    </xf>
    <xf numFmtId="0" fontId="0" fillId="53" borderId="2" xfId="0" applyFill="1" applyBorder="1" applyAlignment="1">
      <alignment horizontal="center" vertical="center"/>
    </xf>
    <xf numFmtId="165" fontId="10" fillId="7" borderId="2" xfId="5" quotePrefix="1" applyNumberFormat="1" applyFont="1" applyBorder="1" applyAlignment="1">
      <alignment horizontal="center" vertical="center" wrapText="1"/>
    </xf>
    <xf numFmtId="171" fontId="75" fillId="4" borderId="23" xfId="0" applyNumberFormat="1" applyFont="1" applyFill="1" applyBorder="1" applyAlignment="1">
      <alignment horizontal="center"/>
    </xf>
    <xf numFmtId="0" fontId="75" fillId="4" borderId="6" xfId="0" applyFont="1" applyFill="1" applyBorder="1" applyAlignment="1">
      <alignment horizontal="center"/>
    </xf>
    <xf numFmtId="165" fontId="10" fillId="3" borderId="2" xfId="0" applyNumberFormat="1" applyFont="1" applyFill="1" applyBorder="1" applyAlignment="1">
      <alignment horizontal="center" vertical="center"/>
    </xf>
    <xf numFmtId="165" fontId="69" fillId="34" borderId="126" xfId="0" applyNumberFormat="1" applyFont="1" applyFill="1" applyBorder="1" applyAlignment="1">
      <alignment horizontal="center"/>
    </xf>
    <xf numFmtId="165" fontId="69" fillId="34" borderId="127" xfId="0" applyNumberFormat="1" applyFont="1" applyFill="1" applyBorder="1" applyAlignment="1">
      <alignment horizontal="center"/>
    </xf>
    <xf numFmtId="0" fontId="75" fillId="4" borderId="133" xfId="0" applyFont="1" applyFill="1" applyBorder="1" applyAlignment="1">
      <alignment horizontal="center"/>
    </xf>
    <xf numFmtId="0" fontId="75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69" fillId="34" borderId="5" xfId="0" applyNumberFormat="1" applyFont="1" applyFill="1" applyBorder="1" applyAlignment="1">
      <alignment horizontal="right"/>
    </xf>
    <xf numFmtId="165" fontId="69" fillId="34" borderId="23" xfId="0" applyNumberFormat="1" applyFont="1" applyFill="1" applyBorder="1" applyAlignment="1">
      <alignment horizontal="right"/>
    </xf>
    <xf numFmtId="0" fontId="75" fillId="4" borderId="91" xfId="0" applyFont="1" applyFill="1" applyBorder="1" applyAlignment="1">
      <alignment horizontal="center"/>
    </xf>
    <xf numFmtId="0" fontId="75" fillId="4" borderId="22" xfId="0" applyFont="1" applyFill="1" applyBorder="1" applyAlignment="1">
      <alignment horizontal="center"/>
    </xf>
    <xf numFmtId="0" fontId="75" fillId="4" borderId="55" xfId="0" applyFon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71" fontId="54" fillId="0" borderId="2" xfId="0" applyNumberFormat="1" applyFont="1" applyBorder="1" applyAlignment="1">
      <alignment horizontal="center" vertic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 vertical="center"/>
    </xf>
    <xf numFmtId="0" fontId="75" fillId="4" borderId="14" xfId="0" applyFont="1" applyFill="1" applyBorder="1" applyAlignment="1">
      <alignment horizontal="center"/>
    </xf>
    <xf numFmtId="0" fontId="75" fillId="4" borderId="15" xfId="0" applyFont="1" applyFill="1" applyBorder="1" applyAlignment="1">
      <alignment horizontal="center"/>
    </xf>
    <xf numFmtId="0" fontId="75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9" xfId="0" applyFill="1" applyBorder="1" applyAlignment="1">
      <alignment horizontal="center"/>
    </xf>
    <xf numFmtId="165" fontId="0" fillId="21" borderId="126" xfId="0" applyNumberFormat="1" applyFill="1" applyBorder="1" applyAlignment="1">
      <alignment horizontal="center"/>
    </xf>
    <xf numFmtId="165" fontId="0" fillId="21" borderId="127" xfId="0" applyNumberFormat="1" applyFill="1" applyBorder="1" applyAlignment="1">
      <alignment horizontal="center"/>
    </xf>
    <xf numFmtId="0" fontId="69" fillId="34" borderId="126" xfId="0" applyFont="1" applyFill="1" applyBorder="1" applyAlignment="1">
      <alignment horizontal="center"/>
    </xf>
    <xf numFmtId="0" fontId="69" fillId="34" borderId="127" xfId="0" applyFont="1" applyFill="1" applyBorder="1" applyAlignment="1">
      <alignment horizontal="center"/>
    </xf>
    <xf numFmtId="0" fontId="75" fillId="4" borderId="5" xfId="0" applyFont="1" applyFill="1" applyBorder="1" applyAlignment="1">
      <alignment horizontal="center"/>
    </xf>
    <xf numFmtId="165" fontId="54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69" fillId="34" borderId="9" xfId="0" applyNumberFormat="1" applyFont="1" applyFill="1" applyBorder="1" applyAlignment="1">
      <alignment horizontal="center" vertical="center"/>
    </xf>
    <xf numFmtId="165" fontId="69" fillId="34" borderId="45" xfId="0" applyNumberFormat="1" applyFont="1" applyFill="1" applyBorder="1" applyAlignment="1">
      <alignment horizontal="center" vertical="center"/>
    </xf>
    <xf numFmtId="165" fontId="69" fillId="34" borderId="4" xfId="0" applyNumberFormat="1" applyFont="1" applyFill="1" applyBorder="1" applyAlignment="1">
      <alignment horizontal="center" vertical="center"/>
    </xf>
    <xf numFmtId="165" fontId="69" fillId="34" borderId="12" xfId="0" applyNumberFormat="1" applyFont="1" applyFill="1" applyBorder="1" applyAlignment="1">
      <alignment horizontal="center" vertical="center"/>
    </xf>
    <xf numFmtId="165" fontId="69" fillId="0" borderId="2" xfId="0" applyNumberFormat="1" applyFont="1" applyBorder="1" applyAlignment="1">
      <alignment horizontal="center"/>
    </xf>
    <xf numFmtId="165" fontId="69" fillId="0" borderId="89" xfId="0" applyNumberFormat="1" applyFont="1" applyBorder="1" applyAlignment="1">
      <alignment horizontal="center"/>
    </xf>
    <xf numFmtId="165" fontId="69" fillId="0" borderId="5" xfId="0" applyNumberFormat="1" applyFont="1" applyBorder="1" applyAlignment="1">
      <alignment horizontal="center"/>
    </xf>
    <xf numFmtId="165" fontId="69" fillId="0" borderId="88" xfId="0" applyNumberFormat="1" applyFont="1" applyBorder="1" applyAlignment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69" fillId="0" borderId="6" xfId="0" applyNumberFormat="1" applyFont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69" fillId="0" borderId="5" xfId="0" applyNumberFormat="1" applyFont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10" fillId="25" borderId="128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69" fillId="0" borderId="2" xfId="0" applyNumberFormat="1" applyFont="1" applyBorder="1" applyAlignment="1">
      <alignment horizontal="center" vertical="center"/>
    </xf>
    <xf numFmtId="165" fontId="69" fillId="37" borderId="2" xfId="0" applyNumberFormat="1" applyFont="1" applyFill="1" applyBorder="1" applyAlignment="1">
      <alignment horizontal="center" vertical="center"/>
    </xf>
    <xf numFmtId="165" fontId="69" fillId="37" borderId="89" xfId="0" applyNumberFormat="1" applyFont="1" applyFill="1" applyBorder="1" applyAlignment="1">
      <alignment horizontal="center" vertical="center"/>
    </xf>
    <xf numFmtId="165" fontId="60" fillId="44" borderId="25" xfId="5" applyNumberFormat="1" applyFont="1" applyFill="1" applyAlignment="1">
      <alignment horizontal="center"/>
    </xf>
    <xf numFmtId="165" fontId="69" fillId="44" borderId="25" xfId="5" applyNumberFormat="1" applyFont="1" applyFill="1" applyAlignment="1">
      <alignment horizontal="center"/>
    </xf>
    <xf numFmtId="165" fontId="69" fillId="37" borderId="5" xfId="0" applyNumberFormat="1" applyFont="1" applyFill="1" applyBorder="1" applyAlignment="1">
      <alignment horizontal="center" vertical="center"/>
    </xf>
    <xf numFmtId="165" fontId="69" fillId="44" borderId="58" xfId="5" applyNumberFormat="1" applyFont="1" applyFill="1" applyBorder="1" applyAlignment="1" applyProtection="1">
      <alignment horizontal="center"/>
    </xf>
    <xf numFmtId="165" fontId="69" fillId="44" borderId="138" xfId="5" applyNumberFormat="1" applyFont="1" applyFill="1" applyBorder="1" applyAlignment="1" applyProtection="1">
      <alignment horizontal="center"/>
    </xf>
    <xf numFmtId="165" fontId="69" fillId="44" borderId="135" xfId="5" applyNumberFormat="1" applyFont="1" applyFill="1" applyBorder="1" applyAlignment="1" applyProtection="1">
      <alignment horizontal="center"/>
    </xf>
    <xf numFmtId="165" fontId="69" fillId="44" borderId="136" xfId="5" applyNumberFormat="1" applyFont="1" applyFill="1" applyBorder="1" applyAlignment="1" applyProtection="1">
      <alignment horizontal="center"/>
    </xf>
    <xf numFmtId="165" fontId="69" fillId="41" borderId="126" xfId="0" applyNumberFormat="1" applyFont="1" applyFill="1" applyBorder="1" applyAlignment="1">
      <alignment horizontal="center"/>
    </xf>
    <xf numFmtId="165" fontId="69" fillId="41" borderId="23" xfId="0" applyNumberFormat="1" applyFont="1" applyFill="1" applyBorder="1" applyAlignment="1">
      <alignment horizontal="center"/>
    </xf>
    <xf numFmtId="165" fontId="69" fillId="41" borderId="127" xfId="0" applyNumberFormat="1" applyFont="1" applyFill="1" applyBorder="1" applyAlignment="1">
      <alignment horizontal="center"/>
    </xf>
    <xf numFmtId="165" fontId="69" fillId="44" borderId="139" xfId="5" quotePrefix="1" applyNumberFormat="1" applyFont="1" applyFill="1" applyBorder="1" applyAlignment="1" applyProtection="1">
      <alignment horizontal="center"/>
    </xf>
    <xf numFmtId="165" fontId="69" fillId="44" borderId="140" xfId="5" quotePrefix="1" applyNumberFormat="1" applyFont="1" applyFill="1" applyBorder="1" applyAlignment="1" applyProtection="1">
      <alignment horizontal="center"/>
    </xf>
    <xf numFmtId="165" fontId="69" fillId="44" borderId="141" xfId="5" quotePrefix="1" applyNumberFormat="1" applyFont="1" applyFill="1" applyBorder="1" applyAlignment="1" applyProtection="1">
      <alignment horizontal="center"/>
    </xf>
    <xf numFmtId="165" fontId="35" fillId="6" borderId="24" xfId="4" applyNumberFormat="1" applyFont="1" applyAlignment="1" applyProtection="1">
      <alignment horizontal="center"/>
    </xf>
    <xf numFmtId="165" fontId="34" fillId="11" borderId="2" xfId="6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5" fontId="16" fillId="2" borderId="2" xfId="1" applyNumberFormat="1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29" fillId="7" borderId="2" xfId="5" quotePrefix="1" applyNumberFormat="1" applyFont="1" applyBorder="1" applyAlignment="1" applyProtection="1">
      <alignment horizontal="center"/>
    </xf>
    <xf numFmtId="165" fontId="29" fillId="7" borderId="2" xfId="5" applyNumberFormat="1" applyFont="1" applyBorder="1" applyAlignment="1" applyProtection="1">
      <alignment horizontal="center"/>
    </xf>
    <xf numFmtId="165" fontId="10" fillId="15" borderId="0" xfId="8" applyNumberFormat="1" applyFont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21" fillId="6" borderId="51" xfId="4" applyNumberFormat="1" applyFont="1" applyBorder="1" applyAlignment="1" applyProtection="1">
      <alignment horizontal="center" vertical="center"/>
    </xf>
    <xf numFmtId="165" fontId="21" fillId="6" borderId="52" xfId="4" applyNumberFormat="1" applyFont="1" applyBorder="1" applyAlignment="1" applyProtection="1">
      <alignment horizontal="center" vertical="center"/>
    </xf>
    <xf numFmtId="165" fontId="21" fillId="6" borderId="53" xfId="4" applyNumberFormat="1" applyFont="1" applyBorder="1" applyAlignment="1" applyProtection="1">
      <alignment horizontal="center" vertical="center"/>
    </xf>
    <xf numFmtId="165" fontId="21" fillId="6" borderId="54" xfId="4" applyNumberFormat="1" applyFont="1" applyBorder="1" applyAlignment="1" applyProtection="1">
      <alignment horizontal="center" vertical="center"/>
    </xf>
    <xf numFmtId="165" fontId="20" fillId="5" borderId="22" xfId="3" applyNumberFormat="1" applyFont="1" applyBorder="1" applyAlignment="1" applyProtection="1">
      <alignment horizontal="center"/>
    </xf>
    <xf numFmtId="165" fontId="19" fillId="11" borderId="22" xfId="6" applyNumberFormat="1" applyFont="1" applyBorder="1" applyAlignment="1" applyProtection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3" fillId="19" borderId="1" xfId="1" applyNumberFormat="1" applyFont="1" applyFill="1" applyAlignment="1" applyProtection="1">
      <alignment horizontal="center"/>
    </xf>
    <xf numFmtId="0" fontId="33" fillId="19" borderId="1" xfId="1" applyFont="1" applyFill="1" applyAlignment="1" applyProtection="1">
      <alignment horizontal="center"/>
    </xf>
    <xf numFmtId="165" fontId="18" fillId="20" borderId="19" xfId="2" quotePrefix="1" applyNumberFormat="1" applyFont="1" applyFill="1" applyBorder="1" applyAlignment="1" applyProtection="1">
      <alignment horizontal="center"/>
      <protection locked="0"/>
    </xf>
    <xf numFmtId="0" fontId="18" fillId="20" borderId="20" xfId="2" applyFont="1" applyFill="1" applyBorder="1" applyAlignment="1" applyProtection="1">
      <alignment horizontal="center"/>
      <protection locked="0"/>
    </xf>
    <xf numFmtId="0" fontId="18" fillId="20" borderId="21" xfId="2" applyFont="1" applyFill="1" applyBorder="1" applyAlignment="1" applyProtection="1">
      <alignment horizontal="center"/>
      <protection locked="0"/>
    </xf>
    <xf numFmtId="0" fontId="18" fillId="13" borderId="20" xfId="2" quotePrefix="1" applyFont="1" applyBorder="1" applyAlignment="1" applyProtection="1">
      <alignment horizontal="center" vertical="center"/>
      <protection locked="0"/>
    </xf>
    <xf numFmtId="165" fontId="15" fillId="2" borderId="13" xfId="1" applyNumberFormat="1" applyFont="1" applyBorder="1" applyAlignment="1" applyProtection="1">
      <alignment horizontal="center" vertical="center"/>
    </xf>
    <xf numFmtId="165" fontId="18" fillId="13" borderId="80" xfId="2" applyNumberFormat="1" applyFont="1" applyBorder="1" applyAlignment="1" applyProtection="1">
      <alignment horizontal="center" vertical="center"/>
      <protection locked="0"/>
    </xf>
    <xf numFmtId="165" fontId="18" fillId="13" borderId="17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8" fillId="13" borderId="80" xfId="2" quotePrefix="1" applyNumberFormat="1" applyFont="1" applyBorder="1" applyAlignment="1" applyProtection="1">
      <alignment horizontal="center" vertical="center"/>
      <protection locked="0"/>
    </xf>
    <xf numFmtId="165" fontId="18" fillId="13" borderId="26" xfId="2" quotePrefix="1" applyNumberFormat="1" applyFont="1" applyBorder="1" applyAlignment="1" applyProtection="1">
      <alignment horizontal="center" vertical="center"/>
      <protection locked="0"/>
    </xf>
    <xf numFmtId="165" fontId="18" fillId="13" borderId="17" xfId="2" quotePrefix="1" applyNumberFormat="1" applyFont="1" applyBorder="1" applyAlignment="1" applyProtection="1">
      <alignment horizontal="center" vertical="center"/>
      <protection locked="0"/>
    </xf>
    <xf numFmtId="165" fontId="18" fillId="13" borderId="86" xfId="2" quotePrefix="1" applyNumberFormat="1" applyFont="1" applyBorder="1" applyAlignment="1" applyProtection="1">
      <alignment horizontal="center" vertical="center"/>
      <protection locked="0"/>
    </xf>
    <xf numFmtId="165" fontId="18" fillId="13" borderId="19" xfId="2" applyNumberFormat="1" applyFont="1" applyBorder="1" applyAlignment="1" applyProtection="1">
      <alignment horizontal="center" vertical="center"/>
      <protection locked="0"/>
    </xf>
    <xf numFmtId="165" fontId="18" fillId="13" borderId="21" xfId="2" applyNumberFormat="1" applyFont="1" applyBorder="1" applyAlignment="1" applyProtection="1">
      <alignment horizontal="center" vertical="center"/>
      <protection locked="0"/>
    </xf>
    <xf numFmtId="165" fontId="18" fillId="13" borderId="19" xfId="2" quotePrefix="1" applyNumberFormat="1" applyFont="1" applyBorder="1" applyAlignment="1" applyProtection="1">
      <alignment horizontal="center" vertical="center"/>
      <protection locked="0"/>
    </xf>
    <xf numFmtId="165" fontId="18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8" fillId="13" borderId="17" xfId="2" applyFont="1" applyBorder="1" applyAlignment="1" applyProtection="1">
      <alignment horizontal="center" vertical="center"/>
      <protection locked="0"/>
    </xf>
    <xf numFmtId="165" fontId="18" fillId="13" borderId="82" xfId="2" quotePrefix="1" applyNumberFormat="1" applyFont="1" applyBorder="1" applyAlignment="1" applyProtection="1">
      <alignment horizontal="center" vertical="center"/>
      <protection locked="0"/>
    </xf>
    <xf numFmtId="165" fontId="18" fillId="13" borderId="83" xfId="2" quotePrefix="1" applyNumberFormat="1" applyFont="1" applyBorder="1" applyAlignment="1" applyProtection="1">
      <alignment horizontal="center" vertical="center"/>
      <protection locked="0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18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2" fillId="7" borderId="60" xfId="5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69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165" fontId="69" fillId="34" borderId="28" xfId="0" applyNumberFormat="1" applyFont="1" applyFill="1" applyBorder="1" applyAlignment="1">
      <alignment horizontal="center" vertical="center"/>
    </xf>
    <xf numFmtId="165" fontId="69" fillId="34" borderId="29" xfId="0" applyNumberFormat="1" applyFont="1" applyFill="1" applyBorder="1" applyAlignment="1">
      <alignment horizontal="center" vertical="center"/>
    </xf>
    <xf numFmtId="165" fontId="54" fillId="34" borderId="28" xfId="0" applyNumberFormat="1" applyFont="1" applyFill="1" applyBorder="1" applyAlignment="1">
      <alignment horizontal="center" vertical="center"/>
    </xf>
    <xf numFmtId="165" fontId="54" fillId="34" borderId="29" xfId="0" applyNumberFormat="1" applyFont="1" applyFill="1" applyBorder="1" applyAlignment="1">
      <alignment horizontal="center" vertical="center"/>
    </xf>
    <xf numFmtId="165" fontId="6" fillId="6" borderId="24" xfId="4" applyNumberFormat="1" applyAlignment="1">
      <alignment horizontal="center"/>
    </xf>
    <xf numFmtId="0" fontId="0" fillId="0" borderId="29" xfId="0" applyBorder="1" applyAlignment="1">
      <alignment horizontal="center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165" fontId="1" fillId="2" borderId="18" xfId="1" applyNumberFormat="1" applyBorder="1" applyAlignment="1">
      <alignment horizontal="center"/>
    </xf>
    <xf numFmtId="165" fontId="1" fillId="2" borderId="13" xfId="1" applyNumberFormat="1" applyBorder="1" applyAlignment="1">
      <alignment horizontal="center"/>
    </xf>
    <xf numFmtId="0" fontId="1" fillId="2" borderId="2" xfId="1" applyBorder="1" applyAlignment="1">
      <alignment horizontal="center" vertical="center"/>
    </xf>
    <xf numFmtId="165" fontId="6" fillId="6" borderId="40" xfId="4" applyNumberFormat="1" applyBorder="1" applyAlignment="1">
      <alignment horizontal="center"/>
    </xf>
    <xf numFmtId="0" fontId="0" fillId="7" borderId="25" xfId="5" applyFont="1" applyAlignment="1">
      <alignment horizontal="center"/>
    </xf>
    <xf numFmtId="165" fontId="90" fillId="38" borderId="5" xfId="1" applyNumberFormat="1" applyFont="1" applyFill="1" applyBorder="1" applyAlignment="1" applyProtection="1">
      <alignment horizontal="right"/>
    </xf>
    <xf numFmtId="165" fontId="90" fillId="38" borderId="23" xfId="1" applyNumberFormat="1" applyFont="1" applyFill="1" applyBorder="1" applyAlignment="1" applyProtection="1">
      <alignment horizontal="right"/>
    </xf>
    <xf numFmtId="165" fontId="90" fillId="38" borderId="6" xfId="1" applyNumberFormat="1" applyFont="1" applyFill="1" applyBorder="1" applyAlignment="1" applyProtection="1">
      <alignment horizontal="right"/>
    </xf>
    <xf numFmtId="1" fontId="18" fillId="13" borderId="84" xfId="2" quotePrefix="1" applyNumberFormat="1" applyFont="1" applyBorder="1" applyAlignment="1" applyProtection="1">
      <alignment horizontal="center"/>
      <protection locked="0"/>
    </xf>
    <xf numFmtId="1" fontId="18" fillId="13" borderId="0" xfId="2" quotePrefix="1" applyNumberFormat="1" applyFont="1" applyBorder="1" applyAlignment="1" applyProtection="1">
      <alignment horizontal="center"/>
      <protection locked="0"/>
    </xf>
    <xf numFmtId="0" fontId="0" fillId="40" borderId="29" xfId="0" applyFill="1" applyBorder="1" applyAlignment="1">
      <alignment horizontal="center"/>
    </xf>
    <xf numFmtId="0" fontId="0" fillId="42" borderId="2" xfId="0" applyFill="1" applyBorder="1" applyAlignment="1">
      <alignment horizontal="center" vertical="center"/>
    </xf>
    <xf numFmtId="0" fontId="0" fillId="42" borderId="10" xfId="0" applyFill="1" applyBorder="1" applyAlignment="1">
      <alignment horizontal="right"/>
    </xf>
    <xf numFmtId="0" fontId="0" fillId="42" borderId="12" xfId="0" applyFill="1" applyBorder="1" applyAlignment="1">
      <alignment horizontal="right"/>
    </xf>
    <xf numFmtId="165" fontId="3" fillId="13" borderId="2" xfId="2" applyNumberFormat="1" applyBorder="1" applyAlignment="1" applyProtection="1">
      <alignment horizontal="center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1" fillId="2" borderId="2" xfId="1" applyNumberFormat="1" applyBorder="1" applyAlignment="1" applyProtection="1">
      <alignment horizontal="center" vertical="center"/>
    </xf>
    <xf numFmtId="0" fontId="0" fillId="42" borderId="5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165" fontId="13" fillId="9" borderId="14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0" fontId="85" fillId="46" borderId="0" xfId="13" quotePrefix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165" fontId="0" fillId="0" borderId="0" xfId="0" applyNumberFormat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3" xfId="1" applyNumberFormat="1" applyBorder="1" applyAlignment="1">
      <alignment horizontal="center"/>
    </xf>
    <xf numFmtId="165" fontId="1" fillId="2" borderId="152" xfId="1" applyNumberFormat="1" applyBorder="1" applyAlignment="1">
      <alignment horizontal="center"/>
    </xf>
    <xf numFmtId="0" fontId="21" fillId="6" borderId="24" xfId="4" applyFont="1" applyAlignment="1">
      <alignment horizontal="left"/>
    </xf>
    <xf numFmtId="0" fontId="0" fillId="42" borderId="7" xfId="0" applyFill="1" applyBorder="1" applyAlignment="1">
      <alignment horizontal="right" vertical="center"/>
    </xf>
    <xf numFmtId="0" fontId="0" fillId="42" borderId="9" xfId="0" applyFill="1" applyBorder="1" applyAlignment="1">
      <alignment horizontal="right" vertical="center"/>
    </xf>
    <xf numFmtId="0" fontId="0" fillId="42" borderId="45" xfId="0" applyFill="1" applyBorder="1" applyAlignment="1">
      <alignment horizontal="right" vertical="center"/>
    </xf>
    <xf numFmtId="0" fontId="0" fillId="42" borderId="4" xfId="0" applyFill="1" applyBorder="1" applyAlignment="1">
      <alignment horizontal="right" vertical="center"/>
    </xf>
    <xf numFmtId="0" fontId="6" fillId="6" borderId="24" xfId="4" applyAlignment="1">
      <alignment horizontal="center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3" fillId="13" borderId="2" xfId="2" quotePrefix="1" applyBorder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0" fontId="0" fillId="0" borderId="28" xfId="0" applyBorder="1" applyAlignment="1">
      <alignment horizontal="center" vertical="center"/>
    </xf>
    <xf numFmtId="0" fontId="92" fillId="6" borderId="24" xfId="4" applyFont="1" applyAlignment="1">
      <alignment horizontal="center" vertical="center"/>
    </xf>
    <xf numFmtId="165" fontId="1" fillId="2" borderId="1" xfId="1" applyNumberFormat="1" applyAlignment="1">
      <alignment horizontal="center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8" fillId="13" borderId="19" xfId="2" quotePrefix="1" applyNumberFormat="1" applyFont="1" applyBorder="1" applyAlignment="1" applyProtection="1">
      <alignment horizontal="center"/>
      <protection locked="0"/>
    </xf>
    <xf numFmtId="1" fontId="18" fillId="13" borderId="20" xfId="2" quotePrefix="1" applyNumberFormat="1" applyFont="1" applyBorder="1" applyAlignment="1" applyProtection="1">
      <alignment horizontal="center"/>
      <protection locked="0"/>
    </xf>
    <xf numFmtId="0" fontId="63" fillId="0" borderId="5" xfId="0" applyFont="1" applyBorder="1" applyAlignment="1">
      <alignment horizontal="center"/>
    </xf>
    <xf numFmtId="0" fontId="63" fillId="0" borderId="6" xfId="0" applyFon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4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5" xfId="4" applyNumberFormat="1" applyBorder="1" applyAlignment="1" applyProtection="1">
      <alignment horizontal="center" vertical="center"/>
    </xf>
    <xf numFmtId="165" fontId="6" fillId="6" borderId="156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0" fillId="48" borderId="2" xfId="0" applyFill="1" applyBorder="1" applyAlignment="1">
      <alignment horizontal="center"/>
    </xf>
    <xf numFmtId="165" fontId="1" fillId="2" borderId="43" xfId="1" applyNumberFormat="1" applyBorder="1" applyAlignment="1">
      <alignment horizontal="center"/>
    </xf>
    <xf numFmtId="165" fontId="0" fillId="7" borderId="25" xfId="5" applyNumberFormat="1" applyFont="1" applyAlignment="1">
      <alignment horizontal="center"/>
    </xf>
    <xf numFmtId="0" fontId="10" fillId="15" borderId="2" xfId="8" applyFont="1" applyBorder="1" applyAlignment="1" applyProtection="1">
      <alignment horizontal="center"/>
    </xf>
    <xf numFmtId="165" fontId="10" fillId="15" borderId="98" xfId="8" applyNumberFormat="1" applyFont="1" applyBorder="1" applyAlignment="1" applyProtection="1">
      <alignment horizontal="center"/>
    </xf>
    <xf numFmtId="165" fontId="10" fillId="15" borderId="99" xfId="8" applyNumberFormat="1" applyFont="1" applyBorder="1" applyAlignment="1" applyProtection="1">
      <alignment horizontal="center"/>
    </xf>
    <xf numFmtId="165" fontId="10" fillId="9" borderId="103" xfId="0" applyNumberFormat="1" applyFon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155" xfId="0" applyNumberForma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8" fillId="13" borderId="80" xfId="2" quotePrefix="1" applyNumberFormat="1" applyFont="1" applyBorder="1" applyAlignment="1" applyProtection="1">
      <alignment horizontal="center" vertical="center"/>
      <protection locked="0"/>
    </xf>
    <xf numFmtId="49" fontId="18" fillId="13" borderId="17" xfId="2" quotePrefix="1" applyNumberFormat="1" applyFont="1" applyBorder="1" applyAlignment="1" applyProtection="1">
      <alignment horizontal="center" vertical="center"/>
      <protection locked="0"/>
    </xf>
    <xf numFmtId="49" fontId="18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10" fillId="15" borderId="29" xfId="8" applyFont="1" applyBorder="1" applyAlignment="1" applyProtection="1">
      <alignment horizontal="right" vertical="center"/>
    </xf>
    <xf numFmtId="165" fontId="20" fillId="21" borderId="15" xfId="3" applyNumberFormat="1" applyFont="1" applyFill="1" applyBorder="1" applyAlignment="1" applyProtection="1">
      <alignment horizontal="center"/>
    </xf>
    <xf numFmtId="165" fontId="19" fillId="21" borderId="15" xfId="6" applyNumberFormat="1" applyFont="1" applyFill="1" applyBorder="1" applyAlignment="1" applyProtection="1">
      <alignment horizontal="center"/>
    </xf>
    <xf numFmtId="0" fontId="93" fillId="47" borderId="0" xfId="0" applyFont="1" applyFill="1" applyAlignment="1">
      <alignment horizontal="center"/>
    </xf>
    <xf numFmtId="165" fontId="23" fillId="5" borderId="14" xfId="3" applyNumberFormat="1" applyFont="1" applyBorder="1" applyAlignment="1" applyProtection="1">
      <alignment horizontal="center" vertical="center"/>
    </xf>
    <xf numFmtId="165" fontId="23" fillId="5" borderId="15" xfId="3" applyNumberFormat="1" applyFont="1" applyBorder="1" applyAlignment="1" applyProtection="1">
      <alignment horizontal="center" vertical="center"/>
    </xf>
    <xf numFmtId="165" fontId="23" fillId="5" borderId="16" xfId="3" applyNumberFormat="1" applyFont="1" applyBorder="1" applyAlignment="1" applyProtection="1">
      <alignment horizontal="center" vertical="center"/>
    </xf>
    <xf numFmtId="165" fontId="24" fillId="10" borderId="91" xfId="0" applyNumberFormat="1" applyFont="1" applyFill="1" applyBorder="1" applyAlignment="1">
      <alignment horizontal="center" vertical="center"/>
    </xf>
    <xf numFmtId="165" fontId="24" fillId="10" borderId="106" xfId="0" applyNumberFormat="1" applyFont="1" applyFill="1" applyBorder="1" applyAlignment="1">
      <alignment horizontal="center" vertical="center"/>
    </xf>
    <xf numFmtId="165" fontId="24" fillId="10" borderId="92" xfId="0" applyNumberFormat="1" applyFont="1" applyFill="1" applyBorder="1" applyAlignment="1">
      <alignment horizontal="center" vertical="center"/>
    </xf>
    <xf numFmtId="165" fontId="24" fillId="10" borderId="12" xfId="0" applyNumberFormat="1" applyFont="1" applyFill="1" applyBorder="1" applyAlignment="1">
      <alignment horizontal="center" vertical="center"/>
    </xf>
    <xf numFmtId="0" fontId="91" fillId="47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23" fillId="5" borderId="48" xfId="3" applyNumberFormat="1" applyFont="1" applyBorder="1" applyAlignment="1" applyProtection="1">
      <alignment horizontal="center" vertical="center"/>
    </xf>
    <xf numFmtId="165" fontId="23" fillId="5" borderId="49" xfId="3" applyNumberFormat="1" applyFont="1" applyBorder="1" applyAlignment="1" applyProtection="1">
      <alignment horizontal="center" vertical="center"/>
    </xf>
    <xf numFmtId="165" fontId="23" fillId="5" borderId="50" xfId="3" applyNumberFormat="1" applyFont="1" applyBorder="1" applyAlignment="1" applyProtection="1">
      <alignment horizontal="center" vertical="center"/>
    </xf>
    <xf numFmtId="165" fontId="54" fillId="3" borderId="23" xfId="0" applyNumberFormat="1" applyFont="1" applyFill="1" applyBorder="1" applyAlignment="1" applyProtection="1">
      <alignment horizontal="center"/>
    </xf>
    <xf numFmtId="165" fontId="69" fillId="3" borderId="5" xfId="0" applyNumberFormat="1" applyFont="1" applyFill="1" applyBorder="1" applyAlignment="1" applyProtection="1">
      <alignment horizontal="center"/>
    </xf>
    <xf numFmtId="0" fontId="69" fillId="3" borderId="23" xfId="0" applyFont="1" applyFill="1" applyBorder="1" applyAlignment="1" applyProtection="1">
      <alignment horizontal="center"/>
    </xf>
    <xf numFmtId="0" fontId="69" fillId="3" borderId="6" xfId="0" applyFont="1" applyFill="1" applyBorder="1" applyAlignment="1" applyProtection="1">
      <alignment horizontal="center"/>
    </xf>
    <xf numFmtId="165" fontId="0" fillId="3" borderId="5" xfId="0" applyNumberFormat="1" applyFill="1" applyBorder="1" applyAlignment="1" applyProtection="1">
      <alignment horizontal="center"/>
    </xf>
    <xf numFmtId="165" fontId="0" fillId="3" borderId="23" xfId="0" applyNumberFormat="1" applyFill="1" applyBorder="1" applyAlignment="1" applyProtection="1">
      <alignment horizontal="center"/>
    </xf>
    <xf numFmtId="165" fontId="0" fillId="3" borderId="6" xfId="0" applyNumberFormat="1" applyFill="1" applyBorder="1" applyAlignment="1" applyProtection="1">
      <alignment horizontal="center"/>
    </xf>
    <xf numFmtId="165" fontId="0" fillId="3" borderId="2" xfId="0" applyNumberFormat="1" applyFill="1" applyBorder="1" applyAlignment="1" applyProtection="1">
      <alignment horizontal="center"/>
    </xf>
    <xf numFmtId="1" fontId="3" fillId="13" borderId="1" xfId="2" quotePrefix="1" applyNumberFormat="1" applyAlignment="1" applyProtection="1">
      <alignment horizontal="center" vertical="center"/>
      <protection locked="0"/>
    </xf>
    <xf numFmtId="171" fontId="3" fillId="13" borderId="1" xfId="2" quotePrefix="1" applyNumberFormat="1" applyAlignment="1" applyProtection="1">
      <alignment horizontal="center" vertical="center"/>
      <protection locked="0"/>
    </xf>
    <xf numFmtId="167" fontId="15" fillId="2" borderId="5" xfId="1" applyNumberFormat="1" applyFont="1" applyBorder="1" applyAlignment="1" applyProtection="1"/>
    <xf numFmtId="165" fontId="10" fillId="18" borderId="171" xfId="5" quotePrefix="1" applyNumberFormat="1" applyFont="1" applyFill="1" applyBorder="1" applyAlignment="1" applyProtection="1"/>
    <xf numFmtId="0" fontId="3" fillId="13" borderId="1" xfId="2" applyAlignment="1" applyProtection="1">
      <alignment horizontal="center" vertical="center"/>
    </xf>
    <xf numFmtId="171" fontId="3" fillId="13" borderId="1" xfId="2" quotePrefix="1" applyNumberFormat="1" applyAlignment="1" applyProtection="1">
      <alignment horizontal="center" vertical="center"/>
      <protection locked="0"/>
    </xf>
    <xf numFmtId="167" fontId="1" fillId="2" borderId="27" xfId="1" quotePrefix="1" applyNumberFormat="1" applyBorder="1" applyAlignment="1">
      <alignment horizontal="center" vertical="center"/>
    </xf>
    <xf numFmtId="167" fontId="1" fillId="2" borderId="102" xfId="1" quotePrefix="1" applyNumberFormat="1" applyBorder="1" applyAlignment="1">
      <alignment horizontal="center" vertical="center"/>
    </xf>
    <xf numFmtId="167" fontId="1" fillId="2" borderId="13" xfId="1" quotePrefix="1" applyNumberFormat="1" applyBorder="1" applyAlignment="1">
      <alignment horizontal="center" vertical="center"/>
    </xf>
    <xf numFmtId="165" fontId="10" fillId="18" borderId="0" xfId="5" quotePrefix="1" applyNumberFormat="1" applyFont="1" applyFill="1" applyBorder="1" applyAlignment="1" applyProtection="1"/>
    <xf numFmtId="20" fontId="3" fillId="13" borderId="1" xfId="2" quotePrefix="1" applyNumberFormat="1" applyAlignment="1" applyProtection="1">
      <alignment horizontal="center" vertical="center"/>
      <protection locked="0"/>
    </xf>
    <xf numFmtId="165" fontId="10" fillId="53" borderId="5" xfId="0" applyNumberFormat="1" applyFont="1" applyFill="1" applyBorder="1" applyAlignment="1">
      <alignment horizontal="center" vertical="center"/>
    </xf>
    <xf numFmtId="165" fontId="10" fillId="53" borderId="23" xfId="0" applyNumberFormat="1" applyFont="1" applyFill="1" applyBorder="1" applyAlignment="1">
      <alignment horizontal="center" vertical="center"/>
    </xf>
    <xf numFmtId="165" fontId="10" fillId="53" borderId="6" xfId="0" applyNumberFormat="1" applyFont="1" applyFill="1" applyBorder="1" applyAlignment="1">
      <alignment horizontal="center" vertical="center"/>
    </xf>
    <xf numFmtId="0" fontId="0" fillId="53" borderId="5" xfId="0" applyFill="1" applyBorder="1" applyAlignment="1">
      <alignment horizontal="center" vertical="center"/>
    </xf>
    <xf numFmtId="0" fontId="0" fillId="53" borderId="23" xfId="0" applyFill="1" applyBorder="1" applyAlignment="1">
      <alignment horizontal="center" vertical="center"/>
    </xf>
    <xf numFmtId="0" fontId="0" fillId="53" borderId="6" xfId="0" applyFill="1" applyBorder="1" applyAlignment="1">
      <alignment horizontal="center" vertical="center"/>
    </xf>
    <xf numFmtId="165" fontId="6" fillId="6" borderId="24" xfId="4" applyNumberFormat="1"/>
    <xf numFmtId="167" fontId="10" fillId="0" borderId="0" xfId="0" applyNumberFormat="1" applyFont="1"/>
    <xf numFmtId="0" fontId="0" fillId="42" borderId="2" xfId="0" applyFill="1" applyBorder="1"/>
    <xf numFmtId="168" fontId="10" fillId="42" borderId="2" xfId="0" applyNumberFormat="1" applyFont="1" applyFill="1" applyBorder="1"/>
    <xf numFmtId="165" fontId="10" fillId="42" borderId="2" xfId="0" applyNumberFormat="1" applyFont="1" applyFill="1" applyBorder="1"/>
    <xf numFmtId="168" fontId="10" fillId="42" borderId="2" xfId="0" quotePrefix="1" applyNumberFormat="1" applyFont="1" applyFill="1" applyBorder="1"/>
    <xf numFmtId="165" fontId="10" fillId="0" borderId="28" xfId="0" applyNumberFormat="1" applyFont="1" applyBorder="1" applyAlignment="1">
      <alignment horizontal="center" vertical="center"/>
    </xf>
    <xf numFmtId="168" fontId="54" fillId="0" borderId="28" xfId="0" quotePrefix="1" applyNumberFormat="1" applyFont="1" applyBorder="1" applyAlignment="1">
      <alignment horizontal="center" vertical="center"/>
    </xf>
    <xf numFmtId="168" fontId="54" fillId="0" borderId="57" xfId="0" applyNumberFormat="1" applyFont="1" applyBorder="1" applyAlignment="1">
      <alignment horizontal="center" vertical="center"/>
    </xf>
    <xf numFmtId="165" fontId="10" fillId="0" borderId="29" xfId="0" applyNumberFormat="1" applyFont="1" applyBorder="1" applyAlignment="1">
      <alignment horizontal="center" vertical="center"/>
    </xf>
    <xf numFmtId="165" fontId="10" fillId="42" borderId="0" xfId="0" applyNumberFormat="1" applyFont="1" applyFill="1" applyBorder="1" applyAlignment="1">
      <alignment horizontal="center" vertical="center"/>
    </xf>
    <xf numFmtId="168" fontId="54" fillId="42" borderId="0" xfId="0" quotePrefix="1" applyNumberFormat="1" applyFont="1" applyFill="1" applyBorder="1" applyAlignment="1">
      <alignment horizontal="center" vertical="center"/>
    </xf>
    <xf numFmtId="168" fontId="54" fillId="42" borderId="0" xfId="0" applyNumberFormat="1" applyFont="1" applyFill="1" applyBorder="1" applyAlignment="1">
      <alignment horizontal="center" vertical="center"/>
    </xf>
    <xf numFmtId="167" fontId="54" fillId="0" borderId="0" xfId="0" applyNumberFormat="1" applyFont="1" applyBorder="1" applyAlignment="1">
      <alignment horizontal="center" vertical="center"/>
    </xf>
    <xf numFmtId="165" fontId="54" fillId="33" borderId="28" xfId="0" applyNumberFormat="1" applyFont="1" applyFill="1" applyBorder="1" applyAlignment="1">
      <alignment horizontal="center"/>
    </xf>
    <xf numFmtId="2" fontId="9" fillId="2" borderId="172" xfId="7" applyNumberFormat="1" applyBorder="1" applyAlignment="1">
      <alignment horizontal="center" vertical="center"/>
    </xf>
    <xf numFmtId="165" fontId="54" fillId="7" borderId="28" xfId="5" applyNumberFormat="1" applyFont="1" applyBorder="1"/>
    <xf numFmtId="168" fontId="10" fillId="7" borderId="28" xfId="5" applyNumberFormat="1" applyFont="1" applyBorder="1" applyAlignment="1">
      <alignment horizontal="center" vertical="center"/>
    </xf>
    <xf numFmtId="2" fontId="9" fillId="2" borderId="173" xfId="7" applyNumberFormat="1" applyBorder="1" applyAlignment="1">
      <alignment horizontal="center" vertical="center"/>
    </xf>
    <xf numFmtId="167" fontId="71" fillId="2" borderId="174" xfId="7" applyNumberFormat="1" applyFont="1" applyBorder="1" applyAlignment="1">
      <alignment horizontal="center" vertical="center"/>
    </xf>
    <xf numFmtId="2" fontId="10" fillId="7" borderId="28" xfId="5" applyNumberFormat="1" applyFont="1" applyBorder="1" applyAlignment="1">
      <alignment horizontal="center" vertical="center"/>
    </xf>
    <xf numFmtId="2" fontId="10" fillId="7" borderId="57" xfId="5" applyNumberFormat="1" applyFont="1" applyBorder="1" applyAlignment="1">
      <alignment horizontal="center" vertical="center"/>
    </xf>
    <xf numFmtId="165" fontId="61" fillId="3" borderId="57" xfId="7" applyNumberFormat="1" applyFont="1" applyFill="1" applyBorder="1" applyAlignment="1">
      <alignment horizontal="center" vertical="center"/>
    </xf>
    <xf numFmtId="2" fontId="9" fillId="3" borderId="57" xfId="7" applyNumberFormat="1" applyFill="1" applyBorder="1" applyAlignment="1">
      <alignment horizontal="center" vertical="center"/>
    </xf>
    <xf numFmtId="165" fontId="54" fillId="33" borderId="29" xfId="0" applyNumberFormat="1" applyFont="1" applyFill="1" applyBorder="1" applyAlignment="1">
      <alignment horizontal="center"/>
    </xf>
    <xf numFmtId="167" fontId="54" fillId="42" borderId="0" xfId="0" applyNumberFormat="1" applyFont="1" applyFill="1" applyBorder="1" applyAlignment="1">
      <alignment horizontal="center" vertical="center"/>
    </xf>
    <xf numFmtId="165" fontId="54" fillId="42" borderId="0" xfId="0" applyNumberFormat="1" applyFont="1" applyFill="1" applyBorder="1" applyAlignment="1">
      <alignment horizontal="center"/>
    </xf>
    <xf numFmtId="165" fontId="54" fillId="42" borderId="0" xfId="0" applyNumberFormat="1" applyFont="1" applyFill="1" applyBorder="1" applyAlignment="1">
      <alignment horizontal="center" vertical="center"/>
    </xf>
    <xf numFmtId="2" fontId="9" fillId="54" borderId="0" xfId="7" applyNumberFormat="1" applyFill="1" applyBorder="1" applyAlignment="1">
      <alignment horizontal="center" vertical="center"/>
    </xf>
    <xf numFmtId="165" fontId="54" fillId="54" borderId="0" xfId="5" applyNumberFormat="1" applyFont="1" applyFill="1" applyBorder="1"/>
    <xf numFmtId="168" fontId="10" fillId="54" borderId="0" xfId="5" applyNumberFormat="1" applyFont="1" applyFill="1" applyBorder="1" applyAlignment="1">
      <alignment horizontal="center" vertical="center"/>
    </xf>
    <xf numFmtId="167" fontId="71" fillId="54" borderId="0" xfId="7" applyNumberFormat="1" applyFont="1" applyFill="1" applyBorder="1" applyAlignment="1">
      <alignment horizontal="center" vertical="center"/>
    </xf>
    <xf numFmtId="2" fontId="10" fillId="54" borderId="0" xfId="5" applyNumberFormat="1" applyFont="1" applyFill="1" applyBorder="1" applyAlignment="1">
      <alignment horizontal="center" vertical="center"/>
    </xf>
    <xf numFmtId="165" fontId="61" fillId="42" borderId="0" xfId="7" applyNumberFormat="1" applyFont="1" applyFill="1" applyBorder="1" applyAlignment="1">
      <alignment horizontal="center" vertical="center"/>
    </xf>
    <xf numFmtId="2" fontId="9" fillId="42" borderId="0" xfId="7" applyNumberFormat="1" applyFill="1" applyBorder="1" applyAlignment="1">
      <alignment horizontal="center" vertical="center"/>
    </xf>
    <xf numFmtId="165" fontId="4" fillId="5" borderId="146" xfId="3" applyNumberFormat="1" applyBorder="1" applyAlignment="1">
      <alignment horizontal="center" vertical="center" wrapText="1"/>
    </xf>
    <xf numFmtId="165" fontId="4" fillId="5" borderId="177" xfId="3" applyNumberFormat="1" applyBorder="1" applyAlignment="1">
      <alignment horizontal="center" vertical="center" wrapText="1"/>
    </xf>
    <xf numFmtId="165" fontId="4" fillId="5" borderId="47" xfId="3" applyNumberFormat="1" applyBorder="1" applyAlignment="1">
      <alignment horizontal="center" vertical="center" wrapText="1"/>
    </xf>
    <xf numFmtId="168" fontId="10" fillId="7" borderId="29" xfId="5" quotePrefix="1" applyNumberFormat="1" applyFont="1" applyBorder="1" applyAlignment="1">
      <alignment horizontal="center" vertical="center"/>
    </xf>
    <xf numFmtId="2" fontId="9" fillId="2" borderId="175" xfId="7" quotePrefix="1" applyNumberFormat="1" applyBorder="1" applyAlignment="1">
      <alignment horizontal="center" vertical="center"/>
    </xf>
    <xf numFmtId="167" fontId="71" fillId="2" borderId="176" xfId="7" quotePrefix="1" applyNumberFormat="1" applyFont="1" applyBorder="1" applyAlignment="1">
      <alignment horizontal="center" vertical="center"/>
    </xf>
    <xf numFmtId="168" fontId="10" fillId="7" borderId="2" xfId="5" quotePrefix="1" applyNumberFormat="1" applyFont="1" applyBorder="1" applyAlignment="1">
      <alignment horizontal="center" vertical="center"/>
    </xf>
    <xf numFmtId="2" fontId="10" fillId="7" borderId="29" xfId="5" quotePrefix="1" applyNumberFormat="1" applyFont="1" applyBorder="1" applyAlignment="1">
      <alignment horizontal="center" vertical="center"/>
    </xf>
    <xf numFmtId="0" fontId="19" fillId="11" borderId="2" xfId="6" applyFont="1" applyBorder="1"/>
    <xf numFmtId="0" fontId="19" fillId="11" borderId="28" xfId="6" applyFont="1" applyBorder="1"/>
    <xf numFmtId="0" fontId="19" fillId="54" borderId="0" xfId="6" applyFont="1" applyFill="1" applyBorder="1"/>
    <xf numFmtId="165" fontId="75" fillId="4" borderId="91" xfId="0" applyNumberFormat="1" applyFont="1" applyFill="1" applyBorder="1" applyAlignment="1">
      <alignment horizontal="center"/>
    </xf>
    <xf numFmtId="165" fontId="54" fillId="0" borderId="7" xfId="0" applyNumberFormat="1" applyFont="1" applyBorder="1" applyAlignment="1">
      <alignment horizontal="center" vertical="center" wrapText="1"/>
    </xf>
    <xf numFmtId="165" fontId="54" fillId="0" borderId="9" xfId="0" applyNumberFormat="1" applyFont="1" applyBorder="1" applyAlignment="1">
      <alignment horizontal="center" vertical="center" wrapText="1"/>
    </xf>
    <xf numFmtId="168" fontId="10" fillId="0" borderId="5" xfId="0" applyNumberFormat="1" applyFont="1" applyBorder="1" applyAlignment="1">
      <alignment horizontal="center" vertical="center"/>
    </xf>
    <xf numFmtId="168" fontId="10" fillId="0" borderId="23" xfId="0" applyNumberFormat="1" applyFont="1" applyBorder="1" applyAlignment="1">
      <alignment horizontal="center" vertical="center"/>
    </xf>
    <xf numFmtId="168" fontId="10" fillId="0" borderId="6" xfId="0" applyNumberFormat="1" applyFont="1" applyBorder="1" applyAlignment="1">
      <alignment horizontal="center" vertical="center"/>
    </xf>
    <xf numFmtId="2" fontId="10" fillId="7" borderId="7" xfId="5" applyNumberFormat="1" applyFont="1" applyBorder="1" applyAlignment="1">
      <alignment horizontal="center" vertical="center"/>
    </xf>
    <xf numFmtId="2" fontId="10" fillId="7" borderId="9" xfId="5" applyNumberFormat="1" applyFont="1" applyBorder="1" applyAlignment="1">
      <alignment horizontal="center" vertical="center"/>
    </xf>
    <xf numFmtId="2" fontId="10" fillId="7" borderId="10" xfId="5" applyNumberFormat="1" applyFont="1" applyBorder="1" applyAlignment="1">
      <alignment horizontal="center" vertical="center"/>
    </xf>
    <xf numFmtId="2" fontId="10" fillId="7" borderId="12" xfId="5" applyNumberFormat="1" applyFont="1" applyBorder="1" applyAlignment="1">
      <alignment horizontal="center" vertical="center"/>
    </xf>
    <xf numFmtId="165" fontId="6" fillId="6" borderId="24" xfId="4" applyNumberFormat="1" applyAlignment="1">
      <alignment horizontal="center" vertical="center"/>
    </xf>
    <xf numFmtId="2" fontId="6" fillId="6" borderId="24" xfId="4" applyNumberFormat="1" applyAlignment="1">
      <alignment horizontal="center" vertical="center"/>
    </xf>
    <xf numFmtId="170" fontId="1" fillId="2" borderId="1" xfId="1" applyNumberFormat="1" applyAlignment="1">
      <alignment horizontal="center" vertical="center"/>
    </xf>
    <xf numFmtId="171" fontId="1" fillId="2" borderId="1" xfId="1" applyNumberFormat="1" applyAlignment="1" applyProtection="1">
      <alignment horizontal="center" vertical="center"/>
    </xf>
    <xf numFmtId="171" fontId="6" fillId="6" borderId="24" xfId="4" applyNumberFormat="1" applyAlignment="1" applyProtection="1">
      <alignment horizontal="center" vertical="center"/>
    </xf>
    <xf numFmtId="171" fontId="1" fillId="2" borderId="1" xfId="1" quotePrefix="1" applyNumberFormat="1" applyAlignment="1" applyProtection="1">
      <alignment horizontal="center" vertical="center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CDFAFF"/>
      <color rgb="FF00FF00"/>
      <color rgb="FFFF99FF"/>
      <color rgb="FFCCFFFF"/>
      <color rgb="FFD5FFDA"/>
      <color rgb="FFFBB7FB"/>
      <color rgb="FFC5FFC5"/>
      <color rgb="FFFFFFCC"/>
      <color rgb="FFFFB9B9"/>
      <color rgb="FFEBFF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2.png"/><Relationship Id="rId5" Type="http://schemas.openxmlformats.org/officeDocument/2006/relationships/image" Target="../media/image9.png"/><Relationship Id="rId4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chart" Target="../charts/chart1.xm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161</xdr:row>
      <xdr:rowOff>45528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441891</xdr:colOff>
      <xdr:row>108</xdr:row>
      <xdr:rowOff>0</xdr:rowOff>
    </xdr:from>
    <xdr:to>
      <xdr:col>33</xdr:col>
      <xdr:colOff>1114963</xdr:colOff>
      <xdr:row>126</xdr:row>
      <xdr:rowOff>9802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76766" y="17621250"/>
          <a:ext cx="6302347" cy="1981477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330993</xdr:colOff>
      <xdr:row>139</xdr:row>
      <xdr:rowOff>92869</xdr:rowOff>
    </xdr:from>
    <xdr:to>
      <xdr:col>33</xdr:col>
      <xdr:colOff>1093884</xdr:colOff>
      <xdr:row>163</xdr:row>
      <xdr:rowOff>174561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65868" y="22533769"/>
          <a:ext cx="6392166" cy="5339492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575241</xdr:colOff>
      <xdr:row>124</xdr:row>
      <xdr:rowOff>57150</xdr:rowOff>
    </xdr:from>
    <xdr:to>
      <xdr:col>35</xdr:col>
      <xdr:colOff>233432</xdr:colOff>
      <xdr:row>136</xdr:row>
      <xdr:rowOff>124201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31874-F6FA-FCBF-AF29-876DB9515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10116" y="19211925"/>
          <a:ext cx="7821116" cy="2695951"/>
        </a:xfrm>
        <a:custGeom>
          <a:avLst/>
          <a:gdLst>
            <a:gd name="connsiteX0" fmla="*/ 0 w 7821116"/>
            <a:gd name="connsiteY0" fmla="*/ 0 h 2695951"/>
            <a:gd name="connsiteX1" fmla="*/ 324018 w 7821116"/>
            <a:gd name="connsiteY1" fmla="*/ 0 h 2695951"/>
            <a:gd name="connsiteX2" fmla="*/ 960880 w 7821116"/>
            <a:gd name="connsiteY2" fmla="*/ 0 h 2695951"/>
            <a:gd name="connsiteX3" fmla="*/ 1441320 w 7821116"/>
            <a:gd name="connsiteY3" fmla="*/ 0 h 2695951"/>
            <a:gd name="connsiteX4" fmla="*/ 1843549 w 7821116"/>
            <a:gd name="connsiteY4" fmla="*/ 0 h 2695951"/>
            <a:gd name="connsiteX5" fmla="*/ 2323989 w 7821116"/>
            <a:gd name="connsiteY5" fmla="*/ 0 h 2695951"/>
            <a:gd name="connsiteX6" fmla="*/ 2648006 w 7821116"/>
            <a:gd name="connsiteY6" fmla="*/ 0 h 2695951"/>
            <a:gd name="connsiteX7" fmla="*/ 3128446 w 7821116"/>
            <a:gd name="connsiteY7" fmla="*/ 0 h 2695951"/>
            <a:gd name="connsiteX8" fmla="*/ 3608886 w 7821116"/>
            <a:gd name="connsiteY8" fmla="*/ 0 h 2695951"/>
            <a:gd name="connsiteX9" fmla="*/ 4011115 w 7821116"/>
            <a:gd name="connsiteY9" fmla="*/ 0 h 2695951"/>
            <a:gd name="connsiteX10" fmla="*/ 4726189 w 7821116"/>
            <a:gd name="connsiteY10" fmla="*/ 0 h 2695951"/>
            <a:gd name="connsiteX11" fmla="*/ 5284840 w 7821116"/>
            <a:gd name="connsiteY11" fmla="*/ 0 h 2695951"/>
            <a:gd name="connsiteX12" fmla="*/ 5843491 w 7821116"/>
            <a:gd name="connsiteY12" fmla="*/ 0 h 2695951"/>
            <a:gd name="connsiteX13" fmla="*/ 6402142 w 7821116"/>
            <a:gd name="connsiteY13" fmla="*/ 0 h 2695951"/>
            <a:gd name="connsiteX14" fmla="*/ 6726160 w 7821116"/>
            <a:gd name="connsiteY14" fmla="*/ 0 h 2695951"/>
            <a:gd name="connsiteX15" fmla="*/ 7821116 w 7821116"/>
            <a:gd name="connsiteY15" fmla="*/ 0 h 2695951"/>
            <a:gd name="connsiteX16" fmla="*/ 7821116 w 7821116"/>
            <a:gd name="connsiteY16" fmla="*/ 539190 h 2695951"/>
            <a:gd name="connsiteX17" fmla="*/ 7821116 w 7821116"/>
            <a:gd name="connsiteY17" fmla="*/ 1132299 h 2695951"/>
            <a:gd name="connsiteX18" fmla="*/ 7821116 w 7821116"/>
            <a:gd name="connsiteY18" fmla="*/ 1698449 h 2695951"/>
            <a:gd name="connsiteX19" fmla="*/ 7821116 w 7821116"/>
            <a:gd name="connsiteY19" fmla="*/ 2183720 h 2695951"/>
            <a:gd name="connsiteX20" fmla="*/ 7821116 w 7821116"/>
            <a:gd name="connsiteY20" fmla="*/ 2695951 h 2695951"/>
            <a:gd name="connsiteX21" fmla="*/ 7184254 w 7821116"/>
            <a:gd name="connsiteY21" fmla="*/ 2695951 h 2695951"/>
            <a:gd name="connsiteX22" fmla="*/ 6625603 w 7821116"/>
            <a:gd name="connsiteY22" fmla="*/ 2695951 h 2695951"/>
            <a:gd name="connsiteX23" fmla="*/ 6301585 w 7821116"/>
            <a:gd name="connsiteY23" fmla="*/ 2695951 h 2695951"/>
            <a:gd name="connsiteX24" fmla="*/ 5742934 w 7821116"/>
            <a:gd name="connsiteY24" fmla="*/ 2695951 h 2695951"/>
            <a:gd name="connsiteX25" fmla="*/ 5184283 w 7821116"/>
            <a:gd name="connsiteY25" fmla="*/ 2695951 h 2695951"/>
            <a:gd name="connsiteX26" fmla="*/ 4782054 w 7821116"/>
            <a:gd name="connsiteY26" fmla="*/ 2695951 h 2695951"/>
            <a:gd name="connsiteX27" fmla="*/ 4223403 w 7821116"/>
            <a:gd name="connsiteY27" fmla="*/ 2695951 h 2695951"/>
            <a:gd name="connsiteX28" fmla="*/ 3586540 w 7821116"/>
            <a:gd name="connsiteY28" fmla="*/ 2695951 h 2695951"/>
            <a:gd name="connsiteX29" fmla="*/ 3027889 w 7821116"/>
            <a:gd name="connsiteY29" fmla="*/ 2695951 h 2695951"/>
            <a:gd name="connsiteX30" fmla="*/ 2312816 w 7821116"/>
            <a:gd name="connsiteY30" fmla="*/ 2695951 h 2695951"/>
            <a:gd name="connsiteX31" fmla="*/ 1754165 w 7821116"/>
            <a:gd name="connsiteY31" fmla="*/ 2695951 h 2695951"/>
            <a:gd name="connsiteX32" fmla="*/ 1273725 w 7821116"/>
            <a:gd name="connsiteY32" fmla="*/ 2695951 h 2695951"/>
            <a:gd name="connsiteX33" fmla="*/ 871496 w 7821116"/>
            <a:gd name="connsiteY33" fmla="*/ 2695951 h 2695951"/>
            <a:gd name="connsiteX34" fmla="*/ 547478 w 7821116"/>
            <a:gd name="connsiteY34" fmla="*/ 2695951 h 2695951"/>
            <a:gd name="connsiteX35" fmla="*/ 0 w 7821116"/>
            <a:gd name="connsiteY35" fmla="*/ 2695951 h 2695951"/>
            <a:gd name="connsiteX36" fmla="*/ 0 w 7821116"/>
            <a:gd name="connsiteY36" fmla="*/ 2210680 h 2695951"/>
            <a:gd name="connsiteX37" fmla="*/ 0 w 7821116"/>
            <a:gd name="connsiteY37" fmla="*/ 1752368 h 2695951"/>
            <a:gd name="connsiteX38" fmla="*/ 0 w 7821116"/>
            <a:gd name="connsiteY38" fmla="*/ 1213178 h 2695951"/>
            <a:gd name="connsiteX39" fmla="*/ 0 w 7821116"/>
            <a:gd name="connsiteY39" fmla="*/ 620069 h 2695951"/>
            <a:gd name="connsiteX40" fmla="*/ 0 w 7821116"/>
            <a:gd name="connsiteY40" fmla="*/ 0 h 26959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7821116" h="2695951" fill="none" extrusionOk="0">
              <a:moveTo>
                <a:pt x="0" y="0"/>
              </a:moveTo>
              <a:cubicBezTo>
                <a:pt x="119824" y="-28946"/>
                <a:pt x="192354" y="17534"/>
                <a:pt x="324018" y="0"/>
              </a:cubicBezTo>
              <a:cubicBezTo>
                <a:pt x="455682" y="-17534"/>
                <a:pt x="758640" y="19425"/>
                <a:pt x="960880" y="0"/>
              </a:cubicBezTo>
              <a:cubicBezTo>
                <a:pt x="1163120" y="-19425"/>
                <a:pt x="1300677" y="16951"/>
                <a:pt x="1441320" y="0"/>
              </a:cubicBezTo>
              <a:cubicBezTo>
                <a:pt x="1581963" y="-16951"/>
                <a:pt x="1674297" y="31913"/>
                <a:pt x="1843549" y="0"/>
              </a:cubicBezTo>
              <a:cubicBezTo>
                <a:pt x="2012801" y="-31913"/>
                <a:pt x="2116697" y="50308"/>
                <a:pt x="2323989" y="0"/>
              </a:cubicBezTo>
              <a:cubicBezTo>
                <a:pt x="2531281" y="-50308"/>
                <a:pt x="2517875" y="32085"/>
                <a:pt x="2648006" y="0"/>
              </a:cubicBezTo>
              <a:cubicBezTo>
                <a:pt x="2778137" y="-32085"/>
                <a:pt x="2903348" y="57447"/>
                <a:pt x="3128446" y="0"/>
              </a:cubicBezTo>
              <a:cubicBezTo>
                <a:pt x="3353544" y="-57447"/>
                <a:pt x="3397260" y="40484"/>
                <a:pt x="3608886" y="0"/>
              </a:cubicBezTo>
              <a:cubicBezTo>
                <a:pt x="3820512" y="-40484"/>
                <a:pt x="3879705" y="36497"/>
                <a:pt x="4011115" y="0"/>
              </a:cubicBezTo>
              <a:cubicBezTo>
                <a:pt x="4142525" y="-36497"/>
                <a:pt x="4439887" y="27367"/>
                <a:pt x="4726189" y="0"/>
              </a:cubicBezTo>
              <a:cubicBezTo>
                <a:pt x="5012491" y="-27367"/>
                <a:pt x="5071943" y="19112"/>
                <a:pt x="5284840" y="0"/>
              </a:cubicBezTo>
              <a:cubicBezTo>
                <a:pt x="5497737" y="-19112"/>
                <a:pt x="5626032" y="45831"/>
                <a:pt x="5843491" y="0"/>
              </a:cubicBezTo>
              <a:cubicBezTo>
                <a:pt x="6060950" y="-45831"/>
                <a:pt x="6142193" y="66364"/>
                <a:pt x="6402142" y="0"/>
              </a:cubicBezTo>
              <a:cubicBezTo>
                <a:pt x="6662091" y="-66364"/>
                <a:pt x="6636794" y="20606"/>
                <a:pt x="6726160" y="0"/>
              </a:cubicBezTo>
              <a:cubicBezTo>
                <a:pt x="6815526" y="-20606"/>
                <a:pt x="7308422" y="31808"/>
                <a:pt x="7821116" y="0"/>
              </a:cubicBezTo>
              <a:cubicBezTo>
                <a:pt x="7876805" y="156796"/>
                <a:pt x="7792986" y="358642"/>
                <a:pt x="7821116" y="539190"/>
              </a:cubicBezTo>
              <a:cubicBezTo>
                <a:pt x="7849246" y="719738"/>
                <a:pt x="7814884" y="920963"/>
                <a:pt x="7821116" y="1132299"/>
              </a:cubicBezTo>
              <a:cubicBezTo>
                <a:pt x="7827348" y="1343635"/>
                <a:pt x="7810701" y="1556689"/>
                <a:pt x="7821116" y="1698449"/>
              </a:cubicBezTo>
              <a:cubicBezTo>
                <a:pt x="7831531" y="1840209"/>
                <a:pt x="7794882" y="1991211"/>
                <a:pt x="7821116" y="2183720"/>
              </a:cubicBezTo>
              <a:cubicBezTo>
                <a:pt x="7847350" y="2376229"/>
                <a:pt x="7786384" y="2497580"/>
                <a:pt x="7821116" y="2695951"/>
              </a:cubicBezTo>
              <a:cubicBezTo>
                <a:pt x="7652926" y="2754470"/>
                <a:pt x="7431461" y="2636221"/>
                <a:pt x="7184254" y="2695951"/>
              </a:cubicBezTo>
              <a:cubicBezTo>
                <a:pt x="6937047" y="2755681"/>
                <a:pt x="6857183" y="2693316"/>
                <a:pt x="6625603" y="2695951"/>
              </a:cubicBezTo>
              <a:cubicBezTo>
                <a:pt x="6394023" y="2698586"/>
                <a:pt x="6386162" y="2682729"/>
                <a:pt x="6301585" y="2695951"/>
              </a:cubicBezTo>
              <a:cubicBezTo>
                <a:pt x="6217008" y="2709173"/>
                <a:pt x="5982779" y="2692496"/>
                <a:pt x="5742934" y="2695951"/>
              </a:cubicBezTo>
              <a:cubicBezTo>
                <a:pt x="5503089" y="2699406"/>
                <a:pt x="5376991" y="2642860"/>
                <a:pt x="5184283" y="2695951"/>
              </a:cubicBezTo>
              <a:cubicBezTo>
                <a:pt x="4991575" y="2749042"/>
                <a:pt x="4869286" y="2674056"/>
                <a:pt x="4782054" y="2695951"/>
              </a:cubicBezTo>
              <a:cubicBezTo>
                <a:pt x="4694822" y="2717846"/>
                <a:pt x="4376892" y="2672656"/>
                <a:pt x="4223403" y="2695951"/>
              </a:cubicBezTo>
              <a:cubicBezTo>
                <a:pt x="4069914" y="2719246"/>
                <a:pt x="3888695" y="2666825"/>
                <a:pt x="3586540" y="2695951"/>
              </a:cubicBezTo>
              <a:cubicBezTo>
                <a:pt x="3284385" y="2725077"/>
                <a:pt x="3257530" y="2679429"/>
                <a:pt x="3027889" y="2695951"/>
              </a:cubicBezTo>
              <a:cubicBezTo>
                <a:pt x="2798248" y="2712473"/>
                <a:pt x="2487460" y="2644277"/>
                <a:pt x="2312816" y="2695951"/>
              </a:cubicBezTo>
              <a:cubicBezTo>
                <a:pt x="2138172" y="2747625"/>
                <a:pt x="1877138" y="2681159"/>
                <a:pt x="1754165" y="2695951"/>
              </a:cubicBezTo>
              <a:cubicBezTo>
                <a:pt x="1631192" y="2710743"/>
                <a:pt x="1423444" y="2645602"/>
                <a:pt x="1273725" y="2695951"/>
              </a:cubicBezTo>
              <a:cubicBezTo>
                <a:pt x="1124006" y="2746300"/>
                <a:pt x="1006705" y="2671069"/>
                <a:pt x="871496" y="2695951"/>
              </a:cubicBezTo>
              <a:cubicBezTo>
                <a:pt x="736287" y="2720833"/>
                <a:pt x="632243" y="2693375"/>
                <a:pt x="547478" y="2695951"/>
              </a:cubicBezTo>
              <a:cubicBezTo>
                <a:pt x="462713" y="2698527"/>
                <a:pt x="269996" y="2635430"/>
                <a:pt x="0" y="2695951"/>
              </a:cubicBezTo>
              <a:cubicBezTo>
                <a:pt x="-16823" y="2506824"/>
                <a:pt x="7322" y="2337380"/>
                <a:pt x="0" y="2210680"/>
              </a:cubicBezTo>
              <a:cubicBezTo>
                <a:pt x="-7322" y="2083980"/>
                <a:pt x="32841" y="1939095"/>
                <a:pt x="0" y="1752368"/>
              </a:cubicBezTo>
              <a:cubicBezTo>
                <a:pt x="-32841" y="1565641"/>
                <a:pt x="56797" y="1440976"/>
                <a:pt x="0" y="1213178"/>
              </a:cubicBezTo>
              <a:cubicBezTo>
                <a:pt x="-56797" y="985380"/>
                <a:pt x="10968" y="818637"/>
                <a:pt x="0" y="620069"/>
              </a:cubicBezTo>
              <a:cubicBezTo>
                <a:pt x="-10968" y="421501"/>
                <a:pt x="15383" y="191731"/>
                <a:pt x="0" y="0"/>
              </a:cubicBezTo>
              <a:close/>
            </a:path>
            <a:path w="7821116" h="2695951" stroke="0" extrusionOk="0">
              <a:moveTo>
                <a:pt x="0" y="0"/>
              </a:moveTo>
              <a:cubicBezTo>
                <a:pt x="132332" y="-23568"/>
                <a:pt x="216123" y="14628"/>
                <a:pt x="324018" y="0"/>
              </a:cubicBezTo>
              <a:cubicBezTo>
                <a:pt x="431913" y="-14628"/>
                <a:pt x="722144" y="75340"/>
                <a:pt x="960880" y="0"/>
              </a:cubicBezTo>
              <a:cubicBezTo>
                <a:pt x="1199616" y="-75340"/>
                <a:pt x="1246027" y="50854"/>
                <a:pt x="1519531" y="0"/>
              </a:cubicBezTo>
              <a:cubicBezTo>
                <a:pt x="1793035" y="-50854"/>
                <a:pt x="1771489" y="46270"/>
                <a:pt x="1921760" y="0"/>
              </a:cubicBezTo>
              <a:cubicBezTo>
                <a:pt x="2072031" y="-46270"/>
                <a:pt x="2229074" y="1321"/>
                <a:pt x="2402200" y="0"/>
              </a:cubicBezTo>
              <a:cubicBezTo>
                <a:pt x="2575326" y="-1321"/>
                <a:pt x="2714522" y="23764"/>
                <a:pt x="2882640" y="0"/>
              </a:cubicBezTo>
              <a:cubicBezTo>
                <a:pt x="3050758" y="-23764"/>
                <a:pt x="3132283" y="1879"/>
                <a:pt x="3206658" y="0"/>
              </a:cubicBezTo>
              <a:cubicBezTo>
                <a:pt x="3281033" y="-1879"/>
                <a:pt x="3456303" y="17988"/>
                <a:pt x="3608886" y="0"/>
              </a:cubicBezTo>
              <a:cubicBezTo>
                <a:pt x="3761469" y="-17988"/>
                <a:pt x="3858643" y="8728"/>
                <a:pt x="4089326" y="0"/>
              </a:cubicBezTo>
              <a:cubicBezTo>
                <a:pt x="4320009" y="-8728"/>
                <a:pt x="4400949" y="44654"/>
                <a:pt x="4569766" y="0"/>
              </a:cubicBezTo>
              <a:cubicBezTo>
                <a:pt x="4738583" y="-44654"/>
                <a:pt x="4747779" y="15814"/>
                <a:pt x="4893784" y="0"/>
              </a:cubicBezTo>
              <a:cubicBezTo>
                <a:pt x="5039789" y="-15814"/>
                <a:pt x="5157727" y="16976"/>
                <a:pt x="5296013" y="0"/>
              </a:cubicBezTo>
              <a:cubicBezTo>
                <a:pt x="5434299" y="-16976"/>
                <a:pt x="5720431" y="31593"/>
                <a:pt x="5932875" y="0"/>
              </a:cubicBezTo>
              <a:cubicBezTo>
                <a:pt x="6145319" y="-31593"/>
                <a:pt x="6307900" y="3019"/>
                <a:pt x="6647949" y="0"/>
              </a:cubicBezTo>
              <a:cubicBezTo>
                <a:pt x="6987998" y="-3019"/>
                <a:pt x="6855822" y="42900"/>
                <a:pt x="7050177" y="0"/>
              </a:cubicBezTo>
              <a:cubicBezTo>
                <a:pt x="7244532" y="-42900"/>
                <a:pt x="7634915" y="19029"/>
                <a:pt x="7821116" y="0"/>
              </a:cubicBezTo>
              <a:cubicBezTo>
                <a:pt x="7867932" y="170523"/>
                <a:pt x="7772292" y="334132"/>
                <a:pt x="7821116" y="512231"/>
              </a:cubicBezTo>
              <a:cubicBezTo>
                <a:pt x="7869940" y="690330"/>
                <a:pt x="7791688" y="836876"/>
                <a:pt x="7821116" y="1024461"/>
              </a:cubicBezTo>
              <a:cubicBezTo>
                <a:pt x="7850544" y="1212046"/>
                <a:pt x="7779675" y="1340635"/>
                <a:pt x="7821116" y="1509733"/>
              </a:cubicBezTo>
              <a:cubicBezTo>
                <a:pt x="7862557" y="1678831"/>
                <a:pt x="7771821" y="1887283"/>
                <a:pt x="7821116" y="2102842"/>
              </a:cubicBezTo>
              <a:cubicBezTo>
                <a:pt x="7870411" y="2318401"/>
                <a:pt x="7761398" y="2538504"/>
                <a:pt x="7821116" y="2695951"/>
              </a:cubicBezTo>
              <a:cubicBezTo>
                <a:pt x="7589354" y="2705869"/>
                <a:pt x="7318066" y="2681804"/>
                <a:pt x="7106043" y="2695951"/>
              </a:cubicBezTo>
              <a:cubicBezTo>
                <a:pt x="6894020" y="2710098"/>
                <a:pt x="6855818" y="2652333"/>
                <a:pt x="6625603" y="2695951"/>
              </a:cubicBezTo>
              <a:cubicBezTo>
                <a:pt x="6395388" y="2739569"/>
                <a:pt x="6266661" y="2618336"/>
                <a:pt x="5910529" y="2695951"/>
              </a:cubicBezTo>
              <a:cubicBezTo>
                <a:pt x="5554397" y="2773566"/>
                <a:pt x="5640052" y="2691810"/>
                <a:pt x="5430089" y="2695951"/>
              </a:cubicBezTo>
              <a:cubicBezTo>
                <a:pt x="5220126" y="2700092"/>
                <a:pt x="5116202" y="2662867"/>
                <a:pt x="4949649" y="2695951"/>
              </a:cubicBezTo>
              <a:cubicBezTo>
                <a:pt x="4783096" y="2729035"/>
                <a:pt x="4737997" y="2686034"/>
                <a:pt x="4625631" y="2695951"/>
              </a:cubicBezTo>
              <a:cubicBezTo>
                <a:pt x="4513265" y="2705868"/>
                <a:pt x="4227054" y="2674565"/>
                <a:pt x="3910558" y="2695951"/>
              </a:cubicBezTo>
              <a:cubicBezTo>
                <a:pt x="3594062" y="2717337"/>
                <a:pt x="3586315" y="2629934"/>
                <a:pt x="3351907" y="2695951"/>
              </a:cubicBezTo>
              <a:cubicBezTo>
                <a:pt x="3117499" y="2761968"/>
                <a:pt x="2943592" y="2688805"/>
                <a:pt x="2793256" y="2695951"/>
              </a:cubicBezTo>
              <a:cubicBezTo>
                <a:pt x="2642920" y="2703097"/>
                <a:pt x="2397392" y="2646433"/>
                <a:pt x="2156393" y="2695951"/>
              </a:cubicBezTo>
              <a:cubicBezTo>
                <a:pt x="1915394" y="2745469"/>
                <a:pt x="1789360" y="2640130"/>
                <a:pt x="1597742" y="2695951"/>
              </a:cubicBezTo>
              <a:cubicBezTo>
                <a:pt x="1406124" y="2751772"/>
                <a:pt x="1361059" y="2652497"/>
                <a:pt x="1195513" y="2695951"/>
              </a:cubicBezTo>
              <a:cubicBezTo>
                <a:pt x="1029967" y="2739405"/>
                <a:pt x="1017820" y="2661370"/>
                <a:pt x="871496" y="2695951"/>
              </a:cubicBezTo>
              <a:cubicBezTo>
                <a:pt x="725172" y="2730532"/>
                <a:pt x="232106" y="2640323"/>
                <a:pt x="0" y="2695951"/>
              </a:cubicBezTo>
              <a:cubicBezTo>
                <a:pt x="-31993" y="2500088"/>
                <a:pt x="12639" y="2357130"/>
                <a:pt x="0" y="2156761"/>
              </a:cubicBezTo>
              <a:cubicBezTo>
                <a:pt x="-12639" y="1956392"/>
                <a:pt x="10055" y="1864836"/>
                <a:pt x="0" y="1671490"/>
              </a:cubicBezTo>
              <a:cubicBezTo>
                <a:pt x="-10055" y="1478144"/>
                <a:pt x="56018" y="1368402"/>
                <a:pt x="0" y="1078380"/>
              </a:cubicBezTo>
              <a:cubicBezTo>
                <a:pt x="-56018" y="788358"/>
                <a:pt x="56364" y="727237"/>
                <a:pt x="0" y="593109"/>
              </a:cubicBezTo>
              <a:cubicBezTo>
                <a:pt x="-56364" y="458981"/>
                <a:pt x="56406" y="185619"/>
                <a:pt x="0" y="0"/>
              </a:cubicBezTo>
              <a:close/>
            </a:path>
          </a:pathLst>
        </a:custGeom>
        <a:ln w="38100">
          <a:solidFill>
            <a:srgbClr val="FF99FF"/>
          </a:solidFill>
          <a:extLst>
            <a:ext uri="{C807C97D-BFC1-408E-A445-0C87EB9F89A2}">
              <ask:lineSketchStyleProps xmlns:ask="http://schemas.microsoft.com/office/drawing/2018/sketchyshapes" sd="1274131333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</xdr:pic>
    <xdr:clientData/>
  </xdr:twoCellAnchor>
  <xdr:twoCellAnchor editAs="oneCell">
    <xdr:from>
      <xdr:col>29</xdr:col>
      <xdr:colOff>419100</xdr:colOff>
      <xdr:row>136</xdr:row>
      <xdr:rowOff>9525</xdr:rowOff>
    </xdr:from>
    <xdr:to>
      <xdr:col>32</xdr:col>
      <xdr:colOff>1191143</xdr:colOff>
      <xdr:row>139</xdr:row>
      <xdr:rowOff>19143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6FA93D7-78CC-1293-65D3-44C43441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173200" y="21793200"/>
          <a:ext cx="3715268" cy="6668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146</xdr:row>
      <xdr:rowOff>123825</xdr:rowOff>
    </xdr:from>
    <xdr:to>
      <xdr:col>18</xdr:col>
      <xdr:colOff>361950</xdr:colOff>
      <xdr:row>147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009307E-8B34-4FB5-93AF-4731598B6456}"/>
            </a:ext>
          </a:extLst>
        </xdr:cNvPr>
        <xdr:cNvCxnSpPr/>
      </xdr:nvCxnSpPr>
      <xdr:spPr>
        <a:xfrm flipV="1">
          <a:off x="7972425" y="13496925"/>
          <a:ext cx="361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5" name="Flèche : droite 10">
          <a:extLst>
            <a:ext uri="{FF2B5EF4-FFF2-40B4-BE49-F238E27FC236}">
              <a16:creationId xmlns:a16="http://schemas.microsoft.com/office/drawing/2014/main" id="{CFDFD59F-CC0C-4108-AC8D-6B8A09EDC3DC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6" name="Flèche : droite 11">
          <a:extLst>
            <a:ext uri="{FF2B5EF4-FFF2-40B4-BE49-F238E27FC236}">
              <a16:creationId xmlns:a16="http://schemas.microsoft.com/office/drawing/2014/main" id="{0918CA0A-6402-4F91-8D91-0461FE6CEC28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209550</xdr:colOff>
      <xdr:row>39</xdr:row>
      <xdr:rowOff>38101</xdr:rowOff>
    </xdr:from>
    <xdr:to>
      <xdr:col>30</xdr:col>
      <xdr:colOff>953754</xdr:colOff>
      <xdr:row>48</xdr:row>
      <xdr:rowOff>171451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C7E2B4B-E3DC-4EE2-B77E-D88D408B0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34875" y="7038976"/>
          <a:ext cx="2896854" cy="1905000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106</xdr:row>
      <xdr:rowOff>19051</xdr:rowOff>
    </xdr:from>
    <xdr:to>
      <xdr:col>9</xdr:col>
      <xdr:colOff>361950</xdr:colOff>
      <xdr:row>109</xdr:row>
      <xdr:rowOff>171451</xdr:rowOff>
    </xdr:to>
    <xdr:sp macro="" textlink="">
      <xdr:nvSpPr>
        <xdr:cNvPr id="18" name="Flèche : droite 10">
          <a:extLst>
            <a:ext uri="{FF2B5EF4-FFF2-40B4-BE49-F238E27FC236}">
              <a16:creationId xmlns:a16="http://schemas.microsoft.com/office/drawing/2014/main" id="{66824624-8B11-4753-8CAA-235137F8CD00}"/>
            </a:ext>
          </a:extLst>
        </xdr:cNvPr>
        <xdr:cNvSpPr/>
      </xdr:nvSpPr>
      <xdr:spPr>
        <a:xfrm>
          <a:off x="2809875" y="10925176"/>
          <a:ext cx="1619250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106</xdr:row>
      <xdr:rowOff>28576</xdr:rowOff>
    </xdr:from>
    <xdr:to>
      <xdr:col>29</xdr:col>
      <xdr:colOff>895350</xdr:colOff>
      <xdr:row>109</xdr:row>
      <xdr:rowOff>180976</xdr:rowOff>
    </xdr:to>
    <xdr:sp macro="" textlink="">
      <xdr:nvSpPr>
        <xdr:cNvPr id="19" name="Flèche : droite 11">
          <a:extLst>
            <a:ext uri="{FF2B5EF4-FFF2-40B4-BE49-F238E27FC236}">
              <a16:creationId xmlns:a16="http://schemas.microsoft.com/office/drawing/2014/main" id="{9EE0C5C4-867F-4881-9626-EFE2F36A954D}"/>
            </a:ext>
          </a:extLst>
        </xdr:cNvPr>
        <xdr:cNvSpPr/>
      </xdr:nvSpPr>
      <xdr:spPr>
        <a:xfrm rot="10800000">
          <a:off x="12477750" y="10934701"/>
          <a:ext cx="1619250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23</xdr:col>
      <xdr:colOff>361950</xdr:colOff>
      <xdr:row>88</xdr:row>
      <xdr:rowOff>19051</xdr:rowOff>
    </xdr:from>
    <xdr:ext cx="2896854" cy="1905000"/>
    <xdr:pic>
      <xdr:nvPicPr>
        <xdr:cNvPr id="20" name="Picture 19">
          <a:extLst>
            <a:ext uri="{FF2B5EF4-FFF2-40B4-BE49-F238E27FC236}">
              <a16:creationId xmlns:a16="http://schemas.microsoft.com/office/drawing/2014/main" id="{D2C62F19-C2AB-4B5B-B885-E8F8A07F4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01350" y="16335376"/>
          <a:ext cx="2896854" cy="1905000"/>
        </a:xfrm>
        <a:prstGeom prst="rect">
          <a:avLst/>
        </a:prstGeom>
      </xdr:spPr>
    </xdr:pic>
    <xdr:clientData/>
  </xdr:oneCellAnchor>
  <xdr:twoCellAnchor>
    <xdr:from>
      <xdr:col>0</xdr:col>
      <xdr:colOff>333375</xdr:colOff>
      <xdr:row>71</xdr:row>
      <xdr:rowOff>104775</xdr:rowOff>
    </xdr:from>
    <xdr:to>
      <xdr:col>16</xdr:col>
      <xdr:colOff>104775</xdr:colOff>
      <xdr:row>77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1AFD69D-3F10-52EA-80CD-8BDFBBD817D4}"/>
            </a:ext>
          </a:extLst>
        </xdr:cNvPr>
        <xdr:cNvSpPr/>
      </xdr:nvSpPr>
      <xdr:spPr>
        <a:xfrm>
          <a:off x="333375" y="13430250"/>
          <a:ext cx="6943725" cy="1390650"/>
        </a:xfrm>
        <a:prstGeom prst="rect">
          <a:avLst/>
        </a:prstGeom>
        <a:solidFill>
          <a:srgbClr val="D5FFDA">
            <a:alpha val="31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123825</xdr:colOff>
      <xdr:row>72</xdr:row>
      <xdr:rowOff>95251</xdr:rowOff>
    </xdr:from>
    <xdr:to>
      <xdr:col>20</xdr:col>
      <xdr:colOff>142875</xdr:colOff>
      <xdr:row>75</xdr:row>
      <xdr:rowOff>142876</xdr:rowOff>
    </xdr:to>
    <xdr:sp macro="" textlink="">
      <xdr:nvSpPr>
        <xdr:cNvPr id="3" name="Flèche : droite 11">
          <a:extLst>
            <a:ext uri="{FF2B5EF4-FFF2-40B4-BE49-F238E27FC236}">
              <a16:creationId xmlns:a16="http://schemas.microsoft.com/office/drawing/2014/main" id="{5FC9AD12-62AA-4232-91B6-20A24312BF59}"/>
            </a:ext>
          </a:extLst>
        </xdr:cNvPr>
        <xdr:cNvSpPr/>
      </xdr:nvSpPr>
      <xdr:spPr>
        <a:xfrm rot="10800000">
          <a:off x="7296150" y="136398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125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122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167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185</xdr:row>
      <xdr:rowOff>13709</xdr:rowOff>
    </xdr:from>
    <xdr:to>
      <xdr:col>31</xdr:col>
      <xdr:colOff>47626</xdr:colOff>
      <xdr:row>209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190</xdr:row>
      <xdr:rowOff>0</xdr:rowOff>
    </xdr:from>
    <xdr:to>
      <xdr:col>13</xdr:col>
      <xdr:colOff>400051</xdr:colOff>
      <xdr:row>193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187</xdr:row>
          <xdr:rowOff>38100</xdr:rowOff>
        </xdr:from>
        <xdr:to>
          <xdr:col>10</xdr:col>
          <xdr:colOff>9525</xdr:colOff>
          <xdr:row>188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189</xdr:row>
      <xdr:rowOff>142874</xdr:rowOff>
    </xdr:from>
    <xdr:to>
      <xdr:col>15</xdr:col>
      <xdr:colOff>266699</xdr:colOff>
      <xdr:row>193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240</xdr:row>
      <xdr:rowOff>57150</xdr:rowOff>
    </xdr:from>
    <xdr:to>
      <xdr:col>4</xdr:col>
      <xdr:colOff>400051</xdr:colOff>
      <xdr:row>242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51</xdr:row>
      <xdr:rowOff>137098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47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50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32</xdr:row>
      <xdr:rowOff>48875</xdr:rowOff>
    </xdr:from>
    <xdr:to>
      <xdr:col>2</xdr:col>
      <xdr:colOff>101623</xdr:colOff>
      <xdr:row>37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385233</xdr:colOff>
      <xdr:row>44</xdr:row>
      <xdr:rowOff>206375</xdr:rowOff>
    </xdr:from>
    <xdr:to>
      <xdr:col>9</xdr:col>
      <xdr:colOff>67734</xdr:colOff>
      <xdr:row>46</xdr:row>
      <xdr:rowOff>174625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3242733" y="10207625"/>
          <a:ext cx="1720851" cy="406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45</xdr:row>
      <xdr:rowOff>31750</xdr:rowOff>
    </xdr:from>
    <xdr:to>
      <xdr:col>13</xdr:col>
      <xdr:colOff>412750</xdr:colOff>
      <xdr:row>46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60</xdr:row>
      <xdr:rowOff>28088</xdr:rowOff>
    </xdr:from>
    <xdr:to>
      <xdr:col>10</xdr:col>
      <xdr:colOff>255180</xdr:colOff>
      <xdr:row>63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57</xdr:row>
          <xdr:rowOff>95250</xdr:rowOff>
        </xdr:from>
        <xdr:to>
          <xdr:col>7</xdr:col>
          <xdr:colOff>9525</xdr:colOff>
          <xdr:row>58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60</xdr:row>
      <xdr:rowOff>1</xdr:rowOff>
    </xdr:from>
    <xdr:to>
      <xdr:col>11</xdr:col>
      <xdr:colOff>353631</xdr:colOff>
      <xdr:row>65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60</xdr:row>
      <xdr:rowOff>41842</xdr:rowOff>
    </xdr:from>
    <xdr:to>
      <xdr:col>13</xdr:col>
      <xdr:colOff>137582</xdr:colOff>
      <xdr:row>63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107463</xdr:rowOff>
    </xdr:from>
    <xdr:to>
      <xdr:col>16</xdr:col>
      <xdr:colOff>142875</xdr:colOff>
      <xdr:row>129</xdr:row>
      <xdr:rowOff>195387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7672813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169312</xdr:colOff>
      <xdr:row>125</xdr:row>
      <xdr:rowOff>160972</xdr:rowOff>
    </xdr:from>
    <xdr:to>
      <xdr:col>16</xdr:col>
      <xdr:colOff>241791</xdr:colOff>
      <xdr:row>128</xdr:row>
      <xdr:rowOff>90576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60687" y="27154822"/>
          <a:ext cx="501104" cy="50110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8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23</xdr:row>
      <xdr:rowOff>95250</xdr:rowOff>
    </xdr:from>
    <xdr:to>
      <xdr:col>12</xdr:col>
      <xdr:colOff>553326</xdr:colOff>
      <xdr:row>36</xdr:row>
      <xdr:rowOff>114648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8C0FEC-4CF9-3454-3750-39E6BB9AD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7450" y="4514850"/>
          <a:ext cx="6277851" cy="24958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2" zoomScaleNormal="100" workbookViewId="0">
      <selection activeCell="M159" sqref="M159"/>
    </sheetView>
  </sheetViews>
  <sheetFormatPr defaultColWidth="5.140625" defaultRowHeight="17.25" customHeight="1"/>
  <cols>
    <col min="1" max="1" width="6.42578125" style="360" customWidth="1"/>
    <col min="2" max="2" width="7.5703125" style="360" customWidth="1"/>
    <col min="3" max="7" width="7" style="363" customWidth="1"/>
    <col min="8" max="9" width="7" style="360" customWidth="1"/>
    <col min="10" max="10" width="6.42578125" style="360" customWidth="1"/>
    <col min="11" max="11" width="8" style="360" customWidth="1"/>
    <col min="12" max="13" width="6.42578125" style="360" customWidth="1"/>
    <col min="14" max="15" width="7.28515625" style="360" customWidth="1"/>
    <col min="16" max="19" width="6.42578125" style="360" customWidth="1"/>
    <col min="20" max="20" width="7.28515625" style="360" customWidth="1"/>
    <col min="21" max="21" width="6.42578125" style="360" customWidth="1"/>
    <col min="22" max="22" width="7.28515625" style="360" customWidth="1"/>
    <col min="23" max="27" width="6.42578125" style="360" customWidth="1"/>
    <col min="28" max="28" width="1.28515625" style="59" customWidth="1"/>
    <col min="29" max="29" width="21.28515625" style="361" customWidth="1"/>
    <col min="30" max="30" width="15.5703125" style="361" customWidth="1"/>
    <col min="31" max="31" width="9.5703125" style="361" customWidth="1"/>
    <col min="32" max="46" width="19" style="361" customWidth="1"/>
    <col min="47" max="65" width="15.85546875" style="361" customWidth="1"/>
    <col min="66" max="66" width="15.85546875" style="362" customWidth="1"/>
    <col min="67" max="16384" width="5.140625" style="360"/>
  </cols>
  <sheetData>
    <row r="1" spans="2:66" ht="17.25" customHeight="1">
      <c r="C1" s="673" t="s">
        <v>132</v>
      </c>
      <c r="D1" s="673"/>
      <c r="E1" s="673"/>
      <c r="F1" s="673"/>
      <c r="G1" s="661" t="s">
        <v>133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</row>
    <row r="2" spans="2:66" ht="17.25" customHeight="1">
      <c r="C2" s="673"/>
      <c r="D2" s="673"/>
      <c r="E2" s="673"/>
      <c r="F2" s="673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</row>
    <row r="3" spans="2:66" ht="17.25" customHeight="1">
      <c r="C3" s="673"/>
      <c r="D3" s="673"/>
      <c r="E3" s="673"/>
      <c r="F3" s="673"/>
      <c r="G3" s="670" t="s">
        <v>137</v>
      </c>
      <c r="H3" s="670"/>
      <c r="I3" s="670"/>
      <c r="J3" s="671" t="s">
        <v>136</v>
      </c>
      <c r="K3" s="671"/>
      <c r="L3" s="671"/>
      <c r="N3" s="682" t="s">
        <v>226</v>
      </c>
      <c r="O3" s="682"/>
      <c r="P3" s="682"/>
      <c r="Q3" s="637" t="s">
        <v>192</v>
      </c>
      <c r="R3" s="637"/>
      <c r="S3" s="637"/>
      <c r="U3" s="922" t="s">
        <v>830</v>
      </c>
      <c r="V3" s="922"/>
      <c r="W3" s="922"/>
      <c r="X3" s="922"/>
      <c r="Y3" s="922"/>
      <c r="Z3" s="922"/>
      <c r="AA3" s="922"/>
      <c r="AB3" s="922"/>
      <c r="AC3" s="922"/>
    </row>
    <row r="4" spans="2:66" ht="34.5" customHeight="1">
      <c r="C4" s="673"/>
      <c r="D4" s="673"/>
      <c r="E4" s="673"/>
      <c r="F4" s="673"/>
      <c r="G4" s="629"/>
      <c r="H4" s="629"/>
      <c r="I4" s="629"/>
      <c r="J4" s="672"/>
      <c r="K4" s="672"/>
      <c r="L4" s="672"/>
      <c r="N4" s="682"/>
      <c r="O4" s="682"/>
      <c r="P4" s="682"/>
      <c r="Q4" s="637"/>
      <c r="R4" s="637"/>
      <c r="S4" s="637"/>
      <c r="U4" s="922"/>
      <c r="V4" s="922"/>
      <c r="W4" s="922"/>
      <c r="X4" s="922"/>
      <c r="Y4" s="922"/>
      <c r="Z4" s="922"/>
      <c r="AA4" s="922"/>
      <c r="AB4" s="922"/>
      <c r="AC4" s="922"/>
    </row>
    <row r="6" spans="2:66" ht="17.25" customHeight="1" thickBot="1"/>
    <row r="7" spans="2:66" ht="17.25" customHeight="1" thickBot="1">
      <c r="B7" s="373" t="s">
        <v>0</v>
      </c>
      <c r="C7" s="368"/>
      <c r="D7" s="368"/>
      <c r="E7" s="92" t="str" cm="1">
        <f t="array" ref="E7">dateDecimale2txt(dateConvert2Decimal(E8),0)</f>
        <v>2025/06/30</v>
      </c>
      <c r="F7" s="92"/>
      <c r="G7" s="382"/>
      <c r="H7" s="383"/>
      <c r="I7" s="92" t="str" cm="1">
        <f t="array" ref="I7">heureDecimal2Txt(E11)</f>
        <v>10:20:35.00(10.3430)</v>
      </c>
      <c r="J7" s="92"/>
      <c r="K7" s="92"/>
      <c r="L7" s="368"/>
      <c r="M7" s="368"/>
      <c r="N7" s="368" t="s">
        <v>315</v>
      </c>
      <c r="O7" s="368"/>
      <c r="P7" s="368"/>
      <c r="Q7" s="368"/>
      <c r="R7" s="368"/>
      <c r="S7" s="368" t="s">
        <v>316</v>
      </c>
      <c r="T7" s="684">
        <f>dateConvert2Decimal(E8)</f>
        <v>1751241600</v>
      </c>
      <c r="U7" s="684"/>
      <c r="V7" s="684"/>
      <c r="W7" s="368" t="s">
        <v>317</v>
      </c>
      <c r="X7" s="683">
        <f>(T7/86400)+DATE(1970,1,1)</f>
        <v>45838</v>
      </c>
      <c r="Y7" s="683"/>
      <c r="Z7" s="368" t="s">
        <v>318</v>
      </c>
      <c r="AA7" s="369">
        <f>INT(MONTH(X7))</f>
        <v>6</v>
      </c>
      <c r="AB7" s="60"/>
    </row>
    <row r="8" spans="2:66" ht="17.25" customHeight="1">
      <c r="C8" s="662" t="s">
        <v>1</v>
      </c>
      <c r="D8" s="663"/>
      <c r="E8" s="650" t="s">
        <v>814</v>
      </c>
      <c r="F8" s="651"/>
      <c r="G8" s="651"/>
      <c r="H8" s="363"/>
      <c r="I8" s="638"/>
      <c r="J8" s="638"/>
      <c r="K8" s="638"/>
      <c r="L8" s="638"/>
      <c r="M8" s="638"/>
      <c r="N8" s="638"/>
      <c r="O8" s="638"/>
      <c r="AC8" s="3" t="s">
        <v>162</v>
      </c>
      <c r="AD8" s="3" cm="1">
        <f t="array" ref="AD8">heureConvert2Decimal(I11)</f>
        <v>10.343055555555557</v>
      </c>
    </row>
    <row r="9" spans="2:66" ht="17.25" customHeight="1" thickBot="1">
      <c r="C9" s="664" t="s">
        <v>11</v>
      </c>
      <c r="D9" s="665"/>
      <c r="E9" s="664" t="s">
        <v>2</v>
      </c>
      <c r="F9" s="676"/>
      <c r="G9" s="676"/>
      <c r="H9" s="665"/>
      <c r="I9" s="649" t="s">
        <v>228</v>
      </c>
      <c r="J9" s="649"/>
      <c r="K9" s="649"/>
      <c r="L9" s="649" t="s">
        <v>224</v>
      </c>
      <c r="M9" s="649"/>
      <c r="N9" s="649"/>
      <c r="O9" s="649"/>
      <c r="P9" s="649"/>
      <c r="Q9" s="649" t="s">
        <v>225</v>
      </c>
      <c r="R9" s="649"/>
      <c r="S9" s="649"/>
      <c r="T9" s="649"/>
      <c r="U9" s="649"/>
      <c r="V9" s="771" t="s">
        <v>122</v>
      </c>
      <c r="W9" s="772"/>
      <c r="X9" s="772"/>
      <c r="Y9" s="773"/>
      <c r="AB9" s="61"/>
      <c r="AC9" s="3" t="s">
        <v>163</v>
      </c>
      <c r="AD9" s="65">
        <f>L11</f>
        <v>0</v>
      </c>
    </row>
    <row r="10" spans="2:66" ht="17.25" customHeight="1">
      <c r="C10" s="666"/>
      <c r="D10" s="667"/>
      <c r="E10" s="668"/>
      <c r="F10" s="677"/>
      <c r="G10" s="677"/>
      <c r="H10" s="669"/>
      <c r="I10" s="649"/>
      <c r="J10" s="649"/>
      <c r="K10" s="649"/>
      <c r="L10" s="649"/>
      <c r="M10" s="649"/>
      <c r="N10" s="649"/>
      <c r="O10" s="649"/>
      <c r="P10" s="649"/>
      <c r="Q10" s="649"/>
      <c r="R10" s="649"/>
      <c r="S10" s="649"/>
      <c r="T10" s="649"/>
      <c r="U10" s="649"/>
      <c r="V10" s="774"/>
      <c r="W10" s="775"/>
      <c r="X10" s="775"/>
      <c r="Y10" s="776"/>
      <c r="AC10" s="3" t="s">
        <v>164</v>
      </c>
      <c r="AD10" s="3">
        <f>Q11/3600</f>
        <v>0</v>
      </c>
    </row>
    <row r="11" spans="2:66" ht="17.25" customHeight="1" thickBot="1">
      <c r="C11" s="668"/>
      <c r="D11" s="669"/>
      <c r="E11" s="752">
        <f>AD8+AD9+AD10+AD11</f>
        <v>10.343055555555557</v>
      </c>
      <c r="F11" s="753"/>
      <c r="G11" s="753"/>
      <c r="H11" s="754"/>
      <c r="I11" s="584" t="s">
        <v>496</v>
      </c>
      <c r="J11" s="584"/>
      <c r="K11" s="584"/>
      <c r="L11" s="722">
        <v>0</v>
      </c>
      <c r="M11" s="722"/>
      <c r="N11" s="722"/>
      <c r="O11" s="722"/>
      <c r="P11" s="722"/>
      <c r="Q11" s="722">
        <v>0</v>
      </c>
      <c r="R11" s="722"/>
      <c r="S11" s="722"/>
      <c r="T11" s="722"/>
      <c r="U11" s="722"/>
      <c r="V11" s="584" t="s">
        <v>121</v>
      </c>
      <c r="W11" s="584"/>
      <c r="X11" s="584"/>
      <c r="Y11" s="584"/>
      <c r="AC11" s="3" t="s">
        <v>29</v>
      </c>
      <c r="AD11" s="3" cm="1">
        <f t="array" ref="AD11">heureConvert2Decimal(V11) / 60</f>
        <v>0</v>
      </c>
    </row>
    <row r="12" spans="2:66" s="361" customFormat="1" ht="17.25" customHeight="1" thickTop="1" thickBot="1">
      <c r="B12" s="360"/>
      <c r="E12" s="749" t="str" cm="1">
        <f t="array" ref="E12">heureDecimal2Txt(E11)</f>
        <v>10:20:35.00(10.3430)</v>
      </c>
      <c r="F12" s="750"/>
      <c r="G12" s="750"/>
      <c r="H12" s="751"/>
      <c r="I12" s="390"/>
      <c r="J12" s="390"/>
      <c r="K12" s="390"/>
      <c r="M12" s="361" t="s">
        <v>750</v>
      </c>
      <c r="V12" s="390"/>
      <c r="W12" s="390"/>
      <c r="X12" s="390"/>
      <c r="Y12" s="390"/>
      <c r="Z12" s="360"/>
      <c r="AA12" s="360"/>
      <c r="AB12" s="59"/>
      <c r="BN12" s="362"/>
    </row>
    <row r="13" spans="2:66" ht="17.25" customHeight="1" thickTop="1" thickBot="1">
      <c r="C13" s="385"/>
      <c r="D13" s="385"/>
      <c r="E13" s="370"/>
      <c r="F13" s="370"/>
      <c r="G13" s="370"/>
      <c r="H13" s="370"/>
      <c r="I13" s="370"/>
      <c r="J13" s="370"/>
      <c r="K13" s="370"/>
      <c r="L13" s="370"/>
      <c r="M13" s="370" t="s">
        <v>751</v>
      </c>
      <c r="N13" s="370"/>
      <c r="O13" s="370"/>
      <c r="P13" s="370"/>
      <c r="Q13" s="370"/>
      <c r="R13" s="370"/>
      <c r="S13" s="370"/>
      <c r="T13" s="370"/>
      <c r="U13" s="370"/>
      <c r="V13" s="370"/>
      <c r="W13" s="370"/>
      <c r="X13" s="370"/>
      <c r="Y13" s="370"/>
    </row>
    <row r="14" spans="2:66" ht="17.25" customHeight="1" thickBot="1">
      <c r="B14" s="373" t="s">
        <v>18</v>
      </c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428"/>
      <c r="N14" s="428"/>
      <c r="O14" s="428"/>
      <c r="P14" s="368"/>
      <c r="Q14" s="368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60"/>
    </row>
    <row r="15" spans="2:66" ht="15" customHeight="1">
      <c r="B15" s="361"/>
      <c r="C15" s="761" t="s">
        <v>165</v>
      </c>
      <c r="D15" s="762"/>
      <c r="E15" s="762"/>
      <c r="F15" s="762"/>
      <c r="G15" s="762"/>
      <c r="H15" s="762"/>
      <c r="I15" s="763"/>
      <c r="J15" s="594" t="s">
        <v>167</v>
      </c>
      <c r="K15" s="594"/>
      <c r="L15" s="594"/>
      <c r="M15" s="594"/>
      <c r="N15" s="594"/>
      <c r="O15" s="594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D15" s="386" t="s">
        <v>167</v>
      </c>
    </row>
    <row r="16" spans="2:66" ht="15" hidden="1" customHeight="1" thickTop="1" thickBot="1">
      <c r="C16" s="758" t="s">
        <v>127</v>
      </c>
      <c r="D16" s="759"/>
      <c r="E16" s="759"/>
      <c r="F16" s="759"/>
      <c r="G16" s="759"/>
      <c r="H16" s="759"/>
      <c r="I16" s="759"/>
      <c r="J16" s="597" cm="1">
        <f t="array" ref="J16">angleConvert2Decimal(M16)</f>
        <v>54.835000000000001</v>
      </c>
      <c r="K16" s="760"/>
      <c r="L16" s="760"/>
      <c r="M16" s="571" t="s">
        <v>815</v>
      </c>
      <c r="N16" s="594"/>
      <c r="O16" s="594"/>
      <c r="P16" s="570" t="str" cm="1">
        <f t="array" ref="P16">angleDecimal2Txt(J16)</f>
        <v>+54°50.10 (+54.8350) [+54°50'06.00]</v>
      </c>
      <c r="Q16" s="567"/>
      <c r="R16" s="567"/>
      <c r="S16" s="567"/>
      <c r="T16" s="567"/>
      <c r="U16" s="567"/>
      <c r="V16" s="567"/>
      <c r="W16" s="567"/>
      <c r="X16" s="567"/>
      <c r="Y16" s="370"/>
      <c r="AD16" s="386" t="s">
        <v>166</v>
      </c>
    </row>
    <row r="17" spans="2:34" ht="15" hidden="1" customHeight="1" thickTop="1" thickBot="1">
      <c r="C17" s="602" t="s">
        <v>371</v>
      </c>
      <c r="D17" s="602"/>
      <c r="E17" s="602"/>
      <c r="F17" s="602"/>
      <c r="G17" s="602"/>
      <c r="H17" s="602"/>
      <c r="I17" s="602"/>
      <c r="J17" s="572" cm="1">
        <f t="array" ref="J17">angleConvert2Decimal(M17)</f>
        <v>1.6666666666666666E-2</v>
      </c>
      <c r="K17" s="573"/>
      <c r="L17" s="574"/>
      <c r="M17" s="571" t="s">
        <v>826</v>
      </c>
      <c r="N17" s="571"/>
      <c r="O17" s="571"/>
      <c r="P17" s="570" t="str" cm="1">
        <f t="array" ref="P17">angleDecimal2Txt(J17)</f>
        <v>+00°01.00 (+00.0166) [+00°01'00.00]</v>
      </c>
      <c r="Q17" s="567"/>
      <c r="R17" s="567"/>
      <c r="S17" s="567"/>
      <c r="T17" s="567"/>
      <c r="U17" s="567"/>
      <c r="V17" s="567"/>
      <c r="W17" s="567"/>
      <c r="X17" s="567"/>
      <c r="Y17" s="370"/>
    </row>
    <row r="18" spans="2:34" ht="15" hidden="1" customHeight="1" thickTop="1" thickBot="1">
      <c r="C18" s="602" t="s">
        <v>135</v>
      </c>
      <c r="D18" s="602"/>
      <c r="E18" s="602"/>
      <c r="F18" s="602"/>
      <c r="G18" s="602"/>
      <c r="H18" s="602"/>
      <c r="I18" s="602"/>
      <c r="J18" s="564">
        <f>IF(J15=AD16,J16/2,J16)</f>
        <v>54.835000000000001</v>
      </c>
      <c r="K18" s="564"/>
      <c r="L18" s="564"/>
      <c r="M18" s="679">
        <f>J17/2</f>
        <v>8.3333333333333332E-3</v>
      </c>
      <c r="N18" s="679"/>
      <c r="O18" s="679"/>
      <c r="P18" s="768" t="str" cm="1">
        <f t="array" ref="P18">angleDecimal2Txt(J18)</f>
        <v>+54°50.10 (+54.8350) [+54°50'06.00]</v>
      </c>
      <c r="Q18" s="769"/>
      <c r="R18" s="769"/>
      <c r="S18" s="769"/>
      <c r="T18" s="770"/>
      <c r="U18" s="768" t="str" cm="1">
        <f t="array" ref="U18">angleDecimal2Txt(M18)</f>
        <v>+00°00.50 (+00.0083) [+00°00'30.00]</v>
      </c>
      <c r="V18" s="769"/>
      <c r="W18" s="769"/>
      <c r="X18" s="770"/>
      <c r="Y18" s="370"/>
    </row>
    <row r="19" spans="2:34" ht="15" customHeight="1" thickBot="1">
      <c r="C19" s="764" t="s">
        <v>19</v>
      </c>
      <c r="D19" s="764"/>
      <c r="E19" s="764"/>
      <c r="F19" s="764"/>
      <c r="G19" s="764"/>
      <c r="H19" s="764"/>
      <c r="I19" s="764"/>
      <c r="J19" s="755">
        <f>M19</f>
        <v>2</v>
      </c>
      <c r="K19" s="756"/>
      <c r="L19" s="757"/>
      <c r="M19" s="594">
        <v>2</v>
      </c>
      <c r="N19" s="594"/>
      <c r="O19" s="594"/>
      <c r="P19" s="370"/>
      <c r="Q19" s="370"/>
      <c r="R19" s="370"/>
      <c r="S19" s="370"/>
      <c r="T19" s="370"/>
      <c r="U19" s="370"/>
      <c r="V19" s="370"/>
      <c r="W19" s="370"/>
      <c r="X19" s="370"/>
      <c r="Y19" s="370"/>
    </row>
    <row r="20" spans="2:34" ht="15" customHeight="1" thickTop="1" thickBot="1">
      <c r="B20" s="370"/>
      <c r="C20" s="765" t="s">
        <v>517</v>
      </c>
      <c r="D20" s="766"/>
      <c r="E20" s="766"/>
      <c r="F20" s="766"/>
      <c r="G20" s="766"/>
      <c r="H20" s="766"/>
      <c r="I20" s="767"/>
      <c r="J20" s="572" cm="1">
        <f t="array" ref="J20">angleConvert2Decimal(M20)</f>
        <v>2.1666666666666667E-2</v>
      </c>
      <c r="K20" s="573"/>
      <c r="L20" s="573"/>
      <c r="M20" s="571" t="s">
        <v>924</v>
      </c>
      <c r="N20" s="594"/>
      <c r="O20" s="594"/>
      <c r="P20" s="567" t="str" cm="1">
        <f t="array" ref="P20">angleDecimal2Txt(J20)</f>
        <v>+00°01.30 (+00.0216) [+00°01'18.00]</v>
      </c>
      <c r="Q20" s="567"/>
      <c r="R20" s="567"/>
      <c r="S20" s="567"/>
      <c r="T20" s="567"/>
      <c r="U20" s="567"/>
      <c r="V20" s="567"/>
      <c r="W20" s="567"/>
      <c r="X20" s="567"/>
      <c r="Y20" s="370"/>
    </row>
    <row r="21" spans="2:34" ht="15" customHeight="1" thickTop="1" thickBot="1">
      <c r="C21" s="608" t="s">
        <v>26</v>
      </c>
      <c r="D21" s="608"/>
      <c r="E21" s="608"/>
      <c r="F21" s="608"/>
      <c r="G21" s="608"/>
      <c r="H21" s="608"/>
      <c r="I21" s="608"/>
      <c r="J21" s="572">
        <f>IF(J15=AD16,J18,angleConvert2Decimal(M21))</f>
        <v>54.835000000000001</v>
      </c>
      <c r="K21" s="573"/>
      <c r="L21" s="573"/>
      <c r="M21" s="571" t="s">
        <v>925</v>
      </c>
      <c r="N21" s="594"/>
      <c r="O21" s="594"/>
      <c r="P21" s="567" t="str" cm="1">
        <f t="array" ref="P21">angleDecimal2Txt(J21)</f>
        <v>+54°50.10 (+54.8350) [+54°50'06.00]</v>
      </c>
      <c r="Q21" s="567"/>
      <c r="R21" s="567"/>
      <c r="S21" s="567"/>
      <c r="T21" s="567"/>
      <c r="U21" s="567"/>
      <c r="V21" s="567"/>
      <c r="W21" s="567"/>
      <c r="X21" s="567"/>
      <c r="Y21" s="370"/>
    </row>
    <row r="22" spans="2:34" ht="15" customHeight="1" thickTop="1">
      <c r="C22" s="720" t="s">
        <v>30</v>
      </c>
      <c r="D22" s="720"/>
      <c r="E22" s="720"/>
      <c r="F22" s="720"/>
      <c r="G22" s="720"/>
      <c r="H22" s="720"/>
      <c r="I22" s="720"/>
      <c r="J22" s="685" t="str">
        <f>M22</f>
        <v>Soleil</v>
      </c>
      <c r="K22" s="686"/>
      <c r="L22" s="687"/>
      <c r="M22" s="609" t="s">
        <v>31</v>
      </c>
      <c r="N22" s="610"/>
      <c r="O22" s="611"/>
      <c r="P22" s="370"/>
      <c r="Q22" s="370"/>
      <c r="R22" s="370"/>
      <c r="S22" s="370"/>
      <c r="T22" s="370"/>
      <c r="U22" s="370"/>
      <c r="V22" s="370"/>
      <c r="W22" s="370"/>
      <c r="X22" s="370"/>
      <c r="Y22" s="370"/>
      <c r="AG22" s="360"/>
      <c r="AH22" s="360"/>
    </row>
    <row r="23" spans="2:34" ht="15" customHeight="1">
      <c r="C23" s="748" t="s">
        <v>56</v>
      </c>
      <c r="D23" s="748"/>
      <c r="E23" s="748"/>
      <c r="F23" s="748"/>
      <c r="G23" s="748"/>
      <c r="H23" s="748"/>
      <c r="I23" s="748"/>
      <c r="J23" s="595" t="str">
        <f>M23</f>
        <v>BordInf</v>
      </c>
      <c r="K23" s="595"/>
      <c r="L23" s="595"/>
      <c r="M23" s="594" t="s">
        <v>57</v>
      </c>
      <c r="N23" s="594"/>
      <c r="O23" s="594"/>
      <c r="P23" s="370"/>
      <c r="Q23" s="370"/>
      <c r="R23" s="370"/>
      <c r="S23" s="370"/>
      <c r="T23" s="370"/>
      <c r="U23" s="370"/>
      <c r="V23" s="370"/>
      <c r="W23" s="370"/>
      <c r="X23" s="370"/>
      <c r="Y23" s="370"/>
      <c r="AG23" s="360"/>
      <c r="AH23" s="360"/>
    </row>
    <row r="24" spans="2:34" ht="15" customHeight="1" thickBot="1">
      <c r="C24" s="731" t="s">
        <v>151</v>
      </c>
      <c r="D24" s="732"/>
      <c r="E24" s="732"/>
      <c r="F24" s="740" t="s">
        <v>152</v>
      </c>
      <c r="G24" s="740"/>
      <c r="H24" s="740"/>
      <c r="I24" s="741"/>
      <c r="J24" s="625" cm="1">
        <f t="array" ref="J24">angleConvert2Decimal(M24)</f>
        <v>2.8833333333333302E-3</v>
      </c>
      <c r="K24" s="626"/>
      <c r="L24" s="627"/>
      <c r="M24" s="737">
        <f>P25</f>
        <v>2.8833333333333302E-3</v>
      </c>
      <c r="N24" s="737"/>
      <c r="O24" s="737"/>
      <c r="P24" s="622" t="s">
        <v>97</v>
      </c>
      <c r="Q24" s="623"/>
      <c r="R24" s="624"/>
      <c r="S24" s="370"/>
      <c r="T24" s="370"/>
      <c r="U24" s="370"/>
      <c r="V24" s="370"/>
      <c r="W24" s="370"/>
      <c r="X24" s="370"/>
      <c r="Y24" s="370"/>
      <c r="AG24" s="360"/>
      <c r="AH24" s="360"/>
    </row>
    <row r="25" spans="2:34" ht="15" customHeight="1" thickTop="1" thickBot="1">
      <c r="C25" s="733"/>
      <c r="D25" s="734"/>
      <c r="E25" s="734"/>
      <c r="F25" s="742"/>
      <c r="G25" s="742"/>
      <c r="H25" s="742"/>
      <c r="I25" s="743"/>
      <c r="J25" s="628"/>
      <c r="K25" s="629"/>
      <c r="L25" s="630"/>
      <c r="M25" s="737"/>
      <c r="N25" s="737"/>
      <c r="O25" s="737"/>
      <c r="P25" s="747" cm="1">
        <f t="array" ref="P25">astroHPSoleilEnDegre()</f>
        <v>2.8833333333333302E-3</v>
      </c>
      <c r="Q25" s="747"/>
      <c r="R25" s="747"/>
      <c r="S25" s="680" t="str" cm="1">
        <f t="array" ref="S25">angleDecimal2Txt(angleConvert2Decimal(P25))</f>
        <v>+00°00.17 (+00.0028) [+00°00'10.37]</v>
      </c>
      <c r="T25" s="680"/>
      <c r="U25" s="680"/>
      <c r="V25" s="680"/>
      <c r="W25" s="680"/>
      <c r="X25" s="681"/>
      <c r="Y25" s="370"/>
    </row>
    <row r="26" spans="2:34" ht="15" customHeight="1" thickTop="1" thickBot="1">
      <c r="C26" s="735"/>
      <c r="D26" s="736"/>
      <c r="E26" s="736"/>
      <c r="F26" s="744"/>
      <c r="G26" s="744"/>
      <c r="H26" s="744"/>
      <c r="I26" s="745"/>
      <c r="J26" s="631"/>
      <c r="K26" s="632"/>
      <c r="L26" s="633"/>
      <c r="M26" s="737"/>
      <c r="N26" s="737"/>
      <c r="O26" s="737"/>
      <c r="P26" s="593" t="str" cm="1">
        <f t="array" ref="P26">angleDecimal2Txt(J24)</f>
        <v>+00°00.17 (+00.0028) [+00°00'10.37]</v>
      </c>
      <c r="Q26" s="593"/>
      <c r="R26" s="593"/>
      <c r="S26" s="567"/>
      <c r="T26" s="567"/>
      <c r="U26" s="567"/>
      <c r="V26" s="567"/>
      <c r="W26" s="567"/>
      <c r="X26" s="567"/>
      <c r="Y26" s="370"/>
      <c r="AC26" s="387" t="s">
        <v>98</v>
      </c>
      <c r="AD26" s="388" t="s">
        <v>57</v>
      </c>
      <c r="AE26" s="388" t="s">
        <v>188</v>
      </c>
      <c r="AF26" s="388" t="s">
        <v>58</v>
      </c>
    </row>
    <row r="27" spans="2:34" ht="15" customHeight="1" thickTop="1" thickBot="1">
      <c r="C27" s="613" t="s">
        <v>100</v>
      </c>
      <c r="D27" s="614"/>
      <c r="E27" s="614"/>
      <c r="F27" s="614"/>
      <c r="G27" s="614"/>
      <c r="H27" s="614"/>
      <c r="I27" s="615"/>
      <c r="J27" s="625" cm="1">
        <f t="array" ref="J27">angleConvert2Decimal(M27)</f>
        <v>0.52666666699999998</v>
      </c>
      <c r="K27" s="626"/>
      <c r="L27" s="627"/>
      <c r="M27" s="737">
        <f>P28</f>
        <v>0.52666666699999998</v>
      </c>
      <c r="N27" s="737"/>
      <c r="O27" s="737"/>
      <c r="P27" s="723" t="s">
        <v>97</v>
      </c>
      <c r="Q27" s="724"/>
      <c r="R27" s="725"/>
      <c r="S27" s="370"/>
      <c r="T27" s="370"/>
      <c r="U27" s="370"/>
      <c r="V27" s="370"/>
      <c r="W27" s="370"/>
      <c r="X27" s="370"/>
      <c r="Y27" s="370"/>
    </row>
    <row r="28" spans="2:34" ht="15" customHeight="1" thickTop="1" thickBot="1">
      <c r="C28" s="616"/>
      <c r="D28" s="617"/>
      <c r="E28" s="617"/>
      <c r="F28" s="617"/>
      <c r="G28" s="617"/>
      <c r="H28" s="617"/>
      <c r="I28" s="618"/>
      <c r="J28" s="628"/>
      <c r="K28" s="629"/>
      <c r="L28" s="630"/>
      <c r="M28" s="737"/>
      <c r="N28" s="737"/>
      <c r="O28" s="737"/>
      <c r="P28" s="747" cm="1">
        <f t="array" ref="P28">astroDiametreSoleilEnDegre(AA7)</f>
        <v>0.52666666699999998</v>
      </c>
      <c r="Q28" s="747"/>
      <c r="R28" s="747"/>
      <c r="S28" s="680" t="str" cm="1">
        <f t="array" ref="S28">angleDecimal2Txt(angleConvert2Decimal(P28))</f>
        <v>+00°31.60 (+00.5266) [+00°31'36.00]</v>
      </c>
      <c r="T28" s="680"/>
      <c r="U28" s="680"/>
      <c r="V28" s="680"/>
      <c r="W28" s="680"/>
      <c r="X28" s="681"/>
      <c r="Y28" s="370"/>
    </row>
    <row r="29" spans="2:34" ht="15" customHeight="1" thickTop="1" thickBot="1">
      <c r="C29" s="619"/>
      <c r="D29" s="620"/>
      <c r="E29" s="620"/>
      <c r="F29" s="620"/>
      <c r="G29" s="620"/>
      <c r="H29" s="620"/>
      <c r="I29" s="621"/>
      <c r="J29" s="631"/>
      <c r="K29" s="632"/>
      <c r="L29" s="633"/>
      <c r="M29" s="737"/>
      <c r="N29" s="737"/>
      <c r="O29" s="737"/>
      <c r="P29" s="593" t="str" cm="1">
        <f t="array" ref="P29">angleDecimal2Txt(J27)</f>
        <v>+00°31.60 (+00.5266) [+00°31'36.00]</v>
      </c>
      <c r="Q29" s="593"/>
      <c r="R29" s="593"/>
      <c r="S29" s="567"/>
      <c r="T29" s="567"/>
      <c r="U29" s="567"/>
      <c r="V29" s="567"/>
      <c r="W29" s="567"/>
      <c r="X29" s="567"/>
      <c r="Y29" s="370"/>
    </row>
    <row r="30" spans="2:34" ht="17.25" customHeight="1" thickTop="1" thickBot="1"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0"/>
      <c r="R30" s="370"/>
      <c r="S30" s="370"/>
      <c r="T30" s="370"/>
      <c r="U30" s="370"/>
      <c r="V30" s="370"/>
      <c r="W30" s="370"/>
      <c r="X30" s="370"/>
      <c r="Y30" s="370"/>
    </row>
    <row r="31" spans="2:34" ht="17.25" customHeight="1" thickBot="1">
      <c r="B31" s="373" t="s">
        <v>198</v>
      </c>
      <c r="C31" s="368"/>
      <c r="D31" s="368"/>
      <c r="E31" s="368"/>
      <c r="F31" s="368"/>
      <c r="G31" s="368"/>
      <c r="H31" s="368"/>
      <c r="I31" s="368"/>
      <c r="J31" s="368"/>
      <c r="K31" s="368"/>
      <c r="L31" s="368"/>
      <c r="M31" s="368"/>
      <c r="N31" s="368"/>
      <c r="O31" s="368"/>
      <c r="P31" s="368"/>
      <c r="Q31" s="368"/>
      <c r="R31" s="368"/>
      <c r="S31" s="368"/>
      <c r="T31" s="368"/>
      <c r="U31" s="368"/>
      <c r="V31" s="368"/>
      <c r="W31" s="368"/>
      <c r="X31" s="368"/>
      <c r="Y31" s="368"/>
      <c r="Z31" s="368"/>
      <c r="AA31" s="368"/>
      <c r="AB31" s="60"/>
    </row>
    <row r="32" spans="2:34" ht="17.25" customHeight="1" thickTop="1" thickBot="1">
      <c r="C32" s="746" t="s">
        <v>7</v>
      </c>
      <c r="D32" s="746"/>
      <c r="E32" s="746"/>
      <c r="F32" s="746"/>
      <c r="G32" s="729">
        <f>AD33</f>
        <v>46.1</v>
      </c>
      <c r="H32" s="730"/>
      <c r="I32" s="730"/>
      <c r="J32" s="575" t="s">
        <v>3</v>
      </c>
      <c r="K32" s="604" t="s">
        <v>268</v>
      </c>
      <c r="L32" s="575"/>
      <c r="M32" s="575"/>
      <c r="N32" s="575"/>
      <c r="O32" s="575"/>
      <c r="P32" s="591" t="str" cm="1">
        <f t="array" ref="P32">latitudeDecimal2Txt(G32)</f>
        <v>N 46°06.00 (N 46.1000) [N 46°06'00.00]</v>
      </c>
      <c r="Q32" s="591"/>
      <c r="R32" s="591"/>
      <c r="S32" s="591"/>
      <c r="T32" s="591"/>
      <c r="U32" s="591"/>
      <c r="V32" s="591"/>
      <c r="W32" s="591"/>
      <c r="X32" s="591"/>
      <c r="Y32" s="591"/>
      <c r="AC32" s="3" t="s">
        <v>168</v>
      </c>
      <c r="AD32" s="3">
        <f>VLOOKUP(J32,Outils!$C$9:$E$10,3)</f>
        <v>1</v>
      </c>
    </row>
    <row r="33" spans="1:66" ht="17.25" customHeight="1" thickTop="1" thickBot="1">
      <c r="A33" s="923" t="s">
        <v>129</v>
      </c>
      <c r="B33" s="429" t="s">
        <v>130</v>
      </c>
      <c r="C33" s="746"/>
      <c r="D33" s="746"/>
      <c r="E33" s="746"/>
      <c r="F33" s="746"/>
      <c r="G33" s="730"/>
      <c r="H33" s="730"/>
      <c r="I33" s="730"/>
      <c r="J33" s="575"/>
      <c r="K33" s="575"/>
      <c r="L33" s="575"/>
      <c r="M33" s="575"/>
      <c r="N33" s="575"/>
      <c r="O33" s="575"/>
      <c r="P33" s="591"/>
      <c r="Q33" s="591"/>
      <c r="R33" s="591"/>
      <c r="S33" s="591"/>
      <c r="T33" s="591"/>
      <c r="U33" s="591"/>
      <c r="V33" s="591"/>
      <c r="W33" s="591"/>
      <c r="X33" s="591"/>
      <c r="Y33" s="591"/>
      <c r="AC33" s="3" t="s">
        <v>169</v>
      </c>
      <c r="AD33" s="3" cm="1">
        <f t="array" ref="AD33">angleConvert2Decimal(K32)*AD32</f>
        <v>46.1</v>
      </c>
    </row>
    <row r="34" spans="1:66" ht="17.25" customHeight="1" thickTop="1" thickBot="1">
      <c r="A34" s="923"/>
      <c r="B34" s="429" t="s">
        <v>138</v>
      </c>
      <c r="C34" s="738" t="s">
        <v>8</v>
      </c>
      <c r="D34" s="738"/>
      <c r="E34" s="738"/>
      <c r="F34" s="738"/>
      <c r="G34" s="729">
        <f>AD35</f>
        <v>-7.083333333333333</v>
      </c>
      <c r="H34" s="730"/>
      <c r="I34" s="730"/>
      <c r="J34" s="575" t="s">
        <v>6</v>
      </c>
      <c r="K34" s="604" t="s">
        <v>926</v>
      </c>
      <c r="L34" s="575"/>
      <c r="M34" s="575"/>
      <c r="N34" s="575"/>
      <c r="O34" s="575"/>
      <c r="P34" s="591" t="str" cm="1">
        <f t="array" ref="P34">longitudeDecimal2Txt(G34)</f>
        <v>W 07°05.00 (W 07.0833) [W 07°05'00.00]</v>
      </c>
      <c r="Q34" s="591"/>
      <c r="R34" s="591"/>
      <c r="S34" s="591"/>
      <c r="T34" s="591"/>
      <c r="U34" s="591"/>
      <c r="V34" s="591"/>
      <c r="W34" s="591"/>
      <c r="X34" s="591"/>
      <c r="Y34" s="591"/>
      <c r="Z34" s="370"/>
      <c r="AC34" s="3" t="s">
        <v>170</v>
      </c>
      <c r="AD34" s="3">
        <f>VLOOKUP(J34,Outils!$D$9:$E$10,2)</f>
        <v>-1</v>
      </c>
      <c r="BN34" s="372"/>
    </row>
    <row r="35" spans="1:66" ht="17.25" customHeight="1" thickTop="1" thickBot="1">
      <c r="C35" s="738"/>
      <c r="D35" s="738"/>
      <c r="E35" s="738"/>
      <c r="F35" s="738"/>
      <c r="G35" s="730"/>
      <c r="H35" s="730"/>
      <c r="I35" s="730"/>
      <c r="J35" s="575"/>
      <c r="K35" s="575"/>
      <c r="L35" s="575"/>
      <c r="M35" s="575"/>
      <c r="N35" s="575"/>
      <c r="O35" s="575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370"/>
      <c r="AC35" s="3" t="s">
        <v>171</v>
      </c>
      <c r="AD35" s="3" cm="1">
        <f t="array" ref="AD35">angleConvert2Decimal(K34)*AD34</f>
        <v>-7.083333333333333</v>
      </c>
      <c r="BN35" s="372"/>
    </row>
    <row r="36" spans="1:66" ht="17.25" customHeight="1" thickTop="1">
      <c r="B36" s="370"/>
      <c r="C36" s="360"/>
      <c r="D36" s="370"/>
      <c r="E36" s="370"/>
      <c r="F36" s="370"/>
      <c r="G36" s="370"/>
      <c r="H36" s="370"/>
      <c r="AG36" s="360"/>
      <c r="AH36" s="360"/>
      <c r="AI36" s="360"/>
      <c r="AJ36" s="360"/>
      <c r="AK36" s="360"/>
      <c r="AL36" s="360"/>
      <c r="AM36" s="360"/>
      <c r="AN36" s="360"/>
      <c r="AO36" s="360"/>
      <c r="AP36" s="360"/>
      <c r="AQ36" s="360"/>
      <c r="AR36" s="360"/>
      <c r="AS36" s="360"/>
      <c r="AT36" s="360"/>
      <c r="AU36" s="360"/>
      <c r="AV36" s="360"/>
      <c r="AW36" s="360"/>
      <c r="AX36" s="360"/>
      <c r="AY36" s="360"/>
      <c r="AZ36" s="360"/>
      <c r="BN36" s="372"/>
    </row>
    <row r="37" spans="1:66" ht="17.25" customHeight="1" thickBot="1">
      <c r="AG37" s="360"/>
      <c r="AH37" s="360"/>
      <c r="AI37" s="360"/>
      <c r="AJ37" s="360"/>
      <c r="AK37" s="360"/>
      <c r="AL37" s="360"/>
      <c r="AM37" s="360"/>
      <c r="AN37" s="360"/>
      <c r="AO37" s="360"/>
      <c r="AP37" s="360"/>
      <c r="AQ37" s="360"/>
      <c r="AR37" s="360"/>
      <c r="AS37" s="360"/>
      <c r="AT37" s="360"/>
      <c r="AU37" s="360"/>
      <c r="AV37" s="360"/>
      <c r="AW37" s="360"/>
      <c r="AX37" s="360"/>
      <c r="AY37" s="360"/>
      <c r="AZ37" s="360"/>
    </row>
    <row r="38" spans="1:66" ht="17.25" customHeight="1" thickBot="1">
      <c r="B38" s="373" t="s">
        <v>9</v>
      </c>
      <c r="C38" s="428"/>
      <c r="D38" s="428"/>
      <c r="E38" s="428"/>
      <c r="F38" s="603">
        <f>IF(G39=AD39,D42,IF(G39=AD38,D55,D49))</f>
        <v>23.139085185185188</v>
      </c>
      <c r="G38" s="612"/>
      <c r="H38" s="612"/>
      <c r="I38" s="368"/>
      <c r="J38" s="368"/>
      <c r="K38" s="368" t="str" cm="1">
        <f t="array" ref="K38">latitudeDecimal2Txt(F38)</f>
        <v>N 23°08.34 (N 23.1390) [N 23°08'20.70]</v>
      </c>
      <c r="L38" s="368"/>
      <c r="M38" s="368"/>
      <c r="N38" s="368"/>
      <c r="O38" s="368"/>
      <c r="P38" s="368"/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368"/>
      <c r="AB38" s="62"/>
      <c r="AD38" s="386" t="s">
        <v>512</v>
      </c>
      <c r="AG38" s="360"/>
      <c r="AH38" s="360"/>
      <c r="AI38" s="360"/>
      <c r="AJ38" s="360"/>
      <c r="AK38" s="360"/>
      <c r="AL38" s="360"/>
      <c r="AM38" s="360"/>
      <c r="AN38" s="360"/>
      <c r="AO38" s="360"/>
      <c r="AP38" s="360"/>
      <c r="AQ38" s="360"/>
      <c r="AR38" s="360"/>
      <c r="AS38" s="360"/>
      <c r="AT38" s="360"/>
      <c r="AU38" s="360"/>
      <c r="AV38" s="360"/>
      <c r="AW38" s="360"/>
      <c r="AX38" s="360"/>
      <c r="AY38" s="360"/>
      <c r="AZ38" s="360"/>
    </row>
    <row r="39" spans="1:66" s="389" customFormat="1" ht="17.25" customHeight="1">
      <c r="C39" s="675" t="s">
        <v>35</v>
      </c>
      <c r="D39" s="675"/>
      <c r="E39" s="675"/>
      <c r="F39" s="675"/>
      <c r="G39" s="678" t="s">
        <v>14</v>
      </c>
      <c r="H39" s="678"/>
      <c r="I39" s="678"/>
      <c r="AB39" s="63"/>
      <c r="AC39" s="789" t="s">
        <v>36</v>
      </c>
      <c r="AD39" s="386" t="s">
        <v>10</v>
      </c>
      <c r="AE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</row>
    <row r="40" spans="1:66" ht="17.25" hidden="1" customHeight="1">
      <c r="C40" s="924" t="s">
        <v>10</v>
      </c>
      <c r="D40" s="926" t="s">
        <v>9</v>
      </c>
      <c r="E40" s="634"/>
      <c r="F40" s="634"/>
      <c r="G40" s="634"/>
      <c r="H40" s="634"/>
      <c r="I40" s="577" t="s">
        <v>575</v>
      </c>
      <c r="J40" s="665"/>
      <c r="K40" s="577" t="s">
        <v>13</v>
      </c>
      <c r="L40" s="578"/>
      <c r="M40" s="579"/>
      <c r="N40" s="583" t="s">
        <v>15</v>
      </c>
      <c r="O40" s="583"/>
      <c r="P40" s="583"/>
      <c r="Q40" s="583"/>
      <c r="R40" s="583"/>
      <c r="S40" s="370"/>
      <c r="AC40" s="789"/>
      <c r="AD40" s="386" t="s">
        <v>14</v>
      </c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0"/>
      <c r="AR40" s="360"/>
      <c r="AS40" s="360"/>
      <c r="AT40" s="360"/>
      <c r="AU40" s="360"/>
      <c r="AV40" s="360"/>
      <c r="AW40" s="360"/>
      <c r="AX40" s="360"/>
      <c r="AY40" s="360"/>
      <c r="AZ40" s="360"/>
    </row>
    <row r="41" spans="1:66" ht="17.25" hidden="1" customHeight="1" thickBot="1">
      <c r="C41" s="924"/>
      <c r="D41" s="926"/>
      <c r="E41" s="634"/>
      <c r="F41" s="634"/>
      <c r="G41" s="634"/>
      <c r="H41" s="634"/>
      <c r="I41" s="668"/>
      <c r="J41" s="669"/>
      <c r="K41" s="580"/>
      <c r="L41" s="581"/>
      <c r="M41" s="582"/>
      <c r="N41" s="583"/>
      <c r="O41" s="583"/>
      <c r="P41" s="583"/>
      <c r="Q41" s="583"/>
      <c r="R41" s="583"/>
      <c r="S41" s="370"/>
      <c r="AD41" s="69" t="s">
        <v>73</v>
      </c>
      <c r="AE41" s="3" t="s">
        <v>180</v>
      </c>
      <c r="AG41" s="360"/>
      <c r="AH41" s="360"/>
      <c r="AI41" s="360"/>
      <c r="AJ41" s="360"/>
      <c r="AK41" s="360"/>
      <c r="AL41" s="360"/>
      <c r="AM41" s="360"/>
      <c r="AN41" s="360"/>
      <c r="AO41" s="360"/>
      <c r="AP41" s="360"/>
      <c r="AQ41" s="360"/>
      <c r="AR41" s="360"/>
      <c r="AS41" s="360"/>
      <c r="AT41" s="360"/>
      <c r="AU41" s="360"/>
      <c r="AV41" s="360"/>
      <c r="AW41" s="360"/>
      <c r="AX41" s="360"/>
      <c r="AY41" s="360"/>
      <c r="AZ41" s="360"/>
    </row>
    <row r="42" spans="1:66" ht="17.25" hidden="1" customHeight="1" thickTop="1" thickBot="1">
      <c r="C42" s="924"/>
      <c r="D42" s="626" t="str">
        <f>IF(G39=AD39,AD47,"---")</f>
        <v>---</v>
      </c>
      <c r="E42" s="626"/>
      <c r="F42" s="626"/>
      <c r="G42" s="626"/>
      <c r="H42" s="627"/>
      <c r="I42" s="704">
        <f>E11</f>
        <v>10.343055555555557</v>
      </c>
      <c r="J42" s="705"/>
      <c r="K42" s="604">
        <v>14</v>
      </c>
      <c r="L42" s="604"/>
      <c r="M42" s="604"/>
      <c r="N42" s="575" t="s">
        <v>3</v>
      </c>
      <c r="O42" s="584" t="s">
        <v>880</v>
      </c>
      <c r="P42" s="585"/>
      <c r="Q42" s="585"/>
      <c r="R42" s="585"/>
      <c r="S42" s="591" t="str" cm="1">
        <f t="array" ref="S42">angleDecimal2Txt(AE42)</f>
        <v>+23°07.79 (+23.1299) [+23°07'48.00]</v>
      </c>
      <c r="T42" s="592"/>
      <c r="U42" s="592"/>
      <c r="V42" s="592"/>
      <c r="W42" s="592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23.13</v>
      </c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</row>
    <row r="43" spans="1:66" ht="17.25" hidden="1" customHeight="1" thickTop="1" thickBot="1">
      <c r="C43" s="924"/>
      <c r="D43" s="629"/>
      <c r="E43" s="629"/>
      <c r="F43" s="629"/>
      <c r="G43" s="629"/>
      <c r="H43" s="630"/>
      <c r="I43" s="809"/>
      <c r="J43" s="925"/>
      <c r="K43" s="604"/>
      <c r="L43" s="604"/>
      <c r="M43" s="604"/>
      <c r="N43" s="575"/>
      <c r="O43" s="585"/>
      <c r="P43" s="585"/>
      <c r="Q43" s="585"/>
      <c r="R43" s="585"/>
      <c r="S43" s="592"/>
      <c r="T43" s="592"/>
      <c r="U43" s="592"/>
      <c r="V43" s="592"/>
      <c r="W43" s="592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23.128333333333334</v>
      </c>
      <c r="AG43" s="360"/>
      <c r="AH43" s="360"/>
      <c r="AI43" s="360"/>
      <c r="AJ43" s="360"/>
      <c r="AK43" s="360"/>
      <c r="AL43" s="360"/>
      <c r="AM43" s="360"/>
      <c r="AN43" s="360"/>
      <c r="AO43" s="360"/>
      <c r="AP43" s="360"/>
      <c r="AQ43" s="360"/>
      <c r="AR43" s="360"/>
      <c r="AS43" s="360"/>
      <c r="AT43" s="360"/>
      <c r="AU43" s="360"/>
      <c r="AV43" s="360"/>
      <c r="AW43" s="360"/>
      <c r="AX43" s="360"/>
      <c r="AY43" s="360"/>
      <c r="AZ43" s="360"/>
    </row>
    <row r="44" spans="1:66" ht="17.25" hidden="1" customHeight="1" thickTop="1" thickBot="1">
      <c r="C44" s="924"/>
      <c r="D44" s="629"/>
      <c r="E44" s="629"/>
      <c r="F44" s="629"/>
      <c r="G44" s="629"/>
      <c r="H44" s="630"/>
      <c r="I44" s="809"/>
      <c r="J44" s="925"/>
      <c r="K44" s="604">
        <v>15</v>
      </c>
      <c r="L44" s="604"/>
      <c r="M44" s="604"/>
      <c r="N44" s="575" t="s">
        <v>3</v>
      </c>
      <c r="O44" s="584" t="s">
        <v>881</v>
      </c>
      <c r="P44" s="585"/>
      <c r="Q44" s="585"/>
      <c r="R44" s="585"/>
      <c r="S44" s="591" t="str" cm="1">
        <f t="array" ref="S44">angleDecimal2Txt((AE43))</f>
        <v>+23°07.70 (+23.1283) [+23°07'42.00]</v>
      </c>
      <c r="T44" s="592"/>
      <c r="U44" s="592"/>
      <c r="V44" s="592"/>
      <c r="W44" s="592"/>
      <c r="AC44" s="3" t="s">
        <v>38</v>
      </c>
      <c r="AD44" s="5">
        <f>AE43-AE42</f>
        <v>-1.6666666666651508E-3</v>
      </c>
    </row>
    <row r="45" spans="1:66" ht="17.25" hidden="1" customHeight="1" thickTop="1" thickBot="1">
      <c r="C45" s="924"/>
      <c r="D45" s="636" t="e" cm="1">
        <f t="array" ref="D45">latitudeDecimal2Txt(D42)</f>
        <v>#VALUE!</v>
      </c>
      <c r="E45" s="565"/>
      <c r="F45" s="565"/>
      <c r="G45" s="565"/>
      <c r="H45" s="565"/>
      <c r="I45" s="706"/>
      <c r="J45" s="707"/>
      <c r="K45" s="604"/>
      <c r="L45" s="604"/>
      <c r="M45" s="604"/>
      <c r="N45" s="575"/>
      <c r="O45" s="585"/>
      <c r="P45" s="585"/>
      <c r="Q45" s="585"/>
      <c r="R45" s="585"/>
      <c r="S45" s="592"/>
      <c r="T45" s="592"/>
      <c r="U45" s="592"/>
      <c r="V45" s="592"/>
      <c r="W45" s="592"/>
      <c r="AC45" s="3" t="s">
        <v>174</v>
      </c>
      <c r="AD45" s="5">
        <f>K44-K42</f>
        <v>1</v>
      </c>
      <c r="AE45" s="360"/>
      <c r="AF45" s="360"/>
      <c r="AG45" s="360"/>
      <c r="AH45" s="360"/>
    </row>
    <row r="46" spans="1:66" ht="17.25" hidden="1" customHeight="1" thickTop="1">
      <c r="F46" s="360"/>
      <c r="G46" s="360"/>
      <c r="AC46" s="3" t="s">
        <v>39</v>
      </c>
      <c r="AD46" s="5">
        <f>I42-K42</f>
        <v>-3.6569444444444432</v>
      </c>
      <c r="AG46" s="360"/>
      <c r="AH46" s="360"/>
      <c r="AI46" s="360"/>
      <c r="AJ46" s="360"/>
      <c r="AK46" s="360"/>
      <c r="AL46" s="360"/>
      <c r="AM46" s="360"/>
      <c r="AN46" s="360"/>
      <c r="AO46" s="360"/>
      <c r="AP46" s="360"/>
      <c r="AQ46" s="360"/>
      <c r="AR46" s="360"/>
      <c r="AS46" s="360"/>
      <c r="AT46" s="360"/>
      <c r="AU46" s="360"/>
      <c r="AV46" s="360"/>
      <c r="AW46" s="360"/>
      <c r="AX46" s="360"/>
      <c r="AY46" s="360"/>
      <c r="AZ46" s="360"/>
    </row>
    <row r="47" spans="1:66" ht="17.25" customHeight="1">
      <c r="C47" s="726" t="s">
        <v>14</v>
      </c>
      <c r="D47" s="634" t="s">
        <v>9</v>
      </c>
      <c r="E47" s="634"/>
      <c r="F47" s="634"/>
      <c r="G47" s="634"/>
      <c r="H47" s="634"/>
      <c r="I47" s="577" t="s">
        <v>575</v>
      </c>
      <c r="J47" s="665"/>
      <c r="K47" s="577" t="s">
        <v>569</v>
      </c>
      <c r="L47" s="578"/>
      <c r="M47" s="579"/>
      <c r="N47" s="583" t="s">
        <v>16</v>
      </c>
      <c r="O47" s="583"/>
      <c r="P47" s="583"/>
      <c r="Q47" s="583"/>
      <c r="R47" s="583"/>
      <c r="S47" s="583" t="s">
        <v>131</v>
      </c>
      <c r="T47" s="583"/>
      <c r="U47" s="583"/>
      <c r="V47" s="583"/>
      <c r="W47" s="583"/>
      <c r="AA47" s="370"/>
      <c r="AC47" s="3" t="s">
        <v>37</v>
      </c>
      <c r="AD47" s="3">
        <f>AE42+(AD44/AD45)*AD46</f>
        <v>23.136094907407401</v>
      </c>
      <c r="AG47" s="360"/>
      <c r="AH47" s="360"/>
      <c r="AI47" s="360"/>
      <c r="AJ47" s="360"/>
      <c r="AK47" s="360"/>
      <c r="AL47" s="360"/>
      <c r="AM47" s="360"/>
      <c r="AN47" s="360"/>
      <c r="AO47" s="360"/>
      <c r="AP47" s="360"/>
      <c r="AQ47" s="360"/>
      <c r="AR47" s="360"/>
      <c r="AS47" s="360"/>
      <c r="AT47" s="360"/>
      <c r="AU47" s="360"/>
      <c r="AV47" s="360"/>
      <c r="AW47" s="360"/>
      <c r="AX47" s="360"/>
      <c r="AY47" s="360"/>
      <c r="AZ47" s="360"/>
    </row>
    <row r="48" spans="1:66" ht="17.25" customHeight="1">
      <c r="C48" s="726"/>
      <c r="D48" s="634"/>
      <c r="E48" s="634"/>
      <c r="F48" s="634"/>
      <c r="G48" s="634"/>
      <c r="H48" s="634"/>
      <c r="I48" s="668"/>
      <c r="J48" s="669"/>
      <c r="K48" s="580"/>
      <c r="L48" s="581"/>
      <c r="M48" s="582"/>
      <c r="N48" s="583"/>
      <c r="O48" s="583"/>
      <c r="P48" s="583"/>
      <c r="Q48" s="583"/>
      <c r="R48" s="583"/>
      <c r="S48" s="583"/>
      <c r="T48" s="583"/>
      <c r="U48" s="583"/>
      <c r="V48" s="583"/>
      <c r="W48" s="583"/>
      <c r="AA48" s="370"/>
      <c r="AF48" s="360"/>
      <c r="AG48" s="360"/>
      <c r="AH48" s="360"/>
      <c r="AI48" s="360"/>
      <c r="AJ48" s="360"/>
      <c r="AK48" s="360"/>
      <c r="AL48" s="360"/>
      <c r="AM48" s="360"/>
      <c r="AN48" s="360"/>
      <c r="AO48" s="360"/>
      <c r="AP48" s="360"/>
      <c r="AQ48" s="360"/>
      <c r="AR48" s="360"/>
      <c r="AS48" s="360"/>
      <c r="AT48" s="360"/>
      <c r="AU48" s="360"/>
      <c r="AV48" s="360"/>
      <c r="AW48" s="360"/>
      <c r="AX48" s="360"/>
      <c r="AY48" s="360"/>
      <c r="AZ48" s="360"/>
    </row>
    <row r="49" spans="1:52" ht="17.25" customHeight="1">
      <c r="C49" s="726"/>
      <c r="D49" s="626">
        <f>IF(G39=AD40,AD53,"---")</f>
        <v>23.139085185185188</v>
      </c>
      <c r="E49" s="626"/>
      <c r="F49" s="626"/>
      <c r="G49" s="626"/>
      <c r="H49" s="626"/>
      <c r="I49" s="586">
        <f>E11</f>
        <v>10.343055555555557</v>
      </c>
      <c r="J49" s="586"/>
      <c r="K49" s="575">
        <v>0</v>
      </c>
      <c r="L49" s="575"/>
      <c r="M49" s="575"/>
      <c r="N49" s="575" t="s">
        <v>3</v>
      </c>
      <c r="O49" s="604" t="s">
        <v>831</v>
      </c>
      <c r="P49" s="575"/>
      <c r="Q49" s="575"/>
      <c r="R49" s="575"/>
      <c r="S49" s="575" t="s">
        <v>4</v>
      </c>
      <c r="T49" s="604" t="s">
        <v>882</v>
      </c>
      <c r="U49" s="575"/>
      <c r="V49" s="575"/>
      <c r="W49" s="575"/>
      <c r="AA49" s="370"/>
      <c r="AC49" s="3" t="s">
        <v>175</v>
      </c>
      <c r="AD49" s="3">
        <f>VLOOKUP(N49,Outils!$C$9:$E$10,3)</f>
        <v>1</v>
      </c>
      <c r="AF49" s="360"/>
      <c r="AG49" s="360"/>
      <c r="AH49" s="360"/>
      <c r="AI49" s="360"/>
      <c r="AJ49" s="360"/>
      <c r="AK49" s="360"/>
      <c r="AL49" s="360"/>
      <c r="AM49" s="360"/>
      <c r="AN49" s="360"/>
      <c r="AO49" s="360"/>
      <c r="AP49" s="360"/>
      <c r="AQ49" s="360"/>
      <c r="AR49" s="360"/>
      <c r="AS49" s="360"/>
      <c r="AT49" s="360"/>
      <c r="AU49" s="360"/>
      <c r="AV49" s="360"/>
      <c r="AW49" s="360"/>
      <c r="AX49" s="360"/>
      <c r="AY49" s="360"/>
      <c r="AZ49" s="360"/>
    </row>
    <row r="50" spans="1:52" ht="17.25" customHeight="1" thickBot="1">
      <c r="C50" s="726"/>
      <c r="D50" s="629"/>
      <c r="E50" s="629"/>
      <c r="F50" s="629"/>
      <c r="G50" s="629"/>
      <c r="H50" s="629"/>
      <c r="I50" s="586"/>
      <c r="J50" s="586"/>
      <c r="K50" s="575"/>
      <c r="L50" s="575"/>
      <c r="M50" s="575"/>
      <c r="N50" s="575"/>
      <c r="O50" s="575"/>
      <c r="P50" s="575"/>
      <c r="Q50" s="575"/>
      <c r="R50" s="575"/>
      <c r="S50" s="575"/>
      <c r="T50" s="575"/>
      <c r="U50" s="575"/>
      <c r="V50" s="575"/>
      <c r="W50" s="575"/>
      <c r="Z50" s="370"/>
      <c r="AA50" s="370"/>
      <c r="AC50" s="3" t="s">
        <v>176</v>
      </c>
      <c r="AD50" s="3" cm="1">
        <f t="array" ref="AD50">angleConvert2Decimal(O49)*AD49</f>
        <v>23.166666666666668</v>
      </c>
      <c r="AF50" s="360"/>
      <c r="AG50" s="360"/>
      <c r="AH50" s="360"/>
      <c r="AI50" s="360"/>
      <c r="AJ50" s="360"/>
      <c r="AK50" s="360"/>
      <c r="AL50" s="360"/>
      <c r="AM50" s="360"/>
      <c r="AN50" s="360"/>
      <c r="AO50" s="360"/>
      <c r="AP50" s="360"/>
      <c r="AQ50" s="360"/>
      <c r="AR50" s="360"/>
      <c r="AS50" s="360"/>
      <c r="AT50" s="360"/>
      <c r="AU50" s="360"/>
      <c r="AV50" s="360"/>
      <c r="AW50" s="360"/>
      <c r="AX50" s="360"/>
      <c r="AY50" s="360"/>
      <c r="AZ50" s="360"/>
    </row>
    <row r="51" spans="1:52" ht="17.25" customHeight="1" thickTop="1" thickBot="1">
      <c r="C51" s="726"/>
      <c r="D51" s="636" t="str" cm="1">
        <f t="array" ref="D51">latitudeDecimal2Txt(D49)</f>
        <v>N 23°08.34 (N 23.1390) [N 23°08'20.70]</v>
      </c>
      <c r="E51" s="565"/>
      <c r="F51" s="565"/>
      <c r="G51" s="565"/>
      <c r="H51" s="739"/>
      <c r="I51" s="586"/>
      <c r="J51" s="586"/>
      <c r="K51" s="635" t="str" cm="1">
        <f t="array" ref="K51">heureDecimal2Txt(K49)</f>
        <v>00:00:00.00(00.0000)</v>
      </c>
      <c r="L51" s="635"/>
      <c r="M51" s="636"/>
      <c r="N51" s="567" t="str" cm="1">
        <f t="array" ref="N51">angleDecimal2Txt(AD50)</f>
        <v>+23°10.00 (+23.1666) [+23°10'00.00]</v>
      </c>
      <c r="O51" s="567"/>
      <c r="P51" s="567"/>
      <c r="Q51" s="567"/>
      <c r="R51" s="567"/>
      <c r="S51" s="567" t="str" cm="1">
        <f t="array" ref="S51">angleDecimal2Txt(AD52)</f>
        <v>-00°00.16 (-00.0026) [-00°00'09.59]</v>
      </c>
      <c r="T51" s="791"/>
      <c r="U51" s="791"/>
      <c r="V51" s="791"/>
      <c r="W51" s="791"/>
      <c r="Z51" s="370"/>
      <c r="AC51" s="3" t="s">
        <v>177</v>
      </c>
      <c r="AD51" s="3">
        <f>VLOOKUP(S49,Outils!$C$9:$E$10,3)</f>
        <v>-1</v>
      </c>
      <c r="AF51" s="360"/>
      <c r="AG51" s="360"/>
      <c r="AH51" s="360"/>
      <c r="AI51" s="360"/>
      <c r="AJ51" s="360"/>
      <c r="AK51" s="360"/>
      <c r="AL51" s="360"/>
      <c r="AM51" s="360"/>
      <c r="AN51" s="360"/>
      <c r="AO51" s="360"/>
      <c r="AP51" s="360"/>
      <c r="AQ51" s="360"/>
      <c r="AR51" s="360"/>
      <c r="AS51" s="360"/>
      <c r="AT51" s="360"/>
      <c r="AU51" s="360"/>
      <c r="AV51" s="360"/>
      <c r="AW51" s="360"/>
      <c r="AX51" s="360"/>
      <c r="AY51" s="360"/>
    </row>
    <row r="52" spans="1:52" ht="17.25" hidden="1" customHeight="1" thickTop="1">
      <c r="A52" s="391" t="s">
        <v>495</v>
      </c>
      <c r="F52" s="360"/>
      <c r="G52" s="360"/>
      <c r="I52" s="361"/>
      <c r="Z52" s="370"/>
      <c r="AC52" s="3" t="s">
        <v>178</v>
      </c>
      <c r="AD52" s="3" cm="1">
        <f t="array" ref="AD52">angleConvert2Decimal(T49)*AD51</f>
        <v>-2.6666666666666666E-3</v>
      </c>
      <c r="AF52" s="360"/>
      <c r="AG52" s="360"/>
      <c r="AH52" s="360"/>
      <c r="AI52" s="360"/>
      <c r="AJ52" s="360"/>
      <c r="AK52" s="360"/>
      <c r="AL52" s="360"/>
      <c r="AM52" s="360"/>
      <c r="AN52" s="360"/>
      <c r="AO52" s="360"/>
      <c r="AP52" s="360"/>
      <c r="AQ52" s="360"/>
      <c r="AR52" s="360"/>
      <c r="AS52" s="360"/>
      <c r="AT52" s="360"/>
      <c r="AU52" s="360"/>
      <c r="AV52" s="360"/>
      <c r="AW52" s="360"/>
      <c r="AX52" s="360"/>
      <c r="AY52" s="360"/>
    </row>
    <row r="53" spans="1:52" ht="17.25" hidden="1" customHeight="1">
      <c r="C53" s="726" t="s">
        <v>576</v>
      </c>
      <c r="D53" s="634" t="s">
        <v>9</v>
      </c>
      <c r="E53" s="634"/>
      <c r="F53" s="634"/>
      <c r="G53" s="634"/>
      <c r="H53" s="634"/>
      <c r="I53" s="652" t="s">
        <v>514</v>
      </c>
      <c r="J53" s="653"/>
      <c r="K53" s="653"/>
      <c r="L53" s="653"/>
      <c r="M53" s="654"/>
      <c r="AC53" s="3" t="s">
        <v>179</v>
      </c>
      <c r="AD53" s="3">
        <f>AD50+AD52*(I49-K49)</f>
        <v>23.139085185185188</v>
      </c>
      <c r="AF53" s="360"/>
      <c r="AG53" s="360"/>
      <c r="AH53" s="360"/>
      <c r="AI53" s="360"/>
      <c r="AJ53" s="360"/>
      <c r="AK53" s="360"/>
      <c r="AL53" s="360"/>
      <c r="AM53" s="360"/>
      <c r="AN53" s="360"/>
      <c r="AO53" s="360"/>
      <c r="AP53" s="360"/>
      <c r="AQ53" s="360"/>
      <c r="AR53" s="360"/>
      <c r="AS53" s="360"/>
      <c r="AT53" s="360"/>
      <c r="AU53" s="360"/>
      <c r="AV53" s="360"/>
      <c r="AW53" s="360"/>
      <c r="AX53" s="360"/>
      <c r="AY53" s="360"/>
    </row>
    <row r="54" spans="1:52" ht="17.25" hidden="1" customHeight="1">
      <c r="C54" s="726"/>
      <c r="D54" s="634"/>
      <c r="E54" s="634"/>
      <c r="F54" s="634"/>
      <c r="G54" s="634"/>
      <c r="H54" s="634"/>
      <c r="I54" s="655"/>
      <c r="J54" s="656"/>
      <c r="K54" s="656"/>
      <c r="L54" s="656"/>
      <c r="M54" s="657"/>
      <c r="R54" s="430" t="s">
        <v>811</v>
      </c>
      <c r="S54" s="361"/>
      <c r="T54" s="361"/>
      <c r="U54" s="361"/>
      <c r="V54" s="361"/>
      <c r="W54" s="361"/>
      <c r="X54" s="361"/>
      <c r="Y54" s="361"/>
      <c r="AC54" s="3"/>
      <c r="AD54" s="3"/>
      <c r="AF54" s="360"/>
      <c r="AG54" s="360"/>
      <c r="AH54" s="360"/>
      <c r="AI54" s="360"/>
      <c r="AJ54" s="360"/>
      <c r="AK54" s="360"/>
      <c r="AL54" s="360"/>
      <c r="AM54" s="360"/>
      <c r="AN54" s="360"/>
      <c r="AO54" s="360"/>
      <c r="AP54" s="360"/>
      <c r="AQ54" s="360"/>
      <c r="AR54" s="360"/>
      <c r="AS54" s="360"/>
      <c r="AT54" s="360"/>
      <c r="AU54" s="360"/>
      <c r="AV54" s="360"/>
      <c r="AW54" s="360"/>
      <c r="AX54" s="360"/>
      <c r="AY54" s="360"/>
    </row>
    <row r="55" spans="1:52" ht="17.25" hidden="1" customHeight="1">
      <c r="C55" s="726"/>
      <c r="D55" s="628" t="str">
        <f>IF(G39=AD38,AD56,"---")</f>
        <v>---</v>
      </c>
      <c r="E55" s="629"/>
      <c r="F55" s="629"/>
      <c r="G55" s="629"/>
      <c r="H55" s="629"/>
      <c r="I55" s="575" t="s">
        <v>3</v>
      </c>
      <c r="J55" s="604" t="s">
        <v>574</v>
      </c>
      <c r="K55" s="604"/>
      <c r="L55" s="604"/>
      <c r="M55" s="604"/>
      <c r="U55" s="361"/>
      <c r="V55" s="361"/>
      <c r="W55" s="361"/>
      <c r="X55" s="361"/>
      <c r="Y55" s="361"/>
      <c r="AC55" s="3" t="s">
        <v>175</v>
      </c>
      <c r="AD55" s="3">
        <f>VLOOKUP(I55,Outils!$C$9:$E$10,3)</f>
        <v>1</v>
      </c>
      <c r="AF55" s="360"/>
      <c r="AG55" s="360"/>
      <c r="AH55" s="360"/>
      <c r="AI55" s="360"/>
      <c r="AJ55" s="360"/>
      <c r="AK55" s="360"/>
      <c r="AL55" s="360"/>
      <c r="AM55" s="360"/>
      <c r="AN55" s="360"/>
      <c r="AO55" s="360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</row>
    <row r="56" spans="1:52" ht="17.25" hidden="1" customHeight="1" thickBot="1">
      <c r="C56" s="726"/>
      <c r="D56" s="727"/>
      <c r="E56" s="728"/>
      <c r="F56" s="728"/>
      <c r="G56" s="728"/>
      <c r="H56" s="728"/>
      <c r="I56" s="575"/>
      <c r="J56" s="604"/>
      <c r="K56" s="604"/>
      <c r="L56" s="604"/>
      <c r="M56" s="604"/>
      <c r="U56" s="361"/>
      <c r="V56" s="361"/>
      <c r="W56" s="361"/>
      <c r="X56" s="361"/>
      <c r="Y56" s="361"/>
      <c r="AC56" s="3" t="s">
        <v>176</v>
      </c>
      <c r="AD56" s="3" cm="1">
        <f t="array" ref="AD56">angleConvert2Decimal(J55)*AD55</f>
        <v>14.728333333333333</v>
      </c>
      <c r="AG56" s="431"/>
    </row>
    <row r="57" spans="1:52" ht="17.25" hidden="1" customHeight="1" thickTop="1" thickBot="1">
      <c r="C57" s="726"/>
      <c r="D57" s="565" t="str" cm="1">
        <f t="array" ref="D57">latitudeDecimal2Txt(AD56)</f>
        <v>N 14°43.70 (N 14.7283) [N 14°43'42.00]</v>
      </c>
      <c r="E57" s="565"/>
      <c r="F57" s="565"/>
      <c r="G57" s="565"/>
      <c r="H57" s="565"/>
      <c r="I57" s="361"/>
      <c r="J57" s="361"/>
      <c r="K57" s="361"/>
      <c r="L57" s="361"/>
      <c r="N57" s="361"/>
      <c r="O57" s="361"/>
      <c r="U57" s="361"/>
      <c r="V57" s="361"/>
      <c r="W57" s="361"/>
      <c r="X57" s="361"/>
      <c r="Y57" s="361"/>
      <c r="AC57" s="361">
        <f>YEAR($X$7)</f>
        <v>2025</v>
      </c>
      <c r="AD57" s="361">
        <f>MONTH($X$7)</f>
        <v>6</v>
      </c>
      <c r="AE57" s="361">
        <f>DAY($X$7)</f>
        <v>30</v>
      </c>
      <c r="AF57" s="432">
        <f>INT(E11)</f>
        <v>10</v>
      </c>
      <c r="AG57" s="432">
        <f>INT(((3600*E11-3600*AF57)/60)+0.000001)</f>
        <v>20</v>
      </c>
      <c r="AH57" s="433">
        <f>((E11*3600 - AG57*60 -AF57*3600))</f>
        <v>35.000000000007276</v>
      </c>
      <c r="AI57" s="361" t="s">
        <v>754</v>
      </c>
    </row>
    <row r="58" spans="1:52" ht="17.25" customHeight="1" thickTop="1" thickBot="1">
      <c r="C58" s="361"/>
      <c r="D58" s="361"/>
      <c r="E58" s="361"/>
      <c r="F58" s="360"/>
      <c r="G58" s="360"/>
      <c r="N58" s="361"/>
      <c r="O58" s="361"/>
      <c r="U58" s="361"/>
      <c r="V58" s="361"/>
      <c r="W58" s="361"/>
      <c r="X58" s="361"/>
      <c r="Y58" s="361"/>
    </row>
    <row r="59" spans="1:52" ht="17.25" customHeight="1" thickBot="1">
      <c r="A59" s="389"/>
      <c r="B59" s="373" t="s">
        <v>134</v>
      </c>
      <c r="C59" s="428"/>
      <c r="D59" s="428"/>
      <c r="E59" s="428"/>
      <c r="F59" s="603">
        <f>IF(G60=AD60,D63,IF(G60=AD59,D76,D70))</f>
        <v>334.21014722222225</v>
      </c>
      <c r="G59" s="612"/>
      <c r="H59" s="612"/>
      <c r="I59" s="368"/>
      <c r="J59" s="368"/>
      <c r="K59" s="368"/>
      <c r="L59" s="674">
        <f>F59-360</f>
        <v>-25.789852777777753</v>
      </c>
      <c r="M59" s="674"/>
      <c r="N59" s="368" t="s">
        <v>28</v>
      </c>
      <c r="O59" s="368"/>
      <c r="P59" s="368"/>
      <c r="Q59" s="368"/>
      <c r="R59" s="368"/>
      <c r="S59" s="368"/>
      <c r="T59" s="368"/>
      <c r="U59" s="368"/>
      <c r="V59" s="368"/>
      <c r="W59" s="368"/>
      <c r="X59" s="368"/>
      <c r="Y59" s="368"/>
      <c r="Z59" s="368"/>
      <c r="AA59" s="368"/>
      <c r="AB59" s="62"/>
      <c r="AD59" s="386" t="s">
        <v>512</v>
      </c>
    </row>
    <row r="60" spans="1:52" ht="17.25" customHeight="1">
      <c r="B60" s="389"/>
      <c r="C60" s="675" t="s">
        <v>35</v>
      </c>
      <c r="D60" s="675"/>
      <c r="E60" s="675"/>
      <c r="F60" s="675"/>
      <c r="G60" s="678" t="s">
        <v>14</v>
      </c>
      <c r="H60" s="678"/>
      <c r="I60" s="678"/>
      <c r="J60" s="389"/>
      <c r="K60" s="389"/>
      <c r="L60" s="389"/>
      <c r="M60" s="389"/>
      <c r="N60" s="389"/>
      <c r="O60" s="389"/>
      <c r="P60" s="389"/>
      <c r="Q60" s="389"/>
      <c r="R60" s="389"/>
      <c r="S60" s="389"/>
      <c r="T60" s="389"/>
      <c r="U60" s="389"/>
      <c r="V60" s="389"/>
      <c r="W60" s="389"/>
      <c r="X60" s="389"/>
      <c r="Y60" s="389"/>
      <c r="Z60" s="389"/>
      <c r="AA60" s="389"/>
      <c r="AB60" s="63"/>
      <c r="AC60" s="789" t="s">
        <v>36</v>
      </c>
      <c r="AD60" s="386" t="s">
        <v>10</v>
      </c>
    </row>
    <row r="61" spans="1:52" ht="17.25" hidden="1" customHeight="1">
      <c r="C61" s="924" t="s">
        <v>10</v>
      </c>
      <c r="D61" s="666" t="s">
        <v>406</v>
      </c>
      <c r="E61" s="927"/>
      <c r="F61" s="927"/>
      <c r="G61" s="927"/>
      <c r="H61" s="927"/>
      <c r="I61" s="578" t="s">
        <v>575</v>
      </c>
      <c r="J61" s="665"/>
      <c r="K61" s="577" t="s">
        <v>13</v>
      </c>
      <c r="L61" s="578"/>
      <c r="M61" s="579"/>
      <c r="N61" s="652" t="s">
        <v>15</v>
      </c>
      <c r="O61" s="653"/>
      <c r="P61" s="653"/>
      <c r="Q61" s="653"/>
      <c r="R61" s="654"/>
      <c r="S61" s="370"/>
      <c r="AC61" s="789"/>
      <c r="AD61" s="386" t="s">
        <v>14</v>
      </c>
    </row>
    <row r="62" spans="1:52" ht="17.25" hidden="1" customHeight="1" thickBot="1">
      <c r="C62" s="924"/>
      <c r="D62" s="668"/>
      <c r="E62" s="677"/>
      <c r="F62" s="677"/>
      <c r="G62" s="677"/>
      <c r="H62" s="677"/>
      <c r="I62" s="677"/>
      <c r="J62" s="669"/>
      <c r="K62" s="580"/>
      <c r="L62" s="581"/>
      <c r="M62" s="582"/>
      <c r="N62" s="794"/>
      <c r="O62" s="656"/>
      <c r="P62" s="656"/>
      <c r="Q62" s="656"/>
      <c r="R62" s="657"/>
      <c r="S62" s="370"/>
      <c r="AD62" s="69" t="s">
        <v>73</v>
      </c>
      <c r="AE62" s="3" t="s">
        <v>578</v>
      </c>
      <c r="AF62" s="3" t="s">
        <v>180</v>
      </c>
    </row>
    <row r="63" spans="1:52" ht="17.25" hidden="1" customHeight="1" thickTop="1" thickBot="1">
      <c r="C63" s="924"/>
      <c r="D63" s="625" t="str">
        <f>IF(G60=AD60,AF68,"---")</f>
        <v>---</v>
      </c>
      <c r="E63" s="626"/>
      <c r="F63" s="626"/>
      <c r="G63" s="626"/>
      <c r="H63" s="627"/>
      <c r="I63" s="704">
        <f>E11</f>
        <v>10.343055555555557</v>
      </c>
      <c r="J63" s="705"/>
      <c r="K63" s="575">
        <v>10</v>
      </c>
      <c r="L63" s="575"/>
      <c r="M63" s="575"/>
      <c r="N63" s="586" t="s">
        <v>5</v>
      </c>
      <c r="O63" s="584" t="s">
        <v>499</v>
      </c>
      <c r="P63" s="584"/>
      <c r="Q63" s="584"/>
      <c r="R63" s="584"/>
      <c r="S63" s="590" t="str" cm="1">
        <f t="array" ref="S63">angleDecimal2Txt(AF63)</f>
        <v>+329°03.89 (+329.0649) [+329°03'54.00]</v>
      </c>
      <c r="T63" s="590"/>
      <c r="U63" s="590"/>
      <c r="V63" s="590"/>
      <c r="W63" s="590"/>
      <c r="X63" s="590"/>
      <c r="Z63" s="361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hidden="1" customHeight="1" thickTop="1" thickBot="1">
      <c r="C64" s="924"/>
      <c r="D64" s="628"/>
      <c r="E64" s="629"/>
      <c r="F64" s="629"/>
      <c r="G64" s="629"/>
      <c r="H64" s="630"/>
      <c r="I64" s="809"/>
      <c r="J64" s="925"/>
      <c r="K64" s="575"/>
      <c r="L64" s="575"/>
      <c r="M64" s="575"/>
      <c r="N64" s="586"/>
      <c r="O64" s="584"/>
      <c r="P64" s="584"/>
      <c r="Q64" s="584"/>
      <c r="R64" s="584"/>
      <c r="S64" s="590"/>
      <c r="T64" s="590"/>
      <c r="U64" s="590"/>
      <c r="V64" s="590"/>
      <c r="W64" s="590"/>
      <c r="X64" s="590"/>
      <c r="Z64" s="361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hidden="1" customHeight="1" thickTop="1" thickBot="1">
      <c r="C65" s="924"/>
      <c r="D65" s="628"/>
      <c r="E65" s="629"/>
      <c r="F65" s="629"/>
      <c r="G65" s="629"/>
      <c r="H65" s="630"/>
      <c r="I65" s="809"/>
      <c r="J65" s="925"/>
      <c r="K65" s="575">
        <v>11</v>
      </c>
      <c r="L65" s="575"/>
      <c r="M65" s="575"/>
      <c r="N65" s="586" t="s">
        <v>5</v>
      </c>
      <c r="O65" s="584" t="s">
        <v>500</v>
      </c>
      <c r="P65" s="584"/>
      <c r="Q65" s="584"/>
      <c r="R65" s="584"/>
      <c r="S65" s="590" t="str" cm="1">
        <f t="array" ref="S65">angleDecimal2Txt((AF64))</f>
        <v>+344°03.79 (+344.0633) [+344°03'48.00]</v>
      </c>
      <c r="T65" s="590"/>
      <c r="U65" s="590"/>
      <c r="V65" s="590"/>
      <c r="W65" s="590"/>
      <c r="X65" s="590"/>
      <c r="Z65" s="361"/>
      <c r="AC65" s="3" t="s">
        <v>38</v>
      </c>
      <c r="AD65" s="5">
        <f>AF64-AF63</f>
        <v>14.998333333333335</v>
      </c>
    </row>
    <row r="66" spans="1:66" ht="17.25" hidden="1" customHeight="1" thickTop="1" thickBot="1">
      <c r="C66" s="924"/>
      <c r="D66" s="565" t="e" cm="1">
        <f t="array" ref="D66">angleDecimal2Txt(D63)</f>
        <v>#VALUE!</v>
      </c>
      <c r="E66" s="565"/>
      <c r="F66" s="565"/>
      <c r="G66" s="565"/>
      <c r="H66" s="565"/>
      <c r="I66" s="706"/>
      <c r="J66" s="707"/>
      <c r="K66" s="575"/>
      <c r="L66" s="575"/>
      <c r="M66" s="575"/>
      <c r="N66" s="586"/>
      <c r="O66" s="584"/>
      <c r="P66" s="584"/>
      <c r="Q66" s="584"/>
      <c r="R66" s="584"/>
      <c r="S66" s="590"/>
      <c r="T66" s="590"/>
      <c r="U66" s="590"/>
      <c r="V66" s="590"/>
      <c r="W66" s="590"/>
      <c r="X66" s="590"/>
      <c r="Z66" s="361"/>
      <c r="AC66" s="3" t="s">
        <v>174</v>
      </c>
      <c r="AD66" s="5">
        <f>K65-K63</f>
        <v>1</v>
      </c>
      <c r="AE66" s="360"/>
    </row>
    <row r="67" spans="1:66" ht="17.25" hidden="1" customHeight="1" thickTop="1">
      <c r="F67" s="360"/>
      <c r="G67" s="360"/>
      <c r="Z67" s="361"/>
      <c r="AC67" s="3" t="s">
        <v>39</v>
      </c>
      <c r="AD67" s="5">
        <f>I63-K63</f>
        <v>0.34305555555555678</v>
      </c>
    </row>
    <row r="68" spans="1:66" ht="17.25" customHeight="1">
      <c r="C68" s="928" t="s">
        <v>14</v>
      </c>
      <c r="D68" s="634" t="s">
        <v>406</v>
      </c>
      <c r="E68" s="634"/>
      <c r="F68" s="634"/>
      <c r="G68" s="634"/>
      <c r="H68" s="634"/>
      <c r="I68" s="929" t="s">
        <v>575</v>
      </c>
      <c r="J68" s="634"/>
      <c r="K68" s="578" t="s">
        <v>569</v>
      </c>
      <c r="L68" s="578"/>
      <c r="M68" s="579"/>
      <c r="N68" s="652" t="s">
        <v>16</v>
      </c>
      <c r="O68" s="653"/>
      <c r="P68" s="653"/>
      <c r="Q68" s="653"/>
      <c r="R68" s="654"/>
      <c r="S68" s="652" t="s">
        <v>94</v>
      </c>
      <c r="T68" s="653"/>
      <c r="U68" s="653"/>
      <c r="V68" s="653"/>
      <c r="W68" s="654"/>
      <c r="Z68" s="361"/>
      <c r="AA68" s="370"/>
      <c r="AC68" s="3" t="s">
        <v>267</v>
      </c>
      <c r="AD68" s="3">
        <f>IF(AF68&gt;360,AF68-360,AF68)</f>
        <v>334.21026157407408</v>
      </c>
      <c r="AE68" s="3" t="s">
        <v>37</v>
      </c>
      <c r="AF68" s="3">
        <f>(AF63+(AD65/AD66)*AD67)</f>
        <v>334.21026157407408</v>
      </c>
    </row>
    <row r="69" spans="1:66" ht="17.25" customHeight="1">
      <c r="C69" s="928"/>
      <c r="D69" s="634"/>
      <c r="E69" s="634"/>
      <c r="F69" s="634"/>
      <c r="G69" s="634"/>
      <c r="H69" s="634"/>
      <c r="I69" s="634"/>
      <c r="J69" s="634"/>
      <c r="K69" s="581"/>
      <c r="L69" s="581"/>
      <c r="M69" s="582"/>
      <c r="N69" s="794"/>
      <c r="O69" s="656"/>
      <c r="P69" s="656"/>
      <c r="Q69" s="656"/>
      <c r="R69" s="657"/>
      <c r="S69" s="794"/>
      <c r="T69" s="837"/>
      <c r="U69" s="837"/>
      <c r="V69" s="837"/>
      <c r="W69" s="838"/>
      <c r="Z69" s="361"/>
      <c r="AA69" s="370"/>
    </row>
    <row r="70" spans="1:66" ht="17.25" customHeight="1">
      <c r="C70" s="928"/>
      <c r="D70" s="596">
        <f>IF(G60=AD61,AF74,"---")</f>
        <v>334.21014722222225</v>
      </c>
      <c r="E70" s="596"/>
      <c r="F70" s="596"/>
      <c r="G70" s="596"/>
      <c r="H70" s="596"/>
      <c r="I70" s="586">
        <f>E11</f>
        <v>10.343055555555557</v>
      </c>
      <c r="J70" s="586"/>
      <c r="K70" s="575">
        <v>0</v>
      </c>
      <c r="L70" s="575"/>
      <c r="M70" s="575"/>
      <c r="N70" s="586" t="s">
        <v>5</v>
      </c>
      <c r="O70" s="604" t="s">
        <v>834</v>
      </c>
      <c r="P70" s="604"/>
      <c r="Q70" s="604"/>
      <c r="R70" s="604"/>
      <c r="S70" s="586" t="s">
        <v>5</v>
      </c>
      <c r="T70" s="721">
        <v>14.997999999999999</v>
      </c>
      <c r="U70" s="586"/>
      <c r="V70" s="586"/>
      <c r="W70" s="586"/>
      <c r="AA70" s="370"/>
      <c r="AC70" s="3" t="s">
        <v>175</v>
      </c>
      <c r="AD70" s="3">
        <f>VLOOKUP(N70,Outils!$D$9:$E$10,2)</f>
        <v>1</v>
      </c>
    </row>
    <row r="71" spans="1:66" ht="17.25" customHeight="1" thickBot="1">
      <c r="C71" s="928"/>
      <c r="D71" s="596"/>
      <c r="E71" s="596"/>
      <c r="F71" s="596"/>
      <c r="G71" s="596"/>
      <c r="H71" s="596"/>
      <c r="I71" s="586"/>
      <c r="J71" s="586"/>
      <c r="K71" s="575"/>
      <c r="L71" s="575"/>
      <c r="M71" s="575"/>
      <c r="N71" s="586"/>
      <c r="O71" s="604"/>
      <c r="P71" s="604"/>
      <c r="Q71" s="604"/>
      <c r="R71" s="604"/>
      <c r="S71" s="586"/>
      <c r="T71" s="586"/>
      <c r="U71" s="586"/>
      <c r="V71" s="586"/>
      <c r="W71" s="586"/>
      <c r="Z71" s="370"/>
      <c r="AA71" s="370"/>
      <c r="AC71" s="3" t="s">
        <v>176</v>
      </c>
      <c r="AD71" s="3" cm="1">
        <f t="array" ref="AD71">angleConvert2Decimal(O70)*AD70</f>
        <v>179.08500000000001</v>
      </c>
    </row>
    <row r="72" spans="1:66" ht="17.25" customHeight="1" thickTop="1" thickBot="1">
      <c r="C72" s="928"/>
      <c r="D72" s="565" t="str" cm="1">
        <f t="array" ref="D72">angleDecimal2Txt(D70)</f>
        <v>+334°12.60 (+334.2101) [+334°12'36.53]</v>
      </c>
      <c r="E72" s="565"/>
      <c r="F72" s="565"/>
      <c r="G72" s="565"/>
      <c r="H72" s="565"/>
      <c r="I72" s="586"/>
      <c r="J72" s="586"/>
      <c r="K72" s="635" t="str" cm="1">
        <f t="array" ref="K72">heureDecimal2Txt(K70)</f>
        <v>00:00:00.00(00.0000)</v>
      </c>
      <c r="L72" s="635"/>
      <c r="M72" s="636"/>
      <c r="N72" s="593" t="str" cm="1">
        <f t="array" ref="N72">angleDecimal2Txt(AD71)</f>
        <v>+179°05.09 (+179.0850) [+179°05'06.00]</v>
      </c>
      <c r="O72" s="567"/>
      <c r="P72" s="567"/>
      <c r="Q72" s="567"/>
      <c r="R72" s="567"/>
      <c r="S72" s="593" t="str" cm="1">
        <f t="array" ref="S72">angleDecimal2Txt(AD73)</f>
        <v>+14°59.87 (+14.9979) [+14°59'52.79]</v>
      </c>
      <c r="T72" s="792"/>
      <c r="U72" s="792"/>
      <c r="V72" s="792"/>
      <c r="W72" s="792"/>
      <c r="Z72" s="370"/>
      <c r="AC72" s="3" t="s">
        <v>177</v>
      </c>
      <c r="AD72" s="3">
        <f>VLOOKUP(S70,Outils!$D$9:$E$10,2)</f>
        <v>1</v>
      </c>
    </row>
    <row r="73" spans="1:66" ht="17.25" hidden="1" customHeight="1" thickTop="1">
      <c r="A73" s="391" t="s">
        <v>495</v>
      </c>
      <c r="F73" s="360"/>
      <c r="G73" s="360"/>
      <c r="Z73" s="370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>
      <c r="C74" s="726" t="s">
        <v>576</v>
      </c>
      <c r="D74" s="634" t="s">
        <v>406</v>
      </c>
      <c r="E74" s="634"/>
      <c r="F74" s="634"/>
      <c r="G74" s="634"/>
      <c r="H74" s="634"/>
      <c r="I74" s="583" t="s">
        <v>514</v>
      </c>
      <c r="J74" s="583"/>
      <c r="K74" s="583"/>
      <c r="L74" s="583"/>
      <c r="M74" s="583"/>
      <c r="AC74" s="3" t="s">
        <v>267</v>
      </c>
      <c r="AD74" s="3">
        <f>IF(AF74&gt;360,AF74-360,AF74)</f>
        <v>334.21014722222225</v>
      </c>
      <c r="AE74" s="3" t="s">
        <v>37</v>
      </c>
      <c r="AF74" s="3">
        <f>MOD(AD71+AD73*(I70-K70),360)</f>
        <v>334.21014722222225</v>
      </c>
    </row>
    <row r="75" spans="1:66" ht="17.25" hidden="1" customHeight="1">
      <c r="C75" s="726"/>
      <c r="D75" s="634"/>
      <c r="E75" s="634"/>
      <c r="F75" s="634"/>
      <c r="G75" s="634"/>
      <c r="H75" s="634"/>
      <c r="I75" s="583"/>
      <c r="J75" s="583"/>
      <c r="K75" s="583"/>
      <c r="L75" s="583"/>
      <c r="M75" s="583"/>
      <c r="S75" s="370"/>
      <c r="T75" s="370"/>
      <c r="U75" s="370"/>
      <c r="V75" s="370"/>
      <c r="W75" s="370"/>
      <c r="X75" s="370"/>
      <c r="AC75" s="3"/>
      <c r="AD75" s="3"/>
    </row>
    <row r="76" spans="1:66" ht="17.25" hidden="1" customHeight="1">
      <c r="C76" s="726"/>
      <c r="D76" s="596" t="str">
        <f>IF(G60=AD59,AD77,"---")</f>
        <v>---</v>
      </c>
      <c r="E76" s="596"/>
      <c r="F76" s="596"/>
      <c r="G76" s="596"/>
      <c r="H76" s="596"/>
      <c r="I76" s="586" t="s">
        <v>5</v>
      </c>
      <c r="J76" s="604" t="s">
        <v>573</v>
      </c>
      <c r="K76" s="604"/>
      <c r="L76" s="604"/>
      <c r="M76" s="604"/>
      <c r="S76" s="370"/>
      <c r="T76" s="370"/>
      <c r="U76" s="370"/>
      <c r="V76" s="370"/>
      <c r="W76" s="370"/>
      <c r="X76" s="370"/>
      <c r="AC76" s="3" t="s">
        <v>175</v>
      </c>
      <c r="AD76" s="3">
        <f>VLOOKUP(I76,Outils!$D$9:$E$10,2)</f>
        <v>1</v>
      </c>
    </row>
    <row r="77" spans="1:66" ht="17.25" hidden="1" customHeight="1" thickBot="1">
      <c r="C77" s="726"/>
      <c r="D77" s="596"/>
      <c r="E77" s="596"/>
      <c r="F77" s="596"/>
      <c r="G77" s="596"/>
      <c r="H77" s="596"/>
      <c r="I77" s="586"/>
      <c r="J77" s="604"/>
      <c r="K77" s="604"/>
      <c r="L77" s="604"/>
      <c r="M77" s="604"/>
      <c r="S77" s="370"/>
      <c r="T77" s="370"/>
      <c r="U77" s="370"/>
      <c r="V77" s="370"/>
      <c r="W77" s="370"/>
      <c r="X77" s="370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thickTop="1" thickBot="1">
      <c r="C78" s="726"/>
      <c r="D78" s="565" t="str" cm="1">
        <f t="array" ref="D78">angleDecimal2Txt(AD77)</f>
        <v>+306°17.88 (+306.2981) [+306°17'53.39]</v>
      </c>
      <c r="E78" s="565"/>
      <c r="F78" s="565"/>
      <c r="G78" s="565"/>
      <c r="H78" s="565"/>
      <c r="I78" s="361"/>
      <c r="J78" s="361"/>
      <c r="K78" s="361"/>
      <c r="L78" s="361"/>
      <c r="M78" s="361"/>
      <c r="S78" s="370"/>
      <c r="T78" s="370"/>
      <c r="U78" s="370"/>
      <c r="V78" s="370"/>
      <c r="W78" s="370"/>
      <c r="X78" s="370"/>
      <c r="AC78" s="3"/>
      <c r="AD78" s="3"/>
    </row>
    <row r="79" spans="1:66" ht="17.25" customHeight="1" thickTop="1" thickBot="1">
      <c r="C79" s="361"/>
      <c r="D79" s="361"/>
      <c r="E79" s="361"/>
      <c r="F79" s="360"/>
      <c r="G79" s="360"/>
      <c r="I79" s="361"/>
      <c r="J79" s="361"/>
      <c r="K79" s="361"/>
      <c r="L79" s="361"/>
      <c r="M79" s="361"/>
      <c r="S79" s="370"/>
      <c r="T79" s="370"/>
      <c r="U79" s="370"/>
      <c r="V79" s="370"/>
      <c r="W79" s="370"/>
      <c r="X79" s="370"/>
    </row>
    <row r="80" spans="1:66" s="370" customFormat="1" ht="17.25" customHeight="1" thickBot="1">
      <c r="A80" s="360"/>
      <c r="B80" s="373" t="s">
        <v>43</v>
      </c>
      <c r="C80" s="428"/>
      <c r="D80" s="428"/>
      <c r="E80" s="428"/>
      <c r="F80" s="603">
        <f>I81</f>
        <v>327.12681388888893</v>
      </c>
      <c r="G80" s="603"/>
      <c r="H80" s="603"/>
      <c r="I80" s="368"/>
      <c r="J80" s="793" t="s">
        <v>55</v>
      </c>
      <c r="K80" s="793"/>
      <c r="L80" s="793"/>
      <c r="M80" s="576" t="str">
        <f>J22</f>
        <v>Soleil</v>
      </c>
      <c r="N80" s="576"/>
      <c r="O80" s="576"/>
      <c r="P80" s="368"/>
      <c r="Q80" s="368"/>
      <c r="R80" s="368"/>
      <c r="S80" s="368"/>
      <c r="T80" s="368"/>
      <c r="U80" s="368"/>
      <c r="V80" s="368"/>
      <c r="W80" s="368"/>
      <c r="X80" s="368"/>
      <c r="Y80" s="368"/>
      <c r="Z80" s="368"/>
      <c r="AA80" s="368"/>
      <c r="AB80" s="62"/>
      <c r="AC80" s="361"/>
      <c r="AD80" s="361"/>
      <c r="AE80" s="361"/>
      <c r="AF80" s="361"/>
      <c r="AG80" s="361"/>
      <c r="AH80" s="361"/>
      <c r="AI80" s="361"/>
      <c r="AJ80" s="361"/>
      <c r="AK80" s="361"/>
      <c r="AL80" s="361"/>
      <c r="AM80" s="361"/>
      <c r="AN80" s="361"/>
      <c r="AO80" s="361"/>
      <c r="AP80" s="361"/>
      <c r="AQ80" s="361"/>
      <c r="AR80" s="361"/>
      <c r="AS80" s="361"/>
      <c r="AT80" s="361"/>
      <c r="AU80" s="361"/>
      <c r="AV80" s="361"/>
      <c r="AW80" s="361"/>
      <c r="AX80" s="361"/>
      <c r="AY80" s="361"/>
      <c r="AZ80" s="361"/>
      <c r="BA80" s="361"/>
      <c r="BB80" s="361"/>
      <c r="BC80" s="361"/>
      <c r="BD80" s="361"/>
      <c r="BE80" s="361"/>
      <c r="BF80" s="361"/>
      <c r="BG80" s="361"/>
      <c r="BH80" s="361"/>
      <c r="BI80" s="361"/>
      <c r="BJ80" s="361"/>
      <c r="BK80" s="361"/>
      <c r="BL80" s="361"/>
      <c r="BM80" s="361"/>
      <c r="BN80" s="372"/>
    </row>
    <row r="81" spans="1:30" ht="17.25" customHeight="1" thickTop="1" thickBot="1">
      <c r="C81" s="790" t="s">
        <v>21</v>
      </c>
      <c r="D81" s="790"/>
      <c r="E81" s="790"/>
      <c r="F81" s="790"/>
      <c r="G81" s="790"/>
      <c r="H81" s="790"/>
      <c r="I81" s="844">
        <f>AD82</f>
        <v>327.12681388888893</v>
      </c>
      <c r="J81" s="844"/>
      <c r="K81" s="844"/>
      <c r="L81" s="845"/>
      <c r="M81" s="434" t="s">
        <v>45</v>
      </c>
      <c r="N81" s="555">
        <f>AD81</f>
        <v>327.12681388888893</v>
      </c>
      <c r="O81" s="555"/>
      <c r="P81" s="555"/>
      <c r="Q81" s="555"/>
      <c r="R81" s="708" t="str" cm="1">
        <f t="array" ref="R81">angleDecimal2Txt(AD82)</f>
        <v>+327°07.60 (+327.1268) [+327°07'36.53]</v>
      </c>
      <c r="S81" s="842"/>
      <c r="T81" s="842"/>
      <c r="U81" s="842"/>
      <c r="V81" s="842"/>
      <c r="W81" s="843"/>
      <c r="AC81" s="3" t="s">
        <v>181</v>
      </c>
      <c r="AD81" s="5">
        <f>F59+G34</f>
        <v>327.12681388888893</v>
      </c>
    </row>
    <row r="82" spans="1:30" ht="17.25" customHeight="1" thickTop="1">
      <c r="A82" s="370"/>
      <c r="C82" s="370"/>
      <c r="D82" s="370"/>
      <c r="E82" s="370"/>
      <c r="F82" s="370"/>
      <c r="G82" s="370"/>
      <c r="H82" s="370"/>
      <c r="AB82" s="64"/>
      <c r="AC82" s="3" t="s">
        <v>182</v>
      </c>
      <c r="AD82" s="5" cm="1">
        <f t="array" ref="AD82">astroModuloEnDegre(AD81)</f>
        <v>327.12681388888893</v>
      </c>
    </row>
    <row r="83" spans="1:30" ht="17.25" customHeight="1" thickBot="1">
      <c r="B83" s="370"/>
      <c r="C83" s="360"/>
      <c r="D83" s="360"/>
      <c r="E83" s="360"/>
      <c r="F83" s="360"/>
      <c r="G83" s="360"/>
      <c r="AA83" s="370"/>
    </row>
    <row r="84" spans="1:30" ht="17.25" customHeight="1" thickBot="1">
      <c r="B84" s="373" t="s">
        <v>23</v>
      </c>
      <c r="C84" s="368"/>
      <c r="D84" s="778" t="s">
        <v>72</v>
      </c>
      <c r="E84" s="779"/>
      <c r="F84" s="612">
        <f>IF(G85=AD85,O122,O112)</f>
        <v>55.025186177592239</v>
      </c>
      <c r="G84" s="612"/>
      <c r="H84" s="612"/>
      <c r="I84" s="368"/>
      <c r="J84" s="368"/>
      <c r="K84" s="368"/>
      <c r="L84" s="368" t="s">
        <v>60</v>
      </c>
      <c r="M84" s="778">
        <f>O87</f>
        <v>54.835000000000001</v>
      </c>
      <c r="N84" s="778"/>
      <c r="O84" s="368"/>
      <c r="P84" s="392"/>
      <c r="Q84" s="368" t="s">
        <v>95</v>
      </c>
      <c r="R84" s="368"/>
      <c r="S84" s="855">
        <f>-O99+O94+O103</f>
        <v>0.25328930163643865</v>
      </c>
      <c r="T84" s="856"/>
      <c r="U84" s="857"/>
      <c r="V84" s="858" t="str" cm="1">
        <f t="array" ref="V84">angleDecimal2Txt(S84)</f>
        <v>+00°15.19 (+00.2532) [+00°15'11.84]</v>
      </c>
      <c r="W84" s="858"/>
      <c r="X84" s="858"/>
      <c r="Y84" s="858"/>
      <c r="Z84" s="858"/>
      <c r="AA84" s="368"/>
      <c r="AB84" s="62"/>
    </row>
    <row r="85" spans="1:30" ht="17.25" customHeight="1">
      <c r="C85" s="601" t="s">
        <v>35</v>
      </c>
      <c r="D85" s="601"/>
      <c r="E85" s="601"/>
      <c r="F85" s="601"/>
      <c r="G85" s="678" t="s">
        <v>51</v>
      </c>
      <c r="H85" s="678"/>
      <c r="I85" s="678"/>
      <c r="P85" s="360" t="s">
        <v>69</v>
      </c>
      <c r="V85" s="370"/>
      <c r="W85" s="370"/>
      <c r="X85" s="370"/>
      <c r="Y85" s="370"/>
      <c r="Z85" s="370"/>
      <c r="AC85" s="557" t="s">
        <v>36</v>
      </c>
      <c r="AD85" s="386" t="s">
        <v>50</v>
      </c>
    </row>
    <row r="86" spans="1:30" ht="17.25" customHeight="1" thickBot="1">
      <c r="C86" s="389"/>
      <c r="D86" s="389"/>
      <c r="E86" s="389"/>
      <c r="F86" s="786" t="s">
        <v>62</v>
      </c>
      <c r="G86" s="786"/>
      <c r="H86" s="787"/>
      <c r="I86" s="787"/>
      <c r="J86" s="788">
        <f>IF(G85=AD85,"---",O112)</f>
        <v>55.025186177592239</v>
      </c>
      <c r="K86" s="788"/>
      <c r="L86" s="788"/>
      <c r="M86" s="393"/>
      <c r="N86" s="393"/>
      <c r="O86" s="393"/>
      <c r="P86" s="393"/>
      <c r="Q86" s="393"/>
      <c r="R86" s="393"/>
      <c r="S86" s="393"/>
      <c r="T86" s="393"/>
      <c r="U86" s="393"/>
      <c r="V86" s="394"/>
      <c r="W86" s="394"/>
      <c r="X86" s="394"/>
      <c r="Y86" s="394"/>
      <c r="Z86" s="394"/>
      <c r="AC86" s="558"/>
      <c r="AD86" s="386" t="s">
        <v>51</v>
      </c>
    </row>
    <row r="87" spans="1:30" ht="17.25" customHeight="1" thickTop="1" thickBot="1">
      <c r="C87" s="360"/>
      <c r="D87" s="360"/>
      <c r="E87" s="360"/>
      <c r="F87" s="360"/>
      <c r="G87" s="360"/>
      <c r="H87" s="605" t="s">
        <v>47</v>
      </c>
      <c r="I87" s="606"/>
      <c r="J87" s="606"/>
      <c r="K87" s="606"/>
      <c r="L87" s="606"/>
      <c r="M87" s="606"/>
      <c r="N87" s="607"/>
      <c r="O87" s="688">
        <f>J21</f>
        <v>54.835000000000001</v>
      </c>
      <c r="P87" s="688"/>
      <c r="Q87" s="688"/>
      <c r="R87" s="688"/>
      <c r="S87" s="360" t="s">
        <v>54</v>
      </c>
      <c r="U87" s="567" t="str" cm="1">
        <f t="array" ref="U87">angleDecimal2Txt(O87)</f>
        <v>+54°50.10 (+54.8350) [+54°50'06.00]</v>
      </c>
      <c r="V87" s="567"/>
      <c r="W87" s="567"/>
      <c r="X87" s="567"/>
      <c r="Y87" s="567"/>
      <c r="Z87" s="567"/>
      <c r="AC87" s="559"/>
      <c r="AD87" s="386" t="s">
        <v>827</v>
      </c>
    </row>
    <row r="88" spans="1:30" ht="17.25" customHeight="1" thickTop="1" thickBot="1">
      <c r="C88" s="360"/>
      <c r="D88" s="360"/>
      <c r="E88" s="360"/>
      <c r="F88" s="360"/>
      <c r="G88" s="360"/>
      <c r="H88" s="605" t="s">
        <v>24</v>
      </c>
      <c r="I88" s="606"/>
      <c r="J88" s="606"/>
      <c r="K88" s="606"/>
      <c r="L88" s="606"/>
      <c r="M88" s="606"/>
      <c r="N88" s="607"/>
      <c r="O88" s="688">
        <f>J20</f>
        <v>2.1666666666666667E-2</v>
      </c>
      <c r="P88" s="688"/>
      <c r="Q88" s="688"/>
      <c r="R88" s="688"/>
      <c r="S88" s="360" t="s">
        <v>54</v>
      </c>
      <c r="U88" s="567" t="str" cm="1">
        <f t="array" ref="U88">angleDecimal2Txt(O88)</f>
        <v>+00°01.30 (+00.0216) [+00°01'18.00]</v>
      </c>
      <c r="V88" s="567"/>
      <c r="W88" s="567"/>
      <c r="X88" s="567"/>
      <c r="Y88" s="567"/>
      <c r="Z88" s="567"/>
      <c r="AC88" s="3" t="s">
        <v>59</v>
      </c>
      <c r="AD88" s="5">
        <f>O88</f>
        <v>2.1666666666666667E-2</v>
      </c>
    </row>
    <row r="89" spans="1:30" ht="17.25" customHeight="1" thickTop="1" thickBot="1">
      <c r="G89" s="360"/>
      <c r="H89" s="605" t="s">
        <v>68</v>
      </c>
      <c r="I89" s="606"/>
      <c r="J89" s="606"/>
      <c r="K89" s="606"/>
      <c r="L89" s="606"/>
      <c r="M89" s="606"/>
      <c r="N89" s="607"/>
      <c r="O89" s="595">
        <f>AD90</f>
        <v>4.1436457377531689E-2</v>
      </c>
      <c r="P89" s="595"/>
      <c r="Q89" s="595"/>
      <c r="R89" s="595"/>
      <c r="S89" s="360" t="s">
        <v>54</v>
      </c>
      <c r="U89" s="567" t="str" cm="1">
        <f t="array" ref="U89">angleDecimal2Txt(O89)</f>
        <v>+00°02.48 (+00.0414) [+00°02'29.17]</v>
      </c>
      <c r="V89" s="567"/>
      <c r="W89" s="567"/>
      <c r="X89" s="567"/>
      <c r="Y89" s="567"/>
      <c r="Z89" s="567"/>
      <c r="AC89" s="3" t="s">
        <v>46</v>
      </c>
      <c r="AD89" s="3">
        <f>J19</f>
        <v>2</v>
      </c>
    </row>
    <row r="90" spans="1:30" ht="17.25" customHeight="1" thickTop="1" thickBot="1">
      <c r="K90" s="370"/>
      <c r="L90" s="370"/>
      <c r="M90" s="783" t="s">
        <v>113</v>
      </c>
      <c r="N90" s="784"/>
      <c r="O90" s="784"/>
      <c r="P90" s="785"/>
      <c r="Q90" s="370"/>
      <c r="R90" s="370"/>
      <c r="U90" s="370"/>
      <c r="V90" s="370"/>
      <c r="W90" s="370"/>
      <c r="X90" s="370"/>
      <c r="Y90" s="370"/>
      <c r="Z90" s="370"/>
      <c r="AC90" s="70" t="s">
        <v>67</v>
      </c>
      <c r="AD90" s="3">
        <f>0.0293 * SQRT(AD89)</f>
        <v>4.1436457377531689E-2</v>
      </c>
    </row>
    <row r="91" spans="1:30" ht="17.25" customHeight="1" thickTop="1" thickBot="1">
      <c r="G91" s="360"/>
      <c r="H91" s="695" t="s">
        <v>397</v>
      </c>
      <c r="I91" s="659"/>
      <c r="J91" s="659"/>
      <c r="K91" s="659"/>
      <c r="L91" s="659"/>
      <c r="M91" s="659"/>
      <c r="N91" s="660"/>
      <c r="O91" s="597">
        <f>O87-O88-O89</f>
        <v>54.771896875955804</v>
      </c>
      <c r="P91" s="598"/>
      <c r="Q91" s="360" t="s">
        <v>54</v>
      </c>
      <c r="R91" s="859">
        <f>O91*Outils!F4</f>
        <v>0.95594993804822503</v>
      </c>
      <c r="S91" s="859"/>
      <c r="T91" s="35" t="s">
        <v>64</v>
      </c>
      <c r="U91" s="567" t="str" cm="1">
        <f t="array" ref="U91">angleDecimal2Txt(O91)</f>
        <v>+54°46.31 (+54.7718) [+54°46'18.82]</v>
      </c>
      <c r="V91" s="567"/>
      <c r="W91" s="567"/>
      <c r="X91" s="567"/>
      <c r="Y91" s="567"/>
      <c r="Z91" s="567"/>
    </row>
    <row r="92" spans="1:30" ht="17.25" customHeight="1" thickTop="1" thickBot="1">
      <c r="C92" s="360"/>
      <c r="D92" s="360"/>
      <c r="E92" s="360"/>
      <c r="F92" s="360"/>
      <c r="G92" s="360"/>
      <c r="H92" s="370"/>
      <c r="I92" s="370"/>
      <c r="J92" s="370"/>
      <c r="K92" s="370"/>
      <c r="L92" s="370"/>
      <c r="M92" s="370"/>
      <c r="N92" s="370"/>
      <c r="O92" s="370"/>
      <c r="P92" s="370"/>
      <c r="Q92" s="370"/>
      <c r="R92" s="370"/>
      <c r="U92" s="370"/>
      <c r="V92" s="370"/>
      <c r="W92" s="370"/>
      <c r="X92" s="370"/>
      <c r="Y92" s="370"/>
      <c r="Z92" s="370"/>
    </row>
    <row r="93" spans="1:30" ht="17.25" customHeight="1" thickTop="1" thickBot="1">
      <c r="A93" s="370"/>
      <c r="B93" s="370"/>
      <c r="C93" s="370"/>
      <c r="D93" s="370"/>
      <c r="E93" s="370"/>
      <c r="F93" s="360"/>
      <c r="G93" s="360"/>
      <c r="H93" s="685" t="s">
        <v>52</v>
      </c>
      <c r="I93" s="686"/>
      <c r="J93" s="686"/>
      <c r="K93" s="686"/>
      <c r="L93" s="686"/>
      <c r="M93" s="686"/>
      <c r="N93" s="687"/>
      <c r="O93" s="599">
        <f>J24</f>
        <v>2.8833333333333302E-3</v>
      </c>
      <c r="P93" s="600"/>
      <c r="Q93" s="600"/>
      <c r="R93" s="600"/>
      <c r="S93" s="360" t="s">
        <v>54</v>
      </c>
      <c r="U93" s="567" t="str" cm="1">
        <f t="array" ref="U93">angleDecimal2Txt(O93)</f>
        <v>+00°00.17 (+00.0028) [+00°00'10.37]</v>
      </c>
      <c r="V93" s="567"/>
      <c r="W93" s="567"/>
      <c r="X93" s="567"/>
      <c r="Y93" s="567"/>
      <c r="Z93" s="567"/>
      <c r="AC93" s="3" t="s">
        <v>183</v>
      </c>
      <c r="AD93" s="3">
        <f>O93*COS(R91)</f>
        <v>1.6632019605044856E-3</v>
      </c>
    </row>
    <row r="94" spans="1:30" ht="17.25" customHeight="1" thickTop="1" thickBot="1">
      <c r="A94" s="370"/>
      <c r="B94" s="370"/>
      <c r="C94" s="370"/>
      <c r="D94" s="370"/>
      <c r="E94" s="370"/>
      <c r="F94" s="360"/>
      <c r="G94" s="360"/>
      <c r="H94" s="658" t="s">
        <v>140</v>
      </c>
      <c r="I94" s="659"/>
      <c r="J94" s="659"/>
      <c r="K94" s="659"/>
      <c r="L94" s="659"/>
      <c r="M94" s="659"/>
      <c r="N94" s="660"/>
      <c r="O94" s="572">
        <f>AD94</f>
        <v>1.6632019600360658E-3</v>
      </c>
      <c r="P94" s="572"/>
      <c r="Q94" s="572"/>
      <c r="R94" s="572"/>
      <c r="S94" s="360" t="s">
        <v>54</v>
      </c>
      <c r="U94" s="567" t="str" cm="1">
        <f t="array" ref="U94">angleDecimal2Txt(O94)</f>
        <v>+00°00.09 (+00.0016) [+00°00'05.98]</v>
      </c>
      <c r="V94" s="567"/>
      <c r="W94" s="567"/>
      <c r="X94" s="567"/>
      <c r="Y94" s="567"/>
      <c r="Z94" s="567"/>
      <c r="AC94" s="390" t="s">
        <v>658</v>
      </c>
      <c r="AD94" s="361">
        <f>ASIN(SIN(O93*Outils!F4)*COS(R91))*Outils!F5</f>
        <v>1.6632019600360658E-3</v>
      </c>
    </row>
    <row r="95" spans="1:30" ht="17.25" customHeight="1" thickTop="1">
      <c r="A95" s="370"/>
      <c r="B95" s="370"/>
      <c r="C95" s="370"/>
      <c r="D95" s="370"/>
      <c r="E95" s="370"/>
      <c r="F95" s="360"/>
      <c r="G95" s="360"/>
      <c r="H95" s="370"/>
      <c r="I95" s="370"/>
      <c r="J95" s="370"/>
      <c r="K95" s="370"/>
      <c r="L95" s="370"/>
      <c r="M95" s="370"/>
      <c r="N95" s="370"/>
      <c r="O95" s="370"/>
      <c r="P95" s="370"/>
      <c r="Q95" s="370"/>
      <c r="R95" s="370"/>
      <c r="S95" s="370"/>
      <c r="T95" s="370"/>
      <c r="U95" s="370"/>
      <c r="V95" s="370"/>
      <c r="W95" s="370"/>
      <c r="X95" s="370"/>
      <c r="Y95" s="370"/>
      <c r="Z95" s="370"/>
    </row>
    <row r="96" spans="1:30" ht="17.25" customHeight="1">
      <c r="A96" s="370"/>
      <c r="B96" s="370"/>
      <c r="C96" s="370"/>
      <c r="D96" s="370"/>
      <c r="F96" s="360"/>
      <c r="G96" s="360"/>
      <c r="H96" s="370"/>
      <c r="I96" s="370"/>
      <c r="J96" s="370"/>
      <c r="K96" s="370"/>
      <c r="L96" s="370"/>
      <c r="M96" s="370"/>
      <c r="N96" s="370"/>
      <c r="O96" s="370"/>
      <c r="S96" s="622" t="s">
        <v>126</v>
      </c>
      <c r="T96" s="623"/>
      <c r="U96" s="624"/>
      <c r="Y96" s="370"/>
      <c r="Z96" s="370"/>
      <c r="AC96" s="3" t="s">
        <v>49</v>
      </c>
      <c r="AD96" s="3" t="s">
        <v>185</v>
      </c>
    </row>
    <row r="97" spans="1:31" ht="17.25" customHeight="1">
      <c r="A97" s="370"/>
      <c r="B97" s="370"/>
      <c r="C97" s="370"/>
      <c r="D97" s="370"/>
      <c r="F97" s="360"/>
      <c r="G97" s="360"/>
      <c r="H97" s="685" t="s">
        <v>65</v>
      </c>
      <c r="I97" s="686"/>
      <c r="J97" s="686"/>
      <c r="K97" s="686"/>
      <c r="L97" s="686"/>
      <c r="M97" s="686"/>
      <c r="N97" s="687"/>
      <c r="O97" s="702">
        <f>S97</f>
        <v>10</v>
      </c>
      <c r="P97" s="703"/>
      <c r="Q97" s="703"/>
      <c r="R97" s="703"/>
      <c r="S97" s="780">
        <v>10</v>
      </c>
      <c r="T97" s="781"/>
      <c r="U97" s="782"/>
      <c r="Y97" s="370"/>
      <c r="Z97" s="370"/>
      <c r="AC97" s="3" t="s">
        <v>186</v>
      </c>
      <c r="AD97" s="3">
        <f>1/TAN((O91 + 7.31 / (O91 + 4.4)) * Outils!F4)</f>
        <v>0.70293080029944766</v>
      </c>
    </row>
    <row r="98" spans="1:31" ht="17.25" customHeight="1" thickBot="1">
      <c r="A98" s="370"/>
      <c r="B98" s="370"/>
      <c r="C98" s="370"/>
      <c r="D98" s="370"/>
      <c r="E98" s="370"/>
      <c r="F98" s="360"/>
      <c r="G98" s="360"/>
      <c r="H98" s="685" t="s">
        <v>66</v>
      </c>
      <c r="I98" s="686"/>
      <c r="J98" s="686"/>
      <c r="K98" s="686"/>
      <c r="L98" s="686"/>
      <c r="M98" s="686"/>
      <c r="N98" s="687"/>
      <c r="O98" s="702">
        <f>S98</f>
        <v>1010</v>
      </c>
      <c r="P98" s="703"/>
      <c r="Q98" s="703"/>
      <c r="R98" s="703"/>
      <c r="S98" s="780">
        <v>1010</v>
      </c>
      <c r="T98" s="781"/>
      <c r="U98" s="782"/>
      <c r="Y98" s="370"/>
      <c r="Z98" s="370"/>
      <c r="AC98" s="3" t="s">
        <v>187</v>
      </c>
      <c r="AD98" s="3">
        <f>AD97/60</f>
        <v>1.1715513338324128E-2</v>
      </c>
    </row>
    <row r="99" spans="1:31" ht="17.25" customHeight="1" thickTop="1" thickBot="1">
      <c r="A99" s="370"/>
      <c r="B99" s="370"/>
      <c r="C99" s="370"/>
      <c r="D99" s="370"/>
      <c r="E99" s="370"/>
      <c r="F99" s="360"/>
      <c r="G99" s="360"/>
      <c r="H99" s="658" t="s">
        <v>141</v>
      </c>
      <c r="I99" s="659"/>
      <c r="J99" s="659"/>
      <c r="K99" s="659"/>
      <c r="L99" s="659"/>
      <c r="M99" s="659"/>
      <c r="N99" s="660"/>
      <c r="O99" s="572">
        <f>AD100</f>
        <v>1.1707233823597398E-2</v>
      </c>
      <c r="P99" s="572"/>
      <c r="Q99" s="572"/>
      <c r="R99" s="572"/>
      <c r="S99" s="360" t="s">
        <v>54</v>
      </c>
      <c r="U99" s="567" t="str" cm="1">
        <f t="array" ref="U99">angleDecimal2Txt(O99)</f>
        <v>+00°00.70 (+00.0117) [+00°00'42.14]</v>
      </c>
      <c r="V99" s="567"/>
      <c r="W99" s="567"/>
      <c r="X99" s="567"/>
      <c r="Y99" s="567"/>
      <c r="Z99" s="567"/>
      <c r="AC99" s="3" t="s">
        <v>96</v>
      </c>
      <c r="AD99" s="3">
        <f xml:space="preserve"> 0.28 * O98 / (273 + O97)</f>
        <v>0.99929328621908131</v>
      </c>
    </row>
    <row r="100" spans="1:31" ht="17.25" customHeight="1" thickTop="1">
      <c r="A100" s="370"/>
      <c r="B100" s="370"/>
      <c r="C100" s="370"/>
      <c r="D100" s="370"/>
      <c r="E100" s="370"/>
      <c r="F100" s="360"/>
      <c r="G100" s="360"/>
      <c r="H100" s="370"/>
      <c r="I100" s="370"/>
      <c r="J100" s="370"/>
      <c r="K100" s="370"/>
      <c r="L100" s="370"/>
      <c r="M100" s="370"/>
      <c r="N100" s="370"/>
      <c r="O100" s="370"/>
      <c r="Y100" s="370"/>
      <c r="Z100" s="370"/>
      <c r="AC100" s="3" t="s">
        <v>184</v>
      </c>
      <c r="AD100" s="3">
        <f>AD99*AD98</f>
        <v>1.1707233823597398E-2</v>
      </c>
    </row>
    <row r="101" spans="1:31" ht="17.25" customHeight="1">
      <c r="A101" s="370"/>
      <c r="B101" s="370"/>
      <c r="C101" s="370"/>
      <c r="D101" s="370"/>
      <c r="E101" s="370"/>
      <c r="F101" s="360"/>
      <c r="G101" s="360"/>
      <c r="H101" s="685" t="s">
        <v>100</v>
      </c>
      <c r="I101" s="686"/>
      <c r="J101" s="686"/>
      <c r="K101" s="686"/>
      <c r="L101" s="686"/>
      <c r="M101" s="686"/>
      <c r="N101" s="687"/>
      <c r="O101" s="711">
        <f>J27</f>
        <v>0.52666666699999998</v>
      </c>
      <c r="P101" s="711"/>
      <c r="Q101" s="711"/>
      <c r="R101" s="711"/>
    </row>
    <row r="102" spans="1:31" ht="17.25" customHeight="1" thickBot="1">
      <c r="B102" s="370"/>
      <c r="C102" s="370"/>
      <c r="D102" s="370"/>
      <c r="H102" s="685" t="s">
        <v>70</v>
      </c>
      <c r="I102" s="686"/>
      <c r="J102" s="686"/>
      <c r="K102" s="686"/>
      <c r="L102" s="686"/>
      <c r="M102" s="686"/>
      <c r="N102" s="687"/>
      <c r="O102" s="711" t="str">
        <f>J23</f>
        <v>BordInf</v>
      </c>
      <c r="P102" s="711"/>
      <c r="Q102" s="711"/>
      <c r="R102" s="711"/>
      <c r="AC102" s="3" t="s">
        <v>30</v>
      </c>
      <c r="AD102" s="564" t="str">
        <f>J22</f>
        <v>Soleil</v>
      </c>
      <c r="AE102" s="564"/>
    </row>
    <row r="103" spans="1:31" ht="17.25" customHeight="1" thickTop="1" thickBot="1">
      <c r="H103" s="658" t="s">
        <v>71</v>
      </c>
      <c r="I103" s="659"/>
      <c r="J103" s="659"/>
      <c r="K103" s="659"/>
      <c r="L103" s="659"/>
      <c r="M103" s="659"/>
      <c r="N103" s="660"/>
      <c r="O103" s="555">
        <f>AD104</f>
        <v>0.26333333349999999</v>
      </c>
      <c r="P103" s="555"/>
      <c r="Q103" s="555"/>
      <c r="R103" s="555"/>
      <c r="S103" s="360" t="s">
        <v>54</v>
      </c>
      <c r="U103" s="567" t="str" cm="1">
        <f t="array" ref="U103">angleDecimal2Txt(O103)</f>
        <v>+00°15.80 (+00.2633) [+00°15'48.00]</v>
      </c>
      <c r="V103" s="567"/>
      <c r="W103" s="567"/>
      <c r="X103" s="567"/>
      <c r="Y103" s="567"/>
      <c r="Z103" s="567"/>
      <c r="AC103" s="3" t="s">
        <v>190</v>
      </c>
      <c r="AD103" s="564" t="str">
        <f>O102</f>
        <v>BordInf</v>
      </c>
      <c r="AE103" s="564"/>
    </row>
    <row r="104" spans="1:31" ht="17.25" customHeight="1" thickTop="1">
      <c r="H104" s="370"/>
      <c r="I104" s="370"/>
      <c r="J104" s="370"/>
      <c r="K104" s="370"/>
      <c r="L104" s="370"/>
      <c r="M104" s="370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C104" s="3" t="s">
        <v>191</v>
      </c>
      <c r="AD104" s="777" cm="1">
        <f t="array" ref="AD104">astroDiametreSoleilEnDegre(AA7,AD103)</f>
        <v>0.26333333349999999</v>
      </c>
      <c r="AE104" s="777"/>
    </row>
    <row r="105" spans="1:31" ht="17.25" customHeight="1">
      <c r="G105" s="716" t="s">
        <v>107</v>
      </c>
      <c r="H105" s="717"/>
      <c r="I105" s="717"/>
      <c r="J105" s="717"/>
      <c r="K105" s="717"/>
      <c r="L105" s="717"/>
      <c r="M105" s="717"/>
      <c r="N105" s="717"/>
      <c r="O105" s="717"/>
      <c r="P105" s="717"/>
      <c r="Q105" s="717"/>
      <c r="R105" s="717"/>
      <c r="S105" s="718"/>
      <c r="T105" s="370"/>
      <c r="U105" s="370"/>
      <c r="V105" s="370"/>
      <c r="W105" s="370"/>
      <c r="X105" s="370"/>
      <c r="Y105" s="370"/>
      <c r="Z105" s="370"/>
    </row>
    <row r="106" spans="1:31" ht="17.25" customHeight="1">
      <c r="G106" s="704" t="s">
        <v>115</v>
      </c>
      <c r="H106" s="705"/>
      <c r="I106" s="824" t="s">
        <v>110</v>
      </c>
      <c r="J106" s="825"/>
      <c r="K106" s="825"/>
      <c r="L106" s="825"/>
      <c r="M106" s="825"/>
      <c r="N106" s="826"/>
      <c r="O106" s="829">
        <f>(O94-O99-O89+O101/2) * 60</f>
        <v>12.711170655534417</v>
      </c>
      <c r="P106" s="822"/>
      <c r="Q106" s="822"/>
      <c r="R106" s="822"/>
      <c r="S106" s="827" t="s">
        <v>108</v>
      </c>
      <c r="T106" s="370"/>
      <c r="U106" s="370"/>
      <c r="V106" s="370"/>
      <c r="W106" s="370"/>
      <c r="X106" s="370"/>
      <c r="Y106" s="370"/>
      <c r="Z106" s="370"/>
    </row>
    <row r="107" spans="1:31" ht="17.25" customHeight="1">
      <c r="G107" s="706"/>
      <c r="H107" s="707"/>
      <c r="I107" s="713" t="s">
        <v>114</v>
      </c>
      <c r="J107" s="714"/>
      <c r="K107" s="714"/>
      <c r="L107" s="714"/>
      <c r="M107" s="714"/>
      <c r="N107" s="715"/>
      <c r="O107" s="830"/>
      <c r="P107" s="823"/>
      <c r="Q107" s="823"/>
      <c r="R107" s="823"/>
      <c r="S107" s="828"/>
      <c r="T107" s="370"/>
      <c r="U107" s="370"/>
      <c r="V107" s="370"/>
      <c r="W107" s="370"/>
      <c r="X107" s="370"/>
      <c r="Y107" s="370"/>
      <c r="Z107" s="370"/>
    </row>
    <row r="108" spans="1:31" ht="17.25" customHeight="1">
      <c r="H108" s="370"/>
      <c r="I108" s="824" t="s">
        <v>111</v>
      </c>
      <c r="J108" s="825"/>
      <c r="K108" s="825"/>
      <c r="L108" s="825"/>
      <c r="M108" s="825"/>
      <c r="N108" s="826"/>
      <c r="O108" s="822">
        <f>(O94-O99+O101/2)*60</f>
        <v>15.197358098186319</v>
      </c>
      <c r="P108" s="822"/>
      <c r="Q108" s="822"/>
      <c r="R108" s="822"/>
      <c r="S108" s="827" t="s">
        <v>108</v>
      </c>
      <c r="T108" s="370"/>
      <c r="U108" s="370"/>
      <c r="V108" s="370"/>
      <c r="W108" s="370"/>
      <c r="X108" s="370"/>
      <c r="Y108" s="370"/>
      <c r="Z108" s="370"/>
    </row>
    <row r="109" spans="1:31" ht="17.25" customHeight="1">
      <c r="H109" s="370"/>
      <c r="I109" s="713" t="s">
        <v>112</v>
      </c>
      <c r="J109" s="714"/>
      <c r="K109" s="714"/>
      <c r="L109" s="714"/>
      <c r="M109" s="714"/>
      <c r="N109" s="715"/>
      <c r="O109" s="823"/>
      <c r="P109" s="823"/>
      <c r="Q109" s="823"/>
      <c r="R109" s="823"/>
      <c r="S109" s="828"/>
      <c r="T109" s="370"/>
      <c r="U109" s="370"/>
      <c r="V109" s="370"/>
      <c r="W109" s="370"/>
      <c r="X109" s="370"/>
      <c r="Y109" s="370"/>
      <c r="Z109" s="370"/>
    </row>
    <row r="110" spans="1:31" ht="17.25" customHeight="1">
      <c r="H110" s="370"/>
      <c r="I110" s="696" t="s">
        <v>71</v>
      </c>
      <c r="J110" s="697"/>
      <c r="K110" s="697"/>
      <c r="L110" s="697"/>
      <c r="M110" s="697"/>
      <c r="N110" s="698"/>
      <c r="O110" s="818">
        <f>O103*60</f>
        <v>15.80000001</v>
      </c>
      <c r="P110" s="819"/>
      <c r="Q110" s="819"/>
      <c r="R110" s="819"/>
      <c r="S110" s="71" t="s">
        <v>108</v>
      </c>
      <c r="T110" s="370"/>
      <c r="U110" s="370"/>
      <c r="V110" s="370"/>
      <c r="W110" s="370"/>
      <c r="X110" s="370"/>
      <c r="Y110" s="370"/>
      <c r="Z110" s="370"/>
    </row>
    <row r="111" spans="1:31" ht="17.25" customHeight="1" thickBot="1">
      <c r="H111" s="370"/>
      <c r="I111" s="370"/>
      <c r="J111" s="370"/>
      <c r="K111" s="370"/>
      <c r="L111" s="370"/>
      <c r="M111" s="370"/>
      <c r="N111" s="370"/>
      <c r="O111" s="370"/>
      <c r="P111" s="370"/>
      <c r="Q111" s="370"/>
      <c r="R111" s="370"/>
    </row>
    <row r="112" spans="1:31" ht="17.25" customHeight="1" thickTop="1" thickBot="1">
      <c r="H112" s="831" t="s">
        <v>398</v>
      </c>
      <c r="I112" s="832"/>
      <c r="J112" s="832"/>
      <c r="K112" s="832"/>
      <c r="L112" s="832"/>
      <c r="M112" s="832"/>
      <c r="N112" s="833"/>
      <c r="O112" s="598">
        <f>O91-O99+O94+O103</f>
        <v>55.025186177592239</v>
      </c>
      <c r="P112" s="572"/>
      <c r="Q112" s="572"/>
      <c r="R112" s="572"/>
      <c r="S112" s="360" t="s">
        <v>54</v>
      </c>
      <c r="U112" s="567" t="str" cm="1">
        <f t="array" ref="U112">angleDecimal2Txt(O112)</f>
        <v>+55°01.51 (+55.0251) [+55°01'30.67]</v>
      </c>
      <c r="V112" s="567"/>
      <c r="W112" s="567"/>
      <c r="X112" s="567"/>
      <c r="Y112" s="567"/>
      <c r="Z112" s="567"/>
    </row>
    <row r="113" spans="2:28" ht="17.25" customHeight="1" thickTop="1"/>
    <row r="114" spans="2:28" ht="17.25" hidden="1" customHeight="1">
      <c r="F114" s="786" t="s">
        <v>63</v>
      </c>
      <c r="G114" s="786"/>
      <c r="H114" s="786"/>
      <c r="I114" s="786"/>
      <c r="J114" s="572" t="str">
        <f>IF(G85=AD85,O122,"---")</f>
        <v>---</v>
      </c>
      <c r="K114" s="572"/>
      <c r="L114" s="572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</row>
    <row r="115" spans="2:28" ht="17.25" hidden="1" customHeight="1">
      <c r="F115" s="361"/>
      <c r="G115" s="361"/>
      <c r="H115" s="361"/>
      <c r="I115" s="361"/>
      <c r="J115" s="361"/>
      <c r="K115" s="361"/>
      <c r="L115" s="361"/>
    </row>
    <row r="116" spans="2:28" ht="17.25" hidden="1" customHeight="1">
      <c r="F116" s="361"/>
      <c r="G116" s="361"/>
      <c r="H116" s="361"/>
      <c r="I116" s="361"/>
      <c r="J116" s="361"/>
      <c r="K116" s="361"/>
      <c r="L116" s="361"/>
      <c r="T116" s="395" t="s">
        <v>82</v>
      </c>
      <c r="U116" s="700" t="s">
        <v>33</v>
      </c>
      <c r="V116" s="700"/>
    </row>
    <row r="117" spans="2:28" ht="17.25" hidden="1" customHeight="1">
      <c r="T117" s="396" t="s">
        <v>78</v>
      </c>
      <c r="U117" s="700" t="s">
        <v>80</v>
      </c>
      <c r="V117" s="700"/>
    </row>
    <row r="118" spans="2:28" ht="17.25" hidden="1" customHeight="1">
      <c r="H118" s="360" t="s">
        <v>72</v>
      </c>
      <c r="I118" s="397" t="s">
        <v>74</v>
      </c>
      <c r="J118" s="360" t="s">
        <v>60</v>
      </c>
      <c r="K118" s="648" t="s">
        <v>75</v>
      </c>
      <c r="L118" s="360" t="s">
        <v>59</v>
      </c>
      <c r="N118" s="648" t="s">
        <v>77</v>
      </c>
      <c r="O118" s="397" t="s">
        <v>230</v>
      </c>
      <c r="Q118" s="648" t="s">
        <v>77</v>
      </c>
      <c r="R118" s="360" t="s">
        <v>231</v>
      </c>
      <c r="T118" s="398" t="s">
        <v>79</v>
      </c>
      <c r="U118" s="701" t="s">
        <v>81</v>
      </c>
      <c r="V118" s="701"/>
      <c r="Z118" s="361"/>
      <c r="AA118" s="361"/>
    </row>
    <row r="119" spans="2:28" ht="17.25" hidden="1" customHeight="1" thickBot="1">
      <c r="I119" s="397"/>
      <c r="J119" s="40">
        <f>O87</f>
        <v>54.835000000000001</v>
      </c>
      <c r="K119" s="648"/>
      <c r="L119" s="810">
        <f>O88</f>
        <v>2.1666666666666667E-2</v>
      </c>
      <c r="M119" s="811"/>
      <c r="N119" s="648"/>
      <c r="O119" s="821" t="s">
        <v>146</v>
      </c>
      <c r="P119" s="821"/>
      <c r="Q119" s="648"/>
      <c r="R119" s="485" t="s">
        <v>79</v>
      </c>
      <c r="V119" s="361"/>
      <c r="W119" s="361"/>
      <c r="X119" s="361"/>
      <c r="Y119" s="361"/>
      <c r="Z119" s="361"/>
      <c r="AA119" s="361"/>
    </row>
    <row r="120" spans="2:28" ht="17.25" hidden="1" customHeight="1" thickTop="1" thickBot="1">
      <c r="I120" s="397"/>
      <c r="J120" s="361"/>
      <c r="K120" s="397" t="s">
        <v>229</v>
      </c>
      <c r="L120" s="812" cm="1">
        <f t="array" ref="L120">angleConvert2Decimal(L119)</f>
        <v>2.1666666666666699E-2</v>
      </c>
      <c r="M120" s="813"/>
      <c r="O120" s="816" cm="1">
        <f t="array" ref="O120">angleConvert2Decimal(O119)</f>
        <v>0.17166666666666669</v>
      </c>
      <c r="P120" s="817"/>
      <c r="Q120" s="390"/>
      <c r="R120" s="357" cm="1">
        <f t="array" ref="R120">angleConvert2Decimal(R119)</f>
        <v>-0.53333333333333333</v>
      </c>
      <c r="S120" s="361"/>
      <c r="T120" s="7" t="s">
        <v>103</v>
      </c>
      <c r="U120" s="7"/>
      <c r="V120" s="7">
        <f>R120+O120</f>
        <v>-0.36166666666666664</v>
      </c>
      <c r="W120" s="708" t="str" cm="1">
        <f t="array" ref="W120">angleDecimal2Txt(V120)</f>
        <v>-00°21.69 (-00.3616) [-00°21'42.00]</v>
      </c>
      <c r="X120" s="709"/>
      <c r="Y120" s="709"/>
      <c r="Z120" s="709"/>
      <c r="AA120" s="570"/>
    </row>
    <row r="121" spans="2:28" ht="17.25" hidden="1" customHeight="1" thickTop="1" thickBot="1">
      <c r="I121" s="397"/>
      <c r="K121" s="397"/>
      <c r="N121" s="397"/>
      <c r="Q121" s="397"/>
      <c r="R121" s="399"/>
    </row>
    <row r="122" spans="2:28" ht="17.25" hidden="1" customHeight="1" thickTop="1" thickBot="1">
      <c r="H122" s="831" t="s">
        <v>145</v>
      </c>
      <c r="I122" s="832"/>
      <c r="J122" s="832"/>
      <c r="K122" s="832"/>
      <c r="L122" s="832"/>
      <c r="M122" s="832"/>
      <c r="N122" s="833"/>
      <c r="O122" s="598">
        <f>J119-L120+O120+R120</f>
        <v>54.451666666666668</v>
      </c>
      <c r="P122" s="572"/>
      <c r="Q122" s="572"/>
      <c r="R122" s="572"/>
      <c r="S122" s="360" t="s">
        <v>54</v>
      </c>
      <c r="U122" s="567" t="str" cm="1">
        <f t="array" ref="U122">angleDecimal2Txt(O122)</f>
        <v>+54°27.10 (+54.4516) [+54°27'06.00]</v>
      </c>
      <c r="V122" s="567"/>
      <c r="W122" s="567"/>
      <c r="X122" s="567"/>
      <c r="Y122" s="567"/>
      <c r="Z122" s="567"/>
    </row>
    <row r="123" spans="2:28" ht="17.25" customHeight="1" thickBot="1">
      <c r="D123" s="400"/>
    </row>
    <row r="124" spans="2:28" ht="17.25" customHeight="1" thickBot="1">
      <c r="B124" s="373" t="s">
        <v>44</v>
      </c>
      <c r="C124" s="368"/>
      <c r="D124" s="435"/>
      <c r="E124" s="368"/>
      <c r="F124" s="368"/>
      <c r="G124" s="368"/>
      <c r="H124" s="368"/>
      <c r="I124" s="368"/>
      <c r="J124" s="368"/>
      <c r="K124" s="368"/>
      <c r="L124" s="368"/>
      <c r="M124" s="368"/>
      <c r="N124" s="368"/>
      <c r="O124" s="368"/>
      <c r="P124" s="368"/>
      <c r="Q124" s="368"/>
      <c r="R124" s="368"/>
      <c r="S124" s="368"/>
      <c r="T124" s="368"/>
      <c r="U124" s="368"/>
      <c r="V124" s="368"/>
      <c r="W124" s="368"/>
      <c r="X124" s="368"/>
      <c r="Y124" s="368"/>
      <c r="Z124" s="368"/>
      <c r="AA124" s="368"/>
      <c r="AB124" s="60"/>
    </row>
    <row r="125" spans="2:28" ht="17.25" customHeight="1">
      <c r="C125" s="360"/>
      <c r="D125" s="360"/>
      <c r="E125" s="360"/>
      <c r="F125" s="360"/>
      <c r="G125" s="360"/>
      <c r="O125" s="699" t="s">
        <v>356</v>
      </c>
      <c r="P125" s="699"/>
      <c r="Q125" s="699"/>
      <c r="R125" s="699"/>
      <c r="S125" s="699"/>
      <c r="T125" s="699"/>
      <c r="U125" s="699"/>
      <c r="V125" s="699"/>
      <c r="W125" s="699"/>
      <c r="X125" s="699"/>
      <c r="Y125" s="699"/>
      <c r="Z125" s="699"/>
      <c r="AA125" s="699"/>
    </row>
    <row r="126" spans="2:28" ht="17.25" customHeight="1">
      <c r="C126" s="370"/>
      <c r="D126" s="370"/>
      <c r="E126" s="689" t="s">
        <v>850</v>
      </c>
      <c r="F126" s="690"/>
      <c r="G126" s="690"/>
      <c r="H126" s="690"/>
      <c r="I126" s="625" cm="1">
        <f t="array" ref="I126">astroCalculHc(Q127,Q126,Q128)</f>
        <v>54.952035718344327</v>
      </c>
      <c r="J126" s="626"/>
      <c r="K126" s="626"/>
      <c r="L126" s="626"/>
      <c r="M126" s="627"/>
      <c r="O126" s="688" t="s">
        <v>84</v>
      </c>
      <c r="P126" s="688"/>
      <c r="Q126" s="688">
        <f>F38</f>
        <v>23.139085185185188</v>
      </c>
      <c r="R126" s="688"/>
      <c r="S126" s="688"/>
      <c r="T126" s="809" t="s">
        <v>54</v>
      </c>
      <c r="U126" s="587">
        <f>Q126*Outils!$F$4</f>
        <v>0.40385322238092336</v>
      </c>
      <c r="V126" s="588"/>
      <c r="W126" s="589"/>
      <c r="X126" s="809" t="s">
        <v>64</v>
      </c>
    </row>
    <row r="127" spans="2:28" ht="17.25" customHeight="1" thickBot="1">
      <c r="C127" s="370"/>
      <c r="D127" s="370"/>
      <c r="E127" s="691"/>
      <c r="F127" s="692"/>
      <c r="G127" s="692"/>
      <c r="H127" s="692"/>
      <c r="I127" s="727"/>
      <c r="J127" s="728"/>
      <c r="K127" s="728"/>
      <c r="L127" s="728"/>
      <c r="M127" s="814"/>
      <c r="N127" s="401" t="s">
        <v>116</v>
      </c>
      <c r="O127" s="688" t="s">
        <v>85</v>
      </c>
      <c r="P127" s="688"/>
      <c r="Q127" s="688">
        <f>G32</f>
        <v>46.1</v>
      </c>
      <c r="R127" s="688"/>
      <c r="S127" s="688"/>
      <c r="T127" s="809"/>
      <c r="U127" s="587">
        <f>Q127*Outils!$F$4</f>
        <v>0.80459678516938593</v>
      </c>
      <c r="V127" s="588"/>
      <c r="W127" s="589"/>
      <c r="X127" s="809"/>
    </row>
    <row r="128" spans="2:28" ht="17.25" customHeight="1" thickTop="1" thickBot="1">
      <c r="C128" s="370"/>
      <c r="D128" s="370"/>
      <c r="E128" s="693"/>
      <c r="F128" s="694"/>
      <c r="G128" s="694"/>
      <c r="H128" s="694"/>
      <c r="I128" s="708" t="str" cm="1">
        <f t="array" ref="I128">angleDecimal2Txt(I126)</f>
        <v>+54°57.12 (+54.9520) [+54°57'07.32]</v>
      </c>
      <c r="J128" s="709"/>
      <c r="K128" s="709"/>
      <c r="L128" s="709"/>
      <c r="M128" s="570"/>
      <c r="O128" s="688" t="s">
        <v>43</v>
      </c>
      <c r="P128" s="688"/>
      <c r="Q128" s="688">
        <f>F80</f>
        <v>327.12681388888893</v>
      </c>
      <c r="R128" s="688"/>
      <c r="S128" s="688"/>
      <c r="T128" s="809"/>
      <c r="U128" s="587">
        <f>Q128*Outils!$F$4</f>
        <v>5.709439973919828</v>
      </c>
      <c r="V128" s="588"/>
      <c r="W128" s="589"/>
      <c r="X128" s="809"/>
    </row>
    <row r="129" spans="1:30" ht="17.25" customHeight="1" thickTop="1">
      <c r="C129" s="370"/>
      <c r="D129" s="370"/>
      <c r="E129" s="360"/>
      <c r="F129" s="360"/>
      <c r="G129" s="360"/>
    </row>
    <row r="130" spans="1:30" ht="17.25" customHeight="1">
      <c r="C130" s="370"/>
      <c r="D130" s="370"/>
      <c r="E130" s="689" t="s">
        <v>849</v>
      </c>
      <c r="F130" s="690"/>
      <c r="G130" s="690"/>
      <c r="H130" s="690"/>
      <c r="I130" s="625">
        <f>F84</f>
        <v>55.025186177592239</v>
      </c>
      <c r="J130" s="626"/>
      <c r="K130" s="626"/>
      <c r="L130" s="626"/>
      <c r="M130" s="627"/>
    </row>
    <row r="131" spans="1:30" ht="17.25" customHeight="1" thickBot="1">
      <c r="C131" s="370"/>
      <c r="D131" s="370"/>
      <c r="E131" s="691"/>
      <c r="F131" s="692"/>
      <c r="G131" s="692"/>
      <c r="H131" s="692"/>
      <c r="I131" s="727"/>
      <c r="J131" s="728"/>
      <c r="K131" s="728"/>
      <c r="L131" s="728"/>
      <c r="M131" s="814"/>
      <c r="O131" s="562" t="s">
        <v>27</v>
      </c>
      <c r="P131" s="563"/>
      <c r="Q131" s="563"/>
      <c r="R131" s="563"/>
      <c r="S131" s="710"/>
      <c r="T131" s="250">
        <f>I130-I126</f>
        <v>7.3150459247912636E-2</v>
      </c>
      <c r="U131" s="188" t="s">
        <v>28</v>
      </c>
      <c r="V131" s="189">
        <f>T131*60</f>
        <v>4.3890275548747582</v>
      </c>
      <c r="W131" s="188" t="s">
        <v>104</v>
      </c>
      <c r="X131" s="719" t="str">
        <f>IF(T131&gt;0,"Vers Pg", "Oppose de Pg")</f>
        <v>Vers Pg</v>
      </c>
      <c r="Y131" s="719"/>
    </row>
    <row r="132" spans="1:30" ht="17.25" customHeight="1" thickTop="1" thickBot="1">
      <c r="C132" s="370"/>
      <c r="D132" s="370"/>
      <c r="E132" s="693"/>
      <c r="F132" s="694"/>
      <c r="G132" s="694"/>
      <c r="H132" s="694"/>
      <c r="I132" s="708" t="str" cm="1">
        <f t="array" ref="I132">angleDecimal2Txt(I130)</f>
        <v>+55°01.51 (+55.0251) [+55°01'30.67]</v>
      </c>
      <c r="J132" s="709"/>
      <c r="K132" s="709"/>
      <c r="L132" s="709"/>
      <c r="M132" s="570"/>
      <c r="O132" s="361"/>
      <c r="P132" s="361"/>
      <c r="Q132" s="361"/>
      <c r="S132" s="820" t="s">
        <v>357</v>
      </c>
      <c r="T132" s="712" t="s">
        <v>374</v>
      </c>
      <c r="U132" s="712"/>
      <c r="V132" s="712">
        <f>F38</f>
        <v>23.139085185185188</v>
      </c>
      <c r="W132" s="712"/>
      <c r="X132" s="815" t="str">
        <f>latitudeDecimal2Txt(V132)</f>
        <v>N 23°08.34 (N 23.1390) [N 23°08'20.70]</v>
      </c>
      <c r="Y132" s="815"/>
      <c r="Z132" s="815"/>
      <c r="AA132" s="815"/>
      <c r="AB132" s="815"/>
      <c r="AC132" s="815"/>
    </row>
    <row r="133" spans="1:30" ht="17.25" customHeight="1" thickTop="1">
      <c r="C133" s="370"/>
      <c r="D133" s="370"/>
      <c r="E133" s="360"/>
      <c r="F133" s="360"/>
      <c r="G133" s="360"/>
      <c r="S133" s="820"/>
      <c r="T133" s="839" t="s">
        <v>375</v>
      </c>
      <c r="U133" s="839"/>
      <c r="V133" s="712" cm="1">
        <f t="array" ref="V133">longitudeHoraire2longitude(F59)</f>
        <v>25.789852777777753</v>
      </c>
      <c r="W133" s="839"/>
      <c r="X133" s="860" t="str">
        <f>longitudeDecimal2Txt(V133)</f>
        <v>E 25°47.39 (E 25.7898) [E 25°47'23.46]</v>
      </c>
      <c r="Y133" s="860"/>
      <c r="Z133" s="860"/>
      <c r="AA133" s="860"/>
      <c r="AB133" s="860"/>
      <c r="AC133" s="860"/>
    </row>
    <row r="134" spans="1:30" ht="17.25" customHeight="1">
      <c r="C134" s="360"/>
      <c r="D134" s="360"/>
      <c r="E134" s="360"/>
      <c r="F134" s="360"/>
      <c r="T134" s="370"/>
      <c r="U134" s="370"/>
      <c r="V134" s="370"/>
      <c r="W134" s="370"/>
      <c r="X134" s="370"/>
      <c r="Y134" s="370"/>
    </row>
    <row r="135" spans="1:30" ht="17.25" customHeight="1">
      <c r="E135" s="360"/>
      <c r="F135" s="360"/>
      <c r="G135" s="360"/>
      <c r="T135" s="370"/>
      <c r="U135" s="370"/>
      <c r="V135" s="370"/>
      <c r="W135" s="370"/>
      <c r="X135" s="370"/>
      <c r="Y135" s="370"/>
    </row>
    <row r="136" spans="1:30" ht="17.25" customHeight="1">
      <c r="E136" s="360"/>
      <c r="O136" s="834" t="s">
        <v>86</v>
      </c>
      <c r="P136" s="835"/>
      <c r="Q136" s="835"/>
      <c r="R136" s="835"/>
      <c r="S136" s="835"/>
      <c r="T136" s="835"/>
      <c r="U136" s="835"/>
      <c r="V136" s="835"/>
      <c r="W136" s="835"/>
      <c r="X136" s="835"/>
      <c r="Y136" s="835"/>
      <c r="Z136" s="835"/>
      <c r="AA136" s="835"/>
    </row>
    <row r="137" spans="1:30" ht="17.25" customHeight="1">
      <c r="E137" s="360"/>
      <c r="F137" s="360"/>
      <c r="G137" s="360"/>
      <c r="O137" s="688" t="s">
        <v>222</v>
      </c>
      <c r="P137" s="688"/>
      <c r="Q137" s="688">
        <f>I126</f>
        <v>54.952035718344327</v>
      </c>
      <c r="R137" s="688"/>
      <c r="S137" s="688"/>
      <c r="T137" s="836" t="s">
        <v>54</v>
      </c>
      <c r="U137" s="688">
        <f>Q137*Outils!$F$4</f>
        <v>0.95909395395863584</v>
      </c>
      <c r="V137" s="688"/>
      <c r="W137" s="688"/>
      <c r="X137" s="809" t="s">
        <v>64</v>
      </c>
    </row>
    <row r="138" spans="1:30" ht="17.25" customHeight="1">
      <c r="A138" s="370"/>
      <c r="B138" s="370"/>
      <c r="C138" s="370"/>
      <c r="D138" s="370"/>
      <c r="E138" s="846" t="s">
        <v>92</v>
      </c>
      <c r="F138" s="847"/>
      <c r="G138" s="847"/>
      <c r="H138" s="848"/>
      <c r="I138" s="625" cm="1">
        <f t="array" ref="I138">astroCalculZ(Q139,Q138,Q140)</f>
        <v>119.64061768798078</v>
      </c>
      <c r="J138" s="626"/>
      <c r="K138" s="626"/>
      <c r="L138" s="626"/>
      <c r="M138" s="627"/>
      <c r="O138" s="688" t="s">
        <v>84</v>
      </c>
      <c r="P138" s="688"/>
      <c r="Q138" s="688">
        <f>F38</f>
        <v>23.139085185185188</v>
      </c>
      <c r="R138" s="688"/>
      <c r="S138" s="688"/>
      <c r="T138" s="836"/>
      <c r="U138" s="688">
        <f>Q138*Outils!$F$4</f>
        <v>0.40385322238092336</v>
      </c>
      <c r="V138" s="688"/>
      <c r="W138" s="688"/>
      <c r="X138" s="809"/>
    </row>
    <row r="139" spans="1:30" ht="17.25" customHeight="1" thickBot="1">
      <c r="C139" s="370"/>
      <c r="D139" s="370"/>
      <c r="E139" s="849"/>
      <c r="F139" s="850"/>
      <c r="G139" s="850"/>
      <c r="H139" s="851"/>
      <c r="I139" s="727"/>
      <c r="J139" s="728"/>
      <c r="K139" s="728"/>
      <c r="L139" s="728"/>
      <c r="M139" s="814"/>
      <c r="N139" s="401" t="s">
        <v>116</v>
      </c>
      <c r="O139" s="688" t="s">
        <v>85</v>
      </c>
      <c r="P139" s="688"/>
      <c r="Q139" s="688">
        <f>G32</f>
        <v>46.1</v>
      </c>
      <c r="R139" s="688"/>
      <c r="S139" s="688"/>
      <c r="T139" s="836"/>
      <c r="U139" s="688">
        <f>Q139*Outils!$F$4</f>
        <v>0.80459678516938593</v>
      </c>
      <c r="V139" s="688"/>
      <c r="W139" s="688"/>
      <c r="X139" s="809"/>
    </row>
    <row r="140" spans="1:30" ht="17.25" customHeight="1" thickTop="1" thickBot="1">
      <c r="C140" s="370"/>
      <c r="D140" s="370"/>
      <c r="E140" s="852"/>
      <c r="F140" s="853"/>
      <c r="G140" s="853"/>
      <c r="H140" s="854"/>
      <c r="I140" s="866" t="str" cm="1">
        <f t="array" ref="I140">angleDecimal2Txt(I138)</f>
        <v>+119°38.43 (+119.6406) [+119°38'26.22]</v>
      </c>
      <c r="J140" s="867"/>
      <c r="K140" s="867"/>
      <c r="L140" s="867"/>
      <c r="M140" s="868"/>
      <c r="O140" s="688" t="s">
        <v>43</v>
      </c>
      <c r="P140" s="688"/>
      <c r="Q140" s="688">
        <f>F80</f>
        <v>327.12681388888893</v>
      </c>
      <c r="R140" s="688"/>
      <c r="S140" s="688"/>
      <c r="T140" s="836"/>
      <c r="U140" s="688">
        <f>Q140*Outils!$F$4</f>
        <v>5.709439973919828</v>
      </c>
      <c r="V140" s="688"/>
      <c r="W140" s="688"/>
      <c r="X140" s="809"/>
    </row>
    <row r="141" spans="1:30" ht="17.25" customHeight="1" thickTop="1">
      <c r="C141" s="370"/>
      <c r="D141" s="370"/>
      <c r="E141" s="360"/>
      <c r="F141" s="360"/>
      <c r="G141" s="360"/>
    </row>
    <row r="142" spans="1:30" ht="17.25" customHeight="1">
      <c r="C142" s="360"/>
      <c r="D142" s="360"/>
      <c r="F142" s="360"/>
      <c r="G142" s="360"/>
      <c r="I142" s="796" t="s">
        <v>143</v>
      </c>
      <c r="J142" s="797"/>
      <c r="K142" s="797"/>
      <c r="L142" s="797"/>
      <c r="M142" s="797"/>
      <c r="N142" s="798"/>
      <c r="O142" s="796" t="s">
        <v>144</v>
      </c>
      <c r="P142" s="797"/>
      <c r="Q142" s="797"/>
      <c r="R142" s="797"/>
      <c r="S142" s="797"/>
      <c r="T142" s="798"/>
      <c r="AD142" s="402"/>
    </row>
    <row r="143" spans="1:30" ht="17.25" customHeight="1">
      <c r="F143" s="360"/>
      <c r="G143" s="360"/>
      <c r="I143" s="840"/>
      <c r="J143" s="801" t="s">
        <v>117</v>
      </c>
      <c r="K143" s="802"/>
      <c r="L143" s="803"/>
      <c r="M143" s="807" t="s">
        <v>118</v>
      </c>
      <c r="N143" s="808"/>
      <c r="O143" s="840"/>
      <c r="P143" s="801" t="s">
        <v>117</v>
      </c>
      <c r="Q143" s="802"/>
      <c r="R143" s="803"/>
      <c r="S143" s="807" t="s">
        <v>119</v>
      </c>
      <c r="T143" s="808"/>
      <c r="AD143" s="402"/>
    </row>
    <row r="144" spans="1:30" ht="17.25" customHeight="1">
      <c r="F144" s="360"/>
      <c r="G144" s="360"/>
      <c r="I144" s="841"/>
      <c r="J144" s="804" t="s">
        <v>87</v>
      </c>
      <c r="K144" s="805"/>
      <c r="L144" s="806"/>
      <c r="M144" s="799" t="s">
        <v>88</v>
      </c>
      <c r="N144" s="800"/>
      <c r="O144" s="841"/>
      <c r="P144" s="804" t="s">
        <v>87</v>
      </c>
      <c r="Q144" s="805"/>
      <c r="R144" s="806"/>
      <c r="S144" s="799" t="s">
        <v>89</v>
      </c>
      <c r="T144" s="800"/>
      <c r="AD144" s="402"/>
    </row>
    <row r="145" spans="2:30" ht="17.25" customHeight="1">
      <c r="F145" s="370"/>
      <c r="G145" s="370"/>
      <c r="H145" s="370"/>
      <c r="I145" s="370"/>
      <c r="J145" s="370"/>
      <c r="K145" s="370"/>
      <c r="Q145" s="370"/>
      <c r="R145" s="370"/>
      <c r="S145" s="370"/>
      <c r="T145" s="560"/>
      <c r="U145" s="560"/>
      <c r="V145" s="560"/>
      <c r="W145" s="370"/>
      <c r="X145" s="560"/>
      <c r="Y145" s="560"/>
      <c r="Z145" s="560"/>
      <c r="AD145" s="402"/>
    </row>
    <row r="146" spans="2:30" ht="17.25" customHeight="1">
      <c r="F146" s="370"/>
      <c r="N146" s="795"/>
      <c r="O146" s="795"/>
      <c r="Q146" s="560"/>
      <c r="R146" s="560"/>
      <c r="S146" s="560"/>
      <c r="T146" s="560"/>
      <c r="U146" s="560"/>
      <c r="V146" s="560"/>
      <c r="W146" s="370"/>
      <c r="X146" s="560"/>
      <c r="Y146" s="560"/>
      <c r="Z146" s="560"/>
      <c r="AC146" s="361" t="s">
        <v>515</v>
      </c>
      <c r="AD146" s="361" t="b">
        <f>Q127&gt;0</f>
        <v>1</v>
      </c>
    </row>
    <row r="147" spans="2:30" ht="17.25" customHeight="1">
      <c r="I147" s="688" t="s">
        <v>85</v>
      </c>
      <c r="J147" s="688"/>
      <c r="K147" s="55">
        <f>G32</f>
        <v>46.1</v>
      </c>
      <c r="L147" s="642" t="str">
        <f>CONCATENATE("Sens: ",IF(Q139&gt;0,"Nord","Sud"))</f>
        <v>Sens: Nord</v>
      </c>
      <c r="M147" s="598"/>
      <c r="AC147" s="361" t="s">
        <v>516</v>
      </c>
      <c r="AD147" s="361" t="b">
        <f>Q128&gt;180</f>
        <v>1</v>
      </c>
    </row>
    <row r="148" spans="2:30" ht="17.25" customHeight="1" thickBot="1">
      <c r="I148" s="688" t="s">
        <v>43</v>
      </c>
      <c r="J148" s="688"/>
      <c r="K148" s="55">
        <f>Q140</f>
        <v>327.12681388888893</v>
      </c>
      <c r="L148" s="642" t="str">
        <f>CONCATENATE("Is &gt; 180? ", IF(Q140&gt;180,"Y", "N"))</f>
        <v>Is &gt; 180? Y</v>
      </c>
      <c r="M148" s="598"/>
      <c r="O148" s="562" t="s">
        <v>93</v>
      </c>
      <c r="P148" s="563"/>
      <c r="Q148" s="563"/>
      <c r="R148" s="563"/>
      <c r="S148" s="563"/>
      <c r="T148" s="568" cm="1">
        <f t="array" ref="T148">astroCalculZ2Zn(Q139,I138,Q140)</f>
        <v>119.64061768798078</v>
      </c>
      <c r="U148" s="569"/>
      <c r="V148" s="48" t="s">
        <v>28</v>
      </c>
      <c r="W148" s="370"/>
    </row>
    <row r="149" spans="2:30" ht="17.25" customHeight="1" thickTop="1" thickBot="1">
      <c r="I149" s="587" t="s">
        <v>120</v>
      </c>
      <c r="J149" s="588"/>
      <c r="K149" s="643"/>
      <c r="L149" s="642" t="str">
        <f>IF(K147&gt;0,IF(K148&gt;180,M143,M144),IF(K148&gt;180,S143,S144))</f>
        <v>Zn = Z</v>
      </c>
      <c r="M149" s="598"/>
      <c r="T149" s="567" t="str" cm="1">
        <f t="array" ref="T149">angleDecimal2Txt(T148)</f>
        <v>+119°38.43 (+119.6406) [+119°38'26.22]</v>
      </c>
      <c r="U149" s="567"/>
      <c r="V149" s="567"/>
      <c r="W149" s="567"/>
      <c r="X149" s="567"/>
      <c r="Y149" s="567"/>
    </row>
    <row r="150" spans="2:30" ht="17.25" customHeight="1" thickTop="1"/>
    <row r="151" spans="2:30" ht="17.25" customHeight="1" thickBot="1"/>
    <row r="152" spans="2:30" ht="17.25" customHeight="1" thickBot="1">
      <c r="B152" s="373" t="s">
        <v>232</v>
      </c>
      <c r="C152" s="368"/>
      <c r="D152" s="368"/>
      <c r="E152" s="368"/>
      <c r="F152" s="368"/>
      <c r="G152" s="368"/>
      <c r="H152" s="368"/>
      <c r="I152" s="368"/>
      <c r="J152" s="368"/>
      <c r="K152" s="368"/>
      <c r="L152" s="368"/>
      <c r="M152" s="368"/>
      <c r="N152" s="368"/>
      <c r="O152" s="368"/>
      <c r="P152" s="368"/>
      <c r="Q152" s="368"/>
      <c r="R152" s="368"/>
      <c r="S152" s="368"/>
      <c r="T152" s="368"/>
      <c r="U152" s="368"/>
      <c r="V152" s="368"/>
      <c r="W152" s="368"/>
      <c r="X152" s="368"/>
      <c r="Y152" s="368"/>
      <c r="Z152" s="368"/>
      <c r="AA152" s="374"/>
      <c r="AB152" s="60"/>
    </row>
    <row r="154" spans="2:30" ht="17.25" customHeight="1" thickBot="1">
      <c r="C154" s="641" t="s">
        <v>233</v>
      </c>
      <c r="D154" s="641"/>
      <c r="E154" s="641"/>
      <c r="F154" s="641"/>
      <c r="G154" s="101"/>
      <c r="H154" s="641" t="s">
        <v>234</v>
      </c>
      <c r="I154" s="641"/>
      <c r="J154" s="641"/>
      <c r="L154" s="644" t="s">
        <v>223</v>
      </c>
      <c r="M154" s="645"/>
      <c r="N154" s="646"/>
      <c r="Q154" s="566" t="s">
        <v>235</v>
      </c>
      <c r="R154" s="566"/>
      <c r="S154" s="566"/>
      <c r="T154" s="566"/>
      <c r="U154" s="403"/>
      <c r="AC154" s="361" t="s">
        <v>220</v>
      </c>
      <c r="AD154" s="402">
        <f>I155/60</f>
        <v>7.3150459247912636E-2</v>
      </c>
    </row>
    <row r="155" spans="2:30" ht="17.25" customHeight="1" thickTop="1" thickBot="1">
      <c r="D155" s="124" t="s">
        <v>41</v>
      </c>
      <c r="E155" s="647">
        <f>G32</f>
        <v>46.1</v>
      </c>
      <c r="F155" s="647"/>
      <c r="I155" s="647">
        <f>V131</f>
        <v>4.3890275548747582</v>
      </c>
      <c r="J155" s="647"/>
      <c r="K155" s="360" t="s">
        <v>104</v>
      </c>
      <c r="M155" s="912">
        <f>T148</f>
        <v>119.64061768798078</v>
      </c>
      <c r="N155" s="913"/>
      <c r="R155" s="125" t="s">
        <v>41</v>
      </c>
      <c r="S155" s="564">
        <f>AD157</f>
        <v>46.063822845069971</v>
      </c>
      <c r="T155" s="564"/>
      <c r="U155" s="565" t="str" cm="1">
        <f t="array" ref="U155">latitudeDecimal2Txt(S155)</f>
        <v>N 46°03.82 (N 46.0638) [N 46°03'49.76]</v>
      </c>
      <c r="V155" s="565"/>
      <c r="W155" s="565"/>
      <c r="X155" s="565"/>
      <c r="Y155" s="565"/>
      <c r="Z155" s="565"/>
      <c r="AC155" s="361" t="s">
        <v>221</v>
      </c>
      <c r="AD155" s="402">
        <f>M155</f>
        <v>119.64061768798078</v>
      </c>
    </row>
    <row r="156" spans="2:30" ht="17.25" customHeight="1" thickTop="1" thickBot="1">
      <c r="D156" s="124" t="s">
        <v>42</v>
      </c>
      <c r="E156" s="647">
        <f>G34</f>
        <v>-7.083333333333333</v>
      </c>
      <c r="F156" s="647"/>
      <c r="R156" s="125" t="s">
        <v>42</v>
      </c>
      <c r="S156" s="564">
        <f>AD159</f>
        <v>-6.9916729533583419</v>
      </c>
      <c r="T156" s="564"/>
      <c r="U156" s="565" t="str" cm="1">
        <f t="array" ref="U156">longitudeDecimal2Txt(S156)</f>
        <v>W 06°59.50 (W 06.9916) [W 06°59'30.02]</v>
      </c>
      <c r="V156" s="565"/>
      <c r="W156" s="565"/>
      <c r="X156" s="565"/>
      <c r="Y156" s="565"/>
      <c r="Z156" s="565"/>
      <c r="AC156" s="360"/>
      <c r="AD156" s="360"/>
    </row>
    <row r="157" spans="2:30" ht="17.25" customHeight="1" thickTop="1">
      <c r="D157" s="360"/>
      <c r="AC157" s="361" t="s">
        <v>237</v>
      </c>
      <c r="AD157" s="361">
        <f>E155+AD154*COS(AD155*Outils!$F$4)</f>
        <v>46.063822845069971</v>
      </c>
    </row>
    <row r="158" spans="2:30" ht="17.25" customHeight="1">
      <c r="C158" s="361"/>
      <c r="D158" s="361"/>
      <c r="E158" s="361"/>
      <c r="Q158" s="566" t="s">
        <v>236</v>
      </c>
      <c r="R158" s="566"/>
      <c r="S158" s="566"/>
      <c r="AC158" s="361" t="s">
        <v>238</v>
      </c>
      <c r="AD158" s="361">
        <f>(E155+AD157)/2</f>
        <v>46.081911422534986</v>
      </c>
    </row>
    <row r="159" spans="2:30" ht="17.25" customHeight="1">
      <c r="R159" s="564">
        <f>M155-90</f>
        <v>29.640617687980779</v>
      </c>
      <c r="S159" s="564"/>
      <c r="T159" s="48" t="s">
        <v>28</v>
      </c>
      <c r="AC159" s="361" t="s">
        <v>239</v>
      </c>
      <c r="AD159" s="361">
        <f>E156+(AD154*SIN(M155*Outils!$F$4)/COS(AD158*Outils!$F$4))</f>
        <v>-6.9916729533583419</v>
      </c>
    </row>
    <row r="160" spans="2:30" s="361" customFormat="1" ht="17.25" customHeight="1"/>
    <row r="161" spans="2:33" s="361" customFormat="1" ht="17.25" customHeight="1" thickBot="1"/>
    <row r="162" spans="2:33" s="361" customFormat="1" ht="17.25" customHeight="1" thickBot="1">
      <c r="B162" s="404" t="s">
        <v>240</v>
      </c>
      <c r="C162" s="405"/>
      <c r="D162" s="405"/>
      <c r="E162" s="405"/>
      <c r="F162" s="405"/>
      <c r="G162" s="405"/>
      <c r="H162" s="405"/>
      <c r="I162" s="405"/>
      <c r="J162" s="405"/>
      <c r="K162" s="405"/>
      <c r="L162" s="405"/>
      <c r="M162" s="405"/>
      <c r="N162" s="405"/>
      <c r="O162" s="405"/>
      <c r="P162" s="405"/>
      <c r="Q162" s="405"/>
      <c r="R162" s="405"/>
      <c r="S162" s="405"/>
      <c r="T162" s="405"/>
      <c r="U162" s="405"/>
      <c r="V162" s="405"/>
      <c r="W162" s="405"/>
      <c r="X162" s="405"/>
      <c r="Y162" s="405"/>
      <c r="Z162" s="405"/>
      <c r="AA162" s="406"/>
    </row>
    <row r="163" spans="2:33" s="361" customFormat="1" ht="17.25" customHeight="1">
      <c r="AD163" s="402"/>
    </row>
    <row r="164" spans="2:33" s="361" customFormat="1" ht="17.25" customHeight="1" thickBot="1">
      <c r="C164" s="639" t="s">
        <v>235</v>
      </c>
      <c r="D164" s="639"/>
      <c r="E164" s="639"/>
      <c r="F164" s="639"/>
      <c r="G164" s="403"/>
      <c r="H164" s="360"/>
      <c r="I164" s="360"/>
      <c r="J164" s="360"/>
      <c r="K164" s="360"/>
      <c r="L164" s="360"/>
      <c r="Q164" s="407" t="s">
        <v>241</v>
      </c>
      <c r="R164" s="407"/>
      <c r="S164" s="407"/>
      <c r="T164" s="407"/>
      <c r="U164" s="407"/>
      <c r="V164" s="407"/>
      <c r="W164" s="407"/>
      <c r="AC164" s="361" t="s">
        <v>270</v>
      </c>
      <c r="AD164" s="402"/>
      <c r="AE164" s="361" t="b">
        <f>(ABS(D169-90)&lt;0.1)</f>
        <v>0</v>
      </c>
    </row>
    <row r="165" spans="2:33" s="361" customFormat="1" ht="17.25" customHeight="1" thickTop="1" thickBot="1">
      <c r="D165" s="126" t="s">
        <v>41</v>
      </c>
      <c r="E165" s="640">
        <v>46</v>
      </c>
      <c r="F165" s="640"/>
      <c r="G165" s="565" t="str" cm="1">
        <f t="array" ref="G165">latitudeDecimal2Txt(E165)</f>
        <v>N 46°00.00 (N 46.0000) [N 46°00'00.00]</v>
      </c>
      <c r="H165" s="565"/>
      <c r="I165" s="565"/>
      <c r="J165" s="565"/>
      <c r="K165" s="565"/>
      <c r="L165" s="565"/>
      <c r="R165" s="125" t="s">
        <v>41</v>
      </c>
      <c r="S165" s="564">
        <f>AG169</f>
        <v>46.053668885900343</v>
      </c>
      <c r="T165" s="564"/>
      <c r="U165" s="565" t="str" cm="1">
        <f t="array" ref="U165">latitudeDecimal2Txt(S165)</f>
        <v>N 46°03.22 (N 46.0536) [N 46°03'13.20]</v>
      </c>
      <c r="V165" s="565"/>
      <c r="W165" s="565"/>
      <c r="X165" s="565"/>
      <c r="Y165" s="565"/>
      <c r="Z165" s="565"/>
      <c r="AC165" s="408" t="s">
        <v>271</v>
      </c>
      <c r="AD165" s="409">
        <f>R159</f>
        <v>29.640617687980779</v>
      </c>
    </row>
    <row r="166" spans="2:33" s="361" customFormat="1" ht="17.25" customHeight="1" thickTop="1" thickBot="1">
      <c r="D166" s="126" t="s">
        <v>42</v>
      </c>
      <c r="E166" s="640">
        <v>-7</v>
      </c>
      <c r="F166" s="640"/>
      <c r="G166" s="565" t="str" cm="1">
        <f t="array" ref="G166">longitudeDecimal2Txt(E166)</f>
        <v>W 07°00.00 (W 07.0000) [W 07°00'00.00]</v>
      </c>
      <c r="H166" s="565"/>
      <c r="I166" s="565"/>
      <c r="J166" s="565"/>
      <c r="K166" s="565"/>
      <c r="L166" s="565"/>
      <c r="R166" s="125" t="s">
        <v>42</v>
      </c>
      <c r="S166" s="564">
        <f>AG170</f>
        <v>-7</v>
      </c>
      <c r="T166" s="564"/>
      <c r="U166" s="565" t="str" cm="1">
        <f t="array" ref="U166">longitudeDecimal2Txt(S166)</f>
        <v>W 07°00.00 (W 07.0000) [W 07°00'00.00]</v>
      </c>
      <c r="V166" s="565"/>
      <c r="W166" s="565"/>
      <c r="X166" s="565"/>
      <c r="Y166" s="565"/>
      <c r="Z166" s="565"/>
      <c r="AC166" s="410" t="s">
        <v>273</v>
      </c>
      <c r="AD166" s="409">
        <f>S155</f>
        <v>46.063822845069971</v>
      </c>
    </row>
    <row r="167" spans="2:33" s="361" customFormat="1" ht="17.25" customHeight="1" thickTop="1">
      <c r="C167" s="360"/>
      <c r="D167" s="360"/>
      <c r="E167" s="360"/>
      <c r="F167" s="360"/>
      <c r="G167" s="360"/>
      <c r="H167" s="360"/>
      <c r="I167" s="360"/>
      <c r="J167" s="360"/>
      <c r="K167" s="360"/>
      <c r="L167" s="360"/>
      <c r="AC167" s="408" t="s">
        <v>274</v>
      </c>
      <c r="AD167" s="409">
        <f>S156</f>
        <v>-6.9916729533583419</v>
      </c>
    </row>
    <row r="168" spans="2:33" s="361" customFormat="1" ht="17.25" customHeight="1">
      <c r="C168" s="639" t="s">
        <v>236</v>
      </c>
      <c r="D168" s="639"/>
      <c r="E168" s="639"/>
      <c r="F168" s="106"/>
      <c r="G168" s="360"/>
      <c r="H168" s="360"/>
      <c r="I168" s="360"/>
      <c r="J168" s="360"/>
      <c r="K168" s="360"/>
      <c r="L168" s="360"/>
      <c r="AC168" s="408" t="s">
        <v>242</v>
      </c>
      <c r="AD168" s="408">
        <f>TAN(AD165*Outils!F4) * (1 / COS(AD166*Outils!F4))</f>
        <v>0.82007879907267789</v>
      </c>
    </row>
    <row r="169" spans="2:33" s="361" customFormat="1" ht="17.25" customHeight="1">
      <c r="D169" s="640">
        <v>180</v>
      </c>
      <c r="E169" s="640"/>
      <c r="F169" s="127" t="s">
        <v>28</v>
      </c>
      <c r="G169" s="360"/>
      <c r="H169" s="360"/>
      <c r="I169" s="360"/>
      <c r="J169" s="360"/>
      <c r="K169" s="360"/>
      <c r="L169" s="360"/>
      <c r="AC169" s="408" t="s">
        <v>243</v>
      </c>
      <c r="AD169" s="408">
        <f>AD167-AD166*AD168</f>
        <v>-44.767637472839908</v>
      </c>
      <c r="AE169" s="561" t="s">
        <v>278</v>
      </c>
      <c r="AF169" s="561"/>
      <c r="AG169" s="412">
        <f>(AD174-AD169)/(AD168-AD173)</f>
        <v>46.053668885900343</v>
      </c>
    </row>
    <row r="170" spans="2:33" s="361" customFormat="1" ht="15">
      <c r="AC170" s="438" t="s">
        <v>272</v>
      </c>
      <c r="AD170" s="439">
        <f>D169</f>
        <v>180</v>
      </c>
      <c r="AE170" s="561"/>
      <c r="AF170" s="561"/>
      <c r="AG170" s="412">
        <f>AD168*AG169+AD169</f>
        <v>-7</v>
      </c>
    </row>
    <row r="171" spans="2:33" s="361" customFormat="1" ht="18.75">
      <c r="S171" s="360"/>
      <c r="T171" s="360"/>
      <c r="AC171" s="440" t="s">
        <v>273</v>
      </c>
      <c r="AD171" s="439">
        <f>E165</f>
        <v>46</v>
      </c>
    </row>
    <row r="172" spans="2:33" s="361" customFormat="1" ht="18">
      <c r="AC172" s="438" t="s">
        <v>274</v>
      </c>
      <c r="AD172" s="439">
        <f>E166</f>
        <v>-7</v>
      </c>
      <c r="AE172" s="561" t="s">
        <v>279</v>
      </c>
      <c r="AF172" s="561"/>
      <c r="AG172" s="411">
        <f>E165</f>
        <v>46</v>
      </c>
    </row>
    <row r="173" spans="2:33" s="361" customFormat="1" ht="17.25" customHeight="1">
      <c r="P173" s="360"/>
      <c r="Q173" s="360"/>
      <c r="AC173" s="438" t="s">
        <v>275</v>
      </c>
      <c r="AD173" s="438">
        <f>TAN(AD170*Outils!F4) * (1 / COS(AD171*Outils!F4))</f>
        <v>-1.7636704702760584E-16</v>
      </c>
      <c r="AE173" s="561"/>
      <c r="AF173" s="561"/>
      <c r="AG173" s="412">
        <f>E166+(E165-S155)*TAN(R159*Outils!F4)/COS(Outils!F4*S155)</f>
        <v>-7.0523397621383834</v>
      </c>
    </row>
    <row r="174" spans="2:33" s="361" customFormat="1" ht="17.25" customHeight="1">
      <c r="AC174" s="438" t="s">
        <v>276</v>
      </c>
      <c r="AD174" s="438">
        <f>AD172-AD171*AD173</f>
        <v>-6.999999999999992</v>
      </c>
    </row>
    <row r="175" spans="2:33" s="361" customFormat="1" ht="15">
      <c r="K175" s="360"/>
      <c r="L175" s="360"/>
      <c r="AE175" s="561" t="s">
        <v>277</v>
      </c>
      <c r="AF175" s="561"/>
      <c r="AG175" s="412">
        <f>IF($AE$164,AG172,AG169)</f>
        <v>46.053668885900343</v>
      </c>
    </row>
    <row r="176" spans="2:33" s="361" customFormat="1" ht="15">
      <c r="K176" s="360"/>
      <c r="L176" s="360"/>
      <c r="AC176" s="438"/>
      <c r="AE176" s="561"/>
      <c r="AF176" s="561"/>
      <c r="AG176" s="412">
        <f>IF($AE$164,AG173,AG170)</f>
        <v>-7</v>
      </c>
    </row>
    <row r="177" spans="2:65" s="361" customFormat="1" ht="15">
      <c r="K177" s="360"/>
      <c r="L177" s="360"/>
    </row>
    <row r="178" spans="2:65" s="361" customFormat="1" ht="15.75" thickBot="1">
      <c r="K178" s="360"/>
      <c r="L178" s="360"/>
    </row>
    <row r="179" spans="2:65" s="361" customFormat="1" ht="15.75" thickBot="1">
      <c r="B179" s="404" t="s">
        <v>493</v>
      </c>
      <c r="C179" s="405"/>
      <c r="D179" s="405"/>
      <c r="E179" s="405"/>
      <c r="F179" s="405"/>
      <c r="G179" s="405"/>
      <c r="H179" s="405"/>
      <c r="I179" s="405"/>
      <c r="J179" s="405"/>
      <c r="K179" s="405"/>
      <c r="L179" s="405"/>
      <c r="M179" s="405"/>
      <c r="N179" s="405"/>
      <c r="O179" s="405"/>
      <c r="P179" s="405"/>
      <c r="Q179" s="405"/>
      <c r="R179" s="405"/>
      <c r="S179" s="405"/>
      <c r="T179" s="405"/>
      <c r="U179" s="405"/>
      <c r="V179" s="405"/>
      <c r="W179" s="405"/>
      <c r="X179" s="405"/>
      <c r="Y179" s="405"/>
      <c r="Z179" s="405"/>
      <c r="AA179" s="406"/>
    </row>
    <row r="180" spans="2:65" s="361" customFormat="1" ht="15">
      <c r="K180" s="402"/>
      <c r="L180" s="402"/>
    </row>
    <row r="181" spans="2:65" s="361" customFormat="1" ht="15">
      <c r="B181" s="863" t="s">
        <v>1</v>
      </c>
      <c r="C181" s="863"/>
      <c r="D181" s="863" t="str">
        <f>E7</f>
        <v>2025/06/30</v>
      </c>
      <c r="E181" s="863"/>
      <c r="F181" s="863"/>
      <c r="G181" s="863"/>
      <c r="H181" s="413" t="s">
        <v>2</v>
      </c>
      <c r="I181" s="863" t="str">
        <f>I7</f>
        <v>10:20:35.00(10.3430)</v>
      </c>
      <c r="J181" s="863"/>
      <c r="K181" s="863"/>
      <c r="L181" s="863"/>
    </row>
    <row r="182" spans="2:65" s="361" customFormat="1" ht="15">
      <c r="B182" s="869" t="s">
        <v>30</v>
      </c>
      <c r="C182" s="869"/>
      <c r="D182" s="918" t="str">
        <f>J22</f>
        <v>Soleil</v>
      </c>
      <c r="E182" s="869"/>
      <c r="F182" s="414"/>
      <c r="G182" s="414"/>
      <c r="H182" s="414"/>
      <c r="I182" s="414"/>
      <c r="J182" s="414"/>
      <c r="K182" s="414"/>
      <c r="L182" s="414"/>
      <c r="AA182" s="415"/>
    </row>
    <row r="183" spans="2:65" s="361" customFormat="1" ht="15">
      <c r="B183" s="416"/>
      <c r="C183" s="416"/>
      <c r="D183" s="417"/>
      <c r="E183" s="416"/>
      <c r="AA183" s="415"/>
    </row>
    <row r="184" spans="2:65" s="402" customFormat="1" ht="17.25" customHeight="1" thickBot="1">
      <c r="B184" s="418" t="s">
        <v>391</v>
      </c>
      <c r="C184" s="418"/>
      <c r="D184" s="418"/>
      <c r="E184" s="418"/>
      <c r="F184" s="419"/>
      <c r="G184" s="419"/>
      <c r="H184" s="420"/>
      <c r="I184" s="420"/>
      <c r="J184" s="420"/>
      <c r="K184" s="420"/>
      <c r="L184" s="420"/>
      <c r="M184" s="420"/>
      <c r="N184" s="420"/>
      <c r="O184" s="420"/>
      <c r="P184" s="420"/>
      <c r="Q184" s="420"/>
      <c r="AB184" s="59"/>
      <c r="AC184" s="361"/>
      <c r="AD184" s="361"/>
      <c r="AE184" s="361"/>
      <c r="AF184" s="361"/>
      <c r="AG184" s="361"/>
      <c r="AH184" s="361"/>
      <c r="AI184" s="361"/>
      <c r="AJ184" s="361"/>
      <c r="AK184" s="361"/>
      <c r="AL184" s="361"/>
      <c r="AM184" s="361"/>
      <c r="AN184" s="361"/>
      <c r="AO184" s="361"/>
      <c r="AP184" s="361"/>
      <c r="AQ184" s="361"/>
      <c r="AR184" s="361"/>
      <c r="AS184" s="361"/>
      <c r="AT184" s="361"/>
      <c r="AU184" s="361"/>
      <c r="AV184" s="361"/>
      <c r="AW184" s="361"/>
      <c r="AX184" s="361"/>
      <c r="AY184" s="361"/>
      <c r="AZ184" s="361"/>
      <c r="BA184" s="361"/>
      <c r="BB184" s="361"/>
      <c r="BC184" s="361"/>
      <c r="BD184" s="361"/>
      <c r="BE184" s="361"/>
      <c r="BF184" s="361"/>
      <c r="BG184" s="361"/>
      <c r="BH184" s="361"/>
      <c r="BI184" s="361"/>
      <c r="BJ184" s="361"/>
      <c r="BK184" s="361"/>
      <c r="BL184" s="361"/>
      <c r="BM184" s="361"/>
    </row>
    <row r="185" spans="2:65" s="402" customFormat="1" ht="17.25" customHeight="1" thickTop="1">
      <c r="C185" s="865" t="s">
        <v>465</v>
      </c>
      <c r="D185" s="865"/>
      <c r="E185" s="865" t="str" cm="1">
        <f t="array" ref="E185">angleDecimal2Txt(angleConvert2Decimal(M21))</f>
        <v>+54°50.10 (+54.8350) [+54°50'06.00]</v>
      </c>
      <c r="F185" s="865"/>
      <c r="G185" s="865"/>
      <c r="H185" s="865"/>
      <c r="I185" s="865"/>
      <c r="AB185" s="59"/>
      <c r="AC185" s="361"/>
      <c r="AD185" s="361"/>
      <c r="AE185" s="361"/>
      <c r="AF185" s="361"/>
      <c r="AG185" s="361"/>
      <c r="AH185" s="361"/>
      <c r="AI185" s="361"/>
      <c r="AJ185" s="361"/>
      <c r="AK185" s="361"/>
      <c r="AL185" s="361"/>
      <c r="AM185" s="361"/>
      <c r="AN185" s="361"/>
      <c r="AO185" s="361"/>
      <c r="AP185" s="361"/>
      <c r="AQ185" s="361"/>
      <c r="AR185" s="361"/>
      <c r="AS185" s="361"/>
      <c r="AT185" s="361"/>
      <c r="AU185" s="361"/>
      <c r="AV185" s="361"/>
      <c r="AW185" s="361"/>
      <c r="AX185" s="361"/>
      <c r="AY185" s="361"/>
      <c r="AZ185" s="361"/>
      <c r="BA185" s="361"/>
      <c r="BB185" s="361"/>
      <c r="BC185" s="361"/>
      <c r="BD185" s="361"/>
      <c r="BE185" s="361"/>
      <c r="BF185" s="361"/>
      <c r="BG185" s="361"/>
      <c r="BH185" s="361"/>
      <c r="BI185" s="361"/>
      <c r="BJ185" s="361"/>
      <c r="BK185" s="361"/>
      <c r="BL185" s="361"/>
      <c r="BM185" s="361"/>
    </row>
    <row r="186" spans="2:65" s="402" customFormat="1" ht="17.25" customHeight="1">
      <c r="C186" s="862" t="s">
        <v>70</v>
      </c>
      <c r="D186" s="862"/>
      <c r="E186" s="862" t="str">
        <f>J23</f>
        <v>BordInf</v>
      </c>
      <c r="F186" s="862"/>
      <c r="G186" s="862"/>
      <c r="H186" s="862"/>
      <c r="I186" s="862"/>
      <c r="AB186" s="59"/>
      <c r="AC186" s="361"/>
      <c r="AD186" s="361"/>
      <c r="AE186" s="361"/>
      <c r="AF186" s="361"/>
      <c r="AG186" s="361"/>
      <c r="AH186" s="361"/>
      <c r="AI186" s="361"/>
      <c r="AJ186" s="361"/>
      <c r="AK186" s="361"/>
      <c r="AL186" s="361"/>
      <c r="AM186" s="361"/>
      <c r="AN186" s="361"/>
      <c r="AO186" s="361"/>
      <c r="AP186" s="361"/>
      <c r="AQ186" s="361"/>
      <c r="AR186" s="361"/>
      <c r="AS186" s="361"/>
      <c r="AT186" s="361"/>
      <c r="AU186" s="361"/>
      <c r="AV186" s="361"/>
      <c r="AW186" s="361"/>
      <c r="AX186" s="361"/>
      <c r="AY186" s="361"/>
      <c r="AZ186" s="361"/>
      <c r="BA186" s="361"/>
      <c r="BB186" s="361"/>
      <c r="BC186" s="361"/>
      <c r="BD186" s="361"/>
      <c r="BE186" s="361"/>
      <c r="BF186" s="361"/>
      <c r="BG186" s="361"/>
      <c r="BH186" s="361"/>
      <c r="BI186" s="361"/>
      <c r="BJ186" s="361"/>
      <c r="BK186" s="361"/>
      <c r="BL186" s="361"/>
      <c r="BM186" s="361"/>
    </row>
    <row r="187" spans="2:65" s="402" customFormat="1" ht="17.25" customHeight="1">
      <c r="C187" s="870" t="s">
        <v>393</v>
      </c>
      <c r="D187" s="870"/>
      <c r="E187" s="915" t="str" cm="1">
        <f t="array" ref="E187">angleDecimal2Txt(angleConvert2Decimal(M20))</f>
        <v>+00°01.30 (+00.0216) [+00°01'18.00]</v>
      </c>
      <c r="F187" s="915"/>
      <c r="G187" s="915"/>
      <c r="H187" s="915"/>
      <c r="I187" s="915"/>
      <c r="AB187" s="59"/>
      <c r="AC187" s="361"/>
      <c r="AD187" s="361"/>
      <c r="AE187" s="361"/>
      <c r="AF187" s="361"/>
      <c r="AG187" s="361"/>
      <c r="AH187" s="361"/>
      <c r="AI187" s="361"/>
      <c r="AJ187" s="361"/>
      <c r="AK187" s="361"/>
      <c r="AL187" s="361"/>
      <c r="AM187" s="361"/>
      <c r="AN187" s="361"/>
      <c r="AO187" s="361"/>
      <c r="AP187" s="361"/>
      <c r="AQ187" s="361"/>
      <c r="AR187" s="361"/>
      <c r="AS187" s="361"/>
      <c r="AT187" s="361"/>
      <c r="AU187" s="361"/>
      <c r="AV187" s="361"/>
      <c r="AW187" s="361"/>
      <c r="AX187" s="361"/>
      <c r="AY187" s="361"/>
      <c r="AZ187" s="361"/>
      <c r="BA187" s="361"/>
      <c r="BB187" s="361"/>
      <c r="BC187" s="361"/>
      <c r="BD187" s="361"/>
      <c r="BE187" s="361"/>
      <c r="BF187" s="361"/>
      <c r="BG187" s="361"/>
      <c r="BH187" s="361"/>
      <c r="BI187" s="361"/>
      <c r="BJ187" s="361"/>
      <c r="BK187" s="361"/>
      <c r="BL187" s="361"/>
      <c r="BM187" s="361"/>
    </row>
    <row r="188" spans="2:65" s="402" customFormat="1" ht="17.25" customHeight="1">
      <c r="C188" s="863" t="s">
        <v>394</v>
      </c>
      <c r="D188" s="863"/>
      <c r="E188" s="916" t="str">
        <f>CONCATENATE(M19, " m")</f>
        <v>2 m</v>
      </c>
      <c r="F188" s="916"/>
      <c r="G188" s="916"/>
      <c r="H188" s="916"/>
      <c r="I188" s="916"/>
      <c r="AB188" s="59"/>
      <c r="AC188" s="361"/>
      <c r="AD188" s="361"/>
      <c r="AE188" s="361"/>
      <c r="AF188" s="361"/>
      <c r="AG188" s="361"/>
      <c r="AH188" s="361"/>
      <c r="AI188" s="361"/>
      <c r="AJ188" s="361"/>
      <c r="AK188" s="361"/>
      <c r="AL188" s="361"/>
      <c r="AM188" s="361"/>
      <c r="AN188" s="361"/>
      <c r="AO188" s="361"/>
      <c r="AP188" s="361"/>
      <c r="AQ188" s="361"/>
      <c r="AR188" s="361"/>
      <c r="AS188" s="361"/>
      <c r="AT188" s="361"/>
      <c r="AU188" s="361"/>
      <c r="AV188" s="361"/>
      <c r="AW188" s="361"/>
      <c r="AX188" s="361"/>
      <c r="AY188" s="361"/>
      <c r="AZ188" s="361"/>
      <c r="BA188" s="361"/>
      <c r="BB188" s="361"/>
      <c r="BC188" s="361"/>
      <c r="BD188" s="361"/>
      <c r="BE188" s="361"/>
      <c r="BF188" s="361"/>
      <c r="BG188" s="361"/>
      <c r="BH188" s="361"/>
      <c r="BI188" s="361"/>
      <c r="BJ188" s="361"/>
      <c r="BK188" s="361"/>
      <c r="BL188" s="361"/>
      <c r="BM188" s="361"/>
    </row>
    <row r="189" spans="2:65" s="402" customFormat="1" ht="17.25" customHeight="1">
      <c r="E189" s="864" t="str" cm="1">
        <f t="array" ref="E189">angleDecimal2Txt(O91)</f>
        <v>+54°46.31 (+54.7718) [+54°46'18.82]</v>
      </c>
      <c r="F189" s="864"/>
      <c r="G189" s="864"/>
      <c r="H189" s="864"/>
      <c r="I189" s="864"/>
      <c r="J189" s="864" t="s">
        <v>466</v>
      </c>
      <c r="K189" s="864"/>
      <c r="L189" s="864"/>
      <c r="AB189" s="59"/>
      <c r="AC189" s="361"/>
      <c r="AD189" s="361"/>
      <c r="AE189" s="361"/>
      <c r="AF189" s="361"/>
      <c r="AG189" s="361"/>
      <c r="AH189" s="361"/>
      <c r="AI189" s="361"/>
      <c r="AJ189" s="361"/>
      <c r="AK189" s="361"/>
      <c r="AL189" s="361"/>
      <c r="AM189" s="361"/>
      <c r="AN189" s="361"/>
      <c r="AO189" s="361"/>
      <c r="AP189" s="361"/>
      <c r="AQ189" s="361"/>
      <c r="AR189" s="361"/>
      <c r="AS189" s="361"/>
      <c r="AT189" s="361"/>
      <c r="AU189" s="361"/>
      <c r="AV189" s="361"/>
      <c r="AW189" s="361"/>
      <c r="AX189" s="361"/>
      <c r="AY189" s="361"/>
      <c r="AZ189" s="361"/>
      <c r="BA189" s="361"/>
      <c r="BB189" s="361"/>
      <c r="BC189" s="361"/>
      <c r="BD189" s="361"/>
      <c r="BE189" s="361"/>
      <c r="BF189" s="361"/>
      <c r="BG189" s="361"/>
      <c r="BH189" s="361"/>
      <c r="BI189" s="361"/>
      <c r="BJ189" s="361"/>
      <c r="BK189" s="361"/>
      <c r="BL189" s="361"/>
      <c r="BM189" s="361"/>
    </row>
    <row r="190" spans="2:65" s="402" customFormat="1" ht="17.25" customHeight="1">
      <c r="E190" s="421"/>
      <c r="F190" s="878" t="s">
        <v>394</v>
      </c>
      <c r="G190" s="880"/>
      <c r="H190" s="871" t="str">
        <f>angleDecimal2Txt($O$89)</f>
        <v>+00°02.48 (+00.0414) [+00°02'29.17]</v>
      </c>
      <c r="I190" s="871"/>
      <c r="J190" s="871"/>
      <c r="K190" s="871"/>
      <c r="L190" s="871"/>
      <c r="AB190" s="59"/>
      <c r="AC190" s="361"/>
      <c r="AD190" s="361"/>
      <c r="AE190" s="361"/>
      <c r="AF190" s="361"/>
      <c r="AG190" s="361"/>
      <c r="AH190" s="361"/>
      <c r="AI190" s="361"/>
      <c r="AJ190" s="361"/>
      <c r="AK190" s="361"/>
      <c r="AL190" s="361"/>
      <c r="AM190" s="361"/>
      <c r="AN190" s="361"/>
      <c r="AO190" s="361"/>
      <c r="AP190" s="361"/>
      <c r="AQ190" s="361"/>
      <c r="AR190" s="361"/>
      <c r="AS190" s="361"/>
      <c r="AT190" s="361"/>
      <c r="AU190" s="361"/>
      <c r="AV190" s="361"/>
      <c r="AW190" s="361"/>
      <c r="AX190" s="361"/>
      <c r="AY190" s="361"/>
      <c r="AZ190" s="361"/>
      <c r="BA190" s="361"/>
      <c r="BB190" s="361"/>
      <c r="BC190" s="361"/>
      <c r="BD190" s="361"/>
      <c r="BE190" s="361"/>
      <c r="BF190" s="361"/>
      <c r="BG190" s="361"/>
      <c r="BH190" s="361"/>
      <c r="BI190" s="361"/>
      <c r="BJ190" s="361"/>
      <c r="BK190" s="361"/>
      <c r="BL190" s="361"/>
      <c r="BM190" s="361"/>
    </row>
    <row r="191" spans="2:65" s="402" customFormat="1" ht="17.25" customHeight="1">
      <c r="F191" s="861" t="s">
        <v>401</v>
      </c>
      <c r="G191" s="861"/>
      <c r="H191" s="871" t="str">
        <f>angleDecimal2Txt(O99)</f>
        <v>+00°00.70 (+00.0117) [+00°00'42.14]</v>
      </c>
      <c r="I191" s="871"/>
      <c r="J191" s="871"/>
      <c r="K191" s="871"/>
      <c r="L191" s="871"/>
      <c r="AB191" s="59"/>
      <c r="AC191" s="361"/>
      <c r="AD191" s="361"/>
      <c r="AE191" s="361"/>
      <c r="AF191" s="361"/>
      <c r="AG191" s="361"/>
      <c r="AH191" s="361"/>
      <c r="AI191" s="361"/>
      <c r="AJ191" s="361"/>
      <c r="AK191" s="361"/>
      <c r="AL191" s="361"/>
      <c r="AM191" s="361"/>
      <c r="AN191" s="361"/>
      <c r="AO191" s="361"/>
      <c r="AP191" s="361"/>
      <c r="AQ191" s="361"/>
      <c r="AR191" s="361"/>
      <c r="AS191" s="361"/>
      <c r="AT191" s="361"/>
      <c r="AU191" s="361"/>
      <c r="AV191" s="361"/>
      <c r="AW191" s="361"/>
      <c r="AX191" s="361"/>
      <c r="AY191" s="361"/>
      <c r="AZ191" s="361"/>
      <c r="BA191" s="361"/>
      <c r="BB191" s="361"/>
      <c r="BC191" s="361"/>
      <c r="BD191" s="361"/>
      <c r="BE191" s="361"/>
      <c r="BF191" s="361"/>
      <c r="BG191" s="361"/>
      <c r="BH191" s="361"/>
      <c r="BI191" s="361"/>
      <c r="BJ191" s="361"/>
      <c r="BK191" s="361"/>
      <c r="BL191" s="361"/>
      <c r="BM191" s="361"/>
    </row>
    <row r="192" spans="2:65" s="402" customFormat="1" ht="17.25" customHeight="1">
      <c r="F192" s="861" t="s">
        <v>402</v>
      </c>
      <c r="G192" s="861"/>
      <c r="H192" s="861" t="str">
        <f>angleDecimal2Txt(O94)</f>
        <v>+00°00.09 (+00.0016) [+00°00'05.98]</v>
      </c>
      <c r="I192" s="861"/>
      <c r="J192" s="861"/>
      <c r="K192" s="861"/>
      <c r="L192" s="861"/>
      <c r="AB192" s="59"/>
      <c r="AC192" s="361"/>
      <c r="AD192" s="361"/>
      <c r="AE192" s="361"/>
      <c r="AF192" s="361"/>
      <c r="AG192" s="361"/>
      <c r="AH192" s="361"/>
      <c r="AI192" s="361"/>
      <c r="AJ192" s="361"/>
      <c r="AK192" s="361"/>
      <c r="AL192" s="361"/>
      <c r="AM192" s="361"/>
      <c r="AN192" s="361"/>
      <c r="AO192" s="361"/>
      <c r="AP192" s="361"/>
      <c r="AQ192" s="361"/>
      <c r="AR192" s="361"/>
      <c r="AS192" s="361"/>
      <c r="AT192" s="361"/>
      <c r="AU192" s="361"/>
      <c r="AV192" s="361"/>
      <c r="AW192" s="361"/>
      <c r="AX192" s="361"/>
      <c r="AY192" s="361"/>
      <c r="AZ192" s="361"/>
      <c r="BA192" s="361"/>
      <c r="BB192" s="361"/>
      <c r="BC192" s="361"/>
      <c r="BD192" s="361"/>
      <c r="BE192" s="361"/>
      <c r="BF192" s="361"/>
      <c r="BG192" s="361"/>
      <c r="BH192" s="361"/>
      <c r="BI192" s="361"/>
      <c r="BJ192" s="361"/>
      <c r="BK192" s="361"/>
      <c r="BL192" s="361"/>
      <c r="BM192" s="361"/>
    </row>
    <row r="193" spans="2:65" s="402" customFormat="1" ht="17.25" customHeight="1">
      <c r="F193" s="861" t="s">
        <v>100</v>
      </c>
      <c r="G193" s="861"/>
      <c r="H193" s="861" t="str" cm="1">
        <f t="array" ref="H193">angleDecimal2Txt(O101)</f>
        <v>+00°31.60 (+00.5266) [+00°31'36.00]</v>
      </c>
      <c r="I193" s="861"/>
      <c r="J193" s="861"/>
      <c r="K193" s="861"/>
      <c r="L193" s="861"/>
      <c r="AB193" s="59"/>
      <c r="AC193" s="361"/>
      <c r="AD193" s="361"/>
      <c r="AE193" s="361"/>
      <c r="AF193" s="361"/>
      <c r="AG193" s="361"/>
      <c r="AH193" s="361"/>
      <c r="AI193" s="361"/>
      <c r="AJ193" s="361"/>
      <c r="AK193" s="361"/>
      <c r="AL193" s="361"/>
      <c r="AM193" s="361"/>
      <c r="AN193" s="361"/>
      <c r="AO193" s="361"/>
      <c r="AP193" s="361"/>
      <c r="AQ193" s="361"/>
      <c r="AR193" s="361"/>
      <c r="AS193" s="361"/>
      <c r="AT193" s="361"/>
      <c r="AU193" s="361"/>
      <c r="AV193" s="361"/>
      <c r="AW193" s="361"/>
      <c r="AX193" s="361"/>
      <c r="AY193" s="361"/>
      <c r="AZ193" s="361"/>
      <c r="BA193" s="361"/>
      <c r="BB193" s="361"/>
      <c r="BC193" s="361"/>
      <c r="BD193" s="361"/>
      <c r="BE193" s="361"/>
      <c r="BF193" s="361"/>
      <c r="BG193" s="361"/>
      <c r="BH193" s="361"/>
      <c r="BI193" s="361"/>
      <c r="BJ193" s="361"/>
      <c r="BK193" s="361"/>
      <c r="BL193" s="361"/>
      <c r="BM193" s="361"/>
    </row>
    <row r="194" spans="2:65" s="402" customFormat="1" ht="17.25" customHeight="1">
      <c r="F194" s="861" t="s">
        <v>71</v>
      </c>
      <c r="G194" s="861"/>
      <c r="H194" s="861" t="str" cm="1">
        <f t="array" ref="H194">angleDecimal2Txt(O103)</f>
        <v>+00°15.80 (+00.2633) [+00°15'48.00]</v>
      </c>
      <c r="I194" s="861"/>
      <c r="J194" s="861"/>
      <c r="K194" s="861"/>
      <c r="L194" s="861"/>
      <c r="AB194" s="59"/>
      <c r="AC194" s="361"/>
      <c r="AD194" s="361"/>
      <c r="AE194" s="361"/>
      <c r="AF194" s="361"/>
      <c r="AG194" s="361"/>
      <c r="AH194" s="361"/>
      <c r="AI194" s="361"/>
      <c r="AJ194" s="361"/>
      <c r="AK194" s="361"/>
      <c r="AL194" s="361"/>
      <c r="AM194" s="361"/>
      <c r="AN194" s="361"/>
      <c r="AO194" s="361"/>
      <c r="AP194" s="361"/>
      <c r="AQ194" s="361"/>
      <c r="AR194" s="361"/>
      <c r="AS194" s="361"/>
      <c r="AT194" s="361"/>
      <c r="AU194" s="361"/>
      <c r="AV194" s="361"/>
      <c r="AW194" s="361"/>
      <c r="AX194" s="361"/>
      <c r="AY194" s="361"/>
      <c r="AZ194" s="361"/>
      <c r="BA194" s="361"/>
      <c r="BB194" s="361"/>
      <c r="BC194" s="361"/>
      <c r="BD194" s="361"/>
      <c r="BE194" s="361"/>
      <c r="BF194" s="361"/>
      <c r="BG194" s="361"/>
      <c r="BH194" s="361"/>
      <c r="BI194" s="361"/>
      <c r="BJ194" s="361"/>
      <c r="BK194" s="361"/>
      <c r="BL194" s="361"/>
      <c r="BM194" s="361"/>
    </row>
    <row r="195" spans="2:65" s="402" customFormat="1" ht="17.25" customHeight="1">
      <c r="D195" s="422"/>
      <c r="E195" s="864" t="str" cm="1">
        <f t="array" ref="E195">angleDecimal2Txt(F84)</f>
        <v>+55°01.51 (+55.0251) [+55°01'30.67]</v>
      </c>
      <c r="F195" s="864"/>
      <c r="G195" s="864"/>
      <c r="H195" s="864"/>
      <c r="I195" s="864"/>
      <c r="J195" s="864" t="s">
        <v>467</v>
      </c>
      <c r="K195" s="864"/>
      <c r="L195" s="864"/>
      <c r="AB195" s="59"/>
      <c r="AC195" s="361"/>
      <c r="AD195" s="361"/>
      <c r="AE195" s="361"/>
      <c r="AF195" s="361"/>
      <c r="AG195" s="361"/>
      <c r="AH195" s="361"/>
      <c r="AI195" s="361"/>
      <c r="AJ195" s="361"/>
      <c r="AK195" s="361"/>
      <c r="AL195" s="361"/>
      <c r="AM195" s="361"/>
      <c r="AN195" s="361"/>
      <c r="AO195" s="361"/>
      <c r="AP195" s="361"/>
      <c r="AQ195" s="361"/>
      <c r="AR195" s="361"/>
      <c r="AS195" s="361"/>
      <c r="AT195" s="361"/>
      <c r="AU195" s="361"/>
      <c r="AV195" s="361"/>
      <c r="AW195" s="361"/>
      <c r="AX195" s="361"/>
      <c r="AY195" s="361"/>
      <c r="AZ195" s="361"/>
      <c r="BA195" s="361"/>
      <c r="BB195" s="361"/>
      <c r="BC195" s="361"/>
      <c r="BD195" s="361"/>
      <c r="BE195" s="361"/>
      <c r="BF195" s="361"/>
      <c r="BG195" s="361"/>
      <c r="BH195" s="361"/>
      <c r="BI195" s="361"/>
      <c r="BJ195" s="361"/>
      <c r="BK195" s="361"/>
      <c r="BL195" s="361"/>
      <c r="BM195" s="361"/>
    </row>
    <row r="196" spans="2:65" s="402" customFormat="1" ht="17.25" customHeight="1">
      <c r="D196" s="422"/>
      <c r="F196" s="861" t="str" cm="1">
        <f t="array" ref="F196">angleDecimal2Txt(-1*(O89+O99-O94))</f>
        <v>-00°03.08 (-00.0514) [-00°03'05.32]</v>
      </c>
      <c r="G196" s="861"/>
      <c r="H196" s="861"/>
      <c r="I196" s="861"/>
      <c r="J196" s="861"/>
      <c r="K196" s="878" t="s">
        <v>403</v>
      </c>
      <c r="L196" s="879"/>
      <c r="M196" s="880"/>
      <c r="N196" s="917" t="s">
        <v>418</v>
      </c>
      <c r="O196" s="917"/>
      <c r="P196" s="917"/>
      <c r="AB196" s="59"/>
      <c r="AC196" s="361"/>
      <c r="AD196" s="361"/>
      <c r="AE196" s="361"/>
      <c r="AF196" s="361"/>
      <c r="AG196" s="361"/>
      <c r="AH196" s="361"/>
      <c r="AI196" s="361"/>
      <c r="AJ196" s="361"/>
      <c r="AK196" s="361"/>
      <c r="AL196" s="361"/>
      <c r="AM196" s="361"/>
      <c r="AN196" s="361"/>
      <c r="AO196" s="361"/>
      <c r="AP196" s="361"/>
      <c r="AQ196" s="361"/>
      <c r="AR196" s="361"/>
      <c r="AS196" s="361"/>
      <c r="AT196" s="361"/>
      <c r="AU196" s="361"/>
      <c r="AV196" s="361"/>
      <c r="AW196" s="361"/>
      <c r="AX196" s="361"/>
      <c r="AY196" s="361"/>
      <c r="AZ196" s="361"/>
      <c r="BA196" s="361"/>
      <c r="BB196" s="361"/>
      <c r="BC196" s="361"/>
      <c r="BD196" s="361"/>
      <c r="BE196" s="361"/>
      <c r="BF196" s="361"/>
      <c r="BG196" s="361"/>
      <c r="BH196" s="361"/>
      <c r="BI196" s="361"/>
      <c r="BJ196" s="361"/>
      <c r="BK196" s="361"/>
      <c r="BL196" s="361"/>
      <c r="BM196" s="361"/>
    </row>
    <row r="197" spans="2:65" s="402" customFormat="1" ht="17.25" customHeight="1">
      <c r="D197" s="422"/>
      <c r="F197" s="861" t="str" cm="1">
        <f t="array" ref="F197">angleDecimal2Txt(-1*O89-O99+O94+O103)</f>
        <v>+00°12.71 (+00.2118) [+00°12'42.67]</v>
      </c>
      <c r="G197" s="861"/>
      <c r="H197" s="861"/>
      <c r="I197" s="861"/>
      <c r="J197" s="861"/>
      <c r="K197" s="878" t="s">
        <v>399</v>
      </c>
      <c r="L197" s="879"/>
      <c r="M197" s="880"/>
      <c r="N197" s="917"/>
      <c r="O197" s="917"/>
      <c r="P197" s="917"/>
      <c r="AB197" s="59"/>
      <c r="AC197" s="361"/>
      <c r="AD197" s="361"/>
      <c r="AE197" s="361"/>
      <c r="AF197" s="361"/>
      <c r="AG197" s="361"/>
      <c r="AH197" s="361"/>
      <c r="AI197" s="361"/>
      <c r="AJ197" s="361"/>
      <c r="AK197" s="361"/>
      <c r="AL197" s="361"/>
      <c r="AM197" s="361"/>
      <c r="AN197" s="361"/>
      <c r="AO197" s="361"/>
      <c r="AP197" s="361"/>
      <c r="AQ197" s="361"/>
      <c r="AR197" s="361"/>
      <c r="AS197" s="361"/>
      <c r="AT197" s="361"/>
      <c r="AU197" s="361"/>
      <c r="AV197" s="361"/>
      <c r="AW197" s="361"/>
      <c r="AX197" s="361"/>
      <c r="AY197" s="361"/>
      <c r="AZ197" s="361"/>
      <c r="BA197" s="361"/>
      <c r="BB197" s="361"/>
      <c r="BC197" s="361"/>
      <c r="BD197" s="361"/>
      <c r="BE197" s="361"/>
      <c r="BF197" s="361"/>
      <c r="BG197" s="361"/>
      <c r="BH197" s="361"/>
      <c r="BI197" s="361"/>
      <c r="BJ197" s="361"/>
      <c r="BK197" s="361"/>
      <c r="BL197" s="361"/>
      <c r="BM197" s="361"/>
    </row>
    <row r="198" spans="2:65" s="402" customFormat="1" ht="17.25" customHeight="1">
      <c r="D198" s="422"/>
      <c r="F198" s="861" t="str">
        <f>angleDecimal2Txt(O94-O99+O103)</f>
        <v>+00°15.19 (+00.2532) [+00°15'11.84]</v>
      </c>
      <c r="G198" s="861"/>
      <c r="H198" s="861"/>
      <c r="I198" s="861"/>
      <c r="J198" s="861"/>
      <c r="K198" s="878" t="s">
        <v>400</v>
      </c>
      <c r="L198" s="879"/>
      <c r="M198" s="880"/>
      <c r="N198" s="917"/>
      <c r="O198" s="917"/>
      <c r="P198" s="917"/>
      <c r="AB198" s="59"/>
      <c r="AC198" s="361"/>
      <c r="AD198" s="361"/>
      <c r="AE198" s="361"/>
      <c r="AF198" s="361"/>
      <c r="AG198" s="361"/>
      <c r="AH198" s="361"/>
      <c r="AI198" s="361"/>
      <c r="AJ198" s="361"/>
      <c r="AK198" s="361"/>
      <c r="AL198" s="361"/>
      <c r="AM198" s="361"/>
      <c r="AN198" s="361"/>
      <c r="AO198" s="361"/>
      <c r="AP198" s="361"/>
      <c r="AQ198" s="361"/>
      <c r="AR198" s="361"/>
      <c r="AS198" s="361"/>
      <c r="AT198" s="361"/>
      <c r="AU198" s="361"/>
      <c r="AV198" s="361"/>
      <c r="AW198" s="361"/>
      <c r="AX198" s="361"/>
      <c r="AY198" s="361"/>
      <c r="AZ198" s="361"/>
      <c r="BA198" s="361"/>
      <c r="BB198" s="361"/>
      <c r="BC198" s="361"/>
      <c r="BD198" s="361"/>
      <c r="BE198" s="361"/>
      <c r="BF198" s="361"/>
      <c r="BG198" s="361"/>
      <c r="BH198" s="361"/>
      <c r="BI198" s="361"/>
      <c r="BJ198" s="361"/>
      <c r="BK198" s="361"/>
      <c r="BL198" s="361"/>
      <c r="BM198" s="361"/>
    </row>
    <row r="199" spans="2:65" s="402" customFormat="1" ht="17.25" customHeight="1">
      <c r="AB199" s="59"/>
      <c r="AC199" s="361"/>
      <c r="AD199" s="361"/>
      <c r="AE199" s="361"/>
      <c r="AF199" s="361"/>
      <c r="AG199" s="361"/>
      <c r="AH199" s="361"/>
      <c r="AI199" s="361"/>
      <c r="AJ199" s="361"/>
      <c r="AK199" s="361"/>
      <c r="AL199" s="361"/>
      <c r="AM199" s="361"/>
      <c r="AN199" s="361"/>
      <c r="AO199" s="361"/>
      <c r="AP199" s="361"/>
      <c r="AQ199" s="361"/>
      <c r="AR199" s="361"/>
      <c r="AS199" s="361"/>
      <c r="AT199" s="361"/>
      <c r="AU199" s="361"/>
      <c r="AV199" s="361"/>
      <c r="AW199" s="361"/>
      <c r="AX199" s="361"/>
      <c r="AY199" s="361"/>
      <c r="AZ199" s="361"/>
      <c r="BA199" s="361"/>
      <c r="BB199" s="361"/>
      <c r="BC199" s="361"/>
      <c r="BD199" s="361"/>
      <c r="BE199" s="361"/>
      <c r="BF199" s="361"/>
      <c r="BG199" s="361"/>
      <c r="BH199" s="361"/>
      <c r="BI199" s="361"/>
      <c r="BJ199" s="361"/>
      <c r="BK199" s="361"/>
      <c r="BL199" s="361"/>
      <c r="BM199" s="361"/>
    </row>
    <row r="200" spans="2:65" s="402" customFormat="1" ht="17.25" customHeight="1">
      <c r="C200" s="422"/>
      <c r="AB200" s="59"/>
      <c r="AC200" s="361"/>
      <c r="AD200" s="361"/>
      <c r="AE200" s="361"/>
      <c r="AF200" s="361"/>
      <c r="AG200" s="361"/>
      <c r="AH200" s="361"/>
      <c r="AI200" s="361"/>
      <c r="AJ200" s="361"/>
      <c r="AK200" s="361"/>
      <c r="AL200" s="361"/>
      <c r="AM200" s="361"/>
      <c r="AN200" s="361"/>
      <c r="AO200" s="361"/>
      <c r="AP200" s="361"/>
      <c r="AQ200" s="361"/>
      <c r="AR200" s="361"/>
      <c r="AS200" s="361"/>
      <c r="AT200" s="361"/>
      <c r="AU200" s="361"/>
      <c r="AV200" s="361"/>
      <c r="AW200" s="361"/>
      <c r="AX200" s="361"/>
      <c r="AY200" s="361"/>
      <c r="AZ200" s="361"/>
      <c r="BA200" s="361"/>
      <c r="BB200" s="361"/>
      <c r="BC200" s="361"/>
      <c r="BD200" s="361"/>
      <c r="BE200" s="361"/>
      <c r="BF200" s="361"/>
      <c r="BG200" s="361"/>
      <c r="BH200" s="361"/>
      <c r="BI200" s="361"/>
      <c r="BJ200" s="361"/>
      <c r="BK200" s="361"/>
      <c r="BL200" s="361"/>
      <c r="BM200" s="361"/>
    </row>
    <row r="201" spans="2:65" s="402" customFormat="1" ht="17.25" customHeight="1" thickBot="1">
      <c r="B201" s="420" t="s">
        <v>62</v>
      </c>
      <c r="C201" s="419"/>
      <c r="D201" s="419"/>
      <c r="E201" s="419"/>
      <c r="F201" s="419"/>
      <c r="G201" s="419"/>
      <c r="H201" s="420"/>
      <c r="I201" s="420"/>
      <c r="J201" s="420"/>
      <c r="K201" s="420"/>
      <c r="L201" s="420"/>
      <c r="M201" s="420"/>
      <c r="N201" s="420"/>
      <c r="O201" s="420"/>
      <c r="P201" s="420"/>
      <c r="Q201" s="420"/>
      <c r="AB201" s="59"/>
      <c r="AC201" s="361"/>
      <c r="AD201" s="361"/>
      <c r="AE201" s="361"/>
      <c r="AF201" s="361"/>
      <c r="AG201" s="361"/>
      <c r="AH201" s="361"/>
      <c r="AI201" s="361"/>
      <c r="AJ201" s="361"/>
      <c r="AK201" s="361"/>
      <c r="AL201" s="361"/>
      <c r="AM201" s="361"/>
      <c r="AN201" s="361"/>
      <c r="AO201" s="361"/>
      <c r="AP201" s="361"/>
      <c r="AQ201" s="361"/>
      <c r="AR201" s="361"/>
      <c r="AS201" s="361"/>
      <c r="AT201" s="361"/>
      <c r="AU201" s="361"/>
      <c r="AV201" s="361"/>
      <c r="AW201" s="361"/>
      <c r="AX201" s="361"/>
      <c r="AY201" s="361"/>
      <c r="AZ201" s="361"/>
      <c r="BA201" s="361"/>
      <c r="BB201" s="361"/>
      <c r="BC201" s="361"/>
      <c r="BD201" s="361"/>
      <c r="BE201" s="361"/>
      <c r="BF201" s="361"/>
      <c r="BG201" s="361"/>
      <c r="BH201" s="361"/>
      <c r="BI201" s="361"/>
      <c r="BJ201" s="361"/>
      <c r="BK201" s="361"/>
      <c r="BL201" s="361"/>
      <c r="BM201" s="361"/>
    </row>
    <row r="202" spans="2:65" s="402" customFormat="1" ht="17.25" customHeight="1" thickTop="1">
      <c r="C202" s="919" t="s">
        <v>404</v>
      </c>
      <c r="D202" s="919"/>
      <c r="E202" s="919" t="str" cm="1">
        <f t="array" ref="E202">latitudeDecimal2Txt(G32)</f>
        <v>N 46°06.00 (N 46.1000) [N 46°06'00.00]</v>
      </c>
      <c r="F202" s="919"/>
      <c r="G202" s="919"/>
      <c r="H202" s="919"/>
      <c r="I202" s="919"/>
      <c r="J202" s="919"/>
      <c r="AB202" s="59"/>
      <c r="AC202" s="361"/>
      <c r="AD202" s="361"/>
      <c r="AE202" s="361"/>
      <c r="AF202" s="361"/>
      <c r="AG202" s="361"/>
      <c r="AH202" s="361"/>
      <c r="AI202" s="361"/>
      <c r="AJ202" s="361"/>
      <c r="AK202" s="361"/>
      <c r="AL202" s="361"/>
      <c r="AM202" s="361"/>
      <c r="AN202" s="361"/>
      <c r="AO202" s="361"/>
      <c r="AP202" s="361"/>
      <c r="AQ202" s="361"/>
      <c r="AR202" s="361"/>
      <c r="AS202" s="361"/>
      <c r="AT202" s="361"/>
      <c r="AU202" s="361"/>
      <c r="AV202" s="361"/>
      <c r="AW202" s="361"/>
      <c r="AX202" s="361"/>
      <c r="AY202" s="361"/>
      <c r="AZ202" s="361"/>
      <c r="BA202" s="361"/>
      <c r="BB202" s="361"/>
      <c r="BC202" s="361"/>
      <c r="BD202" s="361"/>
      <c r="BE202" s="361"/>
      <c r="BF202" s="361"/>
      <c r="BG202" s="361"/>
      <c r="BH202" s="361"/>
      <c r="BI202" s="361"/>
      <c r="BJ202" s="361"/>
      <c r="BK202" s="361"/>
      <c r="BL202" s="361"/>
      <c r="BM202" s="361"/>
    </row>
    <row r="203" spans="2:65" s="402" customFormat="1" ht="17.25" customHeight="1">
      <c r="C203" s="862" t="s">
        <v>405</v>
      </c>
      <c r="D203" s="862"/>
      <c r="E203" s="862" t="str" cm="1">
        <f t="array" ref="E203">longitudeDecimal2Txt(G34)</f>
        <v>W 07°05.00 (W 07.0833) [W 07°05'00.00]</v>
      </c>
      <c r="F203" s="862"/>
      <c r="G203" s="862"/>
      <c r="H203" s="862"/>
      <c r="I203" s="862"/>
      <c r="J203" s="862"/>
      <c r="AB203" s="59"/>
      <c r="AC203" s="361"/>
      <c r="AD203" s="361"/>
      <c r="AE203" s="361"/>
      <c r="AF203" s="361"/>
      <c r="AG203" s="361"/>
      <c r="AH203" s="361"/>
      <c r="AI203" s="361"/>
      <c r="AJ203" s="361"/>
      <c r="AK203" s="361"/>
      <c r="AL203" s="361"/>
      <c r="AM203" s="361"/>
      <c r="AN203" s="361"/>
      <c r="AO203" s="361"/>
      <c r="AP203" s="361"/>
      <c r="AQ203" s="361"/>
      <c r="AR203" s="361"/>
      <c r="AS203" s="361"/>
      <c r="AT203" s="361"/>
      <c r="AU203" s="361"/>
      <c r="AV203" s="361"/>
      <c r="AW203" s="361"/>
      <c r="AX203" s="361"/>
      <c r="AY203" s="361"/>
      <c r="AZ203" s="361"/>
      <c r="BA203" s="361"/>
      <c r="BB203" s="361"/>
      <c r="BC203" s="361"/>
      <c r="BD203" s="361"/>
      <c r="BE203" s="361"/>
      <c r="BF203" s="361"/>
      <c r="BG203" s="361"/>
      <c r="BH203" s="361"/>
      <c r="BI203" s="361"/>
      <c r="BJ203" s="361"/>
      <c r="BK203" s="361"/>
      <c r="BL203" s="361"/>
      <c r="BM203" s="361"/>
    </row>
    <row r="204" spans="2:65" s="402" customFormat="1" ht="17.25" customHeight="1">
      <c r="F204" s="917" t="str">
        <f>CONCATENATE("GHA - ", G60)</f>
        <v>GHA - Par vitesse</v>
      </c>
      <c r="G204" s="917"/>
      <c r="H204" s="861" t="str">
        <f>IF($G$60=$AD$60,K63,CONCATENATE("T0:",K70))</f>
        <v>T0:0</v>
      </c>
      <c r="I204" s="861"/>
      <c r="J204" s="861"/>
      <c r="K204" s="878" t="str" cm="1">
        <f t="array" ref="K204">IF($G$60=$AD$60,angleDecimal2Txt(angleConvert2Decimal(O63),0),CONCATENATE("Pos. à T0:",angleDecimal2Txt(angleConvert2Decimal(O70),0)))</f>
        <v>Pos. à T0:+179°05.09</v>
      </c>
      <c r="L204" s="879"/>
      <c r="M204" s="880"/>
      <c r="AB204" s="59"/>
      <c r="AC204" s="361"/>
      <c r="AD204" s="361"/>
      <c r="AE204" s="361"/>
      <c r="AF204" s="361"/>
      <c r="AG204" s="361"/>
      <c r="AH204" s="361"/>
      <c r="AI204" s="361"/>
      <c r="AJ204" s="361"/>
      <c r="AK204" s="361"/>
      <c r="AL204" s="361"/>
      <c r="AM204" s="361"/>
      <c r="AN204" s="361"/>
      <c r="AO204" s="361"/>
      <c r="AP204" s="361"/>
      <c r="AQ204" s="361"/>
      <c r="AR204" s="361"/>
      <c r="AS204" s="361"/>
      <c r="AT204" s="361"/>
      <c r="AU204" s="361"/>
      <c r="AV204" s="361"/>
      <c r="AW204" s="361"/>
      <c r="AX204" s="361"/>
      <c r="AY204" s="361"/>
      <c r="AZ204" s="361"/>
      <c r="BA204" s="361"/>
      <c r="BB204" s="361"/>
      <c r="BC204" s="361"/>
      <c r="BD204" s="361"/>
      <c r="BE204" s="361"/>
      <c r="BF204" s="361"/>
      <c r="BG204" s="361"/>
      <c r="BH204" s="361"/>
      <c r="BI204" s="361"/>
      <c r="BJ204" s="361"/>
      <c r="BK204" s="361"/>
      <c r="BL204" s="361"/>
      <c r="BM204" s="361"/>
    </row>
    <row r="205" spans="2:65" s="402" customFormat="1" ht="17.25" customHeight="1">
      <c r="F205" s="917"/>
      <c r="G205" s="917"/>
      <c r="H205" s="861" t="str">
        <f>IF($G$60=$AD$60,K65,CONCATENATE("V:",AD73,0))</f>
        <v>V:14,9980</v>
      </c>
      <c r="I205" s="861"/>
      <c r="J205" s="861"/>
      <c r="K205" s="878" t="str" cm="1">
        <f t="array" ref="K205">IF($G$60=$AD$60,angleDecimal2Txt(angleConvert2Decimal(O65),0),CONCATENATE("dt:",TEXT((I70-K70),"0.000")," h"))</f>
        <v>dt:0.010 h</v>
      </c>
      <c r="L205" s="879"/>
      <c r="M205" s="880"/>
      <c r="AB205" s="59"/>
      <c r="AC205" s="361"/>
      <c r="AD205" s="361"/>
      <c r="AE205" s="361"/>
      <c r="AF205" s="361"/>
      <c r="AG205" s="361"/>
      <c r="AH205" s="361"/>
      <c r="AI205" s="361"/>
      <c r="AJ205" s="361"/>
      <c r="AK205" s="361"/>
      <c r="AL205" s="361"/>
      <c r="AM205" s="361"/>
      <c r="AN205" s="361"/>
      <c r="AO205" s="361"/>
      <c r="AP205" s="361"/>
      <c r="AQ205" s="361"/>
      <c r="AR205" s="361"/>
      <c r="AS205" s="361"/>
      <c r="AT205" s="361"/>
      <c r="AU205" s="361"/>
      <c r="AV205" s="361"/>
      <c r="AW205" s="361"/>
      <c r="AX205" s="361"/>
      <c r="AY205" s="361"/>
      <c r="AZ205" s="361"/>
      <c r="BA205" s="361"/>
      <c r="BB205" s="361"/>
      <c r="BC205" s="361"/>
      <c r="BD205" s="361"/>
      <c r="BE205" s="361"/>
      <c r="BF205" s="361"/>
      <c r="BG205" s="361"/>
      <c r="BH205" s="361"/>
      <c r="BI205" s="361"/>
      <c r="BJ205" s="361"/>
      <c r="BK205" s="361"/>
      <c r="BL205" s="361"/>
      <c r="BM205" s="361"/>
    </row>
    <row r="206" spans="2:65" s="402" customFormat="1" ht="17.25" customHeight="1">
      <c r="C206" s="914" t="s">
        <v>406</v>
      </c>
      <c r="D206" s="914"/>
      <c r="E206" s="914" t="str" cm="1">
        <f t="array" ref="E206">angleDecimal2Txt(F59)</f>
        <v>+334°12.60 (+334.2101) [+334°12'36.53]</v>
      </c>
      <c r="F206" s="914"/>
      <c r="G206" s="914"/>
      <c r="H206" s="914"/>
      <c r="I206" s="914"/>
      <c r="J206" s="914"/>
      <c r="AB206" s="59"/>
      <c r="AC206" s="361"/>
      <c r="AD206" s="361"/>
      <c r="AE206" s="361"/>
      <c r="AF206" s="361"/>
      <c r="AG206" s="361"/>
      <c r="AH206" s="361"/>
      <c r="AI206" s="361"/>
      <c r="AJ206" s="361"/>
      <c r="AK206" s="361"/>
      <c r="AL206" s="361"/>
      <c r="AM206" s="361"/>
      <c r="AN206" s="361"/>
      <c r="AO206" s="361"/>
      <c r="AP206" s="361"/>
      <c r="AQ206" s="361"/>
      <c r="AR206" s="361"/>
      <c r="AS206" s="361"/>
      <c r="AT206" s="361"/>
      <c r="AU206" s="361"/>
      <c r="AV206" s="361"/>
      <c r="AW206" s="361"/>
      <c r="AX206" s="361"/>
      <c r="AY206" s="361"/>
      <c r="AZ206" s="361"/>
      <c r="BA206" s="361"/>
      <c r="BB206" s="361"/>
      <c r="BC206" s="361"/>
      <c r="BD206" s="361"/>
      <c r="BE206" s="361"/>
      <c r="BF206" s="361"/>
      <c r="BG206" s="361"/>
      <c r="BH206" s="361"/>
      <c r="BI206" s="361"/>
      <c r="BJ206" s="361"/>
      <c r="BK206" s="361"/>
      <c r="BL206" s="361"/>
      <c r="BM206" s="361"/>
    </row>
    <row r="207" spans="2:65" s="402" customFormat="1" ht="17.25" customHeight="1">
      <c r="C207" s="914" t="s">
        <v>43</v>
      </c>
      <c r="D207" s="914"/>
      <c r="E207" s="914" t="str" cm="1">
        <f t="array" ref="E207">angleDecimal2Txt(F80)</f>
        <v>+327°07.60 (+327.1268) [+327°07'36.53]</v>
      </c>
      <c r="F207" s="914"/>
      <c r="G207" s="914"/>
      <c r="H207" s="914"/>
      <c r="I207" s="914"/>
      <c r="J207" s="914"/>
      <c r="AB207" s="59"/>
      <c r="AC207" s="361"/>
      <c r="AD207" s="361"/>
      <c r="AE207" s="361"/>
      <c r="AF207" s="361"/>
      <c r="AG207" s="361"/>
      <c r="AH207" s="361"/>
      <c r="AI207" s="361"/>
      <c r="AJ207" s="361"/>
      <c r="AK207" s="361"/>
      <c r="AL207" s="361"/>
      <c r="AM207" s="361"/>
      <c r="AN207" s="361"/>
      <c r="AO207" s="361"/>
      <c r="AP207" s="361"/>
      <c r="AQ207" s="361"/>
      <c r="AR207" s="361"/>
      <c r="AS207" s="361"/>
      <c r="AT207" s="361"/>
      <c r="AU207" s="361"/>
      <c r="AV207" s="361"/>
      <c r="AW207" s="361"/>
      <c r="AX207" s="361"/>
      <c r="AY207" s="361"/>
      <c r="AZ207" s="361"/>
      <c r="BA207" s="361"/>
      <c r="BB207" s="361"/>
      <c r="BC207" s="361"/>
      <c r="BD207" s="361"/>
      <c r="BE207" s="361"/>
      <c r="BF207" s="361"/>
      <c r="BG207" s="361"/>
      <c r="BH207" s="361"/>
      <c r="BI207" s="361"/>
      <c r="BJ207" s="361"/>
      <c r="BK207" s="361"/>
      <c r="BL207" s="361"/>
      <c r="BM207" s="361"/>
    </row>
    <row r="208" spans="2:65" s="402" customFormat="1" ht="17.25" customHeight="1">
      <c r="F208" s="917" t="str">
        <f>CONCATENATE("Déc. - ", G39)</f>
        <v>Déc. - Par vitesse</v>
      </c>
      <c r="G208" s="917"/>
      <c r="H208" s="861" t="str">
        <f>IF($G$39=$AD$39,K42,CONCATENATE("T0:",K49))</f>
        <v>T0:0</v>
      </c>
      <c r="I208" s="861"/>
      <c r="J208" s="878" t="str" cm="1">
        <f t="array" ref="J208">IF($G$39=$AD$39,angleDecimal2Txt(AE42,0),CONCATENATE("Pos. à T0:",AD50,0))</f>
        <v>Pos. à T0:23,16666666666670</v>
      </c>
      <c r="K208" s="879"/>
      <c r="L208" s="879"/>
      <c r="M208" s="880"/>
      <c r="AB208" s="59"/>
      <c r="AC208" s="361"/>
      <c r="AD208" s="361"/>
      <c r="AE208" s="361"/>
      <c r="AF208" s="361"/>
      <c r="AG208" s="361"/>
      <c r="AH208" s="361"/>
      <c r="AI208" s="361"/>
      <c r="AJ208" s="361"/>
      <c r="AK208" s="361"/>
      <c r="AL208" s="361"/>
      <c r="AM208" s="361"/>
      <c r="AN208" s="361"/>
      <c r="AO208" s="361"/>
      <c r="AP208" s="361"/>
      <c r="AQ208" s="361"/>
      <c r="AR208" s="361"/>
      <c r="AS208" s="361"/>
      <c r="AT208" s="361"/>
      <c r="AU208" s="361"/>
      <c r="AV208" s="361"/>
      <c r="AW208" s="361"/>
      <c r="AX208" s="361"/>
      <c r="AY208" s="361"/>
      <c r="AZ208" s="361"/>
      <c r="BA208" s="361"/>
      <c r="BB208" s="361"/>
      <c r="BC208" s="361"/>
      <c r="BD208" s="361"/>
      <c r="BE208" s="361"/>
      <c r="BF208" s="361"/>
      <c r="BG208" s="361"/>
      <c r="BH208" s="361"/>
      <c r="BI208" s="361"/>
      <c r="BJ208" s="361"/>
      <c r="BK208" s="361"/>
      <c r="BL208" s="361"/>
      <c r="BM208" s="361"/>
    </row>
    <row r="209" spans="3:65" s="402" customFormat="1" ht="17.25" customHeight="1">
      <c r="F209" s="917"/>
      <c r="G209" s="917"/>
      <c r="H209" s="861" t="str" cm="1">
        <f t="array" ref="H209">IF($G$39=$AD$39,K44,CONCATENATE("V:",angleDecimal2Txt(AD52,0)))</f>
        <v>V:-00°00.16</v>
      </c>
      <c r="I209" s="861"/>
      <c r="J209" s="878" t="str" cm="1">
        <f t="array" ref="J209">IF($G$39=$AD$39,angleDecimal2Txt(AE43,0),CONCATENATE("dt:",TEXT((I49-K49),"0.000")," h"))</f>
        <v>dt:0.010 h</v>
      </c>
      <c r="K209" s="879"/>
      <c r="L209" s="879"/>
      <c r="M209" s="880"/>
      <c r="AB209" s="59"/>
      <c r="AC209" s="361"/>
      <c r="AD209" s="361"/>
      <c r="AE209" s="361"/>
      <c r="AF209" s="361"/>
      <c r="AG209" s="361"/>
      <c r="AH209" s="361"/>
      <c r="AI209" s="361"/>
      <c r="AJ209" s="361"/>
      <c r="AK209" s="361"/>
      <c r="AL209" s="361"/>
      <c r="AM209" s="361"/>
      <c r="AN209" s="361"/>
      <c r="AO209" s="361"/>
      <c r="AP209" s="361"/>
      <c r="AQ209" s="361"/>
      <c r="AR209" s="361"/>
      <c r="AS209" s="361"/>
      <c r="AT209" s="361"/>
      <c r="AU209" s="361"/>
      <c r="AV209" s="361"/>
      <c r="AW209" s="361"/>
      <c r="AX209" s="361"/>
      <c r="AY209" s="361"/>
      <c r="AZ209" s="361"/>
      <c r="BA209" s="361"/>
      <c r="BB209" s="361"/>
      <c r="BC209" s="361"/>
      <c r="BD209" s="361"/>
      <c r="BE209" s="361"/>
      <c r="BF209" s="361"/>
      <c r="BG209" s="361"/>
      <c r="BH209" s="361"/>
      <c r="BI209" s="361"/>
      <c r="BJ209" s="361"/>
      <c r="BK209" s="361"/>
      <c r="BL209" s="361"/>
      <c r="BM209" s="361"/>
    </row>
    <row r="210" spans="3:65" s="402" customFormat="1" ht="17.25" customHeight="1">
      <c r="C210" s="914" t="s">
        <v>9</v>
      </c>
      <c r="D210" s="914"/>
      <c r="E210" s="914" t="str" cm="1">
        <f t="array" ref="E210">latitudeDecimal2Txt(F38)</f>
        <v>N 23°08.34 (N 23.1390) [N 23°08'20.70]</v>
      </c>
      <c r="F210" s="914"/>
      <c r="G210" s="914"/>
      <c r="H210" s="914"/>
      <c r="I210" s="914"/>
      <c r="J210" s="914"/>
      <c r="AB210" s="59"/>
      <c r="AC210" s="361"/>
      <c r="AD210" s="361"/>
      <c r="AE210" s="361"/>
      <c r="AF210" s="361"/>
      <c r="AG210" s="361"/>
      <c r="AH210" s="361"/>
      <c r="AI210" s="361"/>
      <c r="AJ210" s="361"/>
      <c r="AK210" s="361"/>
      <c r="AL210" s="361"/>
      <c r="AM210" s="361"/>
      <c r="AN210" s="361"/>
      <c r="AO210" s="361"/>
      <c r="AP210" s="361"/>
      <c r="AQ210" s="361"/>
      <c r="AR210" s="361"/>
      <c r="AS210" s="361"/>
      <c r="AT210" s="361"/>
      <c r="AU210" s="361"/>
      <c r="AV210" s="361"/>
      <c r="AW210" s="361"/>
      <c r="AX210" s="361"/>
      <c r="AY210" s="361"/>
      <c r="AZ210" s="361"/>
      <c r="BA210" s="361"/>
      <c r="BB210" s="361"/>
      <c r="BC210" s="361"/>
      <c r="BD210" s="361"/>
      <c r="BE210" s="361"/>
      <c r="BF210" s="361"/>
      <c r="BG210" s="361"/>
      <c r="BH210" s="361"/>
      <c r="BI210" s="361"/>
      <c r="BJ210" s="361"/>
      <c r="BK210" s="361"/>
      <c r="BL210" s="361"/>
      <c r="BM210" s="361"/>
    </row>
    <row r="211" spans="3:65" s="402" customFormat="1" ht="17.25" customHeight="1">
      <c r="F211" s="861" t="s">
        <v>408</v>
      </c>
      <c r="G211" s="861"/>
      <c r="H211" s="861">
        <f>SIN(U126)</f>
        <v>0.39296449545629913</v>
      </c>
      <c r="I211" s="861"/>
      <c r="J211" s="861">
        <f>SIN(U139)</f>
        <v>0.72055111168033037</v>
      </c>
      <c r="K211" s="861"/>
      <c r="L211" s="878" t="s">
        <v>409</v>
      </c>
      <c r="M211" s="880"/>
      <c r="AB211" s="59"/>
      <c r="AC211" s="361"/>
      <c r="AD211" s="361"/>
      <c r="AE211" s="361"/>
      <c r="AF211" s="361"/>
      <c r="AG211" s="361"/>
      <c r="AH211" s="361"/>
      <c r="AI211" s="361"/>
      <c r="AJ211" s="361"/>
      <c r="AK211" s="361"/>
      <c r="AL211" s="361"/>
      <c r="AM211" s="361"/>
      <c r="AN211" s="361"/>
      <c r="AO211" s="361"/>
      <c r="AP211" s="361"/>
      <c r="AQ211" s="361"/>
      <c r="AR211" s="361"/>
      <c r="AS211" s="361"/>
      <c r="AT211" s="361"/>
      <c r="AU211" s="361"/>
      <c r="AV211" s="361"/>
      <c r="AW211" s="361"/>
      <c r="AX211" s="361"/>
      <c r="AY211" s="361"/>
      <c r="AZ211" s="361"/>
      <c r="BA211" s="361"/>
      <c r="BB211" s="361"/>
      <c r="BC211" s="361"/>
      <c r="BD211" s="361"/>
      <c r="BE211" s="361"/>
      <c r="BF211" s="361"/>
      <c r="BG211" s="361"/>
      <c r="BH211" s="361"/>
      <c r="BI211" s="361"/>
      <c r="BJ211" s="361"/>
      <c r="BK211" s="361"/>
      <c r="BL211" s="361"/>
      <c r="BM211" s="361"/>
    </row>
    <row r="212" spans="3:65" s="402" customFormat="1" ht="17.25" customHeight="1">
      <c r="F212" s="861" t="s">
        <v>407</v>
      </c>
      <c r="G212" s="861"/>
      <c r="H212" s="861">
        <f>COS(U138)</f>
        <v>0.91955364460741296</v>
      </c>
      <c r="I212" s="861"/>
      <c r="J212" s="861">
        <f>COS(U139)</f>
        <v>0.69340182827581298</v>
      </c>
      <c r="K212" s="861"/>
      <c r="L212" s="878" t="s">
        <v>410</v>
      </c>
      <c r="M212" s="880"/>
      <c r="AB212" s="59"/>
      <c r="AC212" s="361"/>
      <c r="AD212" s="361"/>
      <c r="AE212" s="361"/>
      <c r="AF212" s="361"/>
      <c r="AG212" s="361"/>
      <c r="AH212" s="361"/>
      <c r="AI212" s="361"/>
      <c r="AJ212" s="361"/>
      <c r="AK212" s="361"/>
      <c r="AL212" s="361"/>
      <c r="AM212" s="361"/>
      <c r="AN212" s="361"/>
      <c r="AO212" s="361"/>
      <c r="AP212" s="361"/>
      <c r="AQ212" s="361"/>
      <c r="AR212" s="361"/>
      <c r="AS212" s="361"/>
      <c r="AT212" s="361"/>
      <c r="AU212" s="361"/>
      <c r="AV212" s="361"/>
      <c r="AW212" s="361"/>
      <c r="AX212" s="361"/>
      <c r="AY212" s="361"/>
      <c r="AZ212" s="361"/>
      <c r="BA212" s="361"/>
      <c r="BB212" s="361"/>
      <c r="BC212" s="361"/>
      <c r="BD212" s="361"/>
      <c r="BE212" s="361"/>
      <c r="BF212" s="361"/>
      <c r="BG212" s="361"/>
      <c r="BH212" s="361"/>
      <c r="BI212" s="361"/>
      <c r="BJ212" s="361"/>
      <c r="BK212" s="361"/>
      <c r="BL212" s="361"/>
      <c r="BM212" s="361"/>
    </row>
    <row r="213" spans="3:65" s="402" customFormat="1" ht="17.25" customHeight="1">
      <c r="F213" s="921" t="s">
        <v>411</v>
      </c>
      <c r="G213" s="921"/>
      <c r="H213" s="921">
        <f>COS(U128)</f>
        <v>0.83987397314228807</v>
      </c>
      <c r="I213" s="921"/>
      <c r="J213" s="427"/>
      <c r="K213" s="427"/>
      <c r="L213" s="427"/>
      <c r="M213" s="427"/>
      <c r="AB213" s="59"/>
      <c r="AC213" s="361"/>
      <c r="AD213" s="361"/>
      <c r="AE213" s="361"/>
      <c r="AF213" s="361"/>
      <c r="AG213" s="361"/>
      <c r="AH213" s="361"/>
      <c r="AI213" s="361"/>
      <c r="AJ213" s="361"/>
      <c r="AK213" s="361"/>
      <c r="AL213" s="361"/>
      <c r="AM213" s="361"/>
      <c r="AN213" s="361"/>
      <c r="AO213" s="361"/>
      <c r="AP213" s="361"/>
      <c r="AQ213" s="361"/>
      <c r="AR213" s="361"/>
      <c r="AS213" s="361"/>
      <c r="AT213" s="361"/>
      <c r="AU213" s="361"/>
      <c r="AV213" s="361"/>
      <c r="AW213" s="361"/>
      <c r="AX213" s="361"/>
      <c r="AY213" s="361"/>
      <c r="AZ213" s="361"/>
      <c r="BA213" s="361"/>
      <c r="BB213" s="361"/>
      <c r="BC213" s="361"/>
      <c r="BD213" s="361"/>
      <c r="BE213" s="361"/>
      <c r="BF213" s="361"/>
      <c r="BG213" s="361"/>
      <c r="BH213" s="361"/>
      <c r="BI213" s="361"/>
      <c r="BJ213" s="361"/>
      <c r="BK213" s="361"/>
      <c r="BL213" s="361"/>
      <c r="BM213" s="361"/>
    </row>
    <row r="214" spans="3:65" s="402" customFormat="1" ht="17.25" customHeight="1">
      <c r="F214" s="909" t="s">
        <v>412</v>
      </c>
      <c r="G214" s="910"/>
      <c r="H214" s="910"/>
      <c r="I214" s="910"/>
      <c r="J214" s="910"/>
      <c r="K214" s="910"/>
      <c r="L214" s="910"/>
      <c r="M214" s="911"/>
      <c r="AB214" s="59"/>
      <c r="AC214" s="361"/>
      <c r="AD214" s="361"/>
      <c r="AE214" s="361"/>
      <c r="AF214" s="361"/>
      <c r="AG214" s="361"/>
      <c r="AH214" s="361"/>
      <c r="AI214" s="361"/>
      <c r="AJ214" s="361"/>
      <c r="AK214" s="361"/>
      <c r="AL214" s="361"/>
      <c r="AM214" s="361"/>
      <c r="AN214" s="361"/>
      <c r="AO214" s="361"/>
      <c r="AP214" s="361"/>
      <c r="AQ214" s="361"/>
      <c r="AR214" s="361"/>
      <c r="AS214" s="361"/>
      <c r="AT214" s="361"/>
      <c r="AU214" s="361"/>
      <c r="AV214" s="361"/>
      <c r="AW214" s="361"/>
      <c r="AX214" s="361"/>
      <c r="AY214" s="361"/>
      <c r="AZ214" s="361"/>
      <c r="BA214" s="361"/>
      <c r="BB214" s="361"/>
      <c r="BC214" s="361"/>
      <c r="BD214" s="361"/>
      <c r="BE214" s="361"/>
      <c r="BF214" s="361"/>
      <c r="BG214" s="361"/>
      <c r="BH214" s="361"/>
      <c r="BI214" s="361"/>
      <c r="BJ214" s="361"/>
      <c r="BK214" s="361"/>
      <c r="BL214" s="361"/>
      <c r="BM214" s="361"/>
    </row>
    <row r="215" spans="3:65" s="402" customFormat="1" ht="17.25" customHeight="1">
      <c r="F215" s="861" t="s">
        <v>419</v>
      </c>
      <c r="G215" s="861"/>
      <c r="H215" s="878">
        <f>H211*J211+H212*J212*H213</f>
        <v>0.8186715966139555</v>
      </c>
      <c r="I215" s="879"/>
      <c r="J215" s="879"/>
      <c r="K215" s="879"/>
      <c r="L215" s="879"/>
      <c r="M215" s="880"/>
      <c r="AB215" s="59"/>
      <c r="AC215" s="361">
        <f>ASIN(H215)*Outils!F5</f>
        <v>54.952035718344248</v>
      </c>
      <c r="AD215" s="361" t="str" cm="1">
        <f t="array" ref="AD215">angleDecimal2Txt(AC215)</f>
        <v>+54°57.12 (+54.9520) [+54°57'07.32]</v>
      </c>
      <c r="AE215" s="361"/>
      <c r="AF215" s="361"/>
      <c r="AG215" s="361"/>
      <c r="AH215" s="361"/>
      <c r="AI215" s="361"/>
      <c r="AJ215" s="361"/>
      <c r="AK215" s="361"/>
      <c r="AL215" s="361"/>
      <c r="AM215" s="361"/>
      <c r="AN215" s="361"/>
      <c r="AO215" s="361"/>
      <c r="AP215" s="361"/>
      <c r="AQ215" s="361"/>
      <c r="AR215" s="361"/>
      <c r="AS215" s="361"/>
      <c r="AT215" s="361"/>
      <c r="AU215" s="361"/>
      <c r="AV215" s="361"/>
      <c r="AW215" s="361"/>
      <c r="AX215" s="361"/>
      <c r="AY215" s="361"/>
      <c r="AZ215" s="361"/>
      <c r="BA215" s="361"/>
      <c r="BB215" s="361"/>
      <c r="BC215" s="361"/>
      <c r="BD215" s="361"/>
      <c r="BE215" s="361"/>
      <c r="BF215" s="361"/>
      <c r="BG215" s="361"/>
      <c r="BH215" s="361"/>
      <c r="BI215" s="361"/>
      <c r="BJ215" s="361"/>
      <c r="BK215" s="361"/>
      <c r="BL215" s="361"/>
      <c r="BM215" s="361"/>
    </row>
    <row r="216" spans="3:65" s="402" customFormat="1" ht="17.25" customHeight="1">
      <c r="C216" s="864" t="s">
        <v>413</v>
      </c>
      <c r="D216" s="864"/>
      <c r="E216" s="864" t="str">
        <f>angleDecimal2Txt(I126)</f>
        <v>+54°57.12 (+54.9520) [+54°57'07.32]</v>
      </c>
      <c r="F216" s="864"/>
      <c r="G216" s="864"/>
      <c r="H216" s="864"/>
      <c r="I216" s="864"/>
      <c r="J216" s="864"/>
      <c r="AB216" s="59"/>
      <c r="AC216" s="361"/>
      <c r="AD216" s="361"/>
      <c r="AE216" s="361"/>
      <c r="AF216" s="361"/>
      <c r="AG216" s="361"/>
      <c r="AH216" s="361"/>
      <c r="AI216" s="361"/>
      <c r="AJ216" s="361"/>
      <c r="AK216" s="361"/>
      <c r="AL216" s="361"/>
      <c r="AM216" s="361"/>
      <c r="AN216" s="361"/>
      <c r="AO216" s="361"/>
      <c r="AP216" s="361"/>
      <c r="AQ216" s="361"/>
      <c r="AR216" s="361"/>
      <c r="AS216" s="361"/>
      <c r="AT216" s="361"/>
      <c r="AU216" s="361"/>
      <c r="AV216" s="361"/>
      <c r="AW216" s="361"/>
      <c r="AX216" s="361"/>
      <c r="AY216" s="361"/>
      <c r="AZ216" s="361"/>
      <c r="BA216" s="361"/>
      <c r="BB216" s="361"/>
      <c r="BC216" s="361"/>
      <c r="BD216" s="361"/>
      <c r="BE216" s="361"/>
      <c r="BF216" s="361"/>
      <c r="BG216" s="361"/>
      <c r="BH216" s="361"/>
      <c r="BI216" s="361"/>
      <c r="BJ216" s="361"/>
      <c r="BK216" s="361"/>
      <c r="BL216" s="361"/>
      <c r="BM216" s="361"/>
    </row>
    <row r="217" spans="3:65" s="402" customFormat="1" ht="17.25" customHeight="1">
      <c r="C217" s="888" t="s">
        <v>612</v>
      </c>
      <c r="D217" s="889"/>
      <c r="E217" s="864" t="str">
        <f>angleDecimal2Txt((F84-I126),0)</f>
        <v>+00°04.38</v>
      </c>
      <c r="F217" s="864"/>
      <c r="G217" s="864"/>
      <c r="H217" s="864"/>
      <c r="I217" s="864"/>
      <c r="J217" s="864"/>
      <c r="AB217" s="59"/>
      <c r="AC217" s="361"/>
      <c r="AD217" s="361"/>
      <c r="AE217" s="361"/>
      <c r="AF217" s="361"/>
      <c r="AG217" s="361"/>
      <c r="AH217" s="361"/>
      <c r="AI217" s="361"/>
      <c r="AJ217" s="361"/>
      <c r="AK217" s="361"/>
      <c r="AL217" s="361"/>
      <c r="AM217" s="361"/>
      <c r="AN217" s="361"/>
      <c r="AO217" s="361"/>
      <c r="AP217" s="361"/>
      <c r="AQ217" s="361"/>
      <c r="AR217" s="361"/>
      <c r="AS217" s="361"/>
      <c r="AT217" s="361"/>
      <c r="AU217" s="361"/>
      <c r="AV217" s="361"/>
      <c r="AW217" s="361"/>
      <c r="AX217" s="361"/>
      <c r="AY217" s="361"/>
      <c r="AZ217" s="361"/>
      <c r="BA217" s="361"/>
      <c r="BB217" s="361"/>
      <c r="BC217" s="361"/>
      <c r="BD217" s="361"/>
      <c r="BE217" s="361"/>
      <c r="BF217" s="361"/>
      <c r="BG217" s="361"/>
      <c r="BH217" s="361"/>
      <c r="BI217" s="361"/>
      <c r="BJ217" s="361"/>
      <c r="BK217" s="361"/>
      <c r="BL217" s="361"/>
      <c r="BM217" s="361"/>
    </row>
    <row r="218" spans="3:65" ht="17.25" customHeight="1">
      <c r="C218" s="890"/>
      <c r="D218" s="891"/>
      <c r="E218" s="887" t="str">
        <f>CONCATENATE(V131,"  Mn")</f>
        <v>4,38902755487476  Mn</v>
      </c>
      <c r="F218" s="887"/>
      <c r="G218" s="887"/>
      <c r="H218" s="887"/>
      <c r="I218" s="887"/>
      <c r="J218" s="887"/>
      <c r="O218" s="876" t="s">
        <v>357</v>
      </c>
      <c r="P218" s="876" t="str" cm="1">
        <f t="array" ref="P218">latitudeDecimal2Txt(V132,0)</f>
        <v>N 23°08.34</v>
      </c>
      <c r="Q218" s="876"/>
      <c r="AC218" s="441">
        <f>V131</f>
        <v>4.3890275548747582</v>
      </c>
    </row>
    <row r="219" spans="3:65" ht="17.25" customHeight="1">
      <c r="C219" s="892"/>
      <c r="D219" s="893"/>
      <c r="E219" s="887" t="str">
        <f>X131</f>
        <v>Vers Pg</v>
      </c>
      <c r="F219" s="920"/>
      <c r="G219" s="920"/>
      <c r="H219" s="920"/>
      <c r="I219" s="920"/>
      <c r="J219" s="920"/>
      <c r="O219" s="877"/>
      <c r="P219" s="877" t="str" cm="1">
        <f t="array" ref="P219">longitudeDecimal2Txt(V133,0)</f>
        <v>E 25°47.39</v>
      </c>
      <c r="Q219" s="876"/>
    </row>
    <row r="220" spans="3:65" ht="17.25" customHeight="1">
      <c r="F220" s="909" t="s">
        <v>524</v>
      </c>
      <c r="G220" s="910"/>
      <c r="H220" s="910"/>
      <c r="I220" s="910"/>
      <c r="J220" s="910"/>
      <c r="K220" s="910"/>
      <c r="L220" s="910"/>
      <c r="M220" s="910"/>
      <c r="N220" s="910"/>
      <c r="O220" s="910"/>
      <c r="P220" s="911"/>
      <c r="Q220" s="427"/>
    </row>
    <row r="221" spans="3:65" ht="17.25" customHeight="1">
      <c r="D221" s="906" t="s">
        <v>525</v>
      </c>
      <c r="E221" s="907"/>
      <c r="F221" s="886" t="s">
        <v>534</v>
      </c>
      <c r="G221" s="886"/>
      <c r="H221" s="886">
        <f>SIGN(Q139*Q138)*ABS(Q138)</f>
        <v>23.139085185185188</v>
      </c>
      <c r="I221" s="886"/>
      <c r="J221" s="884" t="s">
        <v>532</v>
      </c>
      <c r="K221" s="885"/>
      <c r="L221" s="884">
        <f>SIN(H221*Outils!$F$4)</f>
        <v>0.39296449545629913</v>
      </c>
      <c r="M221" s="885"/>
      <c r="N221" s="884" t="s">
        <v>533</v>
      </c>
      <c r="O221" s="885"/>
      <c r="P221" s="884">
        <f>COS(H221*Outils!$F$4)</f>
        <v>0.91955364460741296</v>
      </c>
      <c r="Q221" s="885"/>
    </row>
    <row r="222" spans="3:65" ht="17.25" customHeight="1">
      <c r="D222" s="906"/>
      <c r="E222" s="907"/>
      <c r="F222" s="884" t="s">
        <v>529</v>
      </c>
      <c r="G222" s="908"/>
      <c r="H222" s="886">
        <f>ABS(Q139)</f>
        <v>46.1</v>
      </c>
      <c r="I222" s="886"/>
      <c r="J222" s="872" t="s">
        <v>530</v>
      </c>
      <c r="K222" s="873"/>
      <c r="L222" s="884">
        <f>SIN(H222*Outils!$F$4)</f>
        <v>0.72055111168033037</v>
      </c>
      <c r="M222" s="885"/>
      <c r="N222" s="872" t="s">
        <v>531</v>
      </c>
      <c r="O222" s="873"/>
      <c r="P222" s="884">
        <f>COS(H222*Outils!$F$4)</f>
        <v>0.69340182827581298</v>
      </c>
      <c r="Q222" s="885"/>
    </row>
    <row r="223" spans="3:65" ht="17.25" customHeight="1">
      <c r="D223" s="906"/>
      <c r="E223" s="907"/>
      <c r="F223" s="884" t="s">
        <v>526</v>
      </c>
      <c r="G223" s="885"/>
      <c r="H223" s="884">
        <f>IF(Q140&gt;180,(-1)*Q140,Q140)</f>
        <v>-327.12681388888893</v>
      </c>
      <c r="I223" s="885"/>
      <c r="J223" s="884" t="s">
        <v>527</v>
      </c>
      <c r="K223" s="885"/>
      <c r="L223" s="884">
        <f>SIN(H223*Outils!$F$4)</f>
        <v>0.54278145624015861</v>
      </c>
      <c r="M223" s="885"/>
      <c r="N223" s="884" t="s">
        <v>528</v>
      </c>
      <c r="O223" s="885"/>
      <c r="P223" s="884">
        <f>COS(H223*Outils!$F$4)</f>
        <v>0.83987397314228807</v>
      </c>
      <c r="Q223" s="885"/>
    </row>
    <row r="224" spans="3:65" ht="17.25" customHeight="1">
      <c r="F224" s="883" t="s">
        <v>523</v>
      </c>
      <c r="G224" s="883"/>
      <c r="H224" s="878">
        <f>(P221*L223)/((P222*L221)-(L222*P221*P223))</f>
        <v>-1.757416332894209</v>
      </c>
      <c r="I224" s="879"/>
      <c r="J224" s="879"/>
      <c r="K224" s="879"/>
      <c r="L224" s="879"/>
      <c r="M224" s="880"/>
      <c r="N224" s="427"/>
      <c r="O224" s="427"/>
      <c r="P224" s="427"/>
      <c r="Q224" s="427"/>
      <c r="AC224" s="361">
        <f>ATAN(H224)*Outils!F5</f>
        <v>-60.359382312018681</v>
      </c>
      <c r="AD224" s="361">
        <f>IF(AC224&lt;0,AC224+180,AC224)</f>
        <v>119.64061768798132</v>
      </c>
    </row>
    <row r="225" spans="2:17" ht="17.25" customHeight="1">
      <c r="F225" s="861" t="s">
        <v>92</v>
      </c>
      <c r="G225" s="861"/>
      <c r="H225" s="878" t="str" cm="1">
        <f t="array" ref="H225">angleDecimal2Txt(I138,0)</f>
        <v>+119°38.43</v>
      </c>
      <c r="I225" s="879"/>
      <c r="J225" s="879"/>
      <c r="K225" s="879"/>
      <c r="L225" s="879"/>
      <c r="M225" s="880"/>
      <c r="N225" s="427"/>
      <c r="O225" s="427"/>
      <c r="P225" s="427"/>
      <c r="Q225" s="427"/>
    </row>
    <row r="226" spans="2:17" ht="17.25" customHeight="1">
      <c r="F226" s="894" t="s">
        <v>143</v>
      </c>
      <c r="G226" s="895"/>
      <c r="H226" s="895"/>
      <c r="I226" s="895"/>
      <c r="J226" s="895"/>
      <c r="K226" s="896"/>
      <c r="L226" s="894" t="s">
        <v>144</v>
      </c>
      <c r="M226" s="895"/>
      <c r="N226" s="895"/>
      <c r="O226" s="895"/>
      <c r="P226" s="895"/>
      <c r="Q226" s="896"/>
    </row>
    <row r="227" spans="2:17" ht="17.25" customHeight="1">
      <c r="F227" s="897"/>
      <c r="G227" s="899" t="s">
        <v>117</v>
      </c>
      <c r="H227" s="900"/>
      <c r="I227" s="901"/>
      <c r="J227" s="881" t="s">
        <v>118</v>
      </c>
      <c r="K227" s="882"/>
      <c r="L227" s="897"/>
      <c r="M227" s="899" t="s">
        <v>117</v>
      </c>
      <c r="N227" s="900"/>
      <c r="O227" s="901"/>
      <c r="P227" s="881" t="s">
        <v>119</v>
      </c>
      <c r="Q227" s="882"/>
    </row>
    <row r="228" spans="2:17" ht="17.25" customHeight="1">
      <c r="F228" s="898"/>
      <c r="G228" s="902" t="s">
        <v>87</v>
      </c>
      <c r="H228" s="903"/>
      <c r="I228" s="904"/>
      <c r="J228" s="874" t="s">
        <v>88</v>
      </c>
      <c r="K228" s="875"/>
      <c r="L228" s="898"/>
      <c r="M228" s="902" t="s">
        <v>87</v>
      </c>
      <c r="N228" s="903"/>
      <c r="O228" s="904"/>
      <c r="P228" s="874" t="s">
        <v>89</v>
      </c>
      <c r="Q228" s="875"/>
    </row>
    <row r="229" spans="2:17" ht="17.25" customHeight="1">
      <c r="F229" s="861" t="s">
        <v>417</v>
      </c>
      <c r="G229" s="861"/>
      <c r="H229" s="878" t="str">
        <f>IF(G32&gt;0,"Nord","Sud")</f>
        <v>Nord</v>
      </c>
      <c r="I229" s="879"/>
      <c r="J229" s="879"/>
      <c r="K229" s="879"/>
      <c r="L229" s="879"/>
      <c r="M229" s="880"/>
      <c r="N229" s="427"/>
      <c r="O229" s="427"/>
      <c r="P229" s="427"/>
      <c r="Q229" s="427"/>
    </row>
    <row r="230" spans="2:17" ht="17.25" customHeight="1">
      <c r="F230" s="861" t="s">
        <v>416</v>
      </c>
      <c r="G230" s="861"/>
      <c r="H230" s="878" t="b">
        <f>(F80&gt;180)</f>
        <v>1</v>
      </c>
      <c r="I230" s="879"/>
      <c r="J230" s="879"/>
      <c r="K230" s="879"/>
      <c r="L230" s="879"/>
      <c r="M230" s="880"/>
      <c r="N230" s="427"/>
      <c r="O230" s="427"/>
      <c r="P230" s="427"/>
      <c r="Q230" s="427"/>
    </row>
    <row r="231" spans="2:17" ht="17.25" customHeight="1">
      <c r="C231" s="887" t="s">
        <v>415</v>
      </c>
      <c r="D231" s="887"/>
      <c r="E231" s="887" t="str">
        <f>angleDecimal2Txt(T148,0)</f>
        <v>+119°38.43</v>
      </c>
      <c r="F231" s="887"/>
      <c r="G231" s="887"/>
      <c r="H231" s="887"/>
      <c r="I231" s="887"/>
      <c r="J231" s="887"/>
      <c r="O231" s="442" t="s">
        <v>577</v>
      </c>
      <c r="P231" s="905" t="str">
        <f>angleDecimal2Txt(astroModuloEnDegre(90+T148),0)</f>
        <v>+209°38.43</v>
      </c>
      <c r="Q231" s="905"/>
    </row>
    <row r="232" spans="2:17" ht="17.25" customHeight="1">
      <c r="M232" s="361"/>
      <c r="N232" s="361"/>
      <c r="P232" s="360" t="s">
        <v>848</v>
      </c>
    </row>
    <row r="233" spans="2:17" ht="17.25" customHeight="1">
      <c r="B233" s="556" t="s">
        <v>842</v>
      </c>
      <c r="C233" s="556"/>
      <c r="D233" s="556"/>
      <c r="E233" s="531" t="s">
        <v>843</v>
      </c>
      <c r="F233" s="532">
        <v>4</v>
      </c>
      <c r="G233" s="533">
        <v>1</v>
      </c>
      <c r="H233" s="533">
        <v>0</v>
      </c>
      <c r="J233" s="556" t="s">
        <v>844</v>
      </c>
      <c r="K233" s="556"/>
      <c r="L233" s="556"/>
      <c r="M233" s="531" t="s">
        <v>28</v>
      </c>
      <c r="N233" s="532" t="s">
        <v>846</v>
      </c>
      <c r="O233" s="533" t="s">
        <v>845</v>
      </c>
      <c r="P233" s="533" t="s">
        <v>847</v>
      </c>
      <c r="Q233" s="533">
        <v>0</v>
      </c>
    </row>
    <row r="234" spans="2:17" ht="17.25" customHeight="1">
      <c r="B234" s="556"/>
      <c r="C234" s="556"/>
      <c r="D234" s="556"/>
      <c r="E234" s="534" t="s">
        <v>104</v>
      </c>
      <c r="F234" s="535">
        <v>1</v>
      </c>
      <c r="G234" s="535">
        <v>0.25</v>
      </c>
      <c r="H234" s="535">
        <v>0</v>
      </c>
      <c r="J234" s="556"/>
      <c r="K234" s="556"/>
      <c r="L234" s="556"/>
      <c r="M234" s="534" t="s">
        <v>104</v>
      </c>
      <c r="N234" s="535">
        <v>60</v>
      </c>
      <c r="O234" s="535">
        <v>1</v>
      </c>
      <c r="P234" s="535">
        <v>0.33</v>
      </c>
      <c r="Q234" s="535">
        <v>0</v>
      </c>
    </row>
    <row r="236" spans="2:17" ht="17.25" customHeight="1">
      <c r="P236" s="402"/>
    </row>
  </sheetData>
  <sheetProtection sheet="1" formatRows="0" insertRows="0" deleteRows="0" autoFilter="0"/>
  <protectedRanges>
    <protectedRange sqref="I11:Y11" name="Heure visee" securityDescriptor="O:WDG:WDD:(A;;CC;;;WD)"/>
  </protectedRanges>
  <dataConsolidate/>
  <mergeCells count="481">
    <mergeCell ref="U3:AC4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F196:J196"/>
    <mergeCell ref="C216:D216"/>
    <mergeCell ref="E216:J216"/>
    <mergeCell ref="N223:O223"/>
    <mergeCell ref="F223:G223"/>
    <mergeCell ref="H223:I223"/>
    <mergeCell ref="L223:M223"/>
    <mergeCell ref="H208:I208"/>
    <mergeCell ref="H209:I209"/>
    <mergeCell ref="F215:G215"/>
    <mergeCell ref="H211:I211"/>
    <mergeCell ref="J211:K211"/>
    <mergeCell ref="L211:M211"/>
    <mergeCell ref="L212:M212"/>
    <mergeCell ref="F220:P220"/>
    <mergeCell ref="E217:J217"/>
    <mergeCell ref="E218:J218"/>
    <mergeCell ref="E219:J219"/>
    <mergeCell ref="J208:M208"/>
    <mergeCell ref="J209:M209"/>
    <mergeCell ref="F211:G211"/>
    <mergeCell ref="F212:G212"/>
    <mergeCell ref="F213:G213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E203:J203"/>
    <mergeCell ref="H204:J204"/>
    <mergeCell ref="H205:J205"/>
    <mergeCell ref="E206:J206"/>
    <mergeCell ref="E207:J207"/>
    <mergeCell ref="F190:G190"/>
    <mergeCell ref="E187:I187"/>
    <mergeCell ref="E188:I188"/>
    <mergeCell ref="N196:P198"/>
    <mergeCell ref="E185:I185"/>
    <mergeCell ref="D182:E182"/>
    <mergeCell ref="F197:J197"/>
    <mergeCell ref="F198:J198"/>
    <mergeCell ref="H190:L190"/>
    <mergeCell ref="H193:L193"/>
    <mergeCell ref="E195:I195"/>
    <mergeCell ref="C202:D202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D221:E223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F224:G224"/>
    <mergeCell ref="H224:M224"/>
    <mergeCell ref="P222:Q222"/>
    <mergeCell ref="J223:K223"/>
    <mergeCell ref="F221:G221"/>
    <mergeCell ref="H221:I221"/>
    <mergeCell ref="J221:K221"/>
    <mergeCell ref="P223:Q223"/>
    <mergeCell ref="L221:M221"/>
    <mergeCell ref="N221:O221"/>
    <mergeCell ref="F193:G193"/>
    <mergeCell ref="E186:I186"/>
    <mergeCell ref="I181:L181"/>
    <mergeCell ref="D181:G181"/>
    <mergeCell ref="J189:L189"/>
    <mergeCell ref="C185:D185"/>
    <mergeCell ref="I140:M140"/>
    <mergeCell ref="I130:M131"/>
    <mergeCell ref="I132:M132"/>
    <mergeCell ref="I143:I144"/>
    <mergeCell ref="B181:C181"/>
    <mergeCell ref="B182:C182"/>
    <mergeCell ref="M144:N144"/>
    <mergeCell ref="I138:M139"/>
    <mergeCell ref="C187:D187"/>
    <mergeCell ref="C188:D188"/>
    <mergeCell ref="E189:I189"/>
    <mergeCell ref="H191:L191"/>
    <mergeCell ref="H192:L192"/>
    <mergeCell ref="C186:D186"/>
    <mergeCell ref="F191:G191"/>
    <mergeCell ref="F192:G192"/>
    <mergeCell ref="E166:F166"/>
    <mergeCell ref="G166:L166"/>
    <mergeCell ref="S68:W69"/>
    <mergeCell ref="T133:U133"/>
    <mergeCell ref="O143:O144"/>
    <mergeCell ref="R81:W81"/>
    <mergeCell ref="I81:L81"/>
    <mergeCell ref="K72:M72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H122:N122"/>
    <mergeCell ref="S84:U84"/>
    <mergeCell ref="V84:Z84"/>
    <mergeCell ref="M84:N84"/>
    <mergeCell ref="U99:Z99"/>
    <mergeCell ref="H89:N89"/>
    <mergeCell ref="R91:S91"/>
    <mergeCell ref="S108:S109"/>
    <mergeCell ref="O102:R102"/>
    <mergeCell ref="X133:AC133"/>
    <mergeCell ref="O136:AA136"/>
    <mergeCell ref="O139:P139"/>
    <mergeCell ref="Q139:S139"/>
    <mergeCell ref="U139:W139"/>
    <mergeCell ref="O140:P140"/>
    <mergeCell ref="Q140:S140"/>
    <mergeCell ref="U140:W140"/>
    <mergeCell ref="X137:X140"/>
    <mergeCell ref="T137:T140"/>
    <mergeCell ref="U138:W138"/>
    <mergeCell ref="O110:R110"/>
    <mergeCell ref="S132:S133"/>
    <mergeCell ref="O119:P119"/>
    <mergeCell ref="O108:R109"/>
    <mergeCell ref="I106:N106"/>
    <mergeCell ref="S106:S107"/>
    <mergeCell ref="O106:R107"/>
    <mergeCell ref="H112:N112"/>
    <mergeCell ref="O112:R112"/>
    <mergeCell ref="I108:N108"/>
    <mergeCell ref="I107:N107"/>
    <mergeCell ref="I147:J147"/>
    <mergeCell ref="I148:J148"/>
    <mergeCell ref="N146:O146"/>
    <mergeCell ref="L147:M147"/>
    <mergeCell ref="L148:M148"/>
    <mergeCell ref="O142:T142"/>
    <mergeCell ref="I142:N142"/>
    <mergeCell ref="T145:V145"/>
    <mergeCell ref="S144:T144"/>
    <mergeCell ref="P143:R143"/>
    <mergeCell ref="P144:R144"/>
    <mergeCell ref="S143:T143"/>
    <mergeCell ref="J143:L143"/>
    <mergeCell ref="J144:L144"/>
    <mergeCell ref="M143:N143"/>
    <mergeCell ref="AC39:AC40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K65:M66"/>
    <mergeCell ref="C39:F39"/>
    <mergeCell ref="O63:R64"/>
    <mergeCell ref="J80:L80"/>
    <mergeCell ref="C47:C51"/>
    <mergeCell ref="I47:J48"/>
    <mergeCell ref="D47:H48"/>
    <mergeCell ref="D49:H50"/>
    <mergeCell ref="N61:R62"/>
    <mergeCell ref="AC60:AC61"/>
    <mergeCell ref="G60:I60"/>
    <mergeCell ref="J55:M56"/>
    <mergeCell ref="N68:R69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103:R103"/>
    <mergeCell ref="G85:I85"/>
    <mergeCell ref="F86:I86"/>
    <mergeCell ref="H103:N103"/>
    <mergeCell ref="J86:L86"/>
    <mergeCell ref="I11:K11"/>
    <mergeCell ref="I9:K10"/>
    <mergeCell ref="E12:H12"/>
    <mergeCell ref="P16:X16"/>
    <mergeCell ref="E11:H11"/>
    <mergeCell ref="Q9:U10"/>
    <mergeCell ref="C18:I18"/>
    <mergeCell ref="J20:L20"/>
    <mergeCell ref="J19:L19"/>
    <mergeCell ref="C16:I16"/>
    <mergeCell ref="J16:L16"/>
    <mergeCell ref="C15:I15"/>
    <mergeCell ref="J15:O15"/>
    <mergeCell ref="J18:L18"/>
    <mergeCell ref="C19:I19"/>
    <mergeCell ref="C20:I20"/>
    <mergeCell ref="P20:X20"/>
    <mergeCell ref="P18:T18"/>
    <mergeCell ref="U18:X18"/>
    <mergeCell ref="V9:Y10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C22:I22"/>
    <mergeCell ref="T70:W71"/>
    <mergeCell ref="S70:S71"/>
    <mergeCell ref="N70:N71"/>
    <mergeCell ref="V11:Y11"/>
    <mergeCell ref="L11:P11"/>
    <mergeCell ref="Q11:U11"/>
    <mergeCell ref="M16:O16"/>
    <mergeCell ref="P27:R27"/>
    <mergeCell ref="C53:C57"/>
    <mergeCell ref="D53:H54"/>
    <mergeCell ref="D55:H56"/>
    <mergeCell ref="D57:H57"/>
    <mergeCell ref="P34:Y35"/>
    <mergeCell ref="G32:I33"/>
    <mergeCell ref="C24:E26"/>
    <mergeCell ref="K44:M45"/>
    <mergeCell ref="M24:O26"/>
    <mergeCell ref="J27:L29"/>
    <mergeCell ref="G34:I35"/>
    <mergeCell ref="C34:F35"/>
    <mergeCell ref="D51:H51"/>
    <mergeCell ref="F24:I26"/>
    <mergeCell ref="O97:R97"/>
    <mergeCell ref="G106:H107"/>
    <mergeCell ref="W120:AA120"/>
    <mergeCell ref="Q128:S128"/>
    <mergeCell ref="O131:S131"/>
    <mergeCell ref="S96:U96"/>
    <mergeCell ref="O101:R101"/>
    <mergeCell ref="T132:U132"/>
    <mergeCell ref="O122:R122"/>
    <mergeCell ref="U122:Z122"/>
    <mergeCell ref="I109:N109"/>
    <mergeCell ref="E130:H132"/>
    <mergeCell ref="Q126:S126"/>
    <mergeCell ref="G105:S105"/>
    <mergeCell ref="X131:Y131"/>
    <mergeCell ref="X126:X128"/>
    <mergeCell ref="T126:T128"/>
    <mergeCell ref="I128:M128"/>
    <mergeCell ref="L119:M119"/>
    <mergeCell ref="L120:M120"/>
    <mergeCell ref="I126:M127"/>
    <mergeCell ref="X132:AC132"/>
    <mergeCell ref="O120:P120"/>
    <mergeCell ref="U112:Z112"/>
    <mergeCell ref="O138:P138"/>
    <mergeCell ref="Q138:S138"/>
    <mergeCell ref="O89:R89"/>
    <mergeCell ref="H93:N93"/>
    <mergeCell ref="E126:H128"/>
    <mergeCell ref="K118:K119"/>
    <mergeCell ref="H91:N91"/>
    <mergeCell ref="J114:L114"/>
    <mergeCell ref="H102:N102"/>
    <mergeCell ref="I110:N110"/>
    <mergeCell ref="O125:AA125"/>
    <mergeCell ref="U127:W127"/>
    <mergeCell ref="U128:W128"/>
    <mergeCell ref="O126:P126"/>
    <mergeCell ref="O127:P127"/>
    <mergeCell ref="O128:P128"/>
    <mergeCell ref="U116:V116"/>
    <mergeCell ref="U117:V117"/>
    <mergeCell ref="U118:V118"/>
    <mergeCell ref="O94:R94"/>
    <mergeCell ref="O98:R98"/>
    <mergeCell ref="H99:N99"/>
    <mergeCell ref="O99:R99"/>
    <mergeCell ref="Q127:S127"/>
    <mergeCell ref="H94:N94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X7:Y7"/>
    <mergeCell ref="T7:V7"/>
    <mergeCell ref="J22:L22"/>
    <mergeCell ref="K51:M51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D70:H7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P26:X26"/>
    <mergeCell ref="P24:R24"/>
    <mergeCell ref="J24:L26"/>
    <mergeCell ref="N65:N66"/>
    <mergeCell ref="D68:H69"/>
    <mergeCell ref="D72:H72"/>
    <mergeCell ref="X145:Z145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N63:N64"/>
    <mergeCell ref="O65:R66"/>
    <mergeCell ref="K68:M69"/>
    <mergeCell ref="U126:W126"/>
    <mergeCell ref="S63:X64"/>
    <mergeCell ref="S65:X66"/>
    <mergeCell ref="S44:W45"/>
    <mergeCell ref="P29:X29"/>
    <mergeCell ref="M23:O23"/>
    <mergeCell ref="J23:L23"/>
    <mergeCell ref="I49:J51"/>
    <mergeCell ref="N81:Q81"/>
    <mergeCell ref="B233:D234"/>
    <mergeCell ref="J233:L234"/>
    <mergeCell ref="AC85:AC87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$AD$85:$AD$87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$AD$15:$AD$16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800EF-0ABA-45BA-8C1E-F308829ECD28}">
  <sheetPr codeName="Feuil3">
    <pageSetUpPr fitToPage="1"/>
  </sheetPr>
  <dimension ref="A1:BN247"/>
  <sheetViews>
    <sheetView topLeftCell="A23" zoomScaleNormal="100" workbookViewId="0">
      <selection activeCell="C23" sqref="C23:K24"/>
    </sheetView>
  </sheetViews>
  <sheetFormatPr defaultColWidth="6" defaultRowHeight="15"/>
  <cols>
    <col min="1" max="2" width="6" style="361"/>
    <col min="3" max="4" width="7" style="361" customWidth="1"/>
    <col min="5" max="5" width="6" style="361"/>
    <col min="6" max="6" width="8.42578125" style="361" bestFit="1" customWidth="1"/>
    <col min="7" max="8" width="6" style="361"/>
    <col min="9" max="9" width="8.5703125" style="361" bestFit="1" customWidth="1"/>
    <col min="10" max="10" width="6" style="361"/>
    <col min="11" max="11" width="8" style="361" bestFit="1" customWidth="1"/>
    <col min="12" max="13" width="6" style="361"/>
    <col min="14" max="14" width="8.5703125" style="361" bestFit="1" customWidth="1"/>
    <col min="15" max="20" width="6" style="361"/>
    <col min="21" max="21" width="11.5703125" style="361" bestFit="1" customWidth="1"/>
    <col min="22" max="22" width="6.28515625" style="361" customWidth="1"/>
    <col min="23" max="23" width="7.140625" style="361" bestFit="1" customWidth="1"/>
    <col min="24" max="27" width="6" style="361"/>
    <col min="28" max="28" width="1.28515625" style="361" customWidth="1"/>
    <col min="29" max="30" width="16.140625" style="361" customWidth="1"/>
    <col min="31" max="31" width="22.28515625" style="361" customWidth="1"/>
    <col min="32" max="32" width="6" style="361"/>
    <col min="33" max="33" width="9.5703125" style="361" bestFit="1" customWidth="1"/>
    <col min="34" max="16384" width="6" style="361"/>
  </cols>
  <sheetData>
    <row r="1" spans="1:66" s="360" customFormat="1" ht="17.25" customHeight="1">
      <c r="C1" s="673" t="s">
        <v>132</v>
      </c>
      <c r="D1" s="673"/>
      <c r="E1" s="673"/>
      <c r="F1" s="673"/>
      <c r="G1" s="661" t="s">
        <v>133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AB1" s="286"/>
      <c r="AC1" s="436"/>
      <c r="AD1" s="436"/>
      <c r="AE1" s="436"/>
      <c r="AF1" s="436"/>
      <c r="AG1" s="436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  <c r="BA1" s="361"/>
      <c r="BB1" s="361"/>
      <c r="BC1" s="361"/>
      <c r="BD1" s="361"/>
      <c r="BE1" s="361"/>
      <c r="BF1" s="361"/>
      <c r="BG1" s="361"/>
      <c r="BH1" s="361"/>
      <c r="BI1" s="361"/>
      <c r="BJ1" s="361"/>
      <c r="BK1" s="361"/>
      <c r="BL1" s="361"/>
      <c r="BM1" s="361"/>
      <c r="BN1" s="362"/>
    </row>
    <row r="2" spans="1:66" s="360" customFormat="1" ht="17.25" customHeight="1">
      <c r="C2" s="673"/>
      <c r="D2" s="673"/>
      <c r="E2" s="673"/>
      <c r="F2" s="673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AB2" s="286"/>
      <c r="AC2" s="436"/>
      <c r="AD2" s="436"/>
      <c r="AE2" s="436"/>
      <c r="AF2" s="436"/>
      <c r="AG2" s="436"/>
      <c r="AH2" s="361"/>
      <c r="AI2" s="361"/>
      <c r="AJ2" s="361"/>
      <c r="AK2" s="361"/>
      <c r="AL2" s="361"/>
      <c r="AM2" s="361"/>
      <c r="AN2" s="361"/>
      <c r="AO2" s="361"/>
      <c r="AP2" s="361"/>
      <c r="AQ2" s="361"/>
      <c r="AR2" s="361"/>
      <c r="AS2" s="361"/>
      <c r="AT2" s="361"/>
      <c r="AU2" s="361"/>
      <c r="AV2" s="361"/>
      <c r="AW2" s="361"/>
      <c r="AX2" s="361"/>
      <c r="AY2" s="361"/>
      <c r="AZ2" s="361"/>
      <c r="BA2" s="361"/>
      <c r="BB2" s="361"/>
      <c r="BC2" s="361"/>
      <c r="BD2" s="361"/>
      <c r="BE2" s="361"/>
      <c r="BF2" s="361"/>
      <c r="BG2" s="361"/>
      <c r="BH2" s="361"/>
      <c r="BI2" s="361"/>
      <c r="BJ2" s="361"/>
      <c r="BK2" s="361"/>
      <c r="BL2" s="361"/>
      <c r="BM2" s="361"/>
      <c r="BN2" s="362"/>
    </row>
    <row r="3" spans="1:66" s="360" customFormat="1" ht="17.25" customHeight="1">
      <c r="C3" s="673"/>
      <c r="D3" s="673"/>
      <c r="E3" s="673"/>
      <c r="F3" s="673"/>
      <c r="G3" s="670" t="s">
        <v>137</v>
      </c>
      <c r="H3" s="670"/>
      <c r="I3" s="670"/>
      <c r="J3" s="671" t="s">
        <v>136</v>
      </c>
      <c r="K3" s="671"/>
      <c r="L3" s="671"/>
      <c r="N3" s="682" t="s">
        <v>226</v>
      </c>
      <c r="O3" s="682"/>
      <c r="P3" s="682"/>
      <c r="Q3" s="637" t="s">
        <v>192</v>
      </c>
      <c r="R3" s="637"/>
      <c r="S3" s="637"/>
      <c r="U3" s="922" t="s">
        <v>830</v>
      </c>
      <c r="V3" s="922"/>
      <c r="W3" s="922"/>
      <c r="X3" s="922"/>
      <c r="Y3" s="922"/>
      <c r="Z3" s="922"/>
      <c r="AA3" s="922"/>
      <c r="AB3" s="922"/>
      <c r="AC3" s="922"/>
      <c r="AD3" s="436"/>
      <c r="AE3" s="436"/>
      <c r="AF3" s="436"/>
      <c r="AG3" s="436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2"/>
    </row>
    <row r="4" spans="1:66" s="360" customFormat="1" ht="33" customHeight="1">
      <c r="C4" s="673"/>
      <c r="D4" s="673"/>
      <c r="E4" s="673"/>
      <c r="F4" s="673"/>
      <c r="G4" s="629"/>
      <c r="H4" s="629"/>
      <c r="I4" s="629"/>
      <c r="J4" s="672"/>
      <c r="K4" s="672"/>
      <c r="L4" s="672"/>
      <c r="N4" s="682"/>
      <c r="O4" s="682"/>
      <c r="P4" s="682"/>
      <c r="Q4" s="637"/>
      <c r="R4" s="637"/>
      <c r="S4" s="637"/>
      <c r="U4" s="922"/>
      <c r="V4" s="922"/>
      <c r="W4" s="922"/>
      <c r="X4" s="922"/>
      <c r="Y4" s="922"/>
      <c r="Z4" s="922"/>
      <c r="AA4" s="922"/>
      <c r="AB4" s="922"/>
      <c r="AC4" s="922"/>
      <c r="AD4" s="436"/>
      <c r="AE4" s="436"/>
      <c r="AF4" s="436"/>
      <c r="AG4" s="436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2"/>
    </row>
    <row r="5" spans="1:66" s="360" customFormat="1" ht="17.25" customHeight="1" thickBot="1">
      <c r="C5" s="437"/>
      <c r="D5" s="437"/>
      <c r="E5" s="437"/>
      <c r="F5" s="437"/>
      <c r="G5" s="437"/>
      <c r="AB5" s="286"/>
      <c r="AC5" s="436"/>
      <c r="AD5" s="436"/>
      <c r="AE5" s="436"/>
      <c r="AF5" s="436"/>
      <c r="AG5" s="436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2"/>
    </row>
    <row r="6" spans="1:66" s="360" customFormat="1" ht="17.25" customHeight="1" thickBot="1">
      <c r="B6" s="365" t="s">
        <v>258</v>
      </c>
      <c r="C6" s="366"/>
      <c r="D6" s="366"/>
      <c r="E6" s="366"/>
      <c r="F6" s="366"/>
      <c r="G6" s="366"/>
      <c r="H6" s="366"/>
      <c r="I6" s="366"/>
      <c r="J6" s="366"/>
      <c r="K6" s="366"/>
      <c r="L6" s="92" t="str">
        <f>dateDecimale2txt(dateConvert2Decimal(F7),0)</f>
        <v>2025/06/30</v>
      </c>
      <c r="M6" s="367"/>
      <c r="N6" s="368" t="s">
        <v>315</v>
      </c>
      <c r="O6" s="368"/>
      <c r="P6" s="368"/>
      <c r="Q6" s="368"/>
      <c r="R6" s="368"/>
      <c r="S6" s="368" t="s">
        <v>316</v>
      </c>
      <c r="T6" s="684">
        <f>dateConvert2Decimal(F7)</f>
        <v>1751241600</v>
      </c>
      <c r="U6" s="684"/>
      <c r="V6" s="684"/>
      <c r="W6" s="368" t="s">
        <v>317</v>
      </c>
      <c r="X6" s="683">
        <f>(T6/86400)+DATE(1970,1,1)</f>
        <v>45838</v>
      </c>
      <c r="Y6" s="683"/>
      <c r="Z6" s="368" t="s">
        <v>318</v>
      </c>
      <c r="AA6" s="369">
        <f>INT(MONTH(X6))</f>
        <v>6</v>
      </c>
      <c r="AB6" s="287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2"/>
    </row>
    <row r="7" spans="1:66" s="360" customFormat="1" ht="17.25" customHeight="1" thickBot="1">
      <c r="C7" s="1053" t="s">
        <v>1</v>
      </c>
      <c r="D7" s="1054"/>
      <c r="E7" s="1054"/>
      <c r="F7" s="650" t="s">
        <v>227</v>
      </c>
      <c r="G7" s="651"/>
      <c r="H7" s="651"/>
      <c r="L7" s="361"/>
      <c r="M7" s="361"/>
      <c r="N7" s="361"/>
      <c r="O7" s="361"/>
      <c r="AB7" s="288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2"/>
    </row>
    <row r="8" spans="1:66" s="360" customFormat="1" ht="12" customHeight="1" thickTop="1" thickBot="1">
      <c r="C8" s="1033" t="s">
        <v>250</v>
      </c>
      <c r="D8" s="1034"/>
      <c r="E8" s="1035"/>
      <c r="F8" s="729">
        <f>heureConvert2Decimal(I8)</f>
        <v>1</v>
      </c>
      <c r="G8" s="730"/>
      <c r="H8" s="730"/>
      <c r="I8" s="604">
        <v>1</v>
      </c>
      <c r="J8" s="575"/>
      <c r="K8" s="575"/>
      <c r="L8" s="575"/>
      <c r="M8" s="575"/>
      <c r="N8" s="575"/>
      <c r="O8" s="591" t="str">
        <f>heureDecimal2Txt(F8)</f>
        <v>01:00:00.00(01.0000)</v>
      </c>
      <c r="P8" s="591"/>
      <c r="Q8" s="591"/>
      <c r="R8" s="591"/>
      <c r="S8" s="591"/>
      <c r="T8" s="591"/>
      <c r="U8" s="591"/>
      <c r="V8" s="591"/>
      <c r="W8" s="591"/>
      <c r="X8" s="591"/>
      <c r="Y8" s="436"/>
      <c r="Z8" s="436"/>
      <c r="AB8" s="286"/>
      <c r="AE8" s="361"/>
      <c r="AF8" s="361"/>
      <c r="AG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2"/>
    </row>
    <row r="9" spans="1:66" s="360" customFormat="1" ht="12" customHeight="1" thickTop="1" thickBot="1">
      <c r="C9" s="1036"/>
      <c r="D9" s="1037"/>
      <c r="E9" s="1038"/>
      <c r="F9" s="730"/>
      <c r="G9" s="730"/>
      <c r="H9" s="730"/>
      <c r="I9" s="575"/>
      <c r="J9" s="575"/>
      <c r="K9" s="575"/>
      <c r="L9" s="575"/>
      <c r="M9" s="575"/>
      <c r="N9" s="575"/>
      <c r="O9" s="591"/>
      <c r="P9" s="591"/>
      <c r="Q9" s="591"/>
      <c r="R9" s="591"/>
      <c r="S9" s="591"/>
      <c r="T9" s="591"/>
      <c r="U9" s="591"/>
      <c r="V9" s="591"/>
      <c r="W9" s="591"/>
      <c r="X9" s="591"/>
      <c r="Y9" s="436"/>
      <c r="Z9" s="436"/>
      <c r="AB9" s="286"/>
      <c r="AE9" s="361"/>
      <c r="AF9" s="361"/>
      <c r="AG9" s="361"/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2"/>
    </row>
    <row r="10" spans="1:66" s="360" customFormat="1" ht="12" customHeight="1" thickTop="1" thickBot="1">
      <c r="A10" s="361"/>
      <c r="B10" s="361"/>
      <c r="C10" s="1043" t="s">
        <v>7</v>
      </c>
      <c r="D10" s="927"/>
      <c r="E10" s="1044"/>
      <c r="F10" s="729">
        <f>AD11</f>
        <v>-1</v>
      </c>
      <c r="G10" s="730"/>
      <c r="H10" s="730"/>
      <c r="I10" s="575" t="s">
        <v>4</v>
      </c>
      <c r="J10" s="604">
        <v>1</v>
      </c>
      <c r="K10" s="575"/>
      <c r="L10" s="575"/>
      <c r="M10" s="575"/>
      <c r="N10" s="575"/>
      <c r="O10" s="591" t="str" cm="1">
        <f t="array" ref="O10">latitudeDecimal2Txt(F10)</f>
        <v>S 01°00.00 (S 01.0000) [S 01°00'00.00]</v>
      </c>
      <c r="P10" s="591"/>
      <c r="Q10" s="591"/>
      <c r="R10" s="591"/>
      <c r="S10" s="591"/>
      <c r="T10" s="591"/>
      <c r="U10" s="591"/>
      <c r="V10" s="591"/>
      <c r="W10" s="591"/>
      <c r="X10" s="591"/>
      <c r="AB10" s="288"/>
      <c r="AC10" s="114" t="s">
        <v>168</v>
      </c>
      <c r="AD10" s="3">
        <f>VLOOKUP(I10,Outils!$C$9:$E$10,3)</f>
        <v>-1</v>
      </c>
      <c r="AE10" s="361"/>
      <c r="AF10" s="361"/>
      <c r="AG10" s="361"/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1"/>
      <c r="BC10" s="361"/>
      <c r="BD10" s="361"/>
      <c r="BE10" s="361"/>
      <c r="BF10" s="361"/>
      <c r="BG10" s="361"/>
      <c r="BH10" s="361"/>
      <c r="BI10" s="361"/>
      <c r="BJ10" s="361"/>
      <c r="BK10" s="361"/>
      <c r="BL10" s="361"/>
      <c r="BM10" s="361"/>
      <c r="BN10" s="372"/>
    </row>
    <row r="11" spans="1:66" s="360" customFormat="1" ht="12" customHeight="1" thickTop="1" thickBot="1">
      <c r="C11" s="1045"/>
      <c r="D11" s="1046"/>
      <c r="E11" s="1047"/>
      <c r="F11" s="730"/>
      <c r="G11" s="730"/>
      <c r="H11" s="730"/>
      <c r="I11" s="575"/>
      <c r="J11" s="575"/>
      <c r="K11" s="575"/>
      <c r="L11" s="575"/>
      <c r="M11" s="575"/>
      <c r="N11" s="575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AB11" s="288"/>
      <c r="AC11" s="114" t="s">
        <v>169</v>
      </c>
      <c r="AD11" s="3" cm="1">
        <f t="array" ref="AD11">angleConvert2Decimal(J10)*AD10</f>
        <v>-1</v>
      </c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72"/>
    </row>
    <row r="12" spans="1:66" s="360" customFormat="1" ht="12" customHeight="1" thickTop="1" thickBot="1">
      <c r="C12" s="1033" t="s">
        <v>8</v>
      </c>
      <c r="D12" s="1034"/>
      <c r="E12" s="1035"/>
      <c r="F12" s="729">
        <f>AD13</f>
        <v>1</v>
      </c>
      <c r="G12" s="730"/>
      <c r="H12" s="730"/>
      <c r="I12" s="575" t="s">
        <v>5</v>
      </c>
      <c r="J12" s="604">
        <v>1</v>
      </c>
      <c r="K12" s="575"/>
      <c r="L12" s="575"/>
      <c r="M12" s="575"/>
      <c r="N12" s="575"/>
      <c r="O12" s="591" t="str" cm="1">
        <f t="array" ref="O12">longitudeDecimal2Txt(F12)</f>
        <v>E 01°00.00 (E 01.0000) [E 01°00'00.00]</v>
      </c>
      <c r="P12" s="591"/>
      <c r="Q12" s="591"/>
      <c r="R12" s="591"/>
      <c r="S12" s="591"/>
      <c r="T12" s="591"/>
      <c r="U12" s="591"/>
      <c r="V12" s="591"/>
      <c r="W12" s="591"/>
      <c r="X12" s="591"/>
      <c r="AB12" s="286"/>
      <c r="AC12" s="114" t="s">
        <v>170</v>
      </c>
      <c r="AD12" s="3">
        <f>VLOOKUP(I12,Outils!$D$9:$E$10,2)</f>
        <v>1</v>
      </c>
      <c r="AE12" s="361"/>
      <c r="AF12" s="361"/>
      <c r="AG12" s="361"/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61"/>
      <c r="AT12" s="361"/>
      <c r="AU12" s="361"/>
      <c r="AV12" s="361"/>
      <c r="AW12" s="361"/>
      <c r="AX12" s="361"/>
      <c r="AY12" s="361"/>
      <c r="AZ12" s="361"/>
      <c r="BA12" s="361"/>
      <c r="BB12" s="361"/>
      <c r="BC12" s="361"/>
      <c r="BD12" s="361"/>
      <c r="BE12" s="361"/>
      <c r="BF12" s="361"/>
      <c r="BG12" s="361"/>
      <c r="BH12" s="361"/>
      <c r="BI12" s="361"/>
      <c r="BJ12" s="361"/>
      <c r="BK12" s="361"/>
      <c r="BL12" s="361"/>
      <c r="BM12" s="361"/>
      <c r="BN12" s="372"/>
    </row>
    <row r="13" spans="1:66" s="360" customFormat="1" ht="12" customHeight="1" thickTop="1" thickBot="1">
      <c r="A13" s="361"/>
      <c r="B13" s="361"/>
      <c r="C13" s="1036"/>
      <c r="D13" s="1037"/>
      <c r="E13" s="1038"/>
      <c r="F13" s="730"/>
      <c r="G13" s="730"/>
      <c r="H13" s="730"/>
      <c r="I13" s="575"/>
      <c r="J13" s="575"/>
      <c r="K13" s="575"/>
      <c r="L13" s="575"/>
      <c r="M13" s="575"/>
      <c r="N13" s="575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AB13" s="286"/>
      <c r="AC13" s="114" t="s">
        <v>171</v>
      </c>
      <c r="AD13" s="3" cm="1">
        <f t="array" ref="AD13">angleConvert2Decimal(J12)*AD12</f>
        <v>1</v>
      </c>
      <c r="AE13" s="361"/>
      <c r="AF13" s="361"/>
      <c r="AG13" s="361"/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D13" s="361"/>
      <c r="BE13" s="361"/>
      <c r="BF13" s="361"/>
      <c r="BG13" s="361"/>
      <c r="BH13" s="361"/>
      <c r="BI13" s="361"/>
      <c r="BJ13" s="361"/>
      <c r="BK13" s="361"/>
      <c r="BL13" s="361"/>
      <c r="BM13" s="361"/>
      <c r="BN13" s="372"/>
    </row>
    <row r="14" spans="1:66" s="360" customFormat="1" ht="12" customHeight="1" thickTop="1" thickBot="1">
      <c r="C14" s="436"/>
      <c r="D14" s="436"/>
      <c r="I14" s="436"/>
      <c r="J14" s="436"/>
      <c r="K14" s="436"/>
      <c r="L14" s="436"/>
      <c r="M14" s="436"/>
      <c r="N14" s="436"/>
      <c r="O14" s="436"/>
      <c r="P14" s="436"/>
      <c r="Q14" s="436"/>
      <c r="R14" s="436"/>
      <c r="S14" s="436"/>
      <c r="T14" s="436"/>
      <c r="U14" s="436"/>
      <c r="V14" s="436"/>
      <c r="AB14" s="286"/>
      <c r="AE14" s="361"/>
      <c r="AF14" s="361"/>
      <c r="AG14" s="361"/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72"/>
    </row>
    <row r="15" spans="1:66" s="360" customFormat="1" ht="17.25" customHeight="1" thickBot="1">
      <c r="B15" s="373" t="s">
        <v>259</v>
      </c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68"/>
      <c r="Y15" s="368"/>
      <c r="Z15" s="368"/>
      <c r="AA15" s="374"/>
      <c r="AB15" s="287"/>
      <c r="AC15" s="361"/>
      <c r="AD15" s="361"/>
      <c r="AE15" s="361"/>
      <c r="AF15" s="361"/>
      <c r="AG15" s="361"/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2"/>
    </row>
    <row r="16" spans="1:66" ht="12.75" customHeight="1" thickBot="1">
      <c r="C16" s="1039" t="s">
        <v>579</v>
      </c>
      <c r="D16" s="1040"/>
      <c r="E16" s="1040"/>
      <c r="F16" s="1041" cm="1">
        <f t="array" ref="F16">angleConvert2Decimal(I16)</f>
        <v>1</v>
      </c>
      <c r="G16" s="1042"/>
      <c r="H16" s="1042"/>
      <c r="I16" s="604">
        <v>1</v>
      </c>
      <c r="J16" s="575"/>
      <c r="K16" s="575"/>
      <c r="L16" s="575"/>
      <c r="M16" s="575"/>
      <c r="N16" s="575"/>
      <c r="O16" s="1002" t="str" cm="1">
        <f t="array" ref="O16">angleDecimal2Txt(F16)</f>
        <v>+01°00.00 (+01.0000) [+01°00'00.00]</v>
      </c>
      <c r="P16" s="1002"/>
      <c r="Q16" s="1002"/>
      <c r="R16" s="1002"/>
      <c r="S16" s="1002"/>
      <c r="T16" s="1002"/>
      <c r="U16" s="1002"/>
      <c r="V16" s="1002"/>
      <c r="W16" s="1002"/>
      <c r="X16" s="1002"/>
      <c r="AB16" s="289"/>
    </row>
    <row r="17" spans="2:33" ht="12.75" customHeight="1" thickTop="1" thickBot="1">
      <c r="C17" s="634"/>
      <c r="D17" s="634"/>
      <c r="E17" s="634"/>
      <c r="F17" s="1003"/>
      <c r="G17" s="1003"/>
      <c r="H17" s="1003"/>
      <c r="I17" s="575"/>
      <c r="J17" s="575"/>
      <c r="K17" s="575"/>
      <c r="L17" s="575"/>
      <c r="M17" s="575"/>
      <c r="N17" s="575"/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AB17" s="289"/>
    </row>
    <row r="18" spans="2:33" ht="12.75" customHeight="1" thickTop="1" thickBot="1">
      <c r="C18" s="929" t="s">
        <v>580</v>
      </c>
      <c r="D18" s="634"/>
      <c r="E18" s="634"/>
      <c r="F18" s="596">
        <f>I18</f>
        <v>1</v>
      </c>
      <c r="G18" s="1003"/>
      <c r="H18" s="1003"/>
      <c r="I18" s="604">
        <v>1</v>
      </c>
      <c r="J18" s="575"/>
      <c r="K18" s="575"/>
      <c r="L18" s="575"/>
      <c r="M18" s="575"/>
      <c r="N18" s="575"/>
      <c r="O18" s="590"/>
      <c r="P18" s="590"/>
      <c r="Q18" s="590"/>
      <c r="R18" s="590"/>
      <c r="S18" s="590"/>
      <c r="T18" s="590"/>
      <c r="U18" s="590"/>
      <c r="V18" s="590"/>
      <c r="W18" s="590"/>
      <c r="X18" s="590"/>
      <c r="AB18" s="289"/>
    </row>
    <row r="19" spans="2:33" ht="12.75" customHeight="1" thickTop="1" thickBot="1">
      <c r="C19" s="634"/>
      <c r="D19" s="634"/>
      <c r="E19" s="634"/>
      <c r="F19" s="1003"/>
      <c r="G19" s="1003"/>
      <c r="H19" s="1003"/>
      <c r="I19" s="575"/>
      <c r="J19" s="575"/>
      <c r="K19" s="575"/>
      <c r="L19" s="575"/>
      <c r="M19" s="575"/>
      <c r="N19" s="575"/>
      <c r="O19" s="590"/>
      <c r="P19" s="590"/>
      <c r="Q19" s="590"/>
      <c r="R19" s="590"/>
      <c r="S19" s="590"/>
      <c r="T19" s="590"/>
      <c r="U19" s="590"/>
      <c r="V19" s="590"/>
      <c r="W19" s="590"/>
      <c r="X19" s="590"/>
      <c r="AB19" s="289"/>
    </row>
    <row r="20" spans="2:33" ht="12.75" customHeight="1" thickTop="1" thickBot="1">
      <c r="C20" s="1049" t="s">
        <v>581</v>
      </c>
      <c r="D20" s="1050"/>
      <c r="E20" s="1050"/>
      <c r="F20" s="1051">
        <f>heureConvert2Decimal(I20)</f>
        <v>1</v>
      </c>
      <c r="G20" s="730"/>
      <c r="H20" s="730"/>
      <c r="I20" s="604">
        <v>1</v>
      </c>
      <c r="J20" s="575"/>
      <c r="K20" s="575"/>
      <c r="L20" s="575"/>
      <c r="M20" s="575"/>
      <c r="N20" s="575"/>
      <c r="O20" s="591" t="str">
        <f>heureDecimal2Txt(F20)</f>
        <v>01:00:00.00(01.0000)</v>
      </c>
      <c r="P20" s="591"/>
      <c r="Q20" s="591"/>
      <c r="R20" s="591"/>
      <c r="S20" s="591"/>
      <c r="T20" s="591"/>
      <c r="U20" s="591"/>
      <c r="V20" s="591"/>
      <c r="W20" s="591"/>
      <c r="X20" s="591"/>
      <c r="AB20" s="289"/>
    </row>
    <row r="21" spans="2:33" ht="12.75" customHeight="1" thickTop="1" thickBot="1">
      <c r="C21" s="1050"/>
      <c r="D21" s="1050"/>
      <c r="E21" s="1050"/>
      <c r="F21" s="1052"/>
      <c r="G21" s="730"/>
      <c r="H21" s="730"/>
      <c r="I21" s="575"/>
      <c r="J21" s="575"/>
      <c r="K21" s="575"/>
      <c r="L21" s="575"/>
      <c r="M21" s="575"/>
      <c r="N21" s="575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AB21" s="289"/>
    </row>
    <row r="22" spans="2:33" ht="12.75" customHeight="1" thickTop="1">
      <c r="AB22" s="289"/>
    </row>
    <row r="23" spans="2:33" ht="12.75" customHeight="1">
      <c r="C23" s="1007" t="s">
        <v>420</v>
      </c>
      <c r="D23" s="1008"/>
      <c r="E23" s="1008"/>
      <c r="F23" s="1008"/>
      <c r="G23" s="1008"/>
      <c r="H23" s="1008"/>
      <c r="I23" s="1008"/>
      <c r="J23" s="1008"/>
      <c r="K23" s="1009"/>
      <c r="AB23" s="289"/>
    </row>
    <row r="24" spans="2:33" ht="12.75" customHeight="1" thickBot="1">
      <c r="C24" s="1010"/>
      <c r="D24" s="1011"/>
      <c r="E24" s="1011"/>
      <c r="F24" s="1011"/>
      <c r="G24" s="1011"/>
      <c r="H24" s="1011"/>
      <c r="I24" s="1011"/>
      <c r="J24" s="1011"/>
      <c r="K24" s="1012"/>
      <c r="AB24" s="289"/>
    </row>
    <row r="25" spans="2:33" ht="12.75" customHeight="1" thickTop="1" thickBot="1">
      <c r="C25" s="1048" t="s">
        <v>825</v>
      </c>
      <c r="D25" s="1048"/>
      <c r="E25" s="1048"/>
      <c r="F25" s="1013">
        <f>IF(C25=AC26,F10,(F10+F27)/2)</f>
        <v>-1</v>
      </c>
      <c r="G25" s="1014"/>
      <c r="H25" s="1014"/>
      <c r="I25" s="1017" t="str" cm="1">
        <f t="array" ref="I25">latitudeDecimal2Txt(F25)</f>
        <v>S 01°00.00 (S 01.0000) [S 01°00'00.00]</v>
      </c>
      <c r="J25" s="1017"/>
      <c r="K25" s="1017"/>
      <c r="L25" s="1017"/>
      <c r="M25" s="1017"/>
      <c r="N25" s="1017"/>
      <c r="O25" s="1017"/>
      <c r="P25" s="1017"/>
      <c r="Q25" s="1017"/>
      <c r="R25" s="1017"/>
      <c r="AB25" s="289"/>
    </row>
    <row r="26" spans="2:33" ht="12.75" customHeight="1" thickTop="1" thickBot="1">
      <c r="C26" s="1048"/>
      <c r="D26" s="1048"/>
      <c r="E26" s="1048"/>
      <c r="F26" s="1015"/>
      <c r="G26" s="1016"/>
      <c r="H26" s="1016"/>
      <c r="I26" s="1017"/>
      <c r="J26" s="1017"/>
      <c r="K26" s="1017"/>
      <c r="L26" s="1017"/>
      <c r="M26" s="1017"/>
      <c r="N26" s="1017"/>
      <c r="O26" s="1017"/>
      <c r="P26" s="1017"/>
      <c r="Q26" s="1017"/>
      <c r="R26" s="1017"/>
      <c r="AB26" s="289"/>
      <c r="AC26" s="375" t="s">
        <v>825</v>
      </c>
    </row>
    <row r="27" spans="2:33" ht="12.75" customHeight="1" thickTop="1">
      <c r="F27" s="1018">
        <f>F10+SIN((90-F16)*Outils!$F$4)*F18/60</f>
        <v>-0.98333587174739345</v>
      </c>
      <c r="G27" s="1019"/>
      <c r="H27" s="1019"/>
      <c r="T27" s="390"/>
      <c r="AB27" s="289"/>
      <c r="AC27" s="375" t="s">
        <v>558</v>
      </c>
    </row>
    <row r="28" spans="2:33" s="376" customFormat="1" ht="12.75" customHeight="1">
      <c r="F28" s="1019"/>
      <c r="G28" s="1019"/>
      <c r="H28" s="1019"/>
      <c r="I28" s="361"/>
      <c r="J28" s="361"/>
      <c r="K28" s="361"/>
      <c r="L28" s="361"/>
      <c r="M28" s="361"/>
      <c r="N28" s="361"/>
      <c r="T28" s="443"/>
      <c r="U28" s="443"/>
      <c r="AB28" s="289"/>
      <c r="AD28" s="361"/>
      <c r="AE28" s="436"/>
      <c r="AF28" s="436"/>
      <c r="AG28" s="436"/>
    </row>
    <row r="29" spans="2:33" s="376" customFormat="1" ht="12.75" customHeight="1" thickBot="1">
      <c r="I29" s="361"/>
      <c r="J29" s="361"/>
      <c r="K29" s="361"/>
      <c r="L29" s="361"/>
      <c r="M29" s="361"/>
      <c r="N29" s="361"/>
      <c r="AB29" s="289"/>
      <c r="AD29" s="361"/>
      <c r="AE29" s="436"/>
      <c r="AF29" s="436"/>
      <c r="AG29" s="436"/>
    </row>
    <row r="30" spans="2:33" ht="15.75" thickBot="1">
      <c r="B30" s="1004" t="s">
        <v>582</v>
      </c>
      <c r="C30" s="1005"/>
      <c r="D30" s="1005"/>
      <c r="E30" s="1005"/>
      <c r="F30" s="1005"/>
      <c r="G30" s="1005"/>
      <c r="H30" s="1005"/>
      <c r="I30" s="1005"/>
      <c r="J30" s="1005"/>
      <c r="K30" s="1005"/>
      <c r="L30" s="1005"/>
      <c r="M30" s="1005"/>
      <c r="N30" s="1005"/>
      <c r="O30" s="1005"/>
      <c r="P30" s="1005"/>
      <c r="Q30" s="1005"/>
      <c r="R30" s="1005"/>
      <c r="S30" s="1005"/>
      <c r="T30" s="1005"/>
      <c r="U30" s="1005"/>
      <c r="V30" s="1005"/>
      <c r="W30" s="1005"/>
      <c r="X30" s="1005"/>
      <c r="Y30" s="1005"/>
      <c r="Z30" s="1005"/>
      <c r="AA30" s="1005"/>
      <c r="AB30" s="287"/>
    </row>
    <row r="31" spans="2:33">
      <c r="AB31" s="289"/>
    </row>
    <row r="32" spans="2:33">
      <c r="C32" s="976" t="s">
        <v>260</v>
      </c>
      <c r="D32" s="977"/>
      <c r="E32" s="977"/>
      <c r="F32" s="977"/>
      <c r="G32" s="977"/>
      <c r="H32" s="977"/>
      <c r="I32" s="977"/>
      <c r="J32" s="977"/>
      <c r="K32" s="977"/>
      <c r="L32" s="977"/>
      <c r="M32" s="977"/>
      <c r="N32" s="977"/>
      <c r="O32" s="977"/>
      <c r="P32" s="977"/>
      <c r="Q32" s="977"/>
      <c r="R32" s="1006"/>
      <c r="AB32" s="289"/>
    </row>
    <row r="33" spans="3:28" ht="15" customHeight="1">
      <c r="C33" s="980" t="s">
        <v>106</v>
      </c>
      <c r="D33" s="980"/>
      <c r="E33" s="980">
        <f>F16</f>
        <v>1</v>
      </c>
      <c r="F33" s="980"/>
      <c r="G33" s="980"/>
      <c r="I33" s="958" t="s">
        <v>261</v>
      </c>
      <c r="J33" s="959"/>
      <c r="K33" s="956" t="b">
        <f>IF(E33&lt;180,TRUE,FALSE)</f>
        <v>1</v>
      </c>
      <c r="L33" s="957"/>
      <c r="N33" s="962" t="s">
        <v>246</v>
      </c>
      <c r="O33" s="963"/>
      <c r="P33" s="964">
        <f>E34*ABS(SIN(Outils!$F$4*E33))*(IF(K33,1,-1))</f>
        <v>1.7452406437283512E-2</v>
      </c>
      <c r="Q33" s="965"/>
      <c r="R33" s="358" t="s">
        <v>245</v>
      </c>
      <c r="AB33" s="289"/>
    </row>
    <row r="34" spans="3:28" ht="18">
      <c r="C34" s="688" t="s">
        <v>105</v>
      </c>
      <c r="D34" s="688"/>
      <c r="E34" s="688">
        <f>F18</f>
        <v>1</v>
      </c>
      <c r="F34" s="688"/>
      <c r="G34" s="688"/>
      <c r="I34" s="958" t="s">
        <v>819</v>
      </c>
      <c r="J34" s="959"/>
      <c r="K34" s="960" t="b">
        <f>IF(OR(AND(0 &lt; E33, E33&lt;90),AND(360 &gt; E33, E33&gt;270)),TRUE,FALSE)</f>
        <v>1</v>
      </c>
      <c r="L34" s="961"/>
      <c r="N34" s="962" t="s">
        <v>820</v>
      </c>
      <c r="O34" s="963"/>
      <c r="P34" s="964">
        <f>E34*ABS(COS(Outils!$F$4*E33))*(IF(K34,1,-1))</f>
        <v>0.99984769515639127</v>
      </c>
      <c r="Q34" s="965"/>
      <c r="R34" s="358" t="s">
        <v>245</v>
      </c>
      <c r="AB34" s="289"/>
    </row>
    <row r="35" spans="3:28">
      <c r="AB35" s="289"/>
    </row>
    <row r="36" spans="3:28">
      <c r="AB36" s="289"/>
    </row>
    <row r="37" spans="3:28">
      <c r="C37" s="976" t="s">
        <v>248</v>
      </c>
      <c r="D37" s="977"/>
      <c r="E37" s="977"/>
      <c r="F37" s="977"/>
      <c r="G37" s="977"/>
      <c r="H37" s="977"/>
      <c r="I37" s="977"/>
      <c r="J37" s="977"/>
      <c r="K37" s="978"/>
      <c r="L37" s="978"/>
      <c r="M37" s="978"/>
      <c r="N37" s="978"/>
      <c r="O37" s="979"/>
      <c r="AB37" s="289"/>
    </row>
    <row r="38" spans="3:28">
      <c r="C38" s="980" t="s">
        <v>238</v>
      </c>
      <c r="D38" s="980"/>
      <c r="E38" s="980">
        <f>F25</f>
        <v>-1</v>
      </c>
      <c r="F38" s="980"/>
      <c r="G38" s="980"/>
      <c r="I38" s="981" t="s">
        <v>247</v>
      </c>
      <c r="J38" s="981"/>
      <c r="K38" s="982" t="s">
        <v>74</v>
      </c>
      <c r="L38" s="983">
        <f>$P$33/(60 * COS($E$38*Outils!$F$4))</f>
        <v>2.9091774880362644E-4</v>
      </c>
      <c r="M38" s="983"/>
      <c r="N38" s="983"/>
      <c r="O38" s="984" t="s">
        <v>249</v>
      </c>
      <c r="P38" s="985" t="str">
        <f>IF(K33,"Vers l'Est","Vers l'Ouest")</f>
        <v>Vers l'Est</v>
      </c>
      <c r="Q38" s="985"/>
      <c r="R38" s="985"/>
      <c r="U38" s="986" t="s">
        <v>263</v>
      </c>
      <c r="V38" s="987"/>
      <c r="W38" s="988"/>
      <c r="X38" s="992">
        <f>IF(K33,-1*ABS(L38),ABS(L38))</f>
        <v>-2.9091774880362644E-4</v>
      </c>
      <c r="Y38" s="993"/>
      <c r="Z38" s="993"/>
      <c r="AA38" s="954" t="s">
        <v>249</v>
      </c>
      <c r="AB38" s="289"/>
    </row>
    <row r="39" spans="3:28">
      <c r="C39" s="688" t="str">
        <f>N33</f>
        <v>VLong.</v>
      </c>
      <c r="D39" s="688"/>
      <c r="E39" s="688">
        <f>P33</f>
        <v>1.7452406437283512E-2</v>
      </c>
      <c r="F39" s="688"/>
      <c r="G39" s="688"/>
      <c r="I39" s="981"/>
      <c r="J39" s="981"/>
      <c r="K39" s="982"/>
      <c r="L39" s="983"/>
      <c r="M39" s="983"/>
      <c r="N39" s="983"/>
      <c r="O39" s="984"/>
      <c r="P39" s="985"/>
      <c r="Q39" s="985"/>
      <c r="R39" s="985"/>
      <c r="U39" s="989"/>
      <c r="V39" s="990"/>
      <c r="W39" s="991"/>
      <c r="X39" s="994"/>
      <c r="Y39" s="995"/>
      <c r="Z39" s="995"/>
      <c r="AA39" s="955"/>
      <c r="AB39" s="289"/>
    </row>
    <row r="40" spans="3:28">
      <c r="AB40" s="289"/>
    </row>
    <row r="41" spans="3:28">
      <c r="AB41" s="289"/>
    </row>
    <row r="42" spans="3:28" ht="18.75" customHeight="1">
      <c r="C42" s="1020" t="s">
        <v>562</v>
      </c>
      <c r="D42" s="1021"/>
      <c r="E42" s="1021"/>
      <c r="F42" s="1021"/>
      <c r="G42" s="1021"/>
      <c r="H42" s="1021"/>
      <c r="I42" s="1021"/>
      <c r="J42" s="1021"/>
      <c r="K42" s="1021"/>
      <c r="L42" s="1021"/>
      <c r="M42" s="1021"/>
      <c r="N42" s="1021"/>
      <c r="O42" s="1022"/>
      <c r="AB42" s="289"/>
    </row>
    <row r="43" spans="3:28" ht="15" customHeight="1">
      <c r="C43" s="980" t="s">
        <v>171</v>
      </c>
      <c r="D43" s="980"/>
      <c r="E43" s="980">
        <f>F12</f>
        <v>1</v>
      </c>
      <c r="F43" s="980"/>
      <c r="G43" s="980"/>
      <c r="I43" s="971" t="s">
        <v>251</v>
      </c>
      <c r="J43" s="972"/>
      <c r="K43" s="973">
        <f>longitude2LongitudeHoraire(E43)</f>
        <v>359</v>
      </c>
      <c r="L43" s="973"/>
      <c r="M43" s="973"/>
      <c r="N43" s="973"/>
      <c r="O43" s="112" t="s">
        <v>28</v>
      </c>
      <c r="P43" s="974" t="str">
        <f>longitudeDecimal2Txt(E43)</f>
        <v>E 01°00.00 (E 01.0000) [E 01°00'00.00]</v>
      </c>
      <c r="Q43" s="975"/>
      <c r="R43" s="975"/>
      <c r="S43" s="975"/>
      <c r="T43" s="975"/>
      <c r="U43" s="975"/>
      <c r="AB43" s="289"/>
    </row>
    <row r="44" spans="3:28">
      <c r="AB44" s="289"/>
    </row>
    <row r="45" spans="3:28">
      <c r="AB45" s="289"/>
    </row>
    <row r="46" spans="3:28">
      <c r="C46" s="948" t="s">
        <v>252</v>
      </c>
      <c r="D46" s="948"/>
      <c r="E46" s="948"/>
      <c r="F46" s="948"/>
      <c r="G46" s="948"/>
      <c r="H46" s="948"/>
      <c r="I46" s="948"/>
      <c r="J46" s="948"/>
      <c r="K46" s="948"/>
      <c r="L46" s="948"/>
      <c r="M46" s="948"/>
      <c r="N46" s="948"/>
      <c r="O46" s="948"/>
      <c r="AB46" s="289"/>
    </row>
    <row r="47" spans="3:28" ht="15" customHeight="1" thickBot="1">
      <c r="C47" s="949" t="s">
        <v>262</v>
      </c>
      <c r="D47" s="949"/>
      <c r="E47" s="949"/>
      <c r="F47" s="949"/>
      <c r="G47" s="949"/>
      <c r="H47" s="949"/>
      <c r="I47" s="949"/>
      <c r="J47" s="949"/>
      <c r="K47" s="949"/>
      <c r="L47" s="949"/>
      <c r="M47" s="949"/>
      <c r="N47" s="949"/>
      <c r="O47" s="949"/>
      <c r="P47" s="378" t="s">
        <v>265</v>
      </c>
      <c r="Q47" s="950" t="s">
        <v>264</v>
      </c>
      <c r="R47" s="950"/>
      <c r="S47" s="950"/>
      <c r="T47" s="950"/>
      <c r="U47" s="950"/>
      <c r="V47" s="444">
        <v>15.002000000000001</v>
      </c>
      <c r="W47" s="113" t="s">
        <v>249</v>
      </c>
      <c r="AB47" s="289"/>
    </row>
    <row r="48" spans="3:28" ht="15.75" thickTop="1">
      <c r="C48" s="949"/>
      <c r="D48" s="949"/>
      <c r="E48" s="949"/>
      <c r="F48" s="949"/>
      <c r="G48" s="949"/>
      <c r="H48" s="949"/>
      <c r="I48" s="949"/>
      <c r="J48" s="949"/>
      <c r="K48" s="949"/>
      <c r="L48" s="949"/>
      <c r="M48" s="949"/>
      <c r="N48" s="949"/>
      <c r="O48" s="949"/>
      <c r="AB48" s="289"/>
    </row>
    <row r="49" spans="3:33">
      <c r="C49" s="949"/>
      <c r="D49" s="949"/>
      <c r="E49" s="949"/>
      <c r="F49" s="949"/>
      <c r="G49" s="949"/>
      <c r="H49" s="949"/>
      <c r="I49" s="949"/>
      <c r="J49" s="949"/>
      <c r="K49" s="949"/>
      <c r="L49" s="949"/>
      <c r="M49" s="949"/>
      <c r="N49" s="949"/>
      <c r="O49" s="949"/>
      <c r="AB49" s="289"/>
    </row>
    <row r="50" spans="3:33">
      <c r="AB50" s="289"/>
    </row>
    <row r="51" spans="3:33">
      <c r="AB51" s="289"/>
    </row>
    <row r="52" spans="3:33">
      <c r="AB52" s="289"/>
      <c r="AC52" s="3" t="s">
        <v>592</v>
      </c>
      <c r="AD52" s="5">
        <f>$F$20</f>
        <v>1</v>
      </c>
      <c r="AE52" s="361" t="s">
        <v>257</v>
      </c>
    </row>
    <row r="53" spans="3:33" ht="15" customHeight="1">
      <c r="H53" s="951" t="str">
        <f>CONCATENATE("T = Temps pour que le soleil passe a la meridienne locale: ",P43)</f>
        <v>T = Temps pour que le soleil passe a la meridienne locale: E 01°00.00 (E 01.0000) [E 01°00'00.00]</v>
      </c>
      <c r="I53" s="951"/>
      <c r="J53" s="951"/>
      <c r="K53" s="951"/>
      <c r="L53" s="951"/>
      <c r="M53" s="951"/>
      <c r="N53" s="951"/>
      <c r="O53" s="951"/>
      <c r="P53" s="951"/>
      <c r="Q53" s="951"/>
      <c r="R53" s="951"/>
      <c r="S53" s="951"/>
      <c r="T53" s="951"/>
      <c r="U53" s="951"/>
      <c r="V53" s="952">
        <f>AD58</f>
        <v>-6.6656486364820924E-2</v>
      </c>
      <c r="W53" s="952"/>
      <c r="X53" s="952" t="s">
        <v>257</v>
      </c>
      <c r="AB53" s="289"/>
      <c r="AC53" s="3" t="s">
        <v>593</v>
      </c>
      <c r="AD53" s="5">
        <f>$F$8</f>
        <v>1</v>
      </c>
      <c r="AE53" s="361" t="s">
        <v>257</v>
      </c>
    </row>
    <row r="54" spans="3:33">
      <c r="H54" s="951"/>
      <c r="I54" s="951"/>
      <c r="J54" s="951"/>
      <c r="K54" s="951"/>
      <c r="L54" s="951"/>
      <c r="M54" s="951"/>
      <c r="N54" s="951"/>
      <c r="O54" s="951"/>
      <c r="P54" s="951"/>
      <c r="Q54" s="951"/>
      <c r="R54" s="951"/>
      <c r="S54" s="951"/>
      <c r="T54" s="951"/>
      <c r="U54" s="951"/>
      <c r="V54" s="952"/>
      <c r="W54" s="952"/>
      <c r="X54" s="953"/>
      <c r="AB54" s="289"/>
      <c r="AC54" s="3" t="s">
        <v>594</v>
      </c>
      <c r="AD54" s="3">
        <f>(AD53-AD52)*((-1)*V47)</f>
        <v>0</v>
      </c>
      <c r="AE54" s="361" t="s">
        <v>28</v>
      </c>
    </row>
    <row r="55" spans="3:33">
      <c r="H55" s="940" t="s">
        <v>269</v>
      </c>
      <c r="I55" s="940"/>
      <c r="J55" s="940"/>
      <c r="K55" s="940"/>
      <c r="L55" s="940"/>
      <c r="M55" s="940"/>
      <c r="N55" s="940"/>
      <c r="O55" s="940"/>
      <c r="P55" s="940"/>
      <c r="Q55" s="940"/>
      <c r="R55" s="940"/>
      <c r="S55" s="940"/>
      <c r="T55" s="940"/>
      <c r="U55" s="940"/>
      <c r="V55" s="941">
        <f>AD58*E34</f>
        <v>-6.6656486364820924E-2</v>
      </c>
      <c r="W55" s="942"/>
      <c r="X55" s="943" t="s">
        <v>104</v>
      </c>
      <c r="AB55" s="289"/>
      <c r="AC55" s="3" t="s">
        <v>597</v>
      </c>
      <c r="AD55" s="3">
        <f>(-1)*V47</f>
        <v>-15.002000000000001</v>
      </c>
      <c r="AE55" s="361" t="s">
        <v>508</v>
      </c>
    </row>
    <row r="56" spans="3:33">
      <c r="H56" s="940"/>
      <c r="I56" s="940"/>
      <c r="J56" s="940"/>
      <c r="K56" s="940"/>
      <c r="L56" s="940"/>
      <c r="M56" s="940"/>
      <c r="N56" s="940"/>
      <c r="O56" s="940"/>
      <c r="P56" s="940"/>
      <c r="Q56" s="940"/>
      <c r="R56" s="940"/>
      <c r="S56" s="940"/>
      <c r="T56" s="940"/>
      <c r="U56" s="940"/>
      <c r="V56" s="942"/>
      <c r="W56" s="942"/>
      <c r="X56" s="944"/>
      <c r="AB56" s="289"/>
      <c r="AC56" s="3" t="s">
        <v>595</v>
      </c>
      <c r="AD56" s="5">
        <f>E43</f>
        <v>1</v>
      </c>
      <c r="AE56" s="361" t="s">
        <v>28</v>
      </c>
    </row>
    <row r="57" spans="3:33">
      <c r="H57" s="940" t="s">
        <v>470</v>
      </c>
      <c r="I57" s="940"/>
      <c r="J57" s="940"/>
      <c r="K57" s="940"/>
      <c r="L57" s="940"/>
      <c r="M57" s="940"/>
      <c r="N57" s="940"/>
      <c r="O57" s="940"/>
      <c r="P57" s="940"/>
      <c r="Q57" s="940"/>
      <c r="R57" s="940"/>
      <c r="S57" s="940"/>
      <c r="T57" s="940"/>
      <c r="U57" s="940"/>
      <c r="V57" s="941">
        <f>AD58*L38</f>
        <v>-1.9391554956413324E-5</v>
      </c>
      <c r="W57" s="945"/>
      <c r="X57" s="946" t="s">
        <v>28</v>
      </c>
      <c r="AB57" s="289"/>
      <c r="AC57" s="3" t="s">
        <v>596</v>
      </c>
      <c r="AD57" s="3">
        <f>L38</f>
        <v>2.9091774880362644E-4</v>
      </c>
      <c r="AE57" s="361" t="s">
        <v>508</v>
      </c>
    </row>
    <row r="58" spans="3:33">
      <c r="H58" s="940"/>
      <c r="I58" s="940"/>
      <c r="J58" s="940"/>
      <c r="K58" s="940"/>
      <c r="L58" s="940"/>
      <c r="M58" s="940"/>
      <c r="N58" s="940"/>
      <c r="O58" s="940"/>
      <c r="P58" s="940"/>
      <c r="Q58" s="940"/>
      <c r="R58" s="940"/>
      <c r="S58" s="940"/>
      <c r="T58" s="940"/>
      <c r="U58" s="940"/>
      <c r="V58" s="942"/>
      <c r="W58" s="945"/>
      <c r="X58" s="947"/>
      <c r="AB58" s="289"/>
      <c r="AC58" s="3" t="s">
        <v>591</v>
      </c>
      <c r="AD58" s="3">
        <f>(AD54-AD56)/(AD57-AD55)</f>
        <v>-6.6656486364820924E-2</v>
      </c>
      <c r="AE58" s="361" t="s">
        <v>257</v>
      </c>
    </row>
    <row r="59" spans="3:33">
      <c r="H59" s="940" t="s">
        <v>469</v>
      </c>
      <c r="I59" s="940"/>
      <c r="J59" s="940"/>
      <c r="K59" s="940"/>
      <c r="L59" s="940"/>
      <c r="M59" s="940"/>
      <c r="N59" s="940"/>
      <c r="O59" s="940"/>
      <c r="P59" s="940"/>
      <c r="Q59" s="940"/>
      <c r="R59" s="940"/>
      <c r="S59" s="940"/>
      <c r="T59" s="940"/>
      <c r="U59" s="940"/>
      <c r="V59" s="1023">
        <f>E43+AD58*L38</f>
        <v>0.99998060844504355</v>
      </c>
      <c r="W59" s="1024"/>
      <c r="X59" s="931" t="str">
        <f>longitudeDecimal2Txt(V59)</f>
        <v>E 00°59.99 (E 00.9999) [E 00°59'59.93]</v>
      </c>
      <c r="Y59" s="931"/>
      <c r="Z59" s="931"/>
      <c r="AA59" s="931"/>
      <c r="AB59" s="931"/>
      <c r="AC59" s="931"/>
      <c r="AD59" s="932" t="str" cm="1">
        <f t="array" ref="AD59">CONCATENATE("Memo depart: ", longitudeDecimal2Txt(E43))</f>
        <v>Memo depart: E 01°00.00 (E 01.0000) [E 01°00'00.00]</v>
      </c>
      <c r="AE59" s="933"/>
      <c r="AF59" s="933"/>
      <c r="AG59" s="933"/>
    </row>
    <row r="60" spans="3:33">
      <c r="H60" s="940"/>
      <c r="I60" s="940"/>
      <c r="J60" s="940"/>
      <c r="K60" s="940"/>
      <c r="L60" s="940"/>
      <c r="M60" s="940"/>
      <c r="N60" s="940"/>
      <c r="O60" s="940"/>
      <c r="P60" s="940"/>
      <c r="Q60" s="940"/>
      <c r="R60" s="940"/>
      <c r="S60" s="940"/>
      <c r="T60" s="940"/>
      <c r="U60" s="940"/>
      <c r="V60" s="1025"/>
      <c r="W60" s="1026"/>
      <c r="X60" s="931"/>
      <c r="Y60" s="931"/>
      <c r="Z60" s="931"/>
      <c r="AA60" s="931"/>
      <c r="AB60" s="931"/>
      <c r="AC60" s="931"/>
      <c r="AD60" s="932"/>
      <c r="AE60" s="933"/>
      <c r="AF60" s="933"/>
      <c r="AG60" s="933"/>
    </row>
    <row r="61" spans="3:33">
      <c r="H61" s="934" t="s">
        <v>266</v>
      </c>
      <c r="I61" s="934"/>
      <c r="J61" s="934"/>
      <c r="K61" s="934"/>
      <c r="L61" s="934"/>
      <c r="M61" s="934"/>
      <c r="N61" s="934"/>
      <c r="O61" s="934"/>
      <c r="P61" s="934"/>
      <c r="Q61" s="934"/>
      <c r="R61" s="934"/>
      <c r="S61" s="934"/>
      <c r="T61" s="934"/>
      <c r="U61" s="934"/>
      <c r="V61" s="935">
        <f>AD53+AD58</f>
        <v>0.93334351363517909</v>
      </c>
      <c r="W61" s="936"/>
      <c r="X61" s="938" t="str">
        <f>heureDecimal2Txt(V61)</f>
        <v>00:56:00.03(00.9333)</v>
      </c>
      <c r="Y61" s="938"/>
      <c r="Z61" s="938"/>
      <c r="AA61" s="938"/>
      <c r="AB61" s="938"/>
      <c r="AC61" s="938"/>
    </row>
    <row r="62" spans="3:33">
      <c r="H62" s="934"/>
      <c r="I62" s="934"/>
      <c r="J62" s="934"/>
      <c r="K62" s="934"/>
      <c r="L62" s="934"/>
      <c r="M62" s="934"/>
      <c r="N62" s="934"/>
      <c r="O62" s="934"/>
      <c r="P62" s="934"/>
      <c r="Q62" s="934"/>
      <c r="R62" s="934"/>
      <c r="S62" s="934"/>
      <c r="T62" s="934"/>
      <c r="U62" s="934"/>
      <c r="V62" s="937"/>
      <c r="W62" s="936"/>
      <c r="X62" s="938"/>
      <c r="Y62" s="938"/>
      <c r="Z62" s="938"/>
      <c r="AA62" s="938"/>
      <c r="AB62" s="938"/>
      <c r="AC62" s="938"/>
    </row>
    <row r="63" spans="3:33">
      <c r="AB63" s="289"/>
    </row>
    <row r="64" spans="3:33" ht="15.75" thickBot="1">
      <c r="AB64" s="289"/>
    </row>
    <row r="65" spans="2:66" s="360" customFormat="1" ht="17.25" customHeight="1" thickBot="1">
      <c r="B65" s="379" t="s">
        <v>583</v>
      </c>
      <c r="C65" s="380"/>
      <c r="D65" s="380"/>
      <c r="E65" s="380"/>
      <c r="F65" s="380"/>
      <c r="G65" s="380"/>
      <c r="H65" s="381"/>
      <c r="I65" s="92" t="str">
        <f>L6</f>
        <v>2025/06/30</v>
      </c>
      <c r="J65" s="92"/>
      <c r="K65" s="382"/>
      <c r="L65" s="383"/>
      <c r="M65" s="92" t="str">
        <f>heureDecimal2Txt(E67)</f>
        <v>00:56:00.03(00.9333)</v>
      </c>
      <c r="N65" s="92"/>
      <c r="O65" s="92"/>
      <c r="P65" s="381"/>
      <c r="Q65" s="381"/>
      <c r="R65" s="381"/>
      <c r="S65" s="381"/>
      <c r="T65" s="381"/>
      <c r="U65" s="381"/>
      <c r="V65" s="384"/>
      <c r="W65" s="381"/>
      <c r="X65" s="381"/>
      <c r="Y65" s="381"/>
      <c r="Z65" s="381"/>
      <c r="AA65" s="384"/>
      <c r="AB65" s="291"/>
      <c r="AC65" s="361"/>
      <c r="AD65" s="361"/>
      <c r="AE65" s="361"/>
      <c r="AF65" s="361"/>
      <c r="AG65" s="361"/>
      <c r="AH65" s="361"/>
      <c r="AI65" s="361"/>
      <c r="AJ65" s="361"/>
      <c r="AK65" s="361"/>
      <c r="AL65" s="361"/>
      <c r="AM65" s="361"/>
      <c r="AN65" s="361"/>
      <c r="AO65" s="361"/>
      <c r="AP65" s="361"/>
      <c r="AQ65" s="361"/>
      <c r="AR65" s="361"/>
      <c r="AS65" s="361"/>
      <c r="AT65" s="361"/>
      <c r="AU65" s="361"/>
      <c r="AV65" s="361"/>
      <c r="AW65" s="361"/>
      <c r="AX65" s="361"/>
      <c r="AY65" s="361"/>
      <c r="AZ65" s="361"/>
      <c r="BA65" s="361"/>
      <c r="BB65" s="361"/>
      <c r="BC65" s="361"/>
      <c r="BD65" s="361"/>
      <c r="BE65" s="361"/>
      <c r="BF65" s="361"/>
      <c r="BG65" s="361"/>
      <c r="BH65" s="361"/>
      <c r="BI65" s="361"/>
      <c r="BJ65" s="361"/>
      <c r="BK65" s="361"/>
      <c r="BL65" s="361"/>
      <c r="BM65" s="361"/>
      <c r="BN65" s="362"/>
    </row>
    <row r="66" spans="2:66" s="360" customFormat="1" ht="17.25" customHeight="1" thickBot="1">
      <c r="C66" s="966" t="s">
        <v>1</v>
      </c>
      <c r="D66" s="967"/>
      <c r="E66" s="968" t="s">
        <v>227</v>
      </c>
      <c r="F66" s="969"/>
      <c r="G66" s="970"/>
      <c r="H66" s="437"/>
      <c r="AB66" s="288"/>
      <c r="AC66" s="361"/>
      <c r="AD66" s="361"/>
      <c r="AE66" s="361"/>
      <c r="AF66" s="361"/>
      <c r="AG66" s="361"/>
      <c r="AH66" s="361"/>
      <c r="AI66" s="361"/>
      <c r="AJ66" s="361"/>
      <c r="AK66" s="361"/>
      <c r="AL66" s="361"/>
      <c r="AM66" s="361"/>
      <c r="AN66" s="361"/>
      <c r="AO66" s="361"/>
      <c r="AP66" s="361"/>
      <c r="AQ66" s="361"/>
      <c r="AR66" s="361"/>
      <c r="AS66" s="361"/>
      <c r="AT66" s="361"/>
      <c r="AU66" s="361"/>
      <c r="AV66" s="361"/>
      <c r="AW66" s="361"/>
      <c r="AX66" s="361"/>
      <c r="AY66" s="361"/>
      <c r="AZ66" s="361"/>
      <c r="BA66" s="361"/>
      <c r="BB66" s="361"/>
      <c r="BC66" s="361"/>
      <c r="BD66" s="361"/>
      <c r="BE66" s="361"/>
      <c r="BF66" s="361"/>
      <c r="BG66" s="361"/>
      <c r="BH66" s="361"/>
      <c r="BI66" s="361"/>
      <c r="BJ66" s="361"/>
      <c r="BK66" s="361"/>
      <c r="BL66" s="361"/>
      <c r="BM66" s="361"/>
      <c r="BN66" s="362"/>
    </row>
    <row r="67" spans="2:66" s="360" customFormat="1" ht="17.25" customHeight="1" thickTop="1" thickBot="1">
      <c r="C67" s="274" t="s">
        <v>584</v>
      </c>
      <c r="D67" s="274"/>
      <c r="E67" s="996">
        <f>V61</f>
        <v>0.93334351363517909</v>
      </c>
      <c r="F67" s="997"/>
      <c r="G67" s="998"/>
      <c r="H67" s="749" t="str" cm="1">
        <f t="array" ref="H67">heureDecimal2Txt(E67)</f>
        <v>00:56:00.03(00.9333)</v>
      </c>
      <c r="I67" s="750"/>
      <c r="J67" s="750"/>
      <c r="K67" s="750"/>
      <c r="L67" s="750"/>
      <c r="M67" s="751"/>
      <c r="N67" s="361"/>
      <c r="O67" s="361"/>
      <c r="P67" s="361"/>
      <c r="Q67" s="361"/>
      <c r="R67" s="361"/>
      <c r="S67" s="361"/>
      <c r="T67" s="361"/>
      <c r="U67" s="361"/>
      <c r="V67" s="361"/>
      <c r="W67" s="361"/>
      <c r="X67" s="361"/>
      <c r="Y67" s="361"/>
      <c r="AB67" s="292"/>
      <c r="AC67" s="361"/>
      <c r="AD67" s="361"/>
      <c r="AE67" s="361"/>
      <c r="AF67" s="361"/>
      <c r="AG67" s="361"/>
      <c r="AH67" s="361"/>
      <c r="AI67" s="361"/>
      <c r="AJ67" s="361"/>
      <c r="AK67" s="361"/>
      <c r="AL67" s="361"/>
      <c r="AM67" s="361"/>
      <c r="AN67" s="361"/>
      <c r="AO67" s="361"/>
      <c r="AP67" s="361"/>
      <c r="AQ67" s="361"/>
      <c r="AR67" s="361"/>
      <c r="AS67" s="361"/>
      <c r="AT67" s="361"/>
      <c r="AU67" s="361"/>
      <c r="AV67" s="361"/>
      <c r="AW67" s="361"/>
      <c r="AX67" s="361"/>
      <c r="AY67" s="361"/>
      <c r="AZ67" s="361"/>
      <c r="BA67" s="361"/>
      <c r="BB67" s="361"/>
      <c r="BC67" s="361"/>
      <c r="BD67" s="361"/>
      <c r="BE67" s="361"/>
      <c r="BF67" s="361"/>
      <c r="BG67" s="361"/>
      <c r="BH67" s="361"/>
      <c r="BI67" s="361"/>
      <c r="BJ67" s="361"/>
      <c r="BK67" s="361"/>
      <c r="BL67" s="361"/>
      <c r="BM67" s="361"/>
      <c r="BN67" s="362"/>
    </row>
    <row r="68" spans="2:66" s="360" customFormat="1" ht="17.25" customHeight="1" thickTop="1" thickBot="1">
      <c r="C68" s="274" t="s">
        <v>7</v>
      </c>
      <c r="D68" s="274"/>
      <c r="E68" s="999">
        <f>F25</f>
        <v>-1</v>
      </c>
      <c r="F68" s="1000"/>
      <c r="G68" s="1001"/>
      <c r="H68" s="749" t="str" cm="1">
        <f t="array" ref="H68">latitudeDecimal2Txt(E68)</f>
        <v>S 01°00.00 (S 01.0000) [S 01°00'00.00]</v>
      </c>
      <c r="I68" s="750"/>
      <c r="J68" s="750"/>
      <c r="K68" s="750"/>
      <c r="L68" s="750"/>
      <c r="M68" s="751"/>
      <c r="N68" s="361"/>
      <c r="O68" s="361"/>
      <c r="P68" s="361"/>
      <c r="Q68" s="361"/>
      <c r="R68" s="361"/>
      <c r="S68" s="361"/>
      <c r="T68" s="361"/>
      <c r="U68" s="361"/>
      <c r="V68" s="361"/>
      <c r="W68" s="361"/>
      <c r="X68" s="361"/>
      <c r="Y68" s="361"/>
      <c r="AB68" s="292"/>
      <c r="AC68" s="361"/>
      <c r="AD68" s="361"/>
      <c r="AE68" s="361"/>
      <c r="AF68" s="361"/>
      <c r="AG68" s="361"/>
      <c r="AH68" s="361"/>
      <c r="AI68" s="361"/>
      <c r="AJ68" s="361"/>
      <c r="AK68" s="361"/>
      <c r="AL68" s="361"/>
      <c r="AM68" s="361"/>
      <c r="AN68" s="361"/>
      <c r="AO68" s="361"/>
      <c r="AP68" s="361"/>
      <c r="AQ68" s="361"/>
      <c r="AR68" s="361"/>
      <c r="AS68" s="361"/>
      <c r="AT68" s="361"/>
      <c r="AU68" s="361"/>
      <c r="AV68" s="361"/>
      <c r="AW68" s="361"/>
      <c r="AX68" s="361"/>
      <c r="AY68" s="361"/>
      <c r="AZ68" s="361"/>
      <c r="BA68" s="361"/>
      <c r="BB68" s="361"/>
      <c r="BC68" s="361"/>
      <c r="BD68" s="361"/>
      <c r="BE68" s="361"/>
      <c r="BF68" s="361"/>
      <c r="BG68" s="361"/>
      <c r="BH68" s="361"/>
      <c r="BI68" s="361"/>
      <c r="BJ68" s="361"/>
      <c r="BK68" s="361"/>
      <c r="BL68" s="361"/>
      <c r="BM68" s="361"/>
      <c r="BN68" s="362"/>
    </row>
    <row r="69" spans="2:66" ht="15.75" thickTop="1">
      <c r="C69" s="359" t="s">
        <v>818</v>
      </c>
      <c r="D69" s="359"/>
      <c r="E69" s="1027">
        <f>F10+(V53*P34)/60</f>
        <v>-1.0011107722376515</v>
      </c>
      <c r="F69" s="1028"/>
      <c r="G69" s="1029"/>
      <c r="H69" s="1030" t="str" cm="1">
        <f t="array" ref="H69">latitudeDecimal2Txt(E69)</f>
        <v>S 01°00.06 (S 01.0011) [S 01°00'03.99]</v>
      </c>
      <c r="I69" s="1031"/>
      <c r="J69" s="1031"/>
      <c r="K69" s="1031"/>
      <c r="L69" s="1031"/>
      <c r="M69" s="1032"/>
      <c r="AB69" s="289"/>
      <c r="AC69" s="436"/>
      <c r="AD69" s="436"/>
      <c r="AE69" s="436"/>
      <c r="AF69" s="436"/>
      <c r="AG69" s="436"/>
    </row>
    <row r="70" spans="2:66">
      <c r="C70" s="634" t="s">
        <v>405</v>
      </c>
      <c r="D70" s="634"/>
      <c r="E70" s="939">
        <f>V59</f>
        <v>0.99998060844504355</v>
      </c>
      <c r="F70" s="939"/>
      <c r="G70" s="939"/>
      <c r="H70" s="930" t="str" cm="1">
        <f t="array" ref="H70">longitudeDecimal2Txt(E70)</f>
        <v>E 00°59.99 (E 00.9999) [E 00°59'59.93]</v>
      </c>
      <c r="I70" s="930"/>
      <c r="J70" s="930"/>
      <c r="K70" s="930"/>
      <c r="L70" s="930"/>
      <c r="M70" s="930"/>
      <c r="AB70" s="289"/>
      <c r="AC70" s="436"/>
      <c r="AD70" s="436"/>
      <c r="AE70" s="436"/>
      <c r="AF70" s="436"/>
      <c r="AG70" s="436"/>
    </row>
    <row r="71" spans="2:66">
      <c r="AB71" s="289"/>
      <c r="AC71" s="436"/>
      <c r="AD71" s="436"/>
      <c r="AE71" s="436"/>
      <c r="AF71" s="436"/>
      <c r="AG71" s="436"/>
    </row>
    <row r="72" spans="2:66" ht="17.25" customHeight="1" thickBot="1"/>
    <row r="73" spans="2:66" ht="17.25" customHeight="1" thickBot="1">
      <c r="B73" s="379" t="s">
        <v>822</v>
      </c>
      <c r="C73" s="380"/>
      <c r="D73" s="380"/>
      <c r="E73" s="380"/>
      <c r="F73" s="380"/>
      <c r="G73" s="380"/>
      <c r="H73" s="381"/>
      <c r="I73" s="92" t="str">
        <f>L6</f>
        <v>2025/06/30</v>
      </c>
      <c r="J73" s="92"/>
      <c r="K73" s="382"/>
      <c r="L73" s="383"/>
      <c r="M73" s="92" t="str">
        <f>heureDecimal2Txt(E75)</f>
        <v>00:56:00.03(00.9333)</v>
      </c>
      <c r="N73" s="92"/>
      <c r="O73" s="92"/>
      <c r="P73" s="381"/>
      <c r="Q73" s="381"/>
      <c r="R73" s="381"/>
      <c r="S73" s="381"/>
      <c r="T73" s="381"/>
      <c r="U73" s="381"/>
      <c r="V73" s="384"/>
      <c r="W73" s="381"/>
      <c r="X73" s="381"/>
      <c r="Y73" s="381"/>
      <c r="Z73" s="381"/>
      <c r="AA73" s="384"/>
    </row>
    <row r="74" spans="2:66" ht="18" customHeight="1" thickBot="1">
      <c r="B74" s="360"/>
      <c r="C74" s="966" t="s">
        <v>1</v>
      </c>
      <c r="D74" s="967"/>
      <c r="E74" s="968" t="s">
        <v>227</v>
      </c>
      <c r="F74" s="969"/>
      <c r="G74" s="970"/>
      <c r="H74" s="437"/>
      <c r="I74" s="360"/>
      <c r="J74" s="360"/>
      <c r="K74" s="360"/>
      <c r="L74" s="360"/>
      <c r="M74" s="360"/>
      <c r="N74" s="360"/>
      <c r="O74" s="360"/>
      <c r="P74" s="360"/>
      <c r="Q74" s="360"/>
      <c r="R74" s="360"/>
      <c r="S74" s="360"/>
      <c r="T74" s="360"/>
      <c r="U74" s="360"/>
      <c r="V74" s="360"/>
      <c r="W74" s="360"/>
      <c r="X74" s="360"/>
      <c r="Y74" s="360"/>
      <c r="Z74" s="360"/>
      <c r="AA74" s="360"/>
    </row>
    <row r="75" spans="2:66" ht="18" customHeight="1" thickTop="1" thickBot="1">
      <c r="B75" s="360"/>
      <c r="C75" s="274" t="s">
        <v>584</v>
      </c>
      <c r="D75" s="274"/>
      <c r="E75" s="996">
        <f>V108</f>
        <v>0.9333435136353978</v>
      </c>
      <c r="F75" s="997"/>
      <c r="G75" s="998"/>
      <c r="H75" s="749" t="str" cm="1">
        <f t="array" ref="H75">heureDecimal2Txt(E75)</f>
        <v>00:56:00.03(00.9333)</v>
      </c>
      <c r="I75" s="750"/>
      <c r="J75" s="750"/>
      <c r="K75" s="750"/>
      <c r="L75" s="750"/>
      <c r="M75" s="751"/>
      <c r="Z75" s="360"/>
      <c r="AA75" s="360"/>
    </row>
    <row r="76" spans="2:66" ht="18" customHeight="1" thickTop="1" thickBot="1">
      <c r="B76" s="360"/>
      <c r="C76" s="274" t="s">
        <v>821</v>
      </c>
      <c r="D76" s="274"/>
      <c r="E76" s="999">
        <f>(E69+E68)/2</f>
        <v>-1.0005553861188257</v>
      </c>
      <c r="F76" s="1000"/>
      <c r="G76" s="1001"/>
      <c r="H76" s="749" t="str" cm="1">
        <f t="array" ref="H76">latitudeDecimal2Txt(E76)</f>
        <v>S 01°00.03 (S 01.0005) [S 01°00'01.99]</v>
      </c>
      <c r="I76" s="750"/>
      <c r="J76" s="750"/>
      <c r="K76" s="750"/>
      <c r="L76" s="750"/>
      <c r="M76" s="751"/>
      <c r="Z76" s="360"/>
      <c r="AA76" s="360"/>
    </row>
    <row r="77" spans="2:66" ht="18" customHeight="1" thickTop="1">
      <c r="B77" s="360"/>
      <c r="C77" s="634" t="s">
        <v>405</v>
      </c>
      <c r="D77" s="634"/>
      <c r="E77" s="939">
        <f>V106</f>
        <v>0.99998060844176173</v>
      </c>
      <c r="F77" s="939"/>
      <c r="G77" s="939"/>
      <c r="H77" s="930" t="str" cm="1">
        <f t="array" ref="H77">longitudeDecimal2Txt(E77)</f>
        <v>E 00°59.99 (E 00.9999) [E 00°59'59.93]</v>
      </c>
      <c r="I77" s="930"/>
      <c r="J77" s="930"/>
      <c r="K77" s="930"/>
      <c r="L77" s="930"/>
      <c r="M77" s="930"/>
      <c r="Z77" s="360"/>
      <c r="AA77" s="360"/>
    </row>
    <row r="78" spans="2:66" ht="18" customHeight="1"/>
    <row r="79" spans="2:66" ht="18" customHeight="1">
      <c r="C79" s="976" t="s">
        <v>260</v>
      </c>
      <c r="D79" s="977"/>
      <c r="E79" s="977"/>
      <c r="F79" s="977"/>
      <c r="G79" s="977"/>
      <c r="H79" s="977"/>
      <c r="I79" s="977"/>
      <c r="J79" s="977"/>
      <c r="K79" s="977"/>
      <c r="L79" s="977"/>
      <c r="M79" s="977"/>
      <c r="N79" s="977"/>
      <c r="O79" s="977"/>
      <c r="P79" s="977"/>
      <c r="Q79" s="977"/>
      <c r="R79" s="1006"/>
      <c r="AB79" s="289"/>
    </row>
    <row r="80" spans="2:66" ht="18" customHeight="1">
      <c r="C80" s="980" t="s">
        <v>106</v>
      </c>
      <c r="D80" s="980"/>
      <c r="E80" s="980">
        <f>F16</f>
        <v>1</v>
      </c>
      <c r="F80" s="980"/>
      <c r="G80" s="980"/>
      <c r="I80" s="958" t="s">
        <v>261</v>
      </c>
      <c r="J80" s="959"/>
      <c r="K80" s="956" t="b">
        <f>IF(E80&lt;180,TRUE,FALSE)</f>
        <v>1</v>
      </c>
      <c r="L80" s="957"/>
      <c r="N80" s="962" t="s">
        <v>246</v>
      </c>
      <c r="O80" s="963"/>
      <c r="P80" s="964">
        <f>E81*ABS(SIN(Outils!$F$4*E80))*(IF(K80,1,-1))</f>
        <v>1.7452406437283512E-2</v>
      </c>
      <c r="Q80" s="965"/>
      <c r="R80" s="358" t="s">
        <v>245</v>
      </c>
      <c r="AB80" s="289"/>
    </row>
    <row r="81" spans="3:28" ht="18" customHeight="1">
      <c r="C81" s="688" t="s">
        <v>105</v>
      </c>
      <c r="D81" s="688"/>
      <c r="E81" s="688">
        <f>E34</f>
        <v>1</v>
      </c>
      <c r="F81" s="688"/>
      <c r="G81" s="688"/>
      <c r="I81" s="958" t="s">
        <v>819</v>
      </c>
      <c r="J81" s="959"/>
      <c r="K81" s="960" t="b">
        <f>IF(OR(AND(0 &lt; E80, E80&lt;90),AND(360 &gt; E80, E80&gt;270)),TRUE,FALSE)</f>
        <v>1</v>
      </c>
      <c r="L81" s="961"/>
      <c r="N81" s="962" t="s">
        <v>820</v>
      </c>
      <c r="O81" s="963"/>
      <c r="P81" s="964">
        <f>E81*ABS(COS(Outils!$F$4*E80))*(IF(K81,1,-1))</f>
        <v>0.99984769515639127</v>
      </c>
      <c r="Q81" s="965"/>
      <c r="R81" s="358" t="s">
        <v>245</v>
      </c>
      <c r="AB81" s="289"/>
    </row>
    <row r="82" spans="3:28" ht="18" customHeight="1">
      <c r="AB82" s="289"/>
    </row>
    <row r="83" spans="3:28" ht="18" customHeight="1">
      <c r="AB83" s="289"/>
    </row>
    <row r="84" spans="3:28" ht="17.25" customHeight="1">
      <c r="C84" s="976" t="s">
        <v>248</v>
      </c>
      <c r="D84" s="977"/>
      <c r="E84" s="977"/>
      <c r="F84" s="977"/>
      <c r="G84" s="977"/>
      <c r="H84" s="977"/>
      <c r="I84" s="977"/>
      <c r="J84" s="977"/>
      <c r="K84" s="978"/>
      <c r="L84" s="978"/>
      <c r="M84" s="978"/>
      <c r="N84" s="978"/>
      <c r="O84" s="979"/>
      <c r="AB84" s="289"/>
    </row>
    <row r="85" spans="3:28" ht="17.25" customHeight="1">
      <c r="C85" s="980" t="s">
        <v>238</v>
      </c>
      <c r="D85" s="980"/>
      <c r="E85" s="980">
        <f>E76</f>
        <v>-1.0005553861188257</v>
      </c>
      <c r="F85" s="980"/>
      <c r="G85" s="980"/>
      <c r="I85" s="981" t="s">
        <v>247</v>
      </c>
      <c r="J85" s="981"/>
      <c r="K85" s="982" t="s">
        <v>74</v>
      </c>
      <c r="L85" s="983">
        <f>P80/(60 * COS(E85*Outils!$F$4))</f>
        <v>2.9091779803984831E-4</v>
      </c>
      <c r="M85" s="983"/>
      <c r="N85" s="983"/>
      <c r="O85" s="984" t="s">
        <v>249</v>
      </c>
      <c r="P85" s="985" t="str">
        <f>IF(K80,"Vers l'Est","Vers l'Ouest")</f>
        <v>Vers l'Est</v>
      </c>
      <c r="Q85" s="985"/>
      <c r="R85" s="985"/>
      <c r="U85" s="986" t="s">
        <v>263</v>
      </c>
      <c r="V85" s="987"/>
      <c r="W85" s="988"/>
      <c r="X85" s="992">
        <f>IF(K80,-1*ABS(L85),ABS(L85))</f>
        <v>-2.9091779803984831E-4</v>
      </c>
      <c r="Y85" s="993"/>
      <c r="Z85" s="993"/>
      <c r="AA85" s="954" t="s">
        <v>249</v>
      </c>
      <c r="AB85" s="289"/>
    </row>
    <row r="86" spans="3:28" ht="17.25" customHeight="1">
      <c r="C86" s="688" t="str">
        <f>N80</f>
        <v>VLong.</v>
      </c>
      <c r="D86" s="688"/>
      <c r="E86" s="688">
        <f>P80</f>
        <v>1.7452406437283512E-2</v>
      </c>
      <c r="F86" s="688"/>
      <c r="G86" s="688"/>
      <c r="I86" s="981"/>
      <c r="J86" s="981"/>
      <c r="K86" s="982"/>
      <c r="L86" s="983"/>
      <c r="M86" s="983"/>
      <c r="N86" s="983"/>
      <c r="O86" s="984"/>
      <c r="P86" s="985"/>
      <c r="Q86" s="985"/>
      <c r="R86" s="985"/>
      <c r="U86" s="989"/>
      <c r="V86" s="990"/>
      <c r="W86" s="991"/>
      <c r="X86" s="994"/>
      <c r="Y86" s="995"/>
      <c r="Z86" s="995"/>
      <c r="AA86" s="955"/>
      <c r="AB86" s="289"/>
    </row>
    <row r="87" spans="3:28" ht="17.25" customHeight="1">
      <c r="AB87" s="289"/>
    </row>
    <row r="88" spans="3:28" ht="17.25" customHeight="1">
      <c r="AB88" s="289"/>
    </row>
    <row r="89" spans="3:28" ht="17.25" customHeight="1">
      <c r="C89" s="1020" t="s">
        <v>562</v>
      </c>
      <c r="D89" s="1021"/>
      <c r="E89" s="1021"/>
      <c r="F89" s="1021"/>
      <c r="G89" s="1021"/>
      <c r="H89" s="1021"/>
      <c r="I89" s="1021"/>
      <c r="J89" s="1021"/>
      <c r="K89" s="1021"/>
      <c r="L89" s="1021"/>
      <c r="M89" s="1021"/>
      <c r="N89" s="1021"/>
      <c r="O89" s="1022"/>
      <c r="AB89" s="289"/>
    </row>
    <row r="90" spans="3:28" ht="17.25" customHeight="1">
      <c r="C90" s="980" t="s">
        <v>171</v>
      </c>
      <c r="D90" s="980"/>
      <c r="E90" s="980">
        <f>F12</f>
        <v>1</v>
      </c>
      <c r="F90" s="980"/>
      <c r="G90" s="980"/>
      <c r="I90" s="971" t="s">
        <v>251</v>
      </c>
      <c r="J90" s="972"/>
      <c r="K90" s="973">
        <f>longitude2LongitudeHoraire(E90)</f>
        <v>359</v>
      </c>
      <c r="L90" s="973"/>
      <c r="M90" s="973"/>
      <c r="N90" s="973"/>
      <c r="O90" s="112" t="s">
        <v>28</v>
      </c>
      <c r="P90" s="974" t="str">
        <f>longitudeDecimal2Txt(E90)</f>
        <v>E 01°00.00 (E 01.0000) [E 01°00'00.00]</v>
      </c>
      <c r="Q90" s="975"/>
      <c r="R90" s="975"/>
      <c r="S90" s="975"/>
      <c r="T90" s="975"/>
      <c r="U90" s="975"/>
      <c r="AB90" s="289"/>
    </row>
    <row r="91" spans="3:28" ht="17.25" customHeight="1">
      <c r="AB91" s="289"/>
    </row>
    <row r="92" spans="3:28" ht="17.25" customHeight="1">
      <c r="AB92" s="289"/>
    </row>
    <row r="93" spans="3:28" ht="17.25" customHeight="1">
      <c r="C93" s="948" t="s">
        <v>252</v>
      </c>
      <c r="D93" s="948"/>
      <c r="E93" s="948"/>
      <c r="F93" s="948"/>
      <c r="G93" s="948"/>
      <c r="H93" s="948"/>
      <c r="I93" s="948"/>
      <c r="J93" s="948"/>
      <c r="K93" s="948"/>
      <c r="L93" s="948"/>
      <c r="M93" s="948"/>
      <c r="N93" s="948"/>
      <c r="O93" s="948"/>
      <c r="AB93" s="289"/>
    </row>
    <row r="94" spans="3:28" ht="17.25" customHeight="1" thickBot="1">
      <c r="C94" s="949" t="s">
        <v>262</v>
      </c>
      <c r="D94" s="949"/>
      <c r="E94" s="949"/>
      <c r="F94" s="949"/>
      <c r="G94" s="949"/>
      <c r="H94" s="949"/>
      <c r="I94" s="949"/>
      <c r="J94" s="949"/>
      <c r="K94" s="949"/>
      <c r="L94" s="949"/>
      <c r="M94" s="949"/>
      <c r="N94" s="949"/>
      <c r="O94" s="949"/>
      <c r="P94" s="378" t="s">
        <v>265</v>
      </c>
      <c r="Q94" s="950" t="s">
        <v>264</v>
      </c>
      <c r="R94" s="950"/>
      <c r="S94" s="950"/>
      <c r="T94" s="950"/>
      <c r="U94" s="950"/>
      <c r="V94" s="444">
        <v>15.002000000000001</v>
      </c>
      <c r="W94" s="113" t="s">
        <v>249</v>
      </c>
      <c r="AB94" s="289"/>
    </row>
    <row r="95" spans="3:28" ht="17.25" customHeight="1" thickTop="1">
      <c r="C95" s="949"/>
      <c r="D95" s="949"/>
      <c r="E95" s="949"/>
      <c r="F95" s="949"/>
      <c r="G95" s="949"/>
      <c r="H95" s="949"/>
      <c r="I95" s="949"/>
      <c r="J95" s="949"/>
      <c r="K95" s="949"/>
      <c r="L95" s="949"/>
      <c r="M95" s="949"/>
      <c r="N95" s="949"/>
      <c r="O95" s="949"/>
      <c r="AB95" s="289"/>
    </row>
    <row r="96" spans="3:28" ht="17.25" customHeight="1">
      <c r="C96" s="949"/>
      <c r="D96" s="949"/>
      <c r="E96" s="949"/>
      <c r="F96" s="949"/>
      <c r="G96" s="949"/>
      <c r="H96" s="949"/>
      <c r="I96" s="949"/>
      <c r="J96" s="949"/>
      <c r="K96" s="949"/>
      <c r="L96" s="949"/>
      <c r="M96" s="949"/>
      <c r="N96" s="949"/>
      <c r="O96" s="949"/>
      <c r="AB96" s="289"/>
    </row>
    <row r="97" spans="8:33" ht="17.25" customHeight="1">
      <c r="AB97" s="289"/>
    </row>
    <row r="98" spans="8:33" ht="17.25" customHeight="1">
      <c r="AB98" s="289"/>
    </row>
    <row r="99" spans="8:33" ht="17.25" customHeight="1">
      <c r="AB99" s="289"/>
      <c r="AC99" s="3" t="s">
        <v>592</v>
      </c>
      <c r="AD99" s="5">
        <f>$F$20</f>
        <v>1</v>
      </c>
      <c r="AE99" s="361" t="s">
        <v>257</v>
      </c>
    </row>
    <row r="100" spans="8:33" ht="17.25" customHeight="1">
      <c r="H100" s="951" t="str">
        <f>CONCATENATE("T = Temps pour que le soleil passe a la meridienne locale: ",P90)</f>
        <v>T = Temps pour que le soleil passe a la meridienne locale: E 01°00.00 (E 01.0000) [E 01°00'00.00]</v>
      </c>
      <c r="I100" s="951"/>
      <c r="J100" s="951"/>
      <c r="K100" s="951"/>
      <c r="L100" s="951"/>
      <c r="M100" s="951"/>
      <c r="N100" s="951"/>
      <c r="O100" s="951"/>
      <c r="P100" s="951"/>
      <c r="Q100" s="951"/>
      <c r="R100" s="951"/>
      <c r="S100" s="951"/>
      <c r="T100" s="951"/>
      <c r="U100" s="951"/>
      <c r="V100" s="952">
        <f>AD105</f>
        <v>-6.6656486364602169E-2</v>
      </c>
      <c r="W100" s="952"/>
      <c r="X100" s="952" t="s">
        <v>257</v>
      </c>
      <c r="AB100" s="289"/>
      <c r="AC100" s="3" t="s">
        <v>593</v>
      </c>
      <c r="AD100" s="5">
        <f>$F$8</f>
        <v>1</v>
      </c>
      <c r="AE100" s="361" t="s">
        <v>257</v>
      </c>
    </row>
    <row r="101" spans="8:33" ht="17.25" customHeight="1">
      <c r="H101" s="951"/>
      <c r="I101" s="951"/>
      <c r="J101" s="951"/>
      <c r="K101" s="951"/>
      <c r="L101" s="951"/>
      <c r="M101" s="951"/>
      <c r="N101" s="951"/>
      <c r="O101" s="951"/>
      <c r="P101" s="951"/>
      <c r="Q101" s="951"/>
      <c r="R101" s="951"/>
      <c r="S101" s="951"/>
      <c r="T101" s="951"/>
      <c r="U101" s="951"/>
      <c r="V101" s="952"/>
      <c r="W101" s="952"/>
      <c r="X101" s="953"/>
      <c r="AB101" s="289"/>
      <c r="AC101" s="3" t="s">
        <v>594</v>
      </c>
      <c r="AD101" s="3">
        <f>(AD100-AD99)*((-1)*V94)</f>
        <v>0</v>
      </c>
      <c r="AE101" s="361" t="s">
        <v>28</v>
      </c>
    </row>
    <row r="102" spans="8:33" ht="17.25" customHeight="1">
      <c r="H102" s="940" t="s">
        <v>269</v>
      </c>
      <c r="I102" s="940"/>
      <c r="J102" s="940"/>
      <c r="K102" s="940"/>
      <c r="L102" s="940"/>
      <c r="M102" s="940"/>
      <c r="N102" s="940"/>
      <c r="O102" s="940"/>
      <c r="P102" s="940"/>
      <c r="Q102" s="940"/>
      <c r="R102" s="940"/>
      <c r="S102" s="940"/>
      <c r="T102" s="940"/>
      <c r="U102" s="940"/>
      <c r="V102" s="941">
        <f>AD105*E81</f>
        <v>-6.6656486364602169E-2</v>
      </c>
      <c r="W102" s="942"/>
      <c r="X102" s="943" t="s">
        <v>104</v>
      </c>
      <c r="AB102" s="289"/>
      <c r="AC102" s="3" t="s">
        <v>597</v>
      </c>
      <c r="AD102" s="3">
        <f>(-1)*V94</f>
        <v>-15.002000000000001</v>
      </c>
      <c r="AE102" s="361" t="s">
        <v>508</v>
      </c>
    </row>
    <row r="103" spans="8:33" ht="17.25" customHeight="1">
      <c r="H103" s="940"/>
      <c r="I103" s="940"/>
      <c r="J103" s="940"/>
      <c r="K103" s="940"/>
      <c r="L103" s="940"/>
      <c r="M103" s="940"/>
      <c r="N103" s="940"/>
      <c r="O103" s="940"/>
      <c r="P103" s="940"/>
      <c r="Q103" s="940"/>
      <c r="R103" s="940"/>
      <c r="S103" s="940"/>
      <c r="T103" s="940"/>
      <c r="U103" s="940"/>
      <c r="V103" s="942"/>
      <c r="W103" s="942"/>
      <c r="X103" s="944"/>
      <c r="AB103" s="289"/>
      <c r="AC103" s="3" t="s">
        <v>595</v>
      </c>
      <c r="AD103" s="5">
        <f>E90</f>
        <v>1</v>
      </c>
      <c r="AE103" s="361" t="s">
        <v>28</v>
      </c>
    </row>
    <row r="104" spans="8:33" ht="17.25" customHeight="1">
      <c r="H104" s="940" t="s">
        <v>470</v>
      </c>
      <c r="I104" s="940"/>
      <c r="J104" s="940"/>
      <c r="K104" s="940"/>
      <c r="L104" s="940"/>
      <c r="M104" s="940"/>
      <c r="N104" s="940"/>
      <c r="O104" s="940"/>
      <c r="P104" s="940"/>
      <c r="Q104" s="940"/>
      <c r="R104" s="940"/>
      <c r="S104" s="940"/>
      <c r="T104" s="940"/>
      <c r="U104" s="940"/>
      <c r="V104" s="941">
        <f>AD105*L85</f>
        <v>-1.9391558238263237E-5</v>
      </c>
      <c r="W104" s="945"/>
      <c r="X104" s="946" t="s">
        <v>28</v>
      </c>
      <c r="AB104" s="289"/>
      <c r="AC104" s="3" t="s">
        <v>596</v>
      </c>
      <c r="AD104" s="3">
        <f>L85</f>
        <v>2.9091779803984831E-4</v>
      </c>
      <c r="AE104" s="361" t="s">
        <v>508</v>
      </c>
    </row>
    <row r="105" spans="8:33" ht="17.25" customHeight="1">
      <c r="H105" s="940"/>
      <c r="I105" s="940"/>
      <c r="J105" s="940"/>
      <c r="K105" s="940"/>
      <c r="L105" s="940"/>
      <c r="M105" s="940"/>
      <c r="N105" s="940"/>
      <c r="O105" s="940"/>
      <c r="P105" s="940"/>
      <c r="Q105" s="940"/>
      <c r="R105" s="940"/>
      <c r="S105" s="940"/>
      <c r="T105" s="940"/>
      <c r="U105" s="940"/>
      <c r="V105" s="942"/>
      <c r="W105" s="945"/>
      <c r="X105" s="947"/>
      <c r="AB105" s="289"/>
      <c r="AC105" s="3" t="s">
        <v>591</v>
      </c>
      <c r="AD105" s="3">
        <f>(AD101-AD103)/(AD104-AD102)</f>
        <v>-6.6656486364602169E-2</v>
      </c>
      <c r="AE105" s="361" t="s">
        <v>257</v>
      </c>
    </row>
    <row r="106" spans="8:33" ht="17.25" customHeight="1">
      <c r="H106" s="940" t="s">
        <v>469</v>
      </c>
      <c r="I106" s="940"/>
      <c r="J106" s="940"/>
      <c r="K106" s="940"/>
      <c r="L106" s="940"/>
      <c r="M106" s="940"/>
      <c r="N106" s="940"/>
      <c r="O106" s="940"/>
      <c r="P106" s="940"/>
      <c r="Q106" s="940"/>
      <c r="R106" s="940"/>
      <c r="S106" s="940"/>
      <c r="T106" s="940"/>
      <c r="U106" s="940"/>
      <c r="V106" s="1023">
        <f>E90+AD105*L85</f>
        <v>0.99998060844176173</v>
      </c>
      <c r="W106" s="1024"/>
      <c r="X106" s="931" t="str">
        <f>longitudeDecimal2Txt(V106)</f>
        <v>E 00°59.99 (E 00.9999) [E 00°59'59.93]</v>
      </c>
      <c r="Y106" s="931"/>
      <c r="Z106" s="931"/>
      <c r="AA106" s="931"/>
      <c r="AB106" s="931"/>
      <c r="AC106" s="931"/>
      <c r="AD106" s="932" t="str" cm="1">
        <f t="array" ref="AD106">CONCATENATE("Memo depart: ", longitudeDecimal2Txt(E90))</f>
        <v>Memo depart: E 01°00.00 (E 01.0000) [E 01°00'00.00]</v>
      </c>
      <c r="AE106" s="933"/>
      <c r="AF106" s="933"/>
      <c r="AG106" s="933"/>
    </row>
    <row r="107" spans="8:33" ht="17.25" customHeight="1">
      <c r="H107" s="940"/>
      <c r="I107" s="940"/>
      <c r="J107" s="940"/>
      <c r="K107" s="940"/>
      <c r="L107" s="940"/>
      <c r="M107" s="940"/>
      <c r="N107" s="940"/>
      <c r="O107" s="940"/>
      <c r="P107" s="940"/>
      <c r="Q107" s="940"/>
      <c r="R107" s="940"/>
      <c r="S107" s="940"/>
      <c r="T107" s="940"/>
      <c r="U107" s="940"/>
      <c r="V107" s="1025"/>
      <c r="W107" s="1026"/>
      <c r="X107" s="931"/>
      <c r="Y107" s="931"/>
      <c r="Z107" s="931"/>
      <c r="AA107" s="931"/>
      <c r="AB107" s="931"/>
      <c r="AC107" s="931"/>
      <c r="AD107" s="932"/>
      <c r="AE107" s="933"/>
      <c r="AF107" s="933"/>
      <c r="AG107" s="933"/>
    </row>
    <row r="108" spans="8:33" ht="17.25" customHeight="1">
      <c r="H108" s="934" t="s">
        <v>266</v>
      </c>
      <c r="I108" s="934"/>
      <c r="J108" s="934"/>
      <c r="K108" s="934"/>
      <c r="L108" s="934"/>
      <c r="M108" s="934"/>
      <c r="N108" s="934"/>
      <c r="O108" s="934"/>
      <c r="P108" s="934"/>
      <c r="Q108" s="934"/>
      <c r="R108" s="934"/>
      <c r="S108" s="934"/>
      <c r="T108" s="934"/>
      <c r="U108" s="934"/>
      <c r="V108" s="935">
        <f>AD100+AD105</f>
        <v>0.9333435136353978</v>
      </c>
      <c r="W108" s="936"/>
      <c r="X108" s="938" t="str">
        <f>heureDecimal2Txt(V108)</f>
        <v>00:56:00.03(00.9333)</v>
      </c>
      <c r="Y108" s="938"/>
      <c r="Z108" s="938"/>
      <c r="AA108" s="938"/>
      <c r="AB108" s="938"/>
      <c r="AC108" s="938"/>
    </row>
    <row r="109" spans="8:33" ht="17.25" customHeight="1">
      <c r="H109" s="934"/>
      <c r="I109" s="934"/>
      <c r="J109" s="934"/>
      <c r="K109" s="934"/>
      <c r="L109" s="934"/>
      <c r="M109" s="934"/>
      <c r="N109" s="934"/>
      <c r="O109" s="934"/>
      <c r="P109" s="934"/>
      <c r="Q109" s="934"/>
      <c r="R109" s="934"/>
      <c r="S109" s="934"/>
      <c r="T109" s="934"/>
      <c r="U109" s="934"/>
      <c r="V109" s="937"/>
      <c r="W109" s="936"/>
      <c r="X109" s="938"/>
      <c r="Y109" s="938"/>
      <c r="Z109" s="938"/>
      <c r="AA109" s="938"/>
      <c r="AB109" s="938"/>
      <c r="AC109" s="938"/>
    </row>
    <row r="110" spans="8:33" ht="17.25" customHeight="1">
      <c r="AB110" s="289"/>
    </row>
    <row r="111" spans="8:33" ht="17.25" customHeight="1"/>
    <row r="112" spans="8:33" ht="17.25" customHeight="1"/>
    <row r="113" ht="17.25" customHeight="1"/>
    <row r="114" ht="17.25" customHeight="1"/>
    <row r="115" ht="17.25" customHeight="1"/>
    <row r="116" ht="17.25" customHeight="1"/>
    <row r="117" ht="17.25" customHeight="1"/>
    <row r="118" ht="17.25" customHeight="1"/>
    <row r="119" ht="17.25" customHeight="1"/>
    <row r="120" ht="17.25" customHeight="1"/>
    <row r="121" ht="17.25" customHeight="1"/>
    <row r="122" ht="17.25" customHeight="1"/>
    <row r="123" ht="17.25" customHeight="1"/>
    <row r="124" ht="17.25" customHeight="1"/>
    <row r="125" ht="17.25" customHeight="1"/>
    <row r="126" ht="17.25" customHeight="1"/>
    <row r="127" ht="17.25" customHeight="1"/>
    <row r="128" ht="17.25" customHeight="1"/>
    <row r="129" ht="17.25" customHeight="1"/>
    <row r="130" ht="17.25" customHeight="1"/>
    <row r="131" ht="17.25" customHeight="1"/>
    <row r="132" ht="17.25" customHeight="1"/>
    <row r="133" ht="17.25" customHeight="1"/>
    <row r="134" ht="17.25" customHeight="1"/>
    <row r="135" ht="17.25" customHeight="1"/>
    <row r="136" ht="17.25" customHeight="1"/>
    <row r="137" ht="17.25" customHeight="1"/>
    <row r="138" ht="17.25" customHeight="1"/>
    <row r="139" ht="17.25" customHeight="1"/>
    <row r="140" ht="17.25" customHeight="1"/>
    <row r="141" ht="17.25" customHeight="1"/>
    <row r="142" ht="17.25" customHeight="1"/>
    <row r="143" ht="17.25" customHeight="1"/>
    <row r="144" ht="17.25" customHeight="1"/>
    <row r="145" ht="17.25" customHeight="1"/>
    <row r="146" ht="17.25" customHeight="1"/>
    <row r="147" ht="17.25" customHeight="1"/>
    <row r="148" ht="17.25" customHeight="1"/>
    <row r="149" ht="17.25" customHeight="1"/>
    <row r="150" ht="17.25" customHeight="1"/>
    <row r="151" ht="17.25" customHeight="1"/>
    <row r="152" ht="17.25" customHeight="1"/>
    <row r="153" ht="17.25" customHeight="1"/>
    <row r="154" ht="17.25" customHeight="1"/>
    <row r="155" ht="17.25" customHeight="1"/>
    <row r="156" ht="17.25" customHeight="1"/>
    <row r="157" ht="17.25" customHeight="1"/>
    <row r="158" ht="17.25" customHeight="1"/>
    <row r="159" ht="17.25" customHeight="1"/>
    <row r="160" ht="17.25" customHeight="1"/>
    <row r="161" ht="17.25" customHeight="1"/>
    <row r="162" ht="17.25" customHeight="1"/>
    <row r="163" ht="17.25" customHeight="1"/>
    <row r="164" ht="17.25" customHeight="1"/>
    <row r="165" ht="17.25" customHeight="1"/>
    <row r="166" ht="17.25" customHeight="1"/>
    <row r="167" ht="17.25" customHeight="1"/>
    <row r="168" ht="17.25" customHeight="1"/>
    <row r="169" ht="17.25" customHeight="1"/>
    <row r="170" ht="17.25" customHeight="1"/>
    <row r="171" ht="17.25" customHeight="1"/>
    <row r="172" ht="17.25" customHeight="1"/>
    <row r="173" ht="17.25" customHeight="1"/>
    <row r="174" ht="17.25" customHeight="1"/>
    <row r="175" ht="17.25" customHeight="1"/>
    <row r="176" ht="17.25" customHeight="1"/>
    <row r="177" ht="17.25" customHeight="1"/>
    <row r="178" ht="17.25" customHeight="1"/>
    <row r="179" ht="17.25" customHeight="1"/>
    <row r="180" ht="17.25" customHeight="1"/>
    <row r="181" ht="17.25" customHeight="1"/>
    <row r="182" ht="17.25" customHeight="1"/>
    <row r="183" ht="17.25" customHeight="1"/>
    <row r="184" ht="17.25" customHeight="1"/>
    <row r="185" ht="17.25" customHeight="1"/>
    <row r="186" ht="17.25" customHeight="1"/>
    <row r="187" ht="17.25" customHeight="1"/>
    <row r="196" ht="17.25" customHeight="1"/>
    <row r="197" ht="17.25" customHeight="1"/>
    <row r="198" ht="17.25" customHeight="1"/>
    <row r="199" ht="17.25" customHeight="1"/>
    <row r="200" ht="17.25" customHeight="1"/>
    <row r="201" ht="17.25" customHeight="1"/>
    <row r="202" ht="17.25" customHeight="1"/>
    <row r="203" ht="17.25" customHeight="1"/>
    <row r="204" ht="17.25" customHeight="1"/>
    <row r="205" ht="17.25" customHeight="1"/>
    <row r="206" ht="17.25" customHeight="1"/>
    <row r="207" ht="17.25" customHeight="1"/>
    <row r="208" ht="17.25" customHeight="1"/>
    <row r="209" ht="17.25" customHeight="1"/>
    <row r="210" ht="17.25" customHeight="1"/>
    <row r="211" ht="17.25" customHeight="1"/>
    <row r="212" ht="17.25" customHeight="1"/>
    <row r="213" ht="17.25" customHeight="1"/>
    <row r="214" ht="17.25" customHeight="1"/>
    <row r="215" ht="17.25" customHeight="1"/>
    <row r="216" ht="17.25" customHeight="1"/>
    <row r="217" ht="17.25" customHeight="1"/>
    <row r="218" ht="17.25" customHeight="1"/>
    <row r="219" ht="17.25" customHeight="1"/>
    <row r="220" ht="17.25" customHeight="1"/>
    <row r="221" ht="17.25" customHeight="1"/>
    <row r="222" ht="17.25" customHeight="1"/>
    <row r="223" ht="17.25" customHeight="1"/>
    <row r="224" ht="17.25" customHeight="1"/>
    <row r="225" ht="17.25" customHeight="1"/>
    <row r="226" ht="17.25" customHeight="1"/>
    <row r="227" ht="17.25" customHeight="1"/>
    <row r="228" ht="17.25" customHeight="1"/>
    <row r="229" ht="17.25" customHeight="1"/>
    <row r="230" ht="17.25" customHeight="1"/>
    <row r="231" ht="17.25" customHeight="1"/>
    <row r="232" ht="17.25" customHeight="1"/>
    <row r="233" ht="17.25" customHeight="1"/>
    <row r="234" ht="17.25" customHeight="1"/>
    <row r="235" ht="17.25" customHeight="1"/>
    <row r="236" ht="17.25" customHeight="1"/>
    <row r="237" ht="17.25" customHeight="1"/>
    <row r="238" ht="17.25" customHeight="1"/>
    <row r="239" ht="17.25" customHeight="1"/>
    <row r="240" ht="17.25" customHeight="1"/>
    <row r="241" ht="17.25" customHeight="1"/>
    <row r="242" ht="17.25" customHeight="1"/>
    <row r="243" ht="17.25" customHeight="1"/>
    <row r="244" ht="17.25" customHeight="1"/>
    <row r="245" ht="17.25" customHeight="1"/>
    <row r="246" ht="17.25" customHeight="1"/>
    <row r="247" ht="17.25" customHeight="1"/>
  </sheetData>
  <sheetProtection sheet="1" objects="1" scenarios="1" formatRows="0" insertRows="0" deleteRows="0"/>
  <mergeCells count="165">
    <mergeCell ref="U3:AC4"/>
    <mergeCell ref="C1:F4"/>
    <mergeCell ref="G1:Y2"/>
    <mergeCell ref="G3:I4"/>
    <mergeCell ref="J3:L4"/>
    <mergeCell ref="N3:P4"/>
    <mergeCell ref="Q3:S4"/>
    <mergeCell ref="X38:Z39"/>
    <mergeCell ref="AA38:AA39"/>
    <mergeCell ref="C39:D39"/>
    <mergeCell ref="E39:G39"/>
    <mergeCell ref="C34:D34"/>
    <mergeCell ref="E34:G34"/>
    <mergeCell ref="C25:E26"/>
    <mergeCell ref="C20:E21"/>
    <mergeCell ref="F20:H21"/>
    <mergeCell ref="T6:V6"/>
    <mergeCell ref="X6:Y6"/>
    <mergeCell ref="C7:E7"/>
    <mergeCell ref="F7:H7"/>
    <mergeCell ref="C8:E9"/>
    <mergeCell ref="F8:H9"/>
    <mergeCell ref="I8:N9"/>
    <mergeCell ref="O8:X9"/>
    <mergeCell ref="I10:I11"/>
    <mergeCell ref="H68:M68"/>
    <mergeCell ref="E69:G69"/>
    <mergeCell ref="H69:M69"/>
    <mergeCell ref="H61:U62"/>
    <mergeCell ref="V61:W62"/>
    <mergeCell ref="X61:AC62"/>
    <mergeCell ref="H55:U56"/>
    <mergeCell ref="V55:W56"/>
    <mergeCell ref="X55:X56"/>
    <mergeCell ref="H57:U58"/>
    <mergeCell ref="H59:U60"/>
    <mergeCell ref="V59:W60"/>
    <mergeCell ref="X59:AC60"/>
    <mergeCell ref="J10:N11"/>
    <mergeCell ref="O10:X11"/>
    <mergeCell ref="C12:E13"/>
    <mergeCell ref="F12:H13"/>
    <mergeCell ref="I12:I13"/>
    <mergeCell ref="J12:N13"/>
    <mergeCell ref="O12:X13"/>
    <mergeCell ref="C16:E17"/>
    <mergeCell ref="F16:H17"/>
    <mergeCell ref="C10:E11"/>
    <mergeCell ref="H106:U107"/>
    <mergeCell ref="V106:W107"/>
    <mergeCell ref="C84:O84"/>
    <mergeCell ref="C85:D85"/>
    <mergeCell ref="E85:G85"/>
    <mergeCell ref="I85:J86"/>
    <mergeCell ref="C80:D80"/>
    <mergeCell ref="E80:G80"/>
    <mergeCell ref="C79:R79"/>
    <mergeCell ref="I80:J80"/>
    <mergeCell ref="K80:L80"/>
    <mergeCell ref="N80:O80"/>
    <mergeCell ref="C89:O89"/>
    <mergeCell ref="C90:D90"/>
    <mergeCell ref="E90:G90"/>
    <mergeCell ref="I90:J90"/>
    <mergeCell ref="K90:N90"/>
    <mergeCell ref="P90:U90"/>
    <mergeCell ref="K85:K86"/>
    <mergeCell ref="L85:N86"/>
    <mergeCell ref="O85:O86"/>
    <mergeCell ref="P85:R86"/>
    <mergeCell ref="U85:W86"/>
    <mergeCell ref="E86:G86"/>
    <mergeCell ref="E76:G76"/>
    <mergeCell ref="H76:M76"/>
    <mergeCell ref="E67:G67"/>
    <mergeCell ref="E68:G68"/>
    <mergeCell ref="I16:N17"/>
    <mergeCell ref="O16:X17"/>
    <mergeCell ref="C18:E19"/>
    <mergeCell ref="F18:H19"/>
    <mergeCell ref="I18:N19"/>
    <mergeCell ref="O18:X19"/>
    <mergeCell ref="B30:AA30"/>
    <mergeCell ref="C32:R32"/>
    <mergeCell ref="C33:D33"/>
    <mergeCell ref="E33:G33"/>
    <mergeCell ref="I33:J33"/>
    <mergeCell ref="I20:N21"/>
    <mergeCell ref="O20:X21"/>
    <mergeCell ref="C23:K24"/>
    <mergeCell ref="F25:H26"/>
    <mergeCell ref="I25:R26"/>
    <mergeCell ref="F27:H28"/>
    <mergeCell ref="C42:O42"/>
    <mergeCell ref="C43:D43"/>
    <mergeCell ref="E43:G43"/>
    <mergeCell ref="F10:H11"/>
    <mergeCell ref="AD59:AG60"/>
    <mergeCell ref="C46:O46"/>
    <mergeCell ref="C47:O49"/>
    <mergeCell ref="Q47:U47"/>
    <mergeCell ref="H53:U54"/>
    <mergeCell ref="V53:W54"/>
    <mergeCell ref="X53:X54"/>
    <mergeCell ref="X85:Z86"/>
    <mergeCell ref="P80:Q80"/>
    <mergeCell ref="C81:D81"/>
    <mergeCell ref="E81:G81"/>
    <mergeCell ref="I81:J81"/>
    <mergeCell ref="K81:L81"/>
    <mergeCell ref="N81:O81"/>
    <mergeCell ref="P81:Q81"/>
    <mergeCell ref="H67:M67"/>
    <mergeCell ref="C74:D74"/>
    <mergeCell ref="E74:G74"/>
    <mergeCell ref="E75:G75"/>
    <mergeCell ref="H75:M75"/>
    <mergeCell ref="V57:W58"/>
    <mergeCell ref="X57:X58"/>
    <mergeCell ref="C86:D86"/>
    <mergeCell ref="K33:L33"/>
    <mergeCell ref="I34:J34"/>
    <mergeCell ref="K34:L34"/>
    <mergeCell ref="N33:O33"/>
    <mergeCell ref="P33:Q33"/>
    <mergeCell ref="P34:Q34"/>
    <mergeCell ref="N34:O34"/>
    <mergeCell ref="C66:D66"/>
    <mergeCell ref="E66:G66"/>
    <mergeCell ref="I43:J43"/>
    <mergeCell ref="K43:N43"/>
    <mergeCell ref="P43:U43"/>
    <mergeCell ref="C37:O37"/>
    <mergeCell ref="C38:D38"/>
    <mergeCell ref="E38:G38"/>
    <mergeCell ref="I38:J39"/>
    <mergeCell ref="K38:K39"/>
    <mergeCell ref="L38:N39"/>
    <mergeCell ref="O38:O39"/>
    <mergeCell ref="P38:R39"/>
    <mergeCell ref="U38:W39"/>
    <mergeCell ref="H77:M77"/>
    <mergeCell ref="X106:AC107"/>
    <mergeCell ref="AD106:AG107"/>
    <mergeCell ref="H108:U109"/>
    <mergeCell ref="V108:W109"/>
    <mergeCell ref="X108:AC109"/>
    <mergeCell ref="C70:D70"/>
    <mergeCell ref="E70:G70"/>
    <mergeCell ref="H70:M70"/>
    <mergeCell ref="C77:D77"/>
    <mergeCell ref="E77:G77"/>
    <mergeCell ref="H102:U103"/>
    <mergeCell ref="V102:W103"/>
    <mergeCell ref="X102:X103"/>
    <mergeCell ref="H104:U105"/>
    <mergeCell ref="V104:W105"/>
    <mergeCell ref="X104:X105"/>
    <mergeCell ref="C93:O93"/>
    <mergeCell ref="C94:O96"/>
    <mergeCell ref="Q94:U94"/>
    <mergeCell ref="H100:U101"/>
    <mergeCell ref="V100:W101"/>
    <mergeCell ref="X100:X101"/>
    <mergeCell ref="AA85:AA86"/>
  </mergeCells>
  <dataValidations count="1">
    <dataValidation type="list" allowBlank="1" showInputMessage="1" showErrorMessage="1" sqref="C25:E26" xr:uid="{426763A8-8073-4DF6-AA6F-C24BDE9A8D7C}">
      <formula1>$AC$26:$AC$27</formula1>
    </dataValidation>
  </dataValidations>
  <pageMargins left="0.45" right="0.7" top="0.5" bottom="0.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6B2237-F330-4AC4-A5CD-F4D3B718494D}">
          <x14:formula1>
            <xm:f>Outils!$C$9:$C$10</xm:f>
          </x14:formula1>
          <xm:sqref>I10:I11</xm:sqref>
        </x14:dataValidation>
        <x14:dataValidation type="list" allowBlank="1" showInputMessage="1" showErrorMessage="1" xr:uid="{999258BD-D941-4CC6-9D0E-12F6887D080A}">
          <x14:formula1>
            <xm:f>Outils!$D$9:$D$10</xm:f>
          </x14:formula1>
          <xm:sqref>I12:I13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6"/>
  <sheetViews>
    <sheetView tabSelected="1" topLeftCell="A219" zoomScaleNormal="100" workbookViewId="0">
      <selection activeCell="P226" sqref="P226"/>
    </sheetView>
  </sheetViews>
  <sheetFormatPr defaultColWidth="6" defaultRowHeight="15"/>
  <cols>
    <col min="1" max="2" width="6" style="361"/>
    <col min="3" max="4" width="7" style="361" customWidth="1"/>
    <col min="5" max="5" width="6" style="361"/>
    <col min="6" max="6" width="8.42578125" style="361" bestFit="1" customWidth="1"/>
    <col min="7" max="8" width="6" style="361"/>
    <col min="9" max="9" width="8.5703125" style="361" bestFit="1" customWidth="1"/>
    <col min="10" max="10" width="6" style="361"/>
    <col min="11" max="11" width="8" style="361" bestFit="1" customWidth="1"/>
    <col min="12" max="13" width="6" style="361"/>
    <col min="14" max="14" width="8.5703125" style="361" bestFit="1" customWidth="1"/>
    <col min="15" max="15" width="6" style="361"/>
    <col min="16" max="19" width="8.28515625" style="361" customWidth="1"/>
    <col min="20" max="20" width="6" style="361"/>
    <col min="21" max="21" width="11.5703125" style="361" bestFit="1" customWidth="1"/>
    <col min="22" max="22" width="6.28515625" style="361" customWidth="1"/>
    <col min="23" max="23" width="7.140625" style="361" bestFit="1" customWidth="1"/>
    <col min="24" max="24" width="6" style="361"/>
    <col min="25" max="25" width="6.28515625" style="361" customWidth="1"/>
    <col min="26" max="26" width="7.140625" style="361" customWidth="1"/>
    <col min="27" max="27" width="8.7109375" style="361" customWidth="1"/>
    <col min="28" max="28" width="1.28515625" style="364" customWidth="1"/>
    <col min="29" max="30" width="16.140625" style="361" customWidth="1"/>
    <col min="31" max="31" width="22.28515625" style="361" customWidth="1"/>
    <col min="32" max="32" width="6" style="361"/>
    <col min="33" max="33" width="9.5703125" style="361" bestFit="1" customWidth="1"/>
    <col min="34" max="16384" width="6" style="361"/>
  </cols>
  <sheetData>
    <row r="1" spans="1:67" s="360" customFormat="1" ht="9" customHeight="1">
      <c r="A1" s="447"/>
      <c r="B1" s="447"/>
      <c r="C1" s="673" t="s">
        <v>132</v>
      </c>
      <c r="D1" s="673"/>
      <c r="E1" s="673"/>
      <c r="F1" s="673"/>
      <c r="G1" s="661" t="s">
        <v>133</v>
      </c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  <c r="U1" s="661"/>
      <c r="V1" s="661"/>
      <c r="W1" s="661"/>
      <c r="X1" s="661"/>
      <c r="Y1" s="661"/>
      <c r="Z1" s="447"/>
      <c r="AA1" s="447"/>
      <c r="AB1" s="299"/>
      <c r="AC1" s="448"/>
      <c r="AD1" s="448"/>
      <c r="AE1" s="448"/>
      <c r="AF1" s="448"/>
      <c r="AG1" s="448"/>
      <c r="AH1" s="448"/>
      <c r="AI1" s="448"/>
      <c r="AJ1" s="448"/>
      <c r="AK1" s="448"/>
      <c r="AL1" s="448"/>
      <c r="AM1" s="448"/>
      <c r="AN1" s="448"/>
      <c r="AO1" s="448"/>
      <c r="AP1" s="448"/>
      <c r="AQ1" s="448"/>
      <c r="AR1" s="448"/>
      <c r="AS1" s="448"/>
      <c r="AT1" s="448"/>
      <c r="AU1" s="448"/>
      <c r="AV1" s="448"/>
      <c r="AW1" s="448"/>
      <c r="AX1" s="448"/>
      <c r="AY1" s="448"/>
      <c r="AZ1" s="448"/>
      <c r="BA1" s="448"/>
      <c r="BB1" s="448"/>
      <c r="BC1" s="448"/>
      <c r="BD1" s="448"/>
      <c r="BE1" s="448"/>
      <c r="BF1" s="448"/>
      <c r="BG1" s="448"/>
      <c r="BH1" s="448"/>
      <c r="BI1" s="448"/>
      <c r="BJ1" s="448"/>
      <c r="BK1" s="448"/>
      <c r="BL1" s="448"/>
      <c r="BM1" s="448"/>
      <c r="BN1" s="449"/>
      <c r="BO1" s="447"/>
    </row>
    <row r="2" spans="1:67" s="360" customFormat="1" ht="9" customHeight="1">
      <c r="A2" s="447"/>
      <c r="B2" s="447"/>
      <c r="C2" s="673"/>
      <c r="D2" s="673"/>
      <c r="E2" s="673"/>
      <c r="F2" s="673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447"/>
      <c r="AA2" s="447"/>
      <c r="AB2" s="299"/>
      <c r="AC2" s="448"/>
      <c r="AD2" s="448"/>
      <c r="AE2" s="448"/>
      <c r="AF2" s="448"/>
      <c r="AG2" s="448"/>
      <c r="AH2" s="448"/>
      <c r="AI2" s="448"/>
      <c r="AJ2" s="448"/>
      <c r="AK2" s="448"/>
      <c r="AL2" s="448"/>
      <c r="AM2" s="448"/>
      <c r="AN2" s="448"/>
      <c r="AO2" s="448"/>
      <c r="AP2" s="448"/>
      <c r="AQ2" s="448"/>
      <c r="AR2" s="448"/>
      <c r="AS2" s="448"/>
      <c r="AT2" s="448"/>
      <c r="AU2" s="448"/>
      <c r="AV2" s="448"/>
      <c r="AW2" s="448"/>
      <c r="AX2" s="448"/>
      <c r="AY2" s="448"/>
      <c r="AZ2" s="448"/>
      <c r="BA2" s="448"/>
      <c r="BB2" s="448"/>
      <c r="BC2" s="448"/>
      <c r="BD2" s="448"/>
      <c r="BE2" s="448"/>
      <c r="BF2" s="448"/>
      <c r="BG2" s="448"/>
      <c r="BH2" s="448"/>
      <c r="BI2" s="448"/>
      <c r="BJ2" s="448"/>
      <c r="BK2" s="448"/>
      <c r="BL2" s="448"/>
      <c r="BM2" s="448"/>
      <c r="BN2" s="449"/>
      <c r="BO2" s="447"/>
    </row>
    <row r="3" spans="1:67" s="360" customFormat="1" ht="24.75" customHeight="1">
      <c r="A3" s="447"/>
      <c r="B3" s="447"/>
      <c r="C3" s="673"/>
      <c r="D3" s="673"/>
      <c r="E3" s="673"/>
      <c r="F3" s="673"/>
      <c r="G3" s="1124" t="s">
        <v>137</v>
      </c>
      <c r="H3" s="1124"/>
      <c r="I3" s="1124"/>
      <c r="J3" s="1242" t="s">
        <v>136</v>
      </c>
      <c r="K3" s="1242"/>
      <c r="L3" s="1242"/>
      <c r="M3" s="447"/>
      <c r="N3" s="1243" t="s">
        <v>226</v>
      </c>
      <c r="O3" s="1243"/>
      <c r="P3" s="1243"/>
      <c r="Q3" s="1243" t="s">
        <v>192</v>
      </c>
      <c r="R3" s="1243"/>
      <c r="S3" s="1243"/>
      <c r="T3" s="447"/>
      <c r="U3" s="922" t="s">
        <v>830</v>
      </c>
      <c r="V3" s="922"/>
      <c r="W3" s="922"/>
      <c r="X3" s="922"/>
      <c r="Y3" s="922"/>
      <c r="Z3" s="922"/>
      <c r="AA3" s="922"/>
      <c r="AB3" s="922"/>
      <c r="AC3" s="922"/>
      <c r="AD3" s="448"/>
      <c r="AE3" s="448"/>
      <c r="AF3" s="448"/>
      <c r="AG3" s="448"/>
      <c r="AH3" s="448"/>
      <c r="AI3" s="448"/>
      <c r="AJ3" s="448"/>
      <c r="AK3" s="448"/>
      <c r="AL3" s="448"/>
      <c r="AM3" s="448"/>
      <c r="AN3" s="448"/>
      <c r="AO3" s="448"/>
      <c r="AP3" s="448"/>
      <c r="AQ3" s="448"/>
      <c r="AR3" s="448"/>
      <c r="AS3" s="448"/>
      <c r="AT3" s="448"/>
      <c r="AU3" s="448"/>
      <c r="AV3" s="448"/>
      <c r="AW3" s="448"/>
      <c r="AX3" s="448"/>
      <c r="AY3" s="448"/>
      <c r="AZ3" s="448"/>
      <c r="BA3" s="448"/>
      <c r="BB3" s="448"/>
      <c r="BC3" s="448"/>
      <c r="BD3" s="448"/>
      <c r="BE3" s="448"/>
      <c r="BF3" s="448"/>
      <c r="BG3" s="448"/>
      <c r="BH3" s="448"/>
      <c r="BI3" s="448"/>
      <c r="BJ3" s="448"/>
      <c r="BK3" s="448"/>
      <c r="BL3" s="448"/>
      <c r="BM3" s="448"/>
      <c r="BN3" s="449"/>
      <c r="BO3" s="447"/>
    </row>
    <row r="4" spans="1:67" s="360" customFormat="1" ht="24.75" customHeight="1">
      <c r="A4" s="447"/>
      <c r="B4" s="447"/>
      <c r="C4" s="673"/>
      <c r="D4" s="673"/>
      <c r="E4" s="673"/>
      <c r="F4" s="673"/>
      <c r="G4" s="1124"/>
      <c r="H4" s="1124"/>
      <c r="I4" s="1124"/>
      <c r="J4" s="1242"/>
      <c r="K4" s="1242"/>
      <c r="L4" s="1242"/>
      <c r="M4" s="447"/>
      <c r="N4" s="1243"/>
      <c r="O4" s="1243"/>
      <c r="P4" s="1243"/>
      <c r="Q4" s="1243"/>
      <c r="R4" s="1243"/>
      <c r="S4" s="1243"/>
      <c r="T4" s="447"/>
      <c r="U4" s="922"/>
      <c r="V4" s="922"/>
      <c r="W4" s="922"/>
      <c r="X4" s="922"/>
      <c r="Y4" s="922"/>
      <c r="Z4" s="922"/>
      <c r="AA4" s="922"/>
      <c r="AB4" s="922"/>
      <c r="AC4" s="922"/>
      <c r="AD4" s="448"/>
      <c r="AE4" s="448"/>
      <c r="AF4" s="448"/>
      <c r="AG4" s="448"/>
      <c r="AH4" s="448"/>
      <c r="AI4" s="448"/>
      <c r="AJ4" s="448"/>
      <c r="AK4" s="448"/>
      <c r="AL4" s="448"/>
      <c r="AM4" s="448"/>
      <c r="AN4" s="448"/>
      <c r="AO4" s="448"/>
      <c r="AP4" s="448"/>
      <c r="AQ4" s="448"/>
      <c r="AR4" s="448"/>
      <c r="AS4" s="448"/>
      <c r="AT4" s="448"/>
      <c r="AU4" s="448"/>
      <c r="AV4" s="448"/>
      <c r="AW4" s="448"/>
      <c r="AX4" s="448"/>
      <c r="AY4" s="448"/>
      <c r="AZ4" s="448"/>
      <c r="BA4" s="448"/>
      <c r="BB4" s="448"/>
      <c r="BC4" s="448"/>
      <c r="BD4" s="448"/>
      <c r="BE4" s="448"/>
      <c r="BF4" s="448"/>
      <c r="BG4" s="448"/>
      <c r="BH4" s="448"/>
      <c r="BI4" s="448"/>
      <c r="BJ4" s="448"/>
      <c r="BK4" s="448"/>
      <c r="BL4" s="448"/>
      <c r="BM4" s="448"/>
      <c r="BN4" s="449"/>
      <c r="BO4" s="447"/>
    </row>
    <row r="5" spans="1:67" s="360" customFormat="1" ht="17.25" customHeight="1">
      <c r="A5" s="447"/>
      <c r="B5" s="447"/>
      <c r="C5" s="450"/>
      <c r="D5" s="450"/>
      <c r="E5" s="450"/>
      <c r="F5" s="450"/>
      <c r="G5" s="450"/>
      <c r="H5" s="447"/>
      <c r="I5" s="447"/>
      <c r="J5" s="447"/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299"/>
      <c r="AC5" s="448"/>
      <c r="AD5" s="448"/>
      <c r="AE5" s="448"/>
      <c r="AF5" s="448"/>
      <c r="AG5" s="448"/>
      <c r="AH5" s="448"/>
      <c r="AI5" s="448"/>
      <c r="AJ5" s="448"/>
      <c r="AK5" s="448"/>
      <c r="AL5" s="448"/>
      <c r="AM5" s="448"/>
      <c r="AN5" s="448"/>
      <c r="AO5" s="448"/>
      <c r="AP5" s="448"/>
      <c r="AQ5" s="448"/>
      <c r="AR5" s="448"/>
      <c r="AS5" s="448"/>
      <c r="AT5" s="448"/>
      <c r="AU5" s="448"/>
      <c r="AV5" s="448"/>
      <c r="AW5" s="448"/>
      <c r="AX5" s="448"/>
      <c r="AY5" s="448"/>
      <c r="AZ5" s="448"/>
      <c r="BA5" s="448"/>
      <c r="BB5" s="448"/>
      <c r="BC5" s="448"/>
      <c r="BD5" s="448"/>
      <c r="BE5" s="448"/>
      <c r="BF5" s="448"/>
      <c r="BG5" s="448"/>
      <c r="BH5" s="448"/>
      <c r="BI5" s="448"/>
      <c r="BJ5" s="448"/>
      <c r="BK5" s="448"/>
      <c r="BL5" s="448"/>
      <c r="BM5" s="448"/>
      <c r="BN5" s="449"/>
      <c r="BO5" s="447"/>
    </row>
    <row r="6" spans="1:67" ht="15.75" thickBot="1">
      <c r="A6" s="448"/>
      <c r="B6" s="448"/>
      <c r="C6" s="448"/>
      <c r="D6" s="448"/>
      <c r="E6" s="448"/>
      <c r="F6" s="448"/>
      <c r="G6" s="448"/>
      <c r="H6" s="448"/>
      <c r="I6" s="448"/>
      <c r="J6" s="448"/>
      <c r="K6" s="448"/>
      <c r="L6" s="448"/>
      <c r="M6" s="448"/>
      <c r="N6" s="448"/>
      <c r="O6" s="448"/>
      <c r="P6" s="448"/>
      <c r="Q6" s="448"/>
      <c r="R6" s="448"/>
      <c r="S6" s="448"/>
      <c r="T6" s="448"/>
      <c r="U6" s="448"/>
      <c r="V6" s="448"/>
      <c r="W6" s="448"/>
      <c r="X6" s="448"/>
      <c r="Y6" s="448"/>
      <c r="Z6" s="448"/>
      <c r="AA6" s="448"/>
      <c r="AC6" s="448"/>
      <c r="AD6" s="448"/>
      <c r="AE6" s="448"/>
      <c r="AF6" s="448"/>
      <c r="AG6" s="448"/>
      <c r="AH6" s="448"/>
      <c r="AI6" s="448"/>
      <c r="AJ6" s="448"/>
      <c r="AK6" s="448"/>
      <c r="AL6" s="448"/>
      <c r="AM6" s="448"/>
      <c r="AN6" s="448"/>
      <c r="AO6" s="448"/>
      <c r="AP6" s="448"/>
      <c r="AQ6" s="448"/>
      <c r="AR6" s="448"/>
      <c r="AS6" s="448"/>
      <c r="AT6" s="448"/>
      <c r="AU6" s="448"/>
      <c r="AV6" s="448"/>
      <c r="AW6" s="448"/>
      <c r="AX6" s="448"/>
      <c r="AY6" s="448"/>
      <c r="AZ6" s="448"/>
      <c r="BA6" s="448"/>
      <c r="BB6" s="448"/>
      <c r="BC6" s="448"/>
      <c r="BD6" s="448"/>
      <c r="BE6" s="448"/>
      <c r="BF6" s="448"/>
      <c r="BG6" s="448"/>
      <c r="BH6" s="448"/>
      <c r="BI6" s="448"/>
      <c r="BJ6" s="448"/>
      <c r="BK6" s="448"/>
      <c r="BL6" s="448"/>
      <c r="BM6" s="448"/>
      <c r="BN6" s="448"/>
      <c r="BO6" s="448"/>
    </row>
    <row r="7" spans="1:67" s="360" customFormat="1" ht="17.25" customHeight="1" thickBot="1">
      <c r="A7" s="447"/>
      <c r="B7" s="486" t="s">
        <v>258</v>
      </c>
      <c r="C7" s="487"/>
      <c r="D7" s="487"/>
      <c r="E7" s="487"/>
      <c r="F7" s="487"/>
      <c r="G7" s="487"/>
      <c r="H7" s="487"/>
      <c r="I7" s="487"/>
      <c r="J7" s="487"/>
      <c r="K7" s="487"/>
      <c r="L7" s="56" t="str">
        <f>dateDecimale2txt(dateConvert2Decimal(F8),0)</f>
        <v>2025/06/30</v>
      </c>
      <c r="M7" s="491"/>
      <c r="N7" s="489" t="s">
        <v>315</v>
      </c>
      <c r="O7" s="489"/>
      <c r="P7" s="489"/>
      <c r="Q7" s="489"/>
      <c r="R7" s="489"/>
      <c r="S7" s="489" t="s">
        <v>316</v>
      </c>
      <c r="T7" s="1244">
        <f>dateConvert2Decimal(F8)</f>
        <v>1751241600</v>
      </c>
      <c r="U7" s="1244"/>
      <c r="V7" s="1244"/>
      <c r="W7" s="489" t="s">
        <v>317</v>
      </c>
      <c r="X7" s="1245">
        <f>(T7/86400)+DATE(1970,1,1)</f>
        <v>45838</v>
      </c>
      <c r="Y7" s="1245"/>
      <c r="Z7" s="489" t="s">
        <v>318</v>
      </c>
      <c r="AA7" s="492">
        <f>INT(MONTH(X7))</f>
        <v>6</v>
      </c>
      <c r="AB7" s="300"/>
      <c r="AC7" s="448"/>
      <c r="AD7" s="448"/>
      <c r="AE7" s="448"/>
      <c r="AF7" s="448"/>
      <c r="AG7" s="448"/>
      <c r="AH7" s="448"/>
      <c r="AI7" s="448"/>
      <c r="AJ7" s="448"/>
      <c r="AK7" s="448"/>
      <c r="AL7" s="448"/>
      <c r="AM7" s="448"/>
      <c r="AN7" s="448"/>
      <c r="AO7" s="448"/>
      <c r="AP7" s="448"/>
      <c r="AQ7" s="448"/>
      <c r="AR7" s="448"/>
      <c r="AS7" s="448"/>
      <c r="AT7" s="448"/>
      <c r="AU7" s="448"/>
      <c r="AV7" s="448"/>
      <c r="AW7" s="448"/>
      <c r="AX7" s="448"/>
      <c r="AY7" s="448"/>
      <c r="AZ7" s="448"/>
      <c r="BA7" s="448"/>
      <c r="BB7" s="448"/>
      <c r="BC7" s="448"/>
      <c r="BD7" s="448"/>
      <c r="BE7" s="448"/>
      <c r="BF7" s="448"/>
      <c r="BG7" s="448"/>
      <c r="BH7" s="448"/>
      <c r="BI7" s="448"/>
      <c r="BJ7" s="448"/>
      <c r="BK7" s="448"/>
      <c r="BL7" s="448"/>
      <c r="BM7" s="448"/>
      <c r="BN7" s="449"/>
      <c r="BO7" s="447"/>
    </row>
    <row r="8" spans="1:67" s="360" customFormat="1" ht="17.25" customHeight="1" thickBot="1">
      <c r="A8" s="447"/>
      <c r="B8" s="447"/>
      <c r="C8" s="1246" t="s">
        <v>1</v>
      </c>
      <c r="D8" s="1247"/>
      <c r="E8" s="1247"/>
      <c r="F8" s="650" t="s">
        <v>227</v>
      </c>
      <c r="G8" s="651"/>
      <c r="H8" s="651"/>
      <c r="I8" s="447"/>
      <c r="J8" s="447"/>
      <c r="K8" s="447"/>
      <c r="L8" s="448"/>
      <c r="M8" s="448"/>
      <c r="N8" s="448"/>
      <c r="O8" s="448"/>
      <c r="P8" s="447"/>
      <c r="Q8" s="447"/>
      <c r="R8" s="447"/>
      <c r="S8" s="447"/>
      <c r="T8" s="447"/>
      <c r="U8" s="447"/>
      <c r="V8" s="447"/>
      <c r="W8" s="447"/>
      <c r="X8" s="447"/>
      <c r="Y8" s="447"/>
      <c r="Z8" s="447"/>
      <c r="AA8" s="447"/>
      <c r="AB8" s="301"/>
      <c r="AC8" s="448"/>
      <c r="AD8" s="448"/>
      <c r="AE8" s="448"/>
      <c r="AF8" s="448"/>
      <c r="AG8" s="448"/>
      <c r="AH8" s="448"/>
      <c r="AI8" s="448"/>
      <c r="AJ8" s="448"/>
      <c r="AK8" s="448"/>
      <c r="AL8" s="448"/>
      <c r="AM8" s="448"/>
      <c r="AN8" s="448"/>
      <c r="AO8" s="448"/>
      <c r="AP8" s="448"/>
      <c r="AQ8" s="448"/>
      <c r="AR8" s="448"/>
      <c r="AS8" s="448"/>
      <c r="AT8" s="448"/>
      <c r="AU8" s="448"/>
      <c r="AV8" s="448"/>
      <c r="AW8" s="448"/>
      <c r="AX8" s="448"/>
      <c r="AY8" s="448"/>
      <c r="AZ8" s="448"/>
      <c r="BA8" s="448"/>
      <c r="BB8" s="448"/>
      <c r="BC8" s="448"/>
      <c r="BD8" s="448"/>
      <c r="BE8" s="448"/>
      <c r="BF8" s="448"/>
      <c r="BG8" s="448"/>
      <c r="BH8" s="448"/>
      <c r="BI8" s="448"/>
      <c r="BJ8" s="448"/>
      <c r="BK8" s="448"/>
      <c r="BL8" s="448"/>
      <c r="BM8" s="448"/>
      <c r="BN8" s="449"/>
      <c r="BO8" s="447"/>
    </row>
    <row r="9" spans="1:67" s="360" customFormat="1" ht="12" customHeight="1" thickTop="1" thickBot="1">
      <c r="A9" s="447"/>
      <c r="B9" s="447"/>
      <c r="C9" s="1233" t="s">
        <v>250</v>
      </c>
      <c r="D9" s="1234"/>
      <c r="E9" s="1235"/>
      <c r="F9" s="1124">
        <f>heureConvert2Decimal(I9)</f>
        <v>10.343055555555557</v>
      </c>
      <c r="G9" s="952"/>
      <c r="H9" s="952"/>
      <c r="I9" s="604" t="s">
        <v>496</v>
      </c>
      <c r="J9" s="575"/>
      <c r="K9" s="575"/>
      <c r="L9" s="575"/>
      <c r="M9" s="575"/>
      <c r="N9" s="575"/>
      <c r="O9" s="590" t="str">
        <f>heureDecimal2Txt(F9)</f>
        <v>10:20:35.00(10.3430)</v>
      </c>
      <c r="P9" s="590"/>
      <c r="Q9" s="590"/>
      <c r="R9" s="590"/>
      <c r="S9" s="590"/>
      <c r="T9" s="590"/>
      <c r="U9" s="590"/>
      <c r="V9" s="590"/>
      <c r="W9" s="590"/>
      <c r="X9" s="590"/>
      <c r="Y9" s="451"/>
      <c r="Z9" s="451"/>
      <c r="AA9" s="447"/>
      <c r="AB9" s="299"/>
      <c r="AC9" s="447"/>
      <c r="AD9" s="447"/>
      <c r="AE9" s="448"/>
      <c r="AF9" s="448"/>
      <c r="AG9" s="448"/>
      <c r="AH9" s="448"/>
      <c r="AI9" s="448"/>
      <c r="AJ9" s="448"/>
      <c r="AK9" s="448"/>
      <c r="AL9" s="448"/>
      <c r="AM9" s="448"/>
      <c r="AN9" s="448"/>
      <c r="AO9" s="448"/>
      <c r="AP9" s="448"/>
      <c r="AQ9" s="448"/>
      <c r="AR9" s="448"/>
      <c r="AS9" s="448"/>
      <c r="AT9" s="448"/>
      <c r="AU9" s="448"/>
      <c r="AV9" s="448"/>
      <c r="AW9" s="448"/>
      <c r="AX9" s="448"/>
      <c r="AY9" s="448"/>
      <c r="AZ9" s="448"/>
      <c r="BA9" s="448"/>
      <c r="BB9" s="448"/>
      <c r="BC9" s="448"/>
      <c r="BD9" s="448"/>
      <c r="BE9" s="448"/>
      <c r="BF9" s="448"/>
      <c r="BG9" s="448"/>
      <c r="BH9" s="448"/>
      <c r="BI9" s="448"/>
      <c r="BJ9" s="448"/>
      <c r="BK9" s="448"/>
      <c r="BL9" s="448"/>
      <c r="BM9" s="448"/>
      <c r="BN9" s="449"/>
      <c r="BO9" s="447"/>
    </row>
    <row r="10" spans="1:67" s="360" customFormat="1" ht="12" customHeight="1" thickTop="1" thickBot="1">
      <c r="A10" s="447"/>
      <c r="B10" s="447"/>
      <c r="C10" s="1236"/>
      <c r="D10" s="1237"/>
      <c r="E10" s="1238"/>
      <c r="F10" s="952"/>
      <c r="G10" s="952"/>
      <c r="H10" s="952"/>
      <c r="I10" s="575"/>
      <c r="J10" s="575"/>
      <c r="K10" s="575"/>
      <c r="L10" s="575"/>
      <c r="M10" s="575"/>
      <c r="N10" s="575"/>
      <c r="O10" s="590"/>
      <c r="P10" s="590"/>
      <c r="Q10" s="590"/>
      <c r="R10" s="590"/>
      <c r="S10" s="590"/>
      <c r="T10" s="590"/>
      <c r="U10" s="590"/>
      <c r="V10" s="590"/>
      <c r="W10" s="590"/>
      <c r="X10" s="590"/>
      <c r="Y10" s="451"/>
      <c r="Z10" s="451"/>
      <c r="AA10" s="447"/>
      <c r="AB10" s="299"/>
      <c r="AC10" s="447"/>
      <c r="AD10" s="447"/>
      <c r="AE10" s="448"/>
      <c r="AF10" s="448"/>
      <c r="AG10" s="448"/>
      <c r="AH10" s="448"/>
      <c r="AI10" s="448"/>
      <c r="AJ10" s="448"/>
      <c r="AK10" s="448"/>
      <c r="AL10" s="448"/>
      <c r="AM10" s="448"/>
      <c r="AN10" s="448"/>
      <c r="AO10" s="448"/>
      <c r="AP10" s="448"/>
      <c r="AQ10" s="448"/>
      <c r="AR10" s="448"/>
      <c r="AS10" s="448"/>
      <c r="AT10" s="448"/>
      <c r="AU10" s="448"/>
      <c r="AV10" s="448"/>
      <c r="AW10" s="448"/>
      <c r="AX10" s="448"/>
      <c r="AY10" s="448"/>
      <c r="AZ10" s="448"/>
      <c r="BA10" s="448"/>
      <c r="BB10" s="448"/>
      <c r="BC10" s="448"/>
      <c r="BD10" s="448"/>
      <c r="BE10" s="448"/>
      <c r="BF10" s="448"/>
      <c r="BG10" s="448"/>
      <c r="BH10" s="448"/>
      <c r="BI10" s="448"/>
      <c r="BJ10" s="448"/>
      <c r="BK10" s="448"/>
      <c r="BL10" s="448"/>
      <c r="BM10" s="448"/>
      <c r="BN10" s="449"/>
      <c r="BO10" s="447"/>
    </row>
    <row r="11" spans="1:67" s="360" customFormat="1" ht="12" customHeight="1" thickTop="1" thickBot="1">
      <c r="A11" s="448"/>
      <c r="B11" s="448"/>
      <c r="C11" s="1227" t="s">
        <v>7</v>
      </c>
      <c r="D11" s="1228"/>
      <c r="E11" s="1229"/>
      <c r="F11" s="1124">
        <f>AD12</f>
        <v>46.1</v>
      </c>
      <c r="G11" s="952"/>
      <c r="H11" s="952"/>
      <c r="I11" s="575" t="s">
        <v>3</v>
      </c>
      <c r="J11" s="604" t="s">
        <v>927</v>
      </c>
      <c r="K11" s="575"/>
      <c r="L11" s="575"/>
      <c r="M11" s="575"/>
      <c r="N11" s="575"/>
      <c r="O11" s="590" t="str" cm="1">
        <f t="array" ref="O11">latitudeDecimal2Txt(F11)</f>
        <v>N 46°06.00 (N 46.1000) [N 46°06'00.00]</v>
      </c>
      <c r="P11" s="590"/>
      <c r="Q11" s="590"/>
      <c r="R11" s="590"/>
      <c r="S11" s="590"/>
      <c r="T11" s="590"/>
      <c r="U11" s="590"/>
      <c r="V11" s="590"/>
      <c r="W11" s="590"/>
      <c r="X11" s="590"/>
      <c r="Y11" s="447"/>
      <c r="Z11" s="447"/>
      <c r="AA11" s="447"/>
      <c r="AB11" s="371"/>
      <c r="AC11" s="452" t="s">
        <v>168</v>
      </c>
      <c r="AD11" s="453">
        <f>VLOOKUP(I11,Outils!$C$9:$E$10,3)</f>
        <v>1</v>
      </c>
      <c r="AE11" s="448"/>
      <c r="AF11" s="448"/>
      <c r="AG11" s="448"/>
      <c r="AH11" s="448"/>
      <c r="AI11" s="448"/>
      <c r="AJ11" s="448"/>
      <c r="AK11" s="448"/>
      <c r="AL11" s="448"/>
      <c r="AM11" s="448"/>
      <c r="AN11" s="448"/>
      <c r="AO11" s="448"/>
      <c r="AP11" s="448"/>
      <c r="AQ11" s="448"/>
      <c r="AR11" s="448"/>
      <c r="AS11" s="448"/>
      <c r="AT11" s="448"/>
      <c r="AU11" s="448"/>
      <c r="AV11" s="448"/>
      <c r="AW11" s="448"/>
      <c r="AX11" s="448"/>
      <c r="AY11" s="448"/>
      <c r="AZ11" s="448"/>
      <c r="BA11" s="448"/>
      <c r="BB11" s="448"/>
      <c r="BC11" s="448"/>
      <c r="BD11" s="448"/>
      <c r="BE11" s="448"/>
      <c r="BF11" s="448"/>
      <c r="BG11" s="448"/>
      <c r="BH11" s="448"/>
      <c r="BI11" s="448"/>
      <c r="BJ11" s="448"/>
      <c r="BK11" s="448"/>
      <c r="BL11" s="448"/>
      <c r="BM11" s="448"/>
      <c r="BN11" s="454"/>
      <c r="BO11" s="447"/>
    </row>
    <row r="12" spans="1:67" s="360" customFormat="1" ht="12" customHeight="1" thickTop="1" thickBot="1">
      <c r="A12" s="447"/>
      <c r="B12" s="447"/>
      <c r="C12" s="1230"/>
      <c r="D12" s="1231"/>
      <c r="E12" s="1232"/>
      <c r="F12" s="952"/>
      <c r="G12" s="952"/>
      <c r="H12" s="952"/>
      <c r="I12" s="575"/>
      <c r="J12" s="575"/>
      <c r="K12" s="575"/>
      <c r="L12" s="575"/>
      <c r="M12" s="575"/>
      <c r="N12" s="575"/>
      <c r="O12" s="590"/>
      <c r="P12" s="590"/>
      <c r="Q12" s="590"/>
      <c r="R12" s="590"/>
      <c r="S12" s="590"/>
      <c r="T12" s="590"/>
      <c r="U12" s="590"/>
      <c r="V12" s="590"/>
      <c r="W12" s="590"/>
      <c r="X12" s="590"/>
      <c r="Y12" s="447"/>
      <c r="Z12" s="447"/>
      <c r="AA12" s="447"/>
      <c r="AB12" s="371"/>
      <c r="AC12" s="452" t="s">
        <v>169</v>
      </c>
      <c r="AD12" s="453" cm="1">
        <f t="array" ref="AD12">angleConvert2Decimal(J11)*AD11</f>
        <v>46.1</v>
      </c>
      <c r="AE12" s="448"/>
      <c r="AF12" s="448"/>
      <c r="AG12" s="448"/>
      <c r="AH12" s="448"/>
      <c r="AI12" s="448"/>
      <c r="AJ12" s="448"/>
      <c r="AK12" s="448"/>
      <c r="AL12" s="448"/>
      <c r="AM12" s="448"/>
      <c r="AN12" s="448"/>
      <c r="AO12" s="448"/>
      <c r="AP12" s="448"/>
      <c r="AQ12" s="448"/>
      <c r="AR12" s="448"/>
      <c r="AS12" s="448"/>
      <c r="AT12" s="448"/>
      <c r="AU12" s="448"/>
      <c r="AV12" s="448"/>
      <c r="AW12" s="448"/>
      <c r="AX12" s="448"/>
      <c r="AY12" s="448"/>
      <c r="AZ12" s="448"/>
      <c r="BA12" s="448"/>
      <c r="BB12" s="448"/>
      <c r="BC12" s="448"/>
      <c r="BD12" s="448"/>
      <c r="BE12" s="448"/>
      <c r="BF12" s="448"/>
      <c r="BG12" s="448"/>
      <c r="BH12" s="448"/>
      <c r="BI12" s="448"/>
      <c r="BJ12" s="448"/>
      <c r="BK12" s="448"/>
      <c r="BL12" s="448"/>
      <c r="BM12" s="448"/>
      <c r="BN12" s="454"/>
      <c r="BO12" s="447"/>
    </row>
    <row r="13" spans="1:67" s="360" customFormat="1" ht="12" customHeight="1" thickTop="1" thickBot="1">
      <c r="A13" s="447"/>
      <c r="B13" s="447"/>
      <c r="C13" s="1233" t="s">
        <v>8</v>
      </c>
      <c r="D13" s="1234"/>
      <c r="E13" s="1235"/>
      <c r="F13" s="1124">
        <f>AD14</f>
        <v>-7.083333333333333</v>
      </c>
      <c r="G13" s="952"/>
      <c r="H13" s="952"/>
      <c r="I13" s="575" t="s">
        <v>6</v>
      </c>
      <c r="J13" s="604" t="s">
        <v>926</v>
      </c>
      <c r="K13" s="575"/>
      <c r="L13" s="575"/>
      <c r="M13" s="575"/>
      <c r="N13" s="575"/>
      <c r="O13" s="590" t="str" cm="1">
        <f t="array" ref="O13">longitudeDecimal2Txt(F13)</f>
        <v>W 07°05.00 (W 07.0833) [W 07°05'00.00]</v>
      </c>
      <c r="P13" s="590"/>
      <c r="Q13" s="590"/>
      <c r="R13" s="590"/>
      <c r="S13" s="590"/>
      <c r="T13" s="590"/>
      <c r="U13" s="590"/>
      <c r="V13" s="590"/>
      <c r="W13" s="590"/>
      <c r="X13" s="590"/>
      <c r="Y13" s="447"/>
      <c r="Z13" s="447"/>
      <c r="AA13" s="447"/>
      <c r="AB13" s="299"/>
      <c r="AC13" s="452" t="s">
        <v>170</v>
      </c>
      <c r="AD13" s="453">
        <f>VLOOKUP(I13,Outils!$D$9:$E$10,2)</f>
        <v>-1</v>
      </c>
      <c r="AE13" s="448"/>
      <c r="AF13" s="448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  <c r="AQ13" s="448"/>
      <c r="AR13" s="448"/>
      <c r="AS13" s="448"/>
      <c r="AT13" s="448"/>
      <c r="AU13" s="448"/>
      <c r="AV13" s="448"/>
      <c r="AW13" s="448"/>
      <c r="AX13" s="448"/>
      <c r="AY13" s="448"/>
      <c r="AZ13" s="448"/>
      <c r="BA13" s="448"/>
      <c r="BB13" s="448"/>
      <c r="BC13" s="448"/>
      <c r="BD13" s="448"/>
      <c r="BE13" s="448"/>
      <c r="BF13" s="448"/>
      <c r="BG13" s="448"/>
      <c r="BH13" s="448"/>
      <c r="BI13" s="448"/>
      <c r="BJ13" s="448"/>
      <c r="BK13" s="448"/>
      <c r="BL13" s="448"/>
      <c r="BM13" s="448"/>
      <c r="BN13" s="454"/>
      <c r="BO13" s="447"/>
    </row>
    <row r="14" spans="1:67" s="360" customFormat="1" ht="12" customHeight="1" thickTop="1" thickBot="1">
      <c r="A14" s="448"/>
      <c r="B14" s="448"/>
      <c r="C14" s="1236"/>
      <c r="D14" s="1237"/>
      <c r="E14" s="1238"/>
      <c r="F14" s="952"/>
      <c r="G14" s="952"/>
      <c r="H14" s="952"/>
      <c r="I14" s="575"/>
      <c r="J14" s="575"/>
      <c r="K14" s="575"/>
      <c r="L14" s="575"/>
      <c r="M14" s="575"/>
      <c r="N14" s="575"/>
      <c r="O14" s="590"/>
      <c r="P14" s="590"/>
      <c r="Q14" s="590"/>
      <c r="R14" s="590"/>
      <c r="S14" s="590"/>
      <c r="T14" s="590"/>
      <c r="U14" s="590"/>
      <c r="V14" s="590"/>
      <c r="W14" s="590"/>
      <c r="X14" s="590"/>
      <c r="Y14" s="447"/>
      <c r="Z14" s="447"/>
      <c r="AA14" s="447"/>
      <c r="AB14" s="299"/>
      <c r="AC14" s="452" t="s">
        <v>171</v>
      </c>
      <c r="AD14" s="453" cm="1">
        <f t="array" ref="AD14">angleConvert2Decimal(J13)*AD13</f>
        <v>-7.083333333333333</v>
      </c>
      <c r="AE14" s="448"/>
      <c r="AF14" s="448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  <c r="AQ14" s="448"/>
      <c r="AR14" s="448"/>
      <c r="AS14" s="448"/>
      <c r="AT14" s="448"/>
      <c r="AU14" s="448"/>
      <c r="AV14" s="448"/>
      <c r="AW14" s="448"/>
      <c r="AX14" s="448"/>
      <c r="AY14" s="448"/>
      <c r="AZ14" s="448"/>
      <c r="BA14" s="448"/>
      <c r="BB14" s="448"/>
      <c r="BC14" s="448"/>
      <c r="BD14" s="448"/>
      <c r="BE14" s="448"/>
      <c r="BF14" s="448"/>
      <c r="BG14" s="448"/>
      <c r="BH14" s="448"/>
      <c r="BI14" s="448"/>
      <c r="BJ14" s="448"/>
      <c r="BK14" s="448"/>
      <c r="BL14" s="448"/>
      <c r="BM14" s="448"/>
      <c r="BN14" s="454"/>
      <c r="BO14" s="447"/>
    </row>
    <row r="15" spans="1:67" s="360" customFormat="1" ht="12" customHeight="1" thickTop="1" thickBot="1">
      <c r="A15" s="447"/>
      <c r="B15" s="447"/>
      <c r="C15" s="451"/>
      <c r="D15" s="451"/>
      <c r="E15" s="447"/>
      <c r="F15" s="447"/>
      <c r="G15" s="447"/>
      <c r="H15" s="447"/>
      <c r="I15" s="451"/>
      <c r="J15" s="451"/>
      <c r="K15" s="451"/>
      <c r="L15" s="451"/>
      <c r="M15" s="451"/>
      <c r="N15" s="451"/>
      <c r="O15" s="451"/>
      <c r="P15" s="451"/>
      <c r="Q15" s="451"/>
      <c r="R15" s="451"/>
      <c r="S15" s="451"/>
      <c r="T15" s="451"/>
      <c r="U15" s="451"/>
      <c r="V15" s="451"/>
      <c r="W15" s="447"/>
      <c r="X15" s="447"/>
      <c r="Y15" s="447"/>
      <c r="Z15" s="447"/>
      <c r="AA15" s="447"/>
      <c r="AB15" s="299"/>
      <c r="AC15" s="447"/>
      <c r="AD15" s="447"/>
      <c r="AE15" s="448"/>
      <c r="AF15" s="448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  <c r="AQ15" s="448"/>
      <c r="AR15" s="448"/>
      <c r="AS15" s="448"/>
      <c r="AT15" s="448"/>
      <c r="AU15" s="448"/>
      <c r="AV15" s="448"/>
      <c r="AW15" s="448"/>
      <c r="AX15" s="448"/>
      <c r="AY15" s="448"/>
      <c r="AZ15" s="448"/>
      <c r="BA15" s="448"/>
      <c r="BB15" s="448"/>
      <c r="BC15" s="448"/>
      <c r="BD15" s="448"/>
      <c r="BE15" s="448"/>
      <c r="BF15" s="448"/>
      <c r="BG15" s="448"/>
      <c r="BH15" s="448"/>
      <c r="BI15" s="448"/>
      <c r="BJ15" s="448"/>
      <c r="BK15" s="448"/>
      <c r="BL15" s="448"/>
      <c r="BM15" s="448"/>
      <c r="BN15" s="454"/>
      <c r="BO15" s="447"/>
    </row>
    <row r="16" spans="1:67" s="360" customFormat="1" ht="17.25" customHeight="1" thickBot="1">
      <c r="A16" s="447"/>
      <c r="B16" s="488" t="s">
        <v>259</v>
      </c>
      <c r="C16" s="489"/>
      <c r="D16" s="489"/>
      <c r="E16" s="489"/>
      <c r="F16" s="489"/>
      <c r="G16" s="489"/>
      <c r="H16" s="489"/>
      <c r="I16" s="489"/>
      <c r="J16" s="489"/>
      <c r="K16" s="489"/>
      <c r="L16" s="489"/>
      <c r="M16" s="489"/>
      <c r="N16" s="489"/>
      <c r="O16" s="489"/>
      <c r="P16" s="489"/>
      <c r="Q16" s="489"/>
      <c r="R16" s="489"/>
      <c r="S16" s="489"/>
      <c r="T16" s="489"/>
      <c r="U16" s="489"/>
      <c r="V16" s="489"/>
      <c r="W16" s="489"/>
      <c r="X16" s="489"/>
      <c r="Y16" s="489"/>
      <c r="Z16" s="489"/>
      <c r="AA16" s="490"/>
      <c r="AB16" s="300"/>
      <c r="AC16" s="448"/>
      <c r="AD16" s="448"/>
      <c r="AE16" s="448"/>
      <c r="AF16" s="448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  <c r="AQ16" s="448"/>
      <c r="AR16" s="448"/>
      <c r="AS16" s="448"/>
      <c r="AT16" s="448"/>
      <c r="AU16" s="448"/>
      <c r="AV16" s="448"/>
      <c r="AW16" s="448"/>
      <c r="AX16" s="448"/>
      <c r="AY16" s="448"/>
      <c r="AZ16" s="448"/>
      <c r="BA16" s="448"/>
      <c r="BB16" s="448"/>
      <c r="BC16" s="448"/>
      <c r="BD16" s="448"/>
      <c r="BE16" s="448"/>
      <c r="BF16" s="448"/>
      <c r="BG16" s="448"/>
      <c r="BH16" s="448"/>
      <c r="BI16" s="448"/>
      <c r="BJ16" s="448"/>
      <c r="BK16" s="448"/>
      <c r="BL16" s="448"/>
      <c r="BM16" s="448"/>
      <c r="BN16" s="449"/>
      <c r="BO16" s="447"/>
    </row>
    <row r="17" spans="1:67" ht="12.75" customHeight="1" thickTop="1" thickBot="1">
      <c r="A17" s="448"/>
      <c r="B17" s="448"/>
      <c r="C17" s="1239" t="s">
        <v>579</v>
      </c>
      <c r="D17" s="1240"/>
      <c r="E17" s="1240"/>
      <c r="F17" s="1124">
        <f>angleConvert2Decimal(I17)</f>
        <v>260</v>
      </c>
      <c r="G17" s="952"/>
      <c r="H17" s="952"/>
      <c r="I17" s="604">
        <v>260</v>
      </c>
      <c r="J17" s="575"/>
      <c r="K17" s="575"/>
      <c r="L17" s="575"/>
      <c r="M17" s="575"/>
      <c r="N17" s="575"/>
      <c r="O17" s="590" t="str" cm="1">
        <f t="array" ref="O17">angleDecimal2Txt(F17)</f>
        <v>+260°00.00 (+260.0000) [+260°00'00.00]</v>
      </c>
      <c r="P17" s="590"/>
      <c r="Q17" s="590"/>
      <c r="R17" s="590"/>
      <c r="S17" s="590"/>
      <c r="T17" s="590"/>
      <c r="U17" s="590"/>
      <c r="V17" s="590"/>
      <c r="W17" s="590"/>
      <c r="X17" s="590"/>
      <c r="Y17" s="448"/>
      <c r="Z17" s="448"/>
      <c r="AA17" s="448"/>
      <c r="AC17" s="448"/>
      <c r="AD17" s="448"/>
      <c r="AE17" s="448"/>
      <c r="AF17" s="448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  <c r="AQ17" s="448"/>
      <c r="AR17" s="448"/>
      <c r="AS17" s="448"/>
      <c r="AT17" s="448"/>
      <c r="AU17" s="448"/>
      <c r="AV17" s="448"/>
      <c r="AW17" s="448"/>
      <c r="AX17" s="448"/>
      <c r="AY17" s="448"/>
      <c r="AZ17" s="448"/>
      <c r="BA17" s="448"/>
      <c r="BB17" s="448"/>
      <c r="BC17" s="448"/>
      <c r="BD17" s="448"/>
      <c r="BE17" s="448"/>
      <c r="BF17" s="448"/>
      <c r="BG17" s="448"/>
      <c r="BH17" s="448"/>
      <c r="BI17" s="448"/>
      <c r="BJ17" s="448"/>
      <c r="BK17" s="448"/>
      <c r="BL17" s="448"/>
      <c r="BM17" s="448"/>
      <c r="BN17" s="448"/>
      <c r="BO17" s="448"/>
    </row>
    <row r="18" spans="1:67" ht="12.75" customHeight="1" thickTop="1" thickBot="1">
      <c r="A18" s="448"/>
      <c r="B18" s="448"/>
      <c r="C18" s="1241"/>
      <c r="D18" s="1241"/>
      <c r="E18" s="1241"/>
      <c r="F18" s="952"/>
      <c r="G18" s="952"/>
      <c r="H18" s="952"/>
      <c r="I18" s="575"/>
      <c r="J18" s="575"/>
      <c r="K18" s="575"/>
      <c r="L18" s="575"/>
      <c r="M18" s="575"/>
      <c r="N18" s="575"/>
      <c r="O18" s="590"/>
      <c r="P18" s="590"/>
      <c r="Q18" s="590"/>
      <c r="R18" s="590"/>
      <c r="S18" s="590"/>
      <c r="T18" s="590"/>
      <c r="U18" s="590"/>
      <c r="V18" s="590"/>
      <c r="W18" s="590"/>
      <c r="X18" s="590"/>
      <c r="Y18" s="448"/>
      <c r="Z18" s="448"/>
      <c r="AA18" s="448"/>
      <c r="AC18" s="448"/>
      <c r="AD18" s="448"/>
      <c r="AE18" s="448"/>
      <c r="AF18" s="448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  <c r="AQ18" s="448"/>
      <c r="AR18" s="448"/>
      <c r="AS18" s="448"/>
      <c r="AT18" s="448"/>
      <c r="AU18" s="448"/>
      <c r="AV18" s="448"/>
      <c r="AW18" s="448"/>
      <c r="AX18" s="448"/>
      <c r="AY18" s="448"/>
      <c r="AZ18" s="448"/>
      <c r="BA18" s="448"/>
      <c r="BB18" s="448"/>
      <c r="BC18" s="448"/>
      <c r="BD18" s="448"/>
      <c r="BE18" s="448"/>
      <c r="BF18" s="448"/>
      <c r="BG18" s="448"/>
      <c r="BH18" s="448"/>
      <c r="BI18" s="448"/>
      <c r="BJ18" s="448"/>
      <c r="BK18" s="448"/>
      <c r="BL18" s="448"/>
      <c r="BM18" s="448"/>
      <c r="BN18" s="448"/>
      <c r="BO18" s="448"/>
    </row>
    <row r="19" spans="1:67" ht="12.75" customHeight="1" thickTop="1" thickBot="1">
      <c r="A19" s="448"/>
      <c r="B19" s="448"/>
      <c r="C19" s="1252" t="s">
        <v>580</v>
      </c>
      <c r="D19" s="1241"/>
      <c r="E19" s="1241"/>
      <c r="F19" s="1124">
        <f>I19</f>
        <v>5</v>
      </c>
      <c r="G19" s="952"/>
      <c r="H19" s="952"/>
      <c r="I19" s="604">
        <v>5</v>
      </c>
      <c r="J19" s="575"/>
      <c r="K19" s="575"/>
      <c r="L19" s="575"/>
      <c r="M19" s="575"/>
      <c r="N19" s="575"/>
      <c r="O19" s="590"/>
      <c r="P19" s="590"/>
      <c r="Q19" s="590"/>
      <c r="R19" s="590"/>
      <c r="S19" s="590"/>
      <c r="T19" s="590"/>
      <c r="U19" s="590"/>
      <c r="V19" s="590"/>
      <c r="W19" s="590"/>
      <c r="X19" s="590"/>
      <c r="Y19" s="448"/>
      <c r="Z19" s="448"/>
      <c r="AA19" s="448"/>
      <c r="AC19" s="448"/>
      <c r="AD19" s="448"/>
      <c r="AE19" s="448"/>
      <c r="AF19" s="448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  <c r="AQ19" s="448"/>
      <c r="AR19" s="448"/>
      <c r="AS19" s="448"/>
      <c r="AT19" s="448"/>
      <c r="AU19" s="448"/>
      <c r="AV19" s="448"/>
      <c r="AW19" s="448"/>
      <c r="AX19" s="448"/>
      <c r="AY19" s="448"/>
      <c r="AZ19" s="448"/>
      <c r="BA19" s="448"/>
      <c r="BB19" s="448"/>
      <c r="BC19" s="448"/>
      <c r="BD19" s="448"/>
      <c r="BE19" s="448"/>
      <c r="BF19" s="448"/>
      <c r="BG19" s="448"/>
      <c r="BH19" s="448"/>
      <c r="BI19" s="448"/>
      <c r="BJ19" s="448"/>
      <c r="BK19" s="448"/>
      <c r="BL19" s="448"/>
      <c r="BM19" s="448"/>
      <c r="BN19" s="448"/>
      <c r="BO19" s="448"/>
    </row>
    <row r="20" spans="1:67" ht="12.75" customHeight="1" thickTop="1" thickBot="1">
      <c r="A20" s="448"/>
      <c r="B20" s="448"/>
      <c r="C20" s="1241"/>
      <c r="D20" s="1241"/>
      <c r="E20" s="1241"/>
      <c r="F20" s="952"/>
      <c r="G20" s="952"/>
      <c r="H20" s="952"/>
      <c r="I20" s="575"/>
      <c r="J20" s="575"/>
      <c r="K20" s="575"/>
      <c r="L20" s="575"/>
      <c r="M20" s="575"/>
      <c r="N20" s="575"/>
      <c r="O20" s="590"/>
      <c r="P20" s="590"/>
      <c r="Q20" s="590"/>
      <c r="R20" s="590"/>
      <c r="S20" s="590"/>
      <c r="T20" s="590"/>
      <c r="U20" s="590"/>
      <c r="V20" s="590"/>
      <c r="W20" s="590"/>
      <c r="X20" s="590"/>
      <c r="Y20" s="448"/>
      <c r="Z20" s="448"/>
      <c r="AA20" s="448"/>
      <c r="AC20" s="448"/>
      <c r="AD20" s="448"/>
      <c r="AE20" s="448"/>
      <c r="AF20" s="448"/>
      <c r="AG20" s="448"/>
      <c r="AH20" s="448"/>
      <c r="AI20" s="448"/>
      <c r="AJ20" s="448"/>
      <c r="AK20" s="448"/>
      <c r="AL20" s="448"/>
      <c r="AM20" s="448"/>
      <c r="AN20" s="448"/>
      <c r="AO20" s="448"/>
      <c r="AP20" s="448"/>
      <c r="AQ20" s="448"/>
      <c r="AR20" s="448"/>
      <c r="AS20" s="448"/>
      <c r="AT20" s="448"/>
      <c r="AU20" s="448"/>
      <c r="AV20" s="448"/>
      <c r="AW20" s="448"/>
      <c r="AX20" s="448"/>
      <c r="AY20" s="448"/>
      <c r="AZ20" s="448"/>
      <c r="BA20" s="448"/>
      <c r="BB20" s="448"/>
      <c r="BC20" s="448"/>
      <c r="BD20" s="448"/>
      <c r="BE20" s="448"/>
      <c r="BF20" s="448"/>
      <c r="BG20" s="448"/>
      <c r="BH20" s="448"/>
      <c r="BI20" s="448"/>
      <c r="BJ20" s="448"/>
      <c r="BK20" s="448"/>
      <c r="BL20" s="448"/>
      <c r="BM20" s="448"/>
      <c r="BN20" s="448"/>
      <c r="BO20" s="448"/>
    </row>
    <row r="21" spans="1:67" ht="12.75" customHeight="1" thickTop="1" thickBot="1">
      <c r="A21" s="448"/>
      <c r="B21" s="448"/>
      <c r="C21" s="1253" t="s">
        <v>581</v>
      </c>
      <c r="D21" s="1254"/>
      <c r="E21" s="1254"/>
      <c r="F21" s="1124">
        <f>heureConvert2Decimal(I21)</f>
        <v>12.062777777777779</v>
      </c>
      <c r="G21" s="952"/>
      <c r="H21" s="952"/>
      <c r="I21" s="604" t="s">
        <v>501</v>
      </c>
      <c r="J21" s="575"/>
      <c r="K21" s="575"/>
      <c r="L21" s="575"/>
      <c r="M21" s="575"/>
      <c r="N21" s="575"/>
      <c r="O21" s="590" t="str">
        <f>heureDecimal2Txt(F21)</f>
        <v>12:03:46.00(12.0627)</v>
      </c>
      <c r="P21" s="590"/>
      <c r="Q21" s="590"/>
      <c r="R21" s="590"/>
      <c r="S21" s="590"/>
      <c r="T21" s="590"/>
      <c r="U21" s="590"/>
      <c r="V21" s="590"/>
      <c r="W21" s="590"/>
      <c r="X21" s="590"/>
      <c r="Y21" s="448"/>
      <c r="Z21" s="448"/>
      <c r="AA21" s="448"/>
      <c r="AC21" s="448"/>
      <c r="AD21" s="448"/>
      <c r="AE21" s="448"/>
      <c r="AF21" s="448"/>
      <c r="AG21" s="448"/>
      <c r="AH21" s="448"/>
      <c r="AI21" s="448"/>
      <c r="AJ21" s="448"/>
      <c r="AK21" s="448"/>
      <c r="AL21" s="448"/>
      <c r="AM21" s="448"/>
      <c r="AN21" s="448"/>
      <c r="AO21" s="448"/>
      <c r="AP21" s="448"/>
      <c r="AQ21" s="448"/>
      <c r="AR21" s="448"/>
      <c r="AS21" s="448"/>
      <c r="AT21" s="448"/>
      <c r="AU21" s="448"/>
      <c r="AV21" s="448"/>
      <c r="AW21" s="448"/>
      <c r="AX21" s="448"/>
      <c r="AY21" s="448"/>
      <c r="AZ21" s="448"/>
      <c r="BA21" s="448"/>
      <c r="BB21" s="448"/>
      <c r="BC21" s="448"/>
      <c r="BD21" s="448"/>
      <c r="BE21" s="448"/>
      <c r="BF21" s="448"/>
      <c r="BG21" s="448"/>
      <c r="BH21" s="448"/>
      <c r="BI21" s="448"/>
      <c r="BJ21" s="448"/>
      <c r="BK21" s="448"/>
      <c r="BL21" s="448"/>
      <c r="BM21" s="448"/>
      <c r="BN21" s="448"/>
      <c r="BO21" s="448"/>
    </row>
    <row r="22" spans="1:67" ht="12.75" customHeight="1" thickTop="1" thickBot="1">
      <c r="A22" s="448"/>
      <c r="B22" s="448"/>
      <c r="C22" s="1254"/>
      <c r="D22" s="1254"/>
      <c r="E22" s="1254"/>
      <c r="F22" s="952"/>
      <c r="G22" s="952"/>
      <c r="H22" s="952"/>
      <c r="I22" s="575"/>
      <c r="J22" s="575"/>
      <c r="K22" s="575"/>
      <c r="L22" s="575"/>
      <c r="M22" s="575"/>
      <c r="N22" s="575"/>
      <c r="O22" s="590"/>
      <c r="P22" s="590"/>
      <c r="Q22" s="590"/>
      <c r="R22" s="590"/>
      <c r="S22" s="590"/>
      <c r="T22" s="590"/>
      <c r="U22" s="590"/>
      <c r="V22" s="590"/>
      <c r="W22" s="590"/>
      <c r="X22" s="590"/>
      <c r="Y22" s="448"/>
      <c r="Z22" s="448"/>
      <c r="AA22" s="448"/>
      <c r="AC22" s="448"/>
      <c r="AD22" s="448"/>
      <c r="AE22" s="448"/>
      <c r="AF22" s="448"/>
      <c r="AG22" s="448"/>
      <c r="AH22" s="448"/>
      <c r="AI22" s="448"/>
      <c r="AJ22" s="448"/>
      <c r="AK22" s="448"/>
      <c r="AL22" s="448"/>
      <c r="AM22" s="448"/>
      <c r="AN22" s="448"/>
      <c r="AO22" s="448"/>
      <c r="AP22" s="448"/>
      <c r="AQ22" s="448"/>
      <c r="AR22" s="448"/>
      <c r="AS22" s="448"/>
      <c r="AT22" s="448"/>
      <c r="AU22" s="448"/>
      <c r="AV22" s="448"/>
      <c r="AW22" s="448"/>
      <c r="AX22" s="448"/>
      <c r="AY22" s="448"/>
      <c r="AZ22" s="448"/>
      <c r="BA22" s="448"/>
      <c r="BB22" s="448"/>
      <c r="BC22" s="448"/>
      <c r="BD22" s="448"/>
      <c r="BE22" s="448"/>
      <c r="BF22" s="448"/>
      <c r="BG22" s="448"/>
      <c r="BH22" s="448"/>
      <c r="BI22" s="448"/>
      <c r="BJ22" s="448"/>
      <c r="BK22" s="448"/>
      <c r="BL22" s="448"/>
      <c r="BM22" s="448"/>
      <c r="BN22" s="448"/>
      <c r="BO22" s="448"/>
    </row>
    <row r="23" spans="1:67" ht="12.75" customHeight="1" thickTop="1">
      <c r="A23" s="448"/>
      <c r="B23" s="448"/>
      <c r="C23" s="44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448"/>
      <c r="V23" s="448"/>
      <c r="W23" s="448"/>
      <c r="X23" s="448"/>
      <c r="Y23" s="448"/>
      <c r="Z23" s="448"/>
      <c r="AA23" s="448"/>
      <c r="AC23" s="448"/>
      <c r="AD23" s="448"/>
      <c r="AE23" s="448"/>
      <c r="AF23" s="448"/>
      <c r="AG23" s="448"/>
      <c r="AH23" s="448"/>
      <c r="AI23" s="448"/>
      <c r="AJ23" s="448"/>
      <c r="AK23" s="448"/>
      <c r="AL23" s="448"/>
      <c r="AM23" s="448"/>
      <c r="AN23" s="448"/>
      <c r="AO23" s="448"/>
      <c r="AP23" s="448"/>
      <c r="AQ23" s="448"/>
      <c r="AR23" s="448"/>
      <c r="AS23" s="448"/>
      <c r="AT23" s="448"/>
      <c r="AU23" s="448"/>
      <c r="AV23" s="448"/>
      <c r="AW23" s="448"/>
      <c r="AX23" s="448"/>
      <c r="AY23" s="448"/>
      <c r="AZ23" s="448"/>
      <c r="BA23" s="448"/>
      <c r="BB23" s="448"/>
      <c r="BC23" s="448"/>
      <c r="BD23" s="448"/>
      <c r="BE23" s="448"/>
      <c r="BF23" s="448"/>
      <c r="BG23" s="448"/>
      <c r="BH23" s="448"/>
      <c r="BI23" s="448"/>
      <c r="BJ23" s="448"/>
      <c r="BK23" s="448"/>
      <c r="BL23" s="448"/>
      <c r="BM23" s="448"/>
      <c r="BN23" s="448"/>
      <c r="BO23" s="448"/>
    </row>
    <row r="24" spans="1:67" ht="12.75" customHeight="1">
      <c r="A24" s="448"/>
      <c r="B24" s="448"/>
      <c r="C24" s="1007" t="s">
        <v>817</v>
      </c>
      <c r="D24" s="1008"/>
      <c r="E24" s="1008"/>
      <c r="F24" s="1008"/>
      <c r="G24" s="1008"/>
      <c r="H24" s="1008"/>
      <c r="I24" s="1008"/>
      <c r="J24" s="1008"/>
      <c r="K24" s="1009"/>
      <c r="L24" s="448"/>
      <c r="M24" s="448"/>
      <c r="N24" s="448"/>
      <c r="O24" s="448"/>
      <c r="P24" s="448"/>
      <c r="Q24" s="448"/>
      <c r="R24" s="448"/>
      <c r="S24" s="448"/>
      <c r="T24" s="448"/>
      <c r="U24" s="448"/>
      <c r="V24" s="448"/>
      <c r="W24" s="448"/>
      <c r="X24" s="448"/>
      <c r="Y24" s="448"/>
      <c r="Z24" s="448"/>
      <c r="AA24" s="448"/>
      <c r="AC24" s="448"/>
      <c r="AD24" s="448"/>
      <c r="AE24" s="448"/>
      <c r="AF24" s="448"/>
      <c r="AG24" s="448"/>
      <c r="AH24" s="448"/>
      <c r="AI24" s="448"/>
      <c r="AJ24" s="448"/>
      <c r="AK24" s="448"/>
      <c r="AL24" s="448"/>
      <c r="AM24" s="448"/>
      <c r="AN24" s="448"/>
      <c r="AO24" s="448"/>
      <c r="AP24" s="448"/>
      <c r="AQ24" s="448"/>
      <c r="AR24" s="448"/>
      <c r="AS24" s="448"/>
      <c r="AT24" s="448"/>
      <c r="AU24" s="448"/>
      <c r="AV24" s="448"/>
      <c r="AW24" s="448"/>
      <c r="AX24" s="448"/>
      <c r="AY24" s="448"/>
      <c r="AZ24" s="448"/>
      <c r="BA24" s="448"/>
      <c r="BB24" s="448"/>
      <c r="BC24" s="448"/>
      <c r="BD24" s="448"/>
      <c r="BE24" s="448"/>
      <c r="BF24" s="448"/>
      <c r="BG24" s="448"/>
      <c r="BH24" s="448"/>
      <c r="BI24" s="448"/>
      <c r="BJ24" s="448"/>
      <c r="BK24" s="448"/>
      <c r="BL24" s="448"/>
      <c r="BM24" s="448"/>
      <c r="BN24" s="448"/>
      <c r="BO24" s="448"/>
    </row>
    <row r="25" spans="1:67" ht="12.75" customHeight="1" thickBot="1">
      <c r="A25" s="448"/>
      <c r="B25" s="448"/>
      <c r="C25" s="1010"/>
      <c r="D25" s="1011"/>
      <c r="E25" s="1011"/>
      <c r="F25" s="1011"/>
      <c r="G25" s="1011"/>
      <c r="H25" s="1011"/>
      <c r="I25" s="1011"/>
      <c r="J25" s="1011"/>
      <c r="K25" s="1012"/>
      <c r="L25" s="448"/>
      <c r="M25" s="448"/>
      <c r="N25" s="448"/>
      <c r="O25" s="448"/>
      <c r="P25" s="448"/>
      <c r="Q25" s="448"/>
      <c r="R25" s="448"/>
      <c r="S25" s="448"/>
      <c r="T25" s="448"/>
      <c r="U25" s="448"/>
      <c r="V25" s="448"/>
      <c r="W25" s="448"/>
      <c r="X25" s="448"/>
      <c r="Y25" s="448"/>
      <c r="Z25" s="448"/>
      <c r="AA25" s="448"/>
      <c r="AC25" s="448"/>
      <c r="AD25" s="448"/>
      <c r="AE25" s="448"/>
      <c r="AF25" s="448"/>
      <c r="AG25" s="448"/>
      <c r="AH25" s="448"/>
      <c r="AI25" s="448"/>
      <c r="AJ25" s="448"/>
      <c r="AK25" s="448"/>
      <c r="AL25" s="448"/>
      <c r="AM25" s="448"/>
      <c r="AN25" s="448"/>
      <c r="AO25" s="448"/>
      <c r="AP25" s="448"/>
      <c r="AQ25" s="448"/>
      <c r="AR25" s="448"/>
      <c r="AS25" s="448"/>
      <c r="AT25" s="448"/>
      <c r="AU25" s="448"/>
      <c r="AV25" s="448"/>
      <c r="AW25" s="448"/>
      <c r="AX25" s="448"/>
      <c r="AY25" s="448"/>
      <c r="AZ25" s="448"/>
      <c r="BA25" s="448"/>
      <c r="BB25" s="448"/>
      <c r="BC25" s="448"/>
      <c r="BD25" s="448"/>
      <c r="BE25" s="448"/>
      <c r="BF25" s="448"/>
      <c r="BG25" s="448"/>
      <c r="BH25" s="448"/>
      <c r="BI25" s="448"/>
      <c r="BJ25" s="448"/>
      <c r="BK25" s="448"/>
      <c r="BL25" s="448"/>
      <c r="BM25" s="448"/>
      <c r="BN25" s="448"/>
      <c r="BO25" s="448"/>
    </row>
    <row r="26" spans="1:67" ht="12.75" customHeight="1" thickTop="1" thickBot="1">
      <c r="A26" s="448"/>
      <c r="B26" s="448"/>
      <c r="C26" s="1059" t="s">
        <v>548</v>
      </c>
      <c r="D26" s="1059"/>
      <c r="E26" s="1059"/>
      <c r="F26" s="1124">
        <f>IF(C26=AC27,F11,(F11+F28)/2)</f>
        <v>46.1</v>
      </c>
      <c r="G26" s="952"/>
      <c r="H26" s="952"/>
      <c r="I26" s="590" t="str" cm="1">
        <f t="array" ref="I26">latitudeDecimal2Txt(F26)</f>
        <v>N 46°06.00 (N 46.1000) [N 46°06'00.00]</v>
      </c>
      <c r="J26" s="590"/>
      <c r="K26" s="590"/>
      <c r="L26" s="590"/>
      <c r="M26" s="590"/>
      <c r="N26" s="590"/>
      <c r="O26" s="590"/>
      <c r="P26" s="590"/>
      <c r="Q26" s="590"/>
      <c r="R26" s="590"/>
      <c r="S26" s="448"/>
      <c r="T26" s="448"/>
      <c r="U26" s="448"/>
      <c r="V26" s="448"/>
      <c r="W26" s="448"/>
      <c r="X26" s="448"/>
      <c r="Y26" s="448"/>
      <c r="Z26" s="448"/>
      <c r="AA26" s="448"/>
      <c r="AC26" s="448"/>
      <c r="AD26" s="448"/>
      <c r="AE26" s="448"/>
      <c r="AF26" s="448"/>
      <c r="AG26" s="448"/>
      <c r="AH26" s="448"/>
      <c r="AI26" s="448"/>
      <c r="AJ26" s="448"/>
      <c r="AK26" s="448"/>
      <c r="AL26" s="448"/>
      <c r="AM26" s="448"/>
      <c r="AN26" s="448"/>
      <c r="AO26" s="448"/>
      <c r="AP26" s="448"/>
      <c r="AQ26" s="448"/>
      <c r="AR26" s="448"/>
      <c r="AS26" s="448"/>
      <c r="AT26" s="448"/>
      <c r="AU26" s="448"/>
      <c r="AV26" s="448"/>
      <c r="AW26" s="448"/>
      <c r="AX26" s="448"/>
      <c r="AY26" s="448"/>
      <c r="AZ26" s="448"/>
      <c r="BA26" s="448"/>
      <c r="BB26" s="448"/>
      <c r="BC26" s="448"/>
      <c r="BD26" s="448"/>
      <c r="BE26" s="448"/>
      <c r="BF26" s="448"/>
      <c r="BG26" s="448"/>
      <c r="BH26" s="448"/>
      <c r="BI26" s="448"/>
      <c r="BJ26" s="448"/>
      <c r="BK26" s="448"/>
      <c r="BL26" s="448"/>
      <c r="BM26" s="448"/>
      <c r="BN26" s="448"/>
      <c r="BO26" s="448"/>
    </row>
    <row r="27" spans="1:67" ht="12.75" customHeight="1" thickTop="1" thickBot="1">
      <c r="A27" s="448"/>
      <c r="B27" s="448"/>
      <c r="C27" s="1060"/>
      <c r="D27" s="1060"/>
      <c r="E27" s="1060"/>
      <c r="F27" s="952"/>
      <c r="G27" s="952"/>
      <c r="H27" s="952"/>
      <c r="I27" s="590"/>
      <c r="J27" s="590"/>
      <c r="K27" s="590"/>
      <c r="L27" s="590"/>
      <c r="M27" s="590"/>
      <c r="N27" s="590"/>
      <c r="O27" s="590"/>
      <c r="P27" s="590"/>
      <c r="Q27" s="590"/>
      <c r="R27" s="590"/>
      <c r="S27" s="448"/>
      <c r="T27" s="448"/>
      <c r="U27" s="448"/>
      <c r="V27" s="448"/>
      <c r="W27" s="448"/>
      <c r="X27" s="448"/>
      <c r="Y27" s="448"/>
      <c r="Z27" s="448"/>
      <c r="AA27" s="448"/>
      <c r="AC27" s="375" t="s">
        <v>548</v>
      </c>
      <c r="AD27" s="448"/>
      <c r="AE27" s="448"/>
      <c r="AF27" s="448"/>
      <c r="AG27" s="448"/>
      <c r="AH27" s="448"/>
      <c r="AI27" s="448"/>
      <c r="AJ27" s="448"/>
      <c r="AK27" s="448"/>
      <c r="AL27" s="448"/>
      <c r="AM27" s="448"/>
      <c r="AN27" s="448"/>
      <c r="AO27" s="448"/>
      <c r="AP27" s="448"/>
      <c r="AQ27" s="448"/>
      <c r="AR27" s="448"/>
      <c r="AS27" s="448"/>
      <c r="AT27" s="448"/>
      <c r="AU27" s="448"/>
      <c r="AV27" s="448"/>
      <c r="AW27" s="448"/>
      <c r="AX27" s="448"/>
      <c r="AY27" s="448"/>
      <c r="AZ27" s="448"/>
      <c r="BA27" s="448"/>
      <c r="BB27" s="448"/>
      <c r="BC27" s="448"/>
      <c r="BD27" s="448"/>
      <c r="BE27" s="448"/>
      <c r="BF27" s="448"/>
      <c r="BG27" s="448"/>
      <c r="BH27" s="448"/>
      <c r="BI27" s="448"/>
      <c r="BJ27" s="448"/>
      <c r="BK27" s="448"/>
      <c r="BL27" s="448"/>
      <c r="BM27" s="448"/>
      <c r="BN27" s="448"/>
      <c r="BO27" s="448"/>
    </row>
    <row r="28" spans="1:67" ht="12.75" customHeight="1" thickTop="1">
      <c r="A28" s="448"/>
      <c r="B28" s="448"/>
      <c r="C28" s="1061" t="s">
        <v>823</v>
      </c>
      <c r="D28" s="1061"/>
      <c r="E28" s="1061"/>
      <c r="F28" s="1211">
        <f>F11+SIN((90-F17)*Outils!$F$4)*F19/60</f>
        <v>46.085529318527755</v>
      </c>
      <c r="G28" s="1212"/>
      <c r="H28" s="1213"/>
      <c r="I28" s="1055" t="s">
        <v>816</v>
      </c>
      <c r="J28" s="1056"/>
      <c r="K28" s="448"/>
      <c r="L28" s="448"/>
      <c r="M28" s="448"/>
      <c r="N28" s="448"/>
      <c r="O28" s="448"/>
      <c r="P28" s="448"/>
      <c r="Q28" s="448"/>
      <c r="R28" s="448"/>
      <c r="S28" s="448"/>
      <c r="T28" s="448"/>
      <c r="U28" s="448"/>
      <c r="V28" s="448"/>
      <c r="W28" s="448"/>
      <c r="X28" s="448"/>
      <c r="Y28" s="448"/>
      <c r="Z28" s="448"/>
      <c r="AA28" s="448"/>
      <c r="AC28" s="375" t="s">
        <v>558</v>
      </c>
      <c r="AD28" s="448"/>
      <c r="AE28" s="448"/>
      <c r="AF28" s="448"/>
      <c r="AG28" s="448"/>
      <c r="AH28" s="448"/>
      <c r="AI28" s="448"/>
      <c r="AJ28" s="448"/>
      <c r="AK28" s="448"/>
      <c r="AL28" s="448"/>
      <c r="AM28" s="448"/>
      <c r="AN28" s="448"/>
      <c r="AO28" s="448"/>
      <c r="AP28" s="448"/>
      <c r="AQ28" s="448"/>
      <c r="AR28" s="448"/>
      <c r="AS28" s="448"/>
      <c r="AT28" s="448"/>
      <c r="AU28" s="448"/>
      <c r="AV28" s="448"/>
      <c r="AW28" s="448"/>
      <c r="AX28" s="448"/>
      <c r="AY28" s="448"/>
      <c r="AZ28" s="448"/>
      <c r="BA28" s="448"/>
      <c r="BB28" s="448"/>
      <c r="BC28" s="448"/>
      <c r="BD28" s="448"/>
      <c r="BE28" s="448"/>
      <c r="BF28" s="448"/>
      <c r="BG28" s="448"/>
      <c r="BH28" s="448"/>
      <c r="BI28" s="448"/>
      <c r="BJ28" s="448"/>
      <c r="BK28" s="448"/>
      <c r="BL28" s="448"/>
      <c r="BM28" s="448"/>
      <c r="BN28" s="448"/>
      <c r="BO28" s="448"/>
    </row>
    <row r="29" spans="1:67" s="376" customFormat="1" ht="12.75" customHeight="1">
      <c r="A29" s="455"/>
      <c r="B29" s="455"/>
      <c r="C29" s="1061"/>
      <c r="D29" s="1061"/>
      <c r="E29" s="1061"/>
      <c r="F29" s="1214"/>
      <c r="G29" s="1212"/>
      <c r="H29" s="1213"/>
      <c r="I29" s="1057"/>
      <c r="J29" s="1058"/>
      <c r="K29" s="448"/>
      <c r="L29" s="448"/>
      <c r="M29" s="448"/>
      <c r="N29" s="448"/>
      <c r="O29" s="455"/>
      <c r="P29" s="455"/>
      <c r="Q29" s="455"/>
      <c r="R29" s="455"/>
      <c r="S29" s="455"/>
      <c r="T29" s="455"/>
      <c r="U29" s="455"/>
      <c r="V29" s="455"/>
      <c r="W29" s="455"/>
      <c r="X29" s="455"/>
      <c r="Y29" s="455"/>
      <c r="Z29" s="455"/>
      <c r="AA29" s="455"/>
      <c r="AB29" s="377"/>
      <c r="AC29" s="455"/>
      <c r="AD29" s="448"/>
      <c r="AE29" s="451"/>
      <c r="AF29" s="451"/>
      <c r="AG29" s="451"/>
      <c r="AH29" s="455"/>
      <c r="AI29" s="455"/>
      <c r="AJ29" s="455"/>
      <c r="AK29" s="455"/>
      <c r="AL29" s="455"/>
      <c r="AM29" s="455"/>
      <c r="AN29" s="455"/>
      <c r="AO29" s="455"/>
      <c r="AP29" s="455"/>
      <c r="AQ29" s="455"/>
      <c r="AR29" s="455"/>
      <c r="AS29" s="455"/>
      <c r="AT29" s="455"/>
      <c r="AU29" s="455"/>
      <c r="AV29" s="455"/>
      <c r="AW29" s="455"/>
      <c r="AX29" s="455"/>
      <c r="AY29" s="455"/>
      <c r="AZ29" s="455"/>
      <c r="BA29" s="455"/>
      <c r="BB29" s="455"/>
      <c r="BC29" s="455"/>
      <c r="BD29" s="455"/>
      <c r="BE29" s="455"/>
      <c r="BF29" s="455"/>
      <c r="BG29" s="455"/>
      <c r="BH29" s="455"/>
      <c r="BI29" s="455"/>
      <c r="BJ29" s="455"/>
      <c r="BK29" s="455"/>
      <c r="BL29" s="455"/>
      <c r="BM29" s="455"/>
      <c r="BN29" s="455"/>
      <c r="BO29" s="455"/>
    </row>
    <row r="30" spans="1:67" s="376" customFormat="1" ht="12.75" customHeight="1" thickBot="1">
      <c r="A30" s="455"/>
      <c r="B30" s="455"/>
      <c r="C30" s="455"/>
      <c r="D30" s="455"/>
      <c r="E30" s="455"/>
      <c r="F30" s="455"/>
      <c r="G30" s="455"/>
      <c r="H30" s="455"/>
      <c r="I30" s="448"/>
      <c r="J30" s="448"/>
      <c r="K30" s="448"/>
      <c r="L30" s="448"/>
      <c r="M30" s="448"/>
      <c r="N30" s="448"/>
      <c r="O30" s="455"/>
      <c r="P30" s="455"/>
      <c r="Q30" s="455"/>
      <c r="R30" s="455"/>
      <c r="S30" s="455"/>
      <c r="T30" s="455"/>
      <c r="U30" s="455"/>
      <c r="V30" s="455"/>
      <c r="W30" s="455"/>
      <c r="X30" s="455"/>
      <c r="Y30" s="455"/>
      <c r="Z30" s="455"/>
      <c r="AA30" s="455"/>
      <c r="AB30" s="377"/>
      <c r="AC30" s="455"/>
      <c r="AD30" s="448"/>
      <c r="AE30" s="451"/>
      <c r="AF30" s="451"/>
      <c r="AG30" s="451"/>
      <c r="AH30" s="455"/>
      <c r="AI30" s="455"/>
      <c r="AJ30" s="455"/>
      <c r="AK30" s="455"/>
      <c r="AL30" s="455"/>
      <c r="AM30" s="455"/>
      <c r="AN30" s="455"/>
      <c r="AO30" s="455"/>
      <c r="AP30" s="455"/>
      <c r="AQ30" s="455"/>
      <c r="AR30" s="455"/>
      <c r="AS30" s="455"/>
      <c r="AT30" s="455"/>
      <c r="AU30" s="455"/>
      <c r="AV30" s="455"/>
      <c r="AW30" s="455"/>
      <c r="AX30" s="455"/>
      <c r="AY30" s="455"/>
      <c r="AZ30" s="455"/>
      <c r="BA30" s="455"/>
      <c r="BB30" s="455"/>
      <c r="BC30" s="455"/>
      <c r="BD30" s="455"/>
      <c r="BE30" s="455"/>
      <c r="BF30" s="455"/>
      <c r="BG30" s="455"/>
      <c r="BH30" s="455"/>
      <c r="BI30" s="455"/>
      <c r="BJ30" s="455"/>
      <c r="BK30" s="455"/>
      <c r="BL30" s="455"/>
      <c r="BM30" s="455"/>
      <c r="BN30" s="455"/>
      <c r="BO30" s="455"/>
    </row>
    <row r="31" spans="1:67" ht="15.75" thickBot="1">
      <c r="A31" s="448"/>
      <c r="B31" s="1221" t="s">
        <v>582</v>
      </c>
      <c r="C31" s="1222"/>
      <c r="D31" s="1222"/>
      <c r="E31" s="1222"/>
      <c r="F31" s="1222"/>
      <c r="G31" s="1222"/>
      <c r="H31" s="1222"/>
      <c r="I31" s="1222"/>
      <c r="J31" s="1222"/>
      <c r="K31" s="1222"/>
      <c r="L31" s="1222"/>
      <c r="M31" s="1222"/>
      <c r="N31" s="1222"/>
      <c r="O31" s="1222"/>
      <c r="P31" s="1222"/>
      <c r="Q31" s="1222"/>
      <c r="R31" s="1222"/>
      <c r="S31" s="1222"/>
      <c r="T31" s="1222"/>
      <c r="U31" s="1222"/>
      <c r="V31" s="1222"/>
      <c r="W31" s="1222"/>
      <c r="X31" s="1222"/>
      <c r="Y31" s="1222"/>
      <c r="Z31" s="1222"/>
      <c r="AA31" s="1222"/>
      <c r="AB31" s="300"/>
      <c r="AC31" s="448"/>
      <c r="AD31" s="448"/>
      <c r="AE31" s="448"/>
      <c r="AF31" s="448"/>
      <c r="AG31" s="448"/>
      <c r="AH31" s="448"/>
      <c r="AI31" s="448"/>
      <c r="AJ31" s="448"/>
      <c r="AK31" s="448"/>
      <c r="AL31" s="448"/>
      <c r="AM31" s="448"/>
      <c r="AN31" s="448"/>
      <c r="AO31" s="448"/>
      <c r="AP31" s="448"/>
      <c r="AQ31" s="448"/>
      <c r="AR31" s="448"/>
      <c r="AS31" s="448"/>
      <c r="AT31" s="448"/>
      <c r="AU31" s="448"/>
      <c r="AV31" s="448"/>
      <c r="AW31" s="448"/>
      <c r="AX31" s="448"/>
      <c r="AY31" s="448"/>
      <c r="AZ31" s="448"/>
      <c r="BA31" s="448"/>
      <c r="BB31" s="448"/>
      <c r="BC31" s="448"/>
      <c r="BD31" s="448"/>
      <c r="BE31" s="448"/>
      <c r="BF31" s="448"/>
      <c r="BG31" s="448"/>
      <c r="BH31" s="448"/>
      <c r="BI31" s="448"/>
      <c r="BJ31" s="448"/>
      <c r="BK31" s="448"/>
      <c r="BL31" s="448"/>
      <c r="BM31" s="448"/>
      <c r="BN31" s="448"/>
      <c r="BO31" s="448"/>
    </row>
    <row r="32" spans="1:67">
      <c r="A32" s="448"/>
      <c r="B32" s="448"/>
      <c r="C32" s="448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C32" s="448"/>
      <c r="AD32" s="448"/>
      <c r="AE32" s="448"/>
      <c r="AF32" s="448"/>
      <c r="AG32" s="448"/>
      <c r="AH32" s="448"/>
      <c r="AI32" s="448"/>
      <c r="AJ32" s="448"/>
      <c r="AK32" s="448"/>
      <c r="AL32" s="448"/>
      <c r="AM32" s="448"/>
      <c r="AN32" s="448"/>
      <c r="AO32" s="448"/>
      <c r="AP32" s="448"/>
      <c r="AQ32" s="448"/>
      <c r="AR32" s="448"/>
      <c r="AS32" s="448"/>
      <c r="AT32" s="448"/>
      <c r="AU32" s="448"/>
      <c r="AV32" s="448"/>
      <c r="AW32" s="448"/>
      <c r="AX32" s="448"/>
      <c r="AY32" s="448"/>
      <c r="AZ32" s="448"/>
      <c r="BA32" s="448"/>
      <c r="BB32" s="448"/>
      <c r="BC32" s="448"/>
      <c r="BD32" s="448"/>
      <c r="BE32" s="448"/>
      <c r="BF32" s="448"/>
      <c r="BG32" s="448"/>
      <c r="BH32" s="448"/>
      <c r="BI32" s="448"/>
      <c r="BJ32" s="448"/>
      <c r="BK32" s="448"/>
      <c r="BL32" s="448"/>
      <c r="BM32" s="448"/>
      <c r="BN32" s="448"/>
      <c r="BO32" s="448"/>
    </row>
    <row r="33" spans="1:67">
      <c r="A33" s="448"/>
      <c r="B33" s="448"/>
      <c r="C33" s="1206" t="s">
        <v>260</v>
      </c>
      <c r="D33" s="1207"/>
      <c r="E33" s="1207"/>
      <c r="F33" s="1207"/>
      <c r="G33" s="1207"/>
      <c r="H33" s="1207"/>
      <c r="I33" s="1207"/>
      <c r="J33" s="1207"/>
      <c r="K33" s="1207"/>
      <c r="L33" s="1207"/>
      <c r="M33" s="1207"/>
      <c r="N33" s="1207"/>
      <c r="O33" s="1207"/>
      <c r="P33" s="1207"/>
      <c r="Q33" s="1207"/>
      <c r="R33" s="1226"/>
      <c r="S33" s="448"/>
      <c r="T33" s="448"/>
      <c r="U33" s="448"/>
      <c r="V33" s="448"/>
      <c r="W33" s="448"/>
      <c r="X33" s="448"/>
      <c r="Y33" s="448"/>
      <c r="Z33" s="448"/>
      <c r="AA33" s="448"/>
      <c r="AC33" s="448"/>
      <c r="AD33" s="448"/>
      <c r="AE33" s="448"/>
      <c r="AF33" s="448"/>
      <c r="AG33" s="448"/>
      <c r="AH33" s="448"/>
      <c r="AI33" s="448"/>
      <c r="AJ33" s="448"/>
      <c r="AK33" s="448"/>
      <c r="AL33" s="448"/>
      <c r="AM33" s="448"/>
      <c r="AN33" s="448"/>
      <c r="AO33" s="448"/>
      <c r="AP33" s="448"/>
      <c r="AQ33" s="448"/>
      <c r="AR33" s="448"/>
      <c r="AS33" s="448"/>
      <c r="AT33" s="448"/>
      <c r="AU33" s="448"/>
      <c r="AV33" s="448"/>
      <c r="AW33" s="448"/>
      <c r="AX33" s="448"/>
      <c r="AY33" s="448"/>
      <c r="AZ33" s="448"/>
      <c r="BA33" s="448"/>
      <c r="BB33" s="448"/>
      <c r="BC33" s="448"/>
      <c r="BD33" s="448"/>
      <c r="BE33" s="448"/>
      <c r="BF33" s="448"/>
      <c r="BG33" s="448"/>
      <c r="BH33" s="448"/>
      <c r="BI33" s="448"/>
      <c r="BJ33" s="448"/>
      <c r="BK33" s="448"/>
      <c r="BL33" s="448"/>
      <c r="BM33" s="448"/>
      <c r="BN33" s="448"/>
      <c r="BO33" s="448"/>
    </row>
    <row r="34" spans="1:67">
      <c r="A34" s="448"/>
      <c r="B34" s="448"/>
      <c r="C34" s="1101" t="s">
        <v>106</v>
      </c>
      <c r="D34" s="1101"/>
      <c r="E34" s="1101">
        <f>F17</f>
        <v>260</v>
      </c>
      <c r="F34" s="1101"/>
      <c r="G34" s="1101"/>
      <c r="H34" s="448"/>
      <c r="I34" s="1204" t="s">
        <v>261</v>
      </c>
      <c r="J34" s="1204"/>
      <c r="K34" s="1219" t="b">
        <f>IF(E34&lt;180,TRUE,FALSE)</f>
        <v>0</v>
      </c>
      <c r="L34" s="1219"/>
      <c r="M34" s="448"/>
      <c r="N34" s="1210" t="s">
        <v>246</v>
      </c>
      <c r="O34" s="1210"/>
      <c r="P34" s="952">
        <f>E35*ABS(SIN(Outils!$F$4*Meridienne!E34))*(IF(K34,1,-1))</f>
        <v>-4.9240387650610398</v>
      </c>
      <c r="Q34" s="952"/>
      <c r="R34" s="1124" t="s">
        <v>245</v>
      </c>
      <c r="S34" s="448"/>
      <c r="T34" s="448"/>
      <c r="U34" s="448"/>
      <c r="V34" s="448"/>
      <c r="W34" s="448"/>
      <c r="X34" s="448"/>
      <c r="Y34" s="448"/>
      <c r="Z34" s="448"/>
      <c r="AA34" s="448"/>
      <c r="AC34" s="448"/>
      <c r="AD34" s="448"/>
      <c r="AE34" s="448"/>
      <c r="AF34" s="448"/>
      <c r="AG34" s="448"/>
      <c r="AH34" s="448"/>
      <c r="AI34" s="448"/>
      <c r="AJ34" s="448"/>
      <c r="AK34" s="448"/>
      <c r="AL34" s="448"/>
      <c r="AM34" s="448"/>
      <c r="AN34" s="448"/>
      <c r="AO34" s="448"/>
      <c r="AP34" s="448"/>
      <c r="AQ34" s="448"/>
      <c r="AR34" s="448"/>
      <c r="AS34" s="448"/>
      <c r="AT34" s="448"/>
      <c r="AU34" s="448"/>
      <c r="AV34" s="448"/>
      <c r="AW34" s="448"/>
      <c r="AX34" s="448"/>
      <c r="AY34" s="448"/>
      <c r="AZ34" s="448"/>
      <c r="BA34" s="448"/>
      <c r="BB34" s="448"/>
      <c r="BC34" s="448"/>
      <c r="BD34" s="448"/>
      <c r="BE34" s="448"/>
      <c r="BF34" s="448"/>
      <c r="BG34" s="448"/>
      <c r="BH34" s="448"/>
      <c r="BI34" s="448"/>
      <c r="BJ34" s="448"/>
      <c r="BK34" s="448"/>
      <c r="BL34" s="448"/>
      <c r="BM34" s="448"/>
      <c r="BN34" s="448"/>
      <c r="BO34" s="448"/>
    </row>
    <row r="35" spans="1:67">
      <c r="A35" s="448"/>
      <c r="B35" s="448"/>
      <c r="C35" s="1070" t="s">
        <v>105</v>
      </c>
      <c r="D35" s="1070"/>
      <c r="E35" s="1070">
        <f>F19</f>
        <v>5</v>
      </c>
      <c r="F35" s="1070"/>
      <c r="G35" s="1070"/>
      <c r="H35" s="448"/>
      <c r="I35" s="1205"/>
      <c r="J35" s="1205"/>
      <c r="K35" s="1220"/>
      <c r="L35" s="1220"/>
      <c r="M35" s="448"/>
      <c r="N35" s="985"/>
      <c r="O35" s="985"/>
      <c r="P35" s="952"/>
      <c r="Q35" s="952"/>
      <c r="R35" s="1124"/>
      <c r="S35" s="448"/>
      <c r="T35" s="448"/>
      <c r="U35" s="448"/>
      <c r="V35" s="448"/>
      <c r="W35" s="448"/>
      <c r="X35" s="448"/>
      <c r="Y35" s="448"/>
      <c r="Z35" s="448"/>
      <c r="AA35" s="448"/>
      <c r="AC35" s="448"/>
      <c r="AD35" s="448"/>
      <c r="AE35" s="448"/>
      <c r="AF35" s="448"/>
      <c r="AG35" s="448"/>
      <c r="AH35" s="448"/>
      <c r="AI35" s="448"/>
      <c r="AJ35" s="448"/>
      <c r="AK35" s="448"/>
      <c r="AL35" s="448"/>
      <c r="AM35" s="448"/>
      <c r="AN35" s="448"/>
      <c r="AO35" s="448"/>
      <c r="AP35" s="448"/>
      <c r="AQ35" s="448"/>
      <c r="AR35" s="448"/>
      <c r="AS35" s="448"/>
      <c r="AT35" s="448"/>
      <c r="AU35" s="448"/>
      <c r="AV35" s="448"/>
      <c r="AW35" s="448"/>
      <c r="AX35" s="448"/>
      <c r="AY35" s="448"/>
      <c r="AZ35" s="448"/>
      <c r="BA35" s="448"/>
      <c r="BB35" s="448"/>
      <c r="BC35" s="448"/>
      <c r="BD35" s="448"/>
      <c r="BE35" s="448"/>
      <c r="BF35" s="448"/>
      <c r="BG35" s="448"/>
      <c r="BH35" s="448"/>
      <c r="BI35" s="448"/>
      <c r="BJ35" s="448"/>
      <c r="BK35" s="448"/>
      <c r="BL35" s="448"/>
      <c r="BM35" s="448"/>
      <c r="BN35" s="448"/>
      <c r="BO35" s="448"/>
    </row>
    <row r="36" spans="1:67">
      <c r="A36" s="448"/>
      <c r="B36" s="448"/>
      <c r="C36" s="448"/>
      <c r="D36" s="448"/>
      <c r="E36" s="448"/>
      <c r="F36" s="448"/>
      <c r="G36" s="448"/>
      <c r="H36" s="448"/>
      <c r="I36" s="448"/>
      <c r="J36" s="448"/>
      <c r="K36" s="448"/>
      <c r="L36" s="448"/>
      <c r="M36" s="448"/>
      <c r="N36" s="448"/>
      <c r="O36" s="448"/>
      <c r="P36" s="448"/>
      <c r="Q36" s="448"/>
      <c r="R36" s="448"/>
      <c r="S36" s="448"/>
      <c r="T36" s="448"/>
      <c r="U36" s="448"/>
      <c r="V36" s="448"/>
      <c r="W36" s="448"/>
      <c r="X36" s="448"/>
      <c r="Y36" s="448"/>
      <c r="Z36" s="448"/>
      <c r="AA36" s="448"/>
      <c r="AC36" s="448"/>
      <c r="AD36" s="448"/>
      <c r="AE36" s="448"/>
      <c r="AF36" s="448"/>
      <c r="AG36" s="448"/>
      <c r="AH36" s="448"/>
      <c r="AI36" s="448"/>
      <c r="AJ36" s="448"/>
      <c r="AK36" s="448"/>
      <c r="AL36" s="448"/>
      <c r="AM36" s="448"/>
      <c r="AN36" s="448"/>
      <c r="AO36" s="448"/>
      <c r="AP36" s="448"/>
      <c r="AQ36" s="448"/>
      <c r="AR36" s="448"/>
      <c r="AS36" s="448"/>
      <c r="AT36" s="448"/>
      <c r="AU36" s="448"/>
      <c r="AV36" s="448"/>
      <c r="AW36" s="448"/>
      <c r="AX36" s="448"/>
      <c r="AY36" s="448"/>
      <c r="AZ36" s="448"/>
      <c r="BA36" s="448"/>
      <c r="BB36" s="448"/>
      <c r="BC36" s="448"/>
      <c r="BD36" s="448"/>
      <c r="BE36" s="448"/>
      <c r="BF36" s="448"/>
      <c r="BG36" s="448"/>
      <c r="BH36" s="448"/>
      <c r="BI36" s="448"/>
      <c r="BJ36" s="448"/>
      <c r="BK36" s="448"/>
      <c r="BL36" s="448"/>
      <c r="BM36" s="448"/>
      <c r="BN36" s="448"/>
      <c r="BO36" s="448"/>
    </row>
    <row r="37" spans="1:67">
      <c r="A37" s="448"/>
      <c r="B37" s="448"/>
      <c r="C37" s="448"/>
      <c r="D37" s="448"/>
      <c r="E37" s="448"/>
      <c r="F37" s="448"/>
      <c r="G37" s="448"/>
      <c r="H37" s="448"/>
      <c r="I37" s="448"/>
      <c r="J37" s="448"/>
      <c r="K37" s="448"/>
      <c r="L37" s="448"/>
      <c r="M37" s="448"/>
      <c r="N37" s="448"/>
      <c r="O37" s="448"/>
      <c r="P37" s="448"/>
      <c r="Q37" s="448"/>
      <c r="R37" s="448"/>
      <c r="S37" s="448"/>
      <c r="T37" s="448"/>
      <c r="U37" s="448"/>
      <c r="V37" s="448"/>
      <c r="W37" s="448"/>
      <c r="X37" s="448"/>
      <c r="Y37" s="448"/>
      <c r="Z37" s="448"/>
      <c r="AA37" s="448"/>
      <c r="AC37" s="448"/>
      <c r="AD37" s="448"/>
      <c r="AE37" s="448"/>
      <c r="AF37" s="448"/>
      <c r="AG37" s="448"/>
      <c r="AH37" s="448"/>
      <c r="AI37" s="448"/>
      <c r="AJ37" s="448"/>
      <c r="AK37" s="448"/>
      <c r="AL37" s="448"/>
      <c r="AM37" s="448"/>
      <c r="AN37" s="448"/>
      <c r="AO37" s="448"/>
      <c r="AP37" s="448"/>
      <c r="AQ37" s="448"/>
      <c r="AR37" s="448"/>
      <c r="AS37" s="448"/>
      <c r="AT37" s="448"/>
      <c r="AU37" s="448"/>
      <c r="AV37" s="448"/>
      <c r="AW37" s="448"/>
      <c r="AX37" s="448"/>
      <c r="AY37" s="448"/>
      <c r="AZ37" s="448"/>
      <c r="BA37" s="448"/>
      <c r="BB37" s="448"/>
      <c r="BC37" s="448"/>
      <c r="BD37" s="448"/>
      <c r="BE37" s="448"/>
      <c r="BF37" s="448"/>
      <c r="BG37" s="448"/>
      <c r="BH37" s="448"/>
      <c r="BI37" s="448"/>
      <c r="BJ37" s="448"/>
      <c r="BK37" s="448"/>
      <c r="BL37" s="448"/>
      <c r="BM37" s="448"/>
      <c r="BN37" s="448"/>
      <c r="BO37" s="448"/>
    </row>
    <row r="38" spans="1:67">
      <c r="A38" s="448"/>
      <c r="B38" s="448"/>
      <c r="C38" s="1206" t="s">
        <v>248</v>
      </c>
      <c r="D38" s="1207"/>
      <c r="E38" s="1207"/>
      <c r="F38" s="1207"/>
      <c r="G38" s="1207"/>
      <c r="H38" s="1207"/>
      <c r="I38" s="1207"/>
      <c r="J38" s="1207"/>
      <c r="K38" s="1208"/>
      <c r="L38" s="1208"/>
      <c r="M38" s="1208"/>
      <c r="N38" s="1208"/>
      <c r="O38" s="1209"/>
      <c r="P38" s="448"/>
      <c r="Q38" s="448"/>
      <c r="R38" s="448"/>
      <c r="S38" s="448"/>
      <c r="T38" s="448"/>
      <c r="U38" s="448"/>
      <c r="V38" s="448"/>
      <c r="W38" s="448"/>
      <c r="X38" s="448"/>
      <c r="Y38" s="448"/>
      <c r="Z38" s="448"/>
      <c r="AA38" s="448"/>
      <c r="AC38" s="448"/>
      <c r="AD38" s="448"/>
      <c r="AE38" s="448"/>
      <c r="AF38" s="448"/>
      <c r="AG38" s="448"/>
      <c r="AH38" s="448"/>
      <c r="AI38" s="448"/>
      <c r="AJ38" s="448"/>
      <c r="AK38" s="448"/>
      <c r="AL38" s="448"/>
      <c r="AM38" s="448"/>
      <c r="AN38" s="448"/>
      <c r="AO38" s="448"/>
      <c r="AP38" s="448"/>
      <c r="AQ38" s="448"/>
      <c r="AR38" s="448"/>
      <c r="AS38" s="448"/>
      <c r="AT38" s="448"/>
      <c r="AU38" s="448"/>
      <c r="AV38" s="448"/>
      <c r="AW38" s="448"/>
      <c r="AX38" s="448"/>
      <c r="AY38" s="448"/>
      <c r="AZ38" s="448"/>
      <c r="BA38" s="448"/>
      <c r="BB38" s="448"/>
      <c r="BC38" s="448"/>
      <c r="BD38" s="448"/>
      <c r="BE38" s="448"/>
      <c r="BF38" s="448"/>
      <c r="BG38" s="448"/>
      <c r="BH38" s="448"/>
      <c r="BI38" s="448"/>
      <c r="BJ38" s="448"/>
      <c r="BK38" s="448"/>
      <c r="BL38" s="448"/>
      <c r="BM38" s="448"/>
      <c r="BN38" s="448"/>
      <c r="BO38" s="448"/>
    </row>
    <row r="39" spans="1:67">
      <c r="A39" s="448"/>
      <c r="B39" s="448"/>
      <c r="C39" s="1101" t="s">
        <v>238</v>
      </c>
      <c r="D39" s="1101"/>
      <c r="E39" s="1101">
        <f>F26</f>
        <v>46.1</v>
      </c>
      <c r="F39" s="1101"/>
      <c r="G39" s="1101"/>
      <c r="H39" s="448"/>
      <c r="I39" s="981" t="s">
        <v>247</v>
      </c>
      <c r="J39" s="981"/>
      <c r="K39" s="1251" t="s">
        <v>74</v>
      </c>
      <c r="L39" s="952">
        <f>$P$34/(60 * COS($E$39*Outils!$F$4))</f>
        <v>-0.11835462412189314</v>
      </c>
      <c r="M39" s="952"/>
      <c r="N39" s="952"/>
      <c r="O39" s="1124" t="s">
        <v>249</v>
      </c>
      <c r="P39" s="985" t="str">
        <f>IF(K34,"Vers l'Est","Vers l'Ouest")</f>
        <v>Vers l'Ouest</v>
      </c>
      <c r="Q39" s="985"/>
      <c r="R39" s="985"/>
      <c r="S39" s="448"/>
      <c r="T39" s="448"/>
      <c r="U39" s="986" t="s">
        <v>263</v>
      </c>
      <c r="V39" s="987"/>
      <c r="W39" s="988"/>
      <c r="X39" s="952">
        <f>IF(K34,-1*ABS(L39),ABS(L39))</f>
        <v>0.11835462412189314</v>
      </c>
      <c r="Y39" s="952"/>
      <c r="Z39" s="952"/>
      <c r="AA39" s="1124" t="s">
        <v>249</v>
      </c>
      <c r="AC39" s="448"/>
      <c r="AD39" s="448"/>
      <c r="AE39" s="448"/>
      <c r="AF39" s="448"/>
      <c r="AG39" s="448"/>
      <c r="AH39" s="448"/>
      <c r="AI39" s="448"/>
      <c r="AJ39" s="448"/>
      <c r="AK39" s="448"/>
      <c r="AL39" s="448"/>
      <c r="AM39" s="448"/>
      <c r="AN39" s="448"/>
      <c r="AO39" s="448"/>
      <c r="AP39" s="448"/>
      <c r="AQ39" s="448"/>
      <c r="AR39" s="448"/>
      <c r="AS39" s="448"/>
      <c r="AT39" s="448"/>
      <c r="AU39" s="448"/>
      <c r="AV39" s="448"/>
      <c r="AW39" s="448"/>
      <c r="AX39" s="448"/>
      <c r="AY39" s="448"/>
      <c r="AZ39" s="448"/>
      <c r="BA39" s="448"/>
      <c r="BB39" s="448"/>
      <c r="BC39" s="448"/>
      <c r="BD39" s="448"/>
      <c r="BE39" s="448"/>
      <c r="BF39" s="448"/>
      <c r="BG39" s="448"/>
      <c r="BH39" s="448"/>
      <c r="BI39" s="448"/>
      <c r="BJ39" s="448"/>
      <c r="BK39" s="448"/>
      <c r="BL39" s="448"/>
      <c r="BM39" s="448"/>
      <c r="BN39" s="448"/>
      <c r="BO39" s="448"/>
    </row>
    <row r="40" spans="1:67">
      <c r="A40" s="448"/>
      <c r="B40" s="448"/>
      <c r="C40" s="1070" t="str">
        <f>N34</f>
        <v>VLong.</v>
      </c>
      <c r="D40" s="1070"/>
      <c r="E40" s="1070">
        <f>P34</f>
        <v>-4.9240387650610398</v>
      </c>
      <c r="F40" s="1070"/>
      <c r="G40" s="1070"/>
      <c r="H40" s="448"/>
      <c r="I40" s="981"/>
      <c r="J40" s="981"/>
      <c r="K40" s="1251"/>
      <c r="L40" s="952"/>
      <c r="M40" s="952"/>
      <c r="N40" s="952"/>
      <c r="O40" s="1124"/>
      <c r="P40" s="985"/>
      <c r="Q40" s="985"/>
      <c r="R40" s="985"/>
      <c r="S40" s="448"/>
      <c r="T40" s="448"/>
      <c r="U40" s="989"/>
      <c r="V40" s="990"/>
      <c r="W40" s="991"/>
      <c r="X40" s="952"/>
      <c r="Y40" s="952"/>
      <c r="Z40" s="952"/>
      <c r="AA40" s="1124"/>
      <c r="AC40" s="448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  <c r="BC40" s="448"/>
      <c r="BD40" s="448"/>
      <c r="BE40" s="448"/>
      <c r="BF40" s="448"/>
      <c r="BG40" s="448"/>
      <c r="BH40" s="448"/>
      <c r="BI40" s="448"/>
      <c r="BJ40" s="448"/>
      <c r="BK40" s="448"/>
      <c r="BL40" s="448"/>
      <c r="BM40" s="448"/>
      <c r="BN40" s="448"/>
      <c r="BO40" s="448"/>
    </row>
    <row r="41" spans="1:67">
      <c r="A41" s="448"/>
      <c r="B41" s="448"/>
      <c r="C41" s="448"/>
      <c r="D41" s="448"/>
      <c r="E41" s="448"/>
      <c r="F41" s="448"/>
      <c r="G41" s="448"/>
      <c r="H41" s="448"/>
      <c r="I41" s="448"/>
      <c r="J41" s="448"/>
      <c r="K41" s="448"/>
      <c r="L41" s="448"/>
      <c r="M41" s="448"/>
      <c r="N41" s="448"/>
      <c r="O41" s="448"/>
      <c r="P41" s="448"/>
      <c r="Q41" s="448"/>
      <c r="R41" s="448"/>
      <c r="S41" s="448"/>
      <c r="T41" s="448"/>
      <c r="U41" s="448"/>
      <c r="V41" s="448"/>
      <c r="W41" s="448"/>
      <c r="X41" s="448"/>
      <c r="Y41" s="448"/>
      <c r="Z41" s="448"/>
      <c r="AA41" s="448"/>
      <c r="AC41" s="448"/>
      <c r="AD41" s="448"/>
      <c r="AE41" s="448"/>
      <c r="AF41" s="448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8"/>
      <c r="BC41" s="448"/>
      <c r="BD41" s="448"/>
      <c r="BE41" s="448"/>
      <c r="BF41" s="448"/>
      <c r="BG41" s="448"/>
      <c r="BH41" s="448"/>
      <c r="BI41" s="448"/>
      <c r="BJ41" s="448"/>
      <c r="BK41" s="448"/>
      <c r="BL41" s="448"/>
      <c r="BM41" s="448"/>
      <c r="BN41" s="448"/>
      <c r="BO41" s="448"/>
    </row>
    <row r="42" spans="1:67">
      <c r="A42" s="448"/>
      <c r="B42" s="448"/>
      <c r="C42" s="448"/>
      <c r="D42" s="448"/>
      <c r="E42" s="448"/>
      <c r="F42" s="448"/>
      <c r="G42" s="448"/>
      <c r="H42" s="448"/>
      <c r="I42" s="448"/>
      <c r="J42" s="448"/>
      <c r="K42" s="448"/>
      <c r="L42" s="448"/>
      <c r="M42" s="448"/>
      <c r="N42" s="448"/>
      <c r="O42" s="448"/>
      <c r="P42" s="448"/>
      <c r="Q42" s="448"/>
      <c r="R42" s="448"/>
      <c r="S42" s="448"/>
      <c r="T42" s="448"/>
      <c r="U42" s="448"/>
      <c r="V42" s="448"/>
      <c r="W42" s="448"/>
      <c r="X42" s="448"/>
      <c r="Y42" s="448"/>
      <c r="Z42" s="448"/>
      <c r="AA42" s="448"/>
      <c r="AC42" s="448"/>
      <c r="AD42" s="448"/>
      <c r="AE42" s="448"/>
      <c r="AF42" s="448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  <c r="AQ42" s="448"/>
      <c r="AR42" s="448"/>
      <c r="AS42" s="448"/>
      <c r="AT42" s="448"/>
      <c r="AU42" s="448"/>
      <c r="AV42" s="448"/>
      <c r="AW42" s="448"/>
      <c r="AX42" s="448"/>
      <c r="AY42" s="448"/>
      <c r="AZ42" s="448"/>
      <c r="BA42" s="448"/>
      <c r="BB42" s="448"/>
      <c r="BC42" s="448"/>
      <c r="BD42" s="448"/>
      <c r="BE42" s="448"/>
      <c r="BF42" s="448"/>
      <c r="BG42" s="448"/>
      <c r="BH42" s="448"/>
      <c r="BI42" s="448"/>
      <c r="BJ42" s="448"/>
      <c r="BK42" s="448"/>
      <c r="BL42" s="448"/>
      <c r="BM42" s="448"/>
      <c r="BN42" s="448"/>
      <c r="BO42" s="448"/>
    </row>
    <row r="43" spans="1:67" ht="18.75" customHeight="1">
      <c r="A43" s="448"/>
      <c r="B43" s="448"/>
      <c r="C43" s="1248" t="s">
        <v>562</v>
      </c>
      <c r="D43" s="1249"/>
      <c r="E43" s="1249"/>
      <c r="F43" s="1249"/>
      <c r="G43" s="1249"/>
      <c r="H43" s="1249"/>
      <c r="I43" s="1249"/>
      <c r="J43" s="1249"/>
      <c r="K43" s="1249"/>
      <c r="L43" s="1249"/>
      <c r="M43" s="1249"/>
      <c r="N43" s="1249"/>
      <c r="O43" s="1250"/>
      <c r="P43" s="448"/>
      <c r="Q43" s="448"/>
      <c r="R43" s="448"/>
      <c r="S43" s="448"/>
      <c r="T43" s="448"/>
      <c r="U43" s="448"/>
      <c r="V43" s="448"/>
      <c r="W43" s="448"/>
      <c r="X43" s="448"/>
      <c r="Y43" s="448"/>
      <c r="Z43" s="448"/>
      <c r="AA43" s="448"/>
      <c r="AC43" s="448"/>
      <c r="AD43" s="448"/>
      <c r="AE43" s="448"/>
      <c r="AF43" s="448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  <c r="AQ43" s="448"/>
      <c r="AR43" s="448"/>
      <c r="AS43" s="448"/>
      <c r="AT43" s="448"/>
      <c r="AU43" s="448"/>
      <c r="AV43" s="448"/>
      <c r="AW43" s="448"/>
      <c r="AX43" s="448"/>
      <c r="AY43" s="448"/>
      <c r="AZ43" s="448"/>
      <c r="BA43" s="448"/>
      <c r="BB43" s="448"/>
      <c r="BC43" s="448"/>
      <c r="BD43" s="448"/>
      <c r="BE43" s="448"/>
      <c r="BF43" s="448"/>
      <c r="BG43" s="448"/>
      <c r="BH43" s="448"/>
      <c r="BI43" s="448"/>
      <c r="BJ43" s="448"/>
      <c r="BK43" s="448"/>
      <c r="BL43" s="448"/>
      <c r="BM43" s="448"/>
      <c r="BN43" s="448"/>
      <c r="BO43" s="448"/>
    </row>
    <row r="44" spans="1:67" ht="15" customHeight="1">
      <c r="A44" s="448"/>
      <c r="B44" s="448"/>
      <c r="C44" s="1101" t="s">
        <v>171</v>
      </c>
      <c r="D44" s="1101"/>
      <c r="E44" s="1101">
        <f>F13</f>
        <v>-7.083333333333333</v>
      </c>
      <c r="F44" s="1101"/>
      <c r="G44" s="1101"/>
      <c r="H44" s="448"/>
      <c r="I44" s="971" t="s">
        <v>251</v>
      </c>
      <c r="J44" s="972"/>
      <c r="K44" s="973">
        <f>longitude2LongitudeHoraire(E44)</f>
        <v>7.083333333333333</v>
      </c>
      <c r="L44" s="973"/>
      <c r="M44" s="973"/>
      <c r="N44" s="973"/>
      <c r="O44" s="112" t="s">
        <v>28</v>
      </c>
      <c r="P44" s="1224" t="str">
        <f>longitudeDecimal2Txt(E44)</f>
        <v>W 07°05.00 (W 07.0833) [W 07°05'00.00]</v>
      </c>
      <c r="Q44" s="1225"/>
      <c r="R44" s="1225"/>
      <c r="S44" s="1225"/>
      <c r="T44" s="1225"/>
      <c r="U44" s="1225"/>
      <c r="V44" s="448"/>
      <c r="W44" s="448"/>
      <c r="X44" s="448"/>
      <c r="Y44" s="448"/>
      <c r="Z44" s="448"/>
      <c r="AA44" s="448"/>
      <c r="AC44" s="448"/>
      <c r="AD44" s="448"/>
      <c r="AE44" s="448"/>
      <c r="AF44" s="448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  <c r="AQ44" s="448"/>
      <c r="AR44" s="448"/>
      <c r="AS44" s="448"/>
      <c r="AT44" s="448"/>
      <c r="AU44" s="448"/>
      <c r="AV44" s="448"/>
      <c r="AW44" s="448"/>
      <c r="AX44" s="448"/>
      <c r="AY44" s="448"/>
      <c r="AZ44" s="448"/>
      <c r="BA44" s="448"/>
      <c r="BB44" s="448"/>
      <c r="BC44" s="448"/>
      <c r="BD44" s="448"/>
      <c r="BE44" s="448"/>
      <c r="BF44" s="448"/>
      <c r="BG44" s="448"/>
      <c r="BH44" s="448"/>
      <c r="BI44" s="448"/>
      <c r="BJ44" s="448"/>
      <c r="BK44" s="448"/>
      <c r="BL44" s="448"/>
      <c r="BM44" s="448"/>
      <c r="BN44" s="448"/>
      <c r="BO44" s="448"/>
    </row>
    <row r="45" spans="1:67">
      <c r="A45" s="448"/>
      <c r="B45" s="448"/>
      <c r="C45" s="448"/>
      <c r="D45" s="448"/>
      <c r="E45" s="448"/>
      <c r="F45" s="448"/>
      <c r="G45" s="448"/>
      <c r="H45" s="448"/>
      <c r="I45" s="448"/>
      <c r="J45" s="448"/>
      <c r="K45" s="448"/>
      <c r="L45" s="448"/>
      <c r="M45" s="448"/>
      <c r="N45" s="448"/>
      <c r="O45" s="448"/>
      <c r="P45" s="448"/>
      <c r="Q45" s="448"/>
      <c r="R45" s="448"/>
      <c r="S45" s="448"/>
      <c r="T45" s="448"/>
      <c r="U45" s="448"/>
      <c r="V45" s="448"/>
      <c r="W45" s="448"/>
      <c r="X45" s="448"/>
      <c r="Y45" s="448"/>
      <c r="Z45" s="448"/>
      <c r="AA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8"/>
      <c r="BI45" s="448"/>
      <c r="BJ45" s="448"/>
      <c r="BK45" s="448"/>
      <c r="BL45" s="448"/>
      <c r="BM45" s="448"/>
      <c r="BN45" s="448"/>
      <c r="BO45" s="448"/>
    </row>
    <row r="46" spans="1:67">
      <c r="A46" s="448"/>
      <c r="B46" s="448"/>
      <c r="C46" s="448"/>
      <c r="D46" s="448"/>
      <c r="E46" s="448"/>
      <c r="F46" s="448"/>
      <c r="G46" s="448"/>
      <c r="H46" s="448"/>
      <c r="I46" s="448"/>
      <c r="J46" s="448"/>
      <c r="K46" s="448"/>
      <c r="L46" s="448"/>
      <c r="M46" s="448"/>
      <c r="N46" s="448"/>
      <c r="O46" s="448"/>
      <c r="P46" s="448"/>
      <c r="Q46" s="448"/>
      <c r="R46" s="448"/>
      <c r="S46" s="448"/>
      <c r="T46" s="448"/>
      <c r="U46" s="448"/>
      <c r="V46" s="448"/>
      <c r="W46" s="448"/>
      <c r="X46" s="448"/>
      <c r="Y46" s="448"/>
      <c r="Z46" s="448"/>
      <c r="AA46" s="448"/>
      <c r="AC46" s="448"/>
      <c r="AD46" s="448"/>
      <c r="AE46" s="448"/>
      <c r="AF46" s="448"/>
      <c r="AG46" s="448"/>
      <c r="AH46" s="448"/>
      <c r="AI46" s="448"/>
      <c r="AJ46" s="448"/>
      <c r="AK46" s="448"/>
      <c r="AL46" s="448"/>
      <c r="AM46" s="448"/>
      <c r="AN46" s="448"/>
      <c r="AO46" s="448"/>
      <c r="AP46" s="448"/>
      <c r="AQ46" s="448"/>
      <c r="AR46" s="448"/>
      <c r="AS46" s="448"/>
      <c r="AT46" s="448"/>
      <c r="AU46" s="448"/>
      <c r="AV46" s="448"/>
      <c r="AW46" s="448"/>
      <c r="AX46" s="448"/>
      <c r="AY46" s="448"/>
      <c r="AZ46" s="448"/>
      <c r="BA46" s="448"/>
      <c r="BB46" s="448"/>
      <c r="BC46" s="448"/>
      <c r="BD46" s="448"/>
      <c r="BE46" s="448"/>
      <c r="BF46" s="448"/>
      <c r="BG46" s="448"/>
      <c r="BH46" s="448"/>
      <c r="BI46" s="448"/>
      <c r="BJ46" s="448"/>
      <c r="BK46" s="448"/>
      <c r="BL46" s="448"/>
      <c r="BM46" s="448"/>
      <c r="BN46" s="448"/>
      <c r="BO46" s="448"/>
    </row>
    <row r="47" spans="1:67">
      <c r="A47" s="448"/>
      <c r="B47" s="448"/>
      <c r="C47" s="1223" t="s">
        <v>252</v>
      </c>
      <c r="D47" s="1223"/>
      <c r="E47" s="1223"/>
      <c r="F47" s="1223"/>
      <c r="G47" s="1223"/>
      <c r="H47" s="1223"/>
      <c r="I47" s="1223"/>
      <c r="J47" s="1223"/>
      <c r="K47" s="1223"/>
      <c r="L47" s="1223"/>
      <c r="M47" s="1223"/>
      <c r="N47" s="1223"/>
      <c r="O47" s="1223"/>
      <c r="P47" s="448"/>
      <c r="Q47" s="448"/>
      <c r="R47" s="448"/>
      <c r="S47" s="448"/>
      <c r="T47" s="448"/>
      <c r="U47" s="448"/>
      <c r="V47" s="448"/>
      <c r="W47" s="448"/>
      <c r="X47" s="448"/>
      <c r="Y47" s="448"/>
      <c r="Z47" s="448"/>
      <c r="AA47" s="448"/>
      <c r="AC47" s="448"/>
      <c r="AD47" s="448"/>
      <c r="AE47" s="448"/>
      <c r="AF47" s="448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  <c r="AQ47" s="448"/>
      <c r="AR47" s="448"/>
      <c r="AS47" s="448"/>
      <c r="AT47" s="448"/>
      <c r="AU47" s="448"/>
      <c r="AV47" s="448"/>
      <c r="AW47" s="448"/>
      <c r="AX47" s="448"/>
      <c r="AY47" s="448"/>
      <c r="AZ47" s="448"/>
      <c r="BA47" s="448"/>
      <c r="BB47" s="448"/>
      <c r="BC47" s="448"/>
      <c r="BD47" s="448"/>
      <c r="BE47" s="448"/>
      <c r="BF47" s="448"/>
      <c r="BG47" s="448"/>
      <c r="BH47" s="448"/>
      <c r="BI47" s="448"/>
      <c r="BJ47" s="448"/>
      <c r="BK47" s="448"/>
      <c r="BL47" s="448"/>
      <c r="BM47" s="448"/>
      <c r="BN47" s="448"/>
      <c r="BO47" s="448"/>
    </row>
    <row r="48" spans="1:67" ht="15" customHeight="1" thickBot="1">
      <c r="A48" s="448"/>
      <c r="B48" s="448"/>
      <c r="C48" s="1217" t="s">
        <v>262</v>
      </c>
      <c r="D48" s="1217"/>
      <c r="E48" s="1217"/>
      <c r="F48" s="1217"/>
      <c r="G48" s="1217"/>
      <c r="H48" s="1217"/>
      <c r="I48" s="1217"/>
      <c r="J48" s="1217"/>
      <c r="K48" s="1217"/>
      <c r="L48" s="1217"/>
      <c r="M48" s="1217"/>
      <c r="N48" s="1217"/>
      <c r="O48" s="1217"/>
      <c r="P48" s="456" t="s">
        <v>265</v>
      </c>
      <c r="Q48" s="1218" t="s">
        <v>264</v>
      </c>
      <c r="R48" s="1218"/>
      <c r="S48" s="1218"/>
      <c r="T48" s="1218"/>
      <c r="U48" s="1218"/>
      <c r="V48" s="444">
        <v>15.002000000000001</v>
      </c>
      <c r="W48" s="493" t="s">
        <v>249</v>
      </c>
      <c r="X48" s="448"/>
      <c r="Y48" s="448"/>
      <c r="Z48" s="448"/>
      <c r="AA48" s="448"/>
      <c r="AC48" s="448"/>
      <c r="AD48" s="448"/>
      <c r="AE48" s="448"/>
      <c r="AF48" s="448"/>
      <c r="AG48" s="448"/>
      <c r="AH48" s="448"/>
      <c r="AI48" s="448"/>
      <c r="AJ48" s="448"/>
      <c r="AK48" s="448"/>
      <c r="AL48" s="448"/>
      <c r="AM48" s="448"/>
      <c r="AN48" s="448"/>
      <c r="AO48" s="448"/>
      <c r="AP48" s="448"/>
      <c r="AQ48" s="448"/>
      <c r="AR48" s="448"/>
      <c r="AS48" s="448"/>
      <c r="AT48" s="448"/>
      <c r="AU48" s="448"/>
      <c r="AV48" s="448"/>
      <c r="AW48" s="448"/>
      <c r="AX48" s="448"/>
      <c r="AY48" s="448"/>
      <c r="AZ48" s="448"/>
      <c r="BA48" s="448"/>
      <c r="BB48" s="448"/>
      <c r="BC48" s="448"/>
      <c r="BD48" s="448"/>
      <c r="BE48" s="448"/>
      <c r="BF48" s="448"/>
      <c r="BG48" s="448"/>
      <c r="BH48" s="448"/>
      <c r="BI48" s="448"/>
      <c r="BJ48" s="448"/>
      <c r="BK48" s="448"/>
      <c r="BL48" s="448"/>
      <c r="BM48" s="448"/>
      <c r="BN48" s="448"/>
      <c r="BO48" s="448"/>
    </row>
    <row r="49" spans="1:67" ht="15.75" thickTop="1">
      <c r="A49" s="448"/>
      <c r="B49" s="448"/>
      <c r="C49" s="1217"/>
      <c r="D49" s="1217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448"/>
      <c r="Q49" s="448"/>
      <c r="R49" s="448"/>
      <c r="S49" s="448"/>
      <c r="T49" s="448"/>
      <c r="U49" s="448"/>
      <c r="V49" s="448"/>
      <c r="W49" s="448"/>
      <c r="X49" s="448"/>
      <c r="Y49" s="448"/>
      <c r="Z49" s="448"/>
      <c r="AA49" s="448"/>
      <c r="AC49" s="448"/>
      <c r="AD49" s="448"/>
      <c r="AE49" s="448"/>
      <c r="AF49" s="448"/>
      <c r="AG49" s="448"/>
      <c r="AH49" s="448"/>
      <c r="AI49" s="448"/>
      <c r="AJ49" s="448"/>
      <c r="AK49" s="448"/>
      <c r="AL49" s="448"/>
      <c r="AM49" s="448"/>
      <c r="AN49" s="448"/>
      <c r="AO49" s="448"/>
      <c r="AP49" s="448"/>
      <c r="AQ49" s="448"/>
      <c r="AR49" s="448"/>
      <c r="AS49" s="448"/>
      <c r="AT49" s="448"/>
      <c r="AU49" s="448"/>
      <c r="AV49" s="448"/>
      <c r="AW49" s="448"/>
      <c r="AX49" s="448"/>
      <c r="AY49" s="448"/>
      <c r="AZ49" s="448"/>
      <c r="BA49" s="448"/>
      <c r="BB49" s="448"/>
      <c r="BC49" s="448"/>
      <c r="BD49" s="448"/>
      <c r="BE49" s="448"/>
      <c r="BF49" s="448"/>
      <c r="BG49" s="448"/>
      <c r="BH49" s="448"/>
      <c r="BI49" s="448"/>
      <c r="BJ49" s="448"/>
      <c r="BK49" s="448"/>
      <c r="BL49" s="448"/>
      <c r="BM49" s="448"/>
      <c r="BN49" s="448"/>
      <c r="BO49" s="448"/>
    </row>
    <row r="50" spans="1:67">
      <c r="A50" s="448"/>
      <c r="B50" s="448"/>
      <c r="C50" s="1217"/>
      <c r="D50" s="1217"/>
      <c r="E50" s="1217"/>
      <c r="F50" s="1217"/>
      <c r="G50" s="1217"/>
      <c r="H50" s="1217"/>
      <c r="I50" s="1217"/>
      <c r="J50" s="1217"/>
      <c r="K50" s="1217"/>
      <c r="L50" s="1217"/>
      <c r="M50" s="1217"/>
      <c r="N50" s="1217"/>
      <c r="O50" s="1217"/>
      <c r="P50" s="448"/>
      <c r="Q50" s="448"/>
      <c r="R50" s="448"/>
      <c r="S50" s="448"/>
      <c r="T50" s="448"/>
      <c r="U50" s="448"/>
      <c r="V50" s="448"/>
      <c r="W50" s="448"/>
      <c r="X50" s="448"/>
      <c r="Y50" s="448"/>
      <c r="Z50" s="448"/>
      <c r="AA50" s="448"/>
      <c r="AC50" s="448"/>
      <c r="AD50" s="448"/>
      <c r="AE50" s="448"/>
      <c r="AF50" s="448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  <c r="AQ50" s="448"/>
      <c r="AR50" s="448"/>
      <c r="AS50" s="448"/>
      <c r="AT50" s="448"/>
      <c r="AU50" s="448"/>
      <c r="AV50" s="448"/>
      <c r="AW50" s="448"/>
      <c r="AX50" s="448"/>
      <c r="AY50" s="448"/>
      <c r="AZ50" s="448"/>
      <c r="BA50" s="448"/>
      <c r="BB50" s="448"/>
      <c r="BC50" s="448"/>
      <c r="BD50" s="448"/>
      <c r="BE50" s="448"/>
      <c r="BF50" s="448"/>
      <c r="BG50" s="448"/>
      <c r="BH50" s="448"/>
      <c r="BI50" s="448"/>
      <c r="BJ50" s="448"/>
      <c r="BK50" s="448"/>
      <c r="BL50" s="448"/>
      <c r="BM50" s="448"/>
      <c r="BN50" s="448"/>
      <c r="BO50" s="448"/>
    </row>
    <row r="51" spans="1:67">
      <c r="A51" s="448"/>
      <c r="B51" s="448"/>
      <c r="C51" s="448"/>
      <c r="D51" s="448"/>
      <c r="E51" s="448"/>
      <c r="F51" s="448"/>
      <c r="G51" s="448"/>
      <c r="H51" s="448"/>
      <c r="I51" s="448"/>
      <c r="J51" s="448"/>
      <c r="K51" s="448"/>
      <c r="L51" s="448"/>
      <c r="M51" s="448"/>
      <c r="N51" s="448"/>
      <c r="O51" s="448"/>
      <c r="P51" s="448"/>
      <c r="Q51" s="448"/>
      <c r="R51" s="448"/>
      <c r="S51" s="448"/>
      <c r="T51" s="448"/>
      <c r="U51" s="448"/>
      <c r="V51" s="448"/>
      <c r="W51" s="448"/>
      <c r="X51" s="448"/>
      <c r="Y51" s="448"/>
      <c r="Z51" s="448"/>
      <c r="AA51" s="448"/>
      <c r="AC51" s="448"/>
      <c r="AD51" s="448"/>
      <c r="AE51" s="448"/>
      <c r="AF51" s="448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  <c r="AQ51" s="448"/>
      <c r="AR51" s="448"/>
      <c r="AS51" s="448"/>
      <c r="AT51" s="448"/>
      <c r="AU51" s="448"/>
      <c r="AV51" s="448"/>
      <c r="AW51" s="448"/>
      <c r="AX51" s="448"/>
      <c r="AY51" s="448"/>
      <c r="AZ51" s="448"/>
      <c r="BA51" s="448"/>
      <c r="BB51" s="448"/>
      <c r="BC51" s="448"/>
      <c r="BD51" s="448"/>
      <c r="BE51" s="448"/>
      <c r="BF51" s="448"/>
      <c r="BG51" s="448"/>
      <c r="BH51" s="448"/>
      <c r="BI51" s="448"/>
      <c r="BJ51" s="448"/>
      <c r="BK51" s="448"/>
      <c r="BL51" s="448"/>
      <c r="BM51" s="448"/>
      <c r="BN51" s="448"/>
      <c r="BO51" s="448"/>
    </row>
    <row r="52" spans="1:67">
      <c r="A52" s="448"/>
      <c r="B52" s="448"/>
      <c r="C52" s="448"/>
      <c r="D52" s="448"/>
      <c r="E52" s="448"/>
      <c r="F52" s="448"/>
      <c r="G52" s="448"/>
      <c r="H52" s="448"/>
      <c r="I52" s="448"/>
      <c r="J52" s="448"/>
      <c r="K52" s="448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448"/>
      <c r="BD52" s="448"/>
      <c r="BE52" s="448"/>
      <c r="BF52" s="448"/>
      <c r="BG52" s="448"/>
      <c r="BH52" s="448"/>
      <c r="BI52" s="448"/>
      <c r="BJ52" s="448"/>
      <c r="BK52" s="448"/>
      <c r="BL52" s="448"/>
      <c r="BM52" s="448"/>
      <c r="BN52" s="448"/>
      <c r="BO52" s="448"/>
    </row>
    <row r="53" spans="1:67">
      <c r="A53" s="448"/>
      <c r="B53" s="448"/>
      <c r="C53" s="448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448"/>
      <c r="Q53" s="448"/>
      <c r="R53" s="448"/>
      <c r="S53" s="448"/>
      <c r="T53" s="448"/>
      <c r="U53" s="448"/>
      <c r="V53" s="448"/>
      <c r="W53" s="448"/>
      <c r="X53" s="448"/>
      <c r="Y53" s="448"/>
      <c r="Z53" s="448"/>
      <c r="AA53" s="448"/>
      <c r="AC53" s="453" t="s">
        <v>592</v>
      </c>
      <c r="AD53" s="457">
        <f>F21</f>
        <v>12.062777777777779</v>
      </c>
      <c r="AE53" s="448" t="s">
        <v>257</v>
      </c>
      <c r="AF53" s="448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  <c r="AQ53" s="448"/>
      <c r="AR53" s="448"/>
      <c r="AS53" s="448"/>
      <c r="AT53" s="448"/>
      <c r="AU53" s="448"/>
      <c r="AV53" s="448"/>
      <c r="AW53" s="448"/>
      <c r="AX53" s="448"/>
      <c r="AY53" s="448"/>
      <c r="AZ53" s="448"/>
      <c r="BA53" s="448"/>
      <c r="BB53" s="448"/>
      <c r="BC53" s="448"/>
      <c r="BD53" s="448"/>
      <c r="BE53" s="448"/>
      <c r="BF53" s="448"/>
      <c r="BG53" s="448"/>
      <c r="BH53" s="448"/>
      <c r="BI53" s="448"/>
      <c r="BJ53" s="448"/>
      <c r="BK53" s="448"/>
      <c r="BL53" s="448"/>
      <c r="BM53" s="448"/>
      <c r="BN53" s="448"/>
      <c r="BO53" s="448"/>
    </row>
    <row r="54" spans="1:67" ht="15" customHeight="1">
      <c r="A54" s="448"/>
      <c r="B54" s="448"/>
      <c r="C54" s="448"/>
      <c r="D54" s="448"/>
      <c r="E54" s="448"/>
      <c r="F54" s="448"/>
      <c r="G54" s="448"/>
      <c r="H54" s="952" t="str">
        <f>CONCATENATE("T = Temps pour que le soleil passe a la meridienne locale: ",P44)</f>
        <v>T = Temps pour que le soleil passe a la meridienne locale: W 07°05.00 (W 07.0833) [W 07°05'00.00]</v>
      </c>
      <c r="I54" s="952"/>
      <c r="J54" s="952"/>
      <c r="K54" s="952"/>
      <c r="L54" s="952"/>
      <c r="M54" s="952"/>
      <c r="N54" s="952"/>
      <c r="O54" s="952"/>
      <c r="P54" s="952"/>
      <c r="Q54" s="952"/>
      <c r="R54" s="952"/>
      <c r="S54" s="952"/>
      <c r="T54" s="952"/>
      <c r="U54" s="952"/>
      <c r="V54" s="952">
        <f>AD59</f>
        <v>2.2093113132353905</v>
      </c>
      <c r="W54" s="952"/>
      <c r="X54" s="952" t="s">
        <v>257</v>
      </c>
      <c r="Y54" s="448"/>
      <c r="Z54" s="448"/>
      <c r="AA54" s="448"/>
      <c r="AB54" s="289"/>
      <c r="AC54" s="453" t="s">
        <v>593</v>
      </c>
      <c r="AD54" s="457">
        <f>F9</f>
        <v>10.343055555555557</v>
      </c>
      <c r="AE54" s="448" t="s">
        <v>257</v>
      </c>
      <c r="AF54" s="448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  <c r="AQ54" s="448"/>
      <c r="AR54" s="448"/>
      <c r="AS54" s="448"/>
      <c r="AT54" s="448"/>
      <c r="AU54" s="448"/>
      <c r="AV54" s="448"/>
      <c r="AW54" s="448"/>
      <c r="AX54" s="448"/>
      <c r="AY54" s="448"/>
      <c r="AZ54" s="448"/>
      <c r="BA54" s="448"/>
      <c r="BB54" s="448"/>
      <c r="BC54" s="448"/>
      <c r="BD54" s="448"/>
      <c r="BE54" s="448"/>
      <c r="BF54" s="448"/>
      <c r="BG54" s="448"/>
      <c r="BH54" s="448"/>
      <c r="BI54" s="448"/>
      <c r="BJ54" s="448"/>
      <c r="BK54" s="448"/>
      <c r="BL54" s="448"/>
      <c r="BM54" s="448"/>
      <c r="BN54" s="448"/>
      <c r="BO54" s="448"/>
    </row>
    <row r="55" spans="1:67">
      <c r="A55" s="448"/>
      <c r="B55" s="448"/>
      <c r="C55" s="448"/>
      <c r="D55" s="448"/>
      <c r="E55" s="448"/>
      <c r="F55" s="448"/>
      <c r="G55" s="448"/>
      <c r="H55" s="952"/>
      <c r="I55" s="952"/>
      <c r="J55" s="952"/>
      <c r="K55" s="952"/>
      <c r="L55" s="952"/>
      <c r="M55" s="952"/>
      <c r="N55" s="952"/>
      <c r="O55" s="952"/>
      <c r="P55" s="952"/>
      <c r="Q55" s="952"/>
      <c r="R55" s="952"/>
      <c r="S55" s="952"/>
      <c r="T55" s="952"/>
      <c r="U55" s="952"/>
      <c r="V55" s="952"/>
      <c r="W55" s="952"/>
      <c r="X55" s="952"/>
      <c r="Y55" s="448"/>
      <c r="Z55" s="448"/>
      <c r="AA55" s="448"/>
      <c r="AB55" s="289"/>
      <c r="AC55" s="453" t="s">
        <v>594</v>
      </c>
      <c r="AD55" s="453">
        <f>(AD54-AD53)*((-1)*V48)</f>
        <v>25.799272777777773</v>
      </c>
      <c r="AE55" s="448" t="s">
        <v>28</v>
      </c>
      <c r="AF55" s="448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  <c r="AQ55" s="448"/>
      <c r="AR55" s="448"/>
      <c r="AS55" s="448"/>
      <c r="AT55" s="448"/>
      <c r="AU55" s="448"/>
      <c r="AV55" s="448"/>
      <c r="AW55" s="448"/>
      <c r="AX55" s="448"/>
      <c r="AY55" s="448"/>
      <c r="AZ55" s="448"/>
      <c r="BA55" s="448"/>
      <c r="BB55" s="448"/>
      <c r="BC55" s="448"/>
      <c r="BD55" s="448"/>
      <c r="BE55" s="448"/>
      <c r="BF55" s="448"/>
      <c r="BG55" s="448"/>
      <c r="BH55" s="448"/>
      <c r="BI55" s="448"/>
      <c r="BJ55" s="448"/>
      <c r="BK55" s="448"/>
      <c r="BL55" s="448"/>
      <c r="BM55" s="448"/>
      <c r="BN55" s="448"/>
      <c r="BO55" s="448"/>
    </row>
    <row r="56" spans="1:67">
      <c r="A56" s="448"/>
      <c r="B56" s="448"/>
      <c r="C56" s="448"/>
      <c r="D56" s="448"/>
      <c r="E56" s="448"/>
      <c r="F56" s="448"/>
      <c r="G56" s="448"/>
      <c r="H56" s="940" t="s">
        <v>269</v>
      </c>
      <c r="I56" s="940"/>
      <c r="J56" s="940"/>
      <c r="K56" s="940"/>
      <c r="L56" s="940"/>
      <c r="M56" s="940"/>
      <c r="N56" s="940"/>
      <c r="O56" s="940"/>
      <c r="P56" s="940"/>
      <c r="Q56" s="940"/>
      <c r="R56" s="940"/>
      <c r="S56" s="940"/>
      <c r="T56" s="940"/>
      <c r="U56" s="940"/>
      <c r="V56" s="941">
        <f>V54*E35</f>
        <v>11.046556566176953</v>
      </c>
      <c r="W56" s="942"/>
      <c r="X56" s="943" t="s">
        <v>104</v>
      </c>
      <c r="Y56" s="448"/>
      <c r="Z56" s="448"/>
      <c r="AA56" s="448"/>
      <c r="AB56" s="289"/>
      <c r="AC56" s="453" t="s">
        <v>597</v>
      </c>
      <c r="AD56" s="453">
        <f>(-1)*V48</f>
        <v>-15.002000000000001</v>
      </c>
      <c r="AE56" s="448" t="s">
        <v>508</v>
      </c>
      <c r="AF56" s="448"/>
      <c r="AG56" s="448"/>
      <c r="AH56" s="448"/>
      <c r="AI56" s="448"/>
      <c r="AJ56" s="448"/>
      <c r="AK56" s="448"/>
      <c r="AL56" s="448"/>
      <c r="AM56" s="448"/>
      <c r="AN56" s="448"/>
      <c r="AO56" s="448"/>
      <c r="AP56" s="448"/>
      <c r="AQ56" s="448"/>
      <c r="AR56" s="448"/>
      <c r="AS56" s="448"/>
      <c r="AT56" s="448"/>
      <c r="AU56" s="448"/>
      <c r="AV56" s="448"/>
      <c r="AW56" s="448"/>
      <c r="AX56" s="448"/>
      <c r="AY56" s="448"/>
      <c r="AZ56" s="448"/>
      <c r="BA56" s="448"/>
      <c r="BB56" s="448"/>
      <c r="BC56" s="448"/>
      <c r="BD56" s="448"/>
      <c r="BE56" s="448"/>
      <c r="BF56" s="448"/>
      <c r="BG56" s="448"/>
      <c r="BH56" s="448"/>
      <c r="BI56" s="448"/>
      <c r="BJ56" s="448"/>
      <c r="BK56" s="448"/>
      <c r="BL56" s="448"/>
      <c r="BM56" s="448"/>
      <c r="BN56" s="448"/>
      <c r="BO56" s="448"/>
    </row>
    <row r="57" spans="1:67">
      <c r="A57" s="448"/>
      <c r="B57" s="448"/>
      <c r="C57" s="448"/>
      <c r="D57" s="448"/>
      <c r="E57" s="448"/>
      <c r="F57" s="448"/>
      <c r="G57" s="448"/>
      <c r="H57" s="940"/>
      <c r="I57" s="940"/>
      <c r="J57" s="940"/>
      <c r="K57" s="940"/>
      <c r="L57" s="940"/>
      <c r="M57" s="940"/>
      <c r="N57" s="940"/>
      <c r="O57" s="940"/>
      <c r="P57" s="940"/>
      <c r="Q57" s="940"/>
      <c r="R57" s="940"/>
      <c r="S57" s="940"/>
      <c r="T57" s="940"/>
      <c r="U57" s="940"/>
      <c r="V57" s="942"/>
      <c r="W57" s="942"/>
      <c r="X57" s="944"/>
      <c r="Y57" s="448"/>
      <c r="Z57" s="448"/>
      <c r="AA57" s="448"/>
      <c r="AB57" s="289"/>
      <c r="AC57" s="453" t="s">
        <v>595</v>
      </c>
      <c r="AD57" s="457">
        <f>E44</f>
        <v>-7.083333333333333</v>
      </c>
      <c r="AE57" s="448" t="s">
        <v>28</v>
      </c>
      <c r="AF57" s="448"/>
      <c r="AG57" s="448"/>
      <c r="AH57" s="448"/>
      <c r="AI57" s="448"/>
      <c r="AJ57" s="448"/>
      <c r="AK57" s="448"/>
      <c r="AL57" s="448"/>
      <c r="AM57" s="448"/>
      <c r="AN57" s="448"/>
      <c r="AO57" s="448"/>
      <c r="AP57" s="448"/>
      <c r="AQ57" s="448"/>
      <c r="AR57" s="448"/>
      <c r="AS57" s="448"/>
      <c r="AT57" s="448"/>
      <c r="AU57" s="448"/>
      <c r="AV57" s="448"/>
      <c r="AW57" s="448"/>
      <c r="AX57" s="448"/>
      <c r="AY57" s="448"/>
      <c r="AZ57" s="448"/>
      <c r="BA57" s="448"/>
      <c r="BB57" s="448"/>
      <c r="BC57" s="448"/>
      <c r="BD57" s="448"/>
      <c r="BE57" s="448"/>
      <c r="BF57" s="448"/>
      <c r="BG57" s="448"/>
      <c r="BH57" s="448"/>
      <c r="BI57" s="448"/>
      <c r="BJ57" s="448"/>
      <c r="BK57" s="448"/>
      <c r="BL57" s="448"/>
      <c r="BM57" s="448"/>
      <c r="BN57" s="448"/>
      <c r="BO57" s="448"/>
    </row>
    <row r="58" spans="1:67">
      <c r="A58" s="448"/>
      <c r="B58" s="448"/>
      <c r="C58" s="448"/>
      <c r="D58" s="448"/>
      <c r="E58" s="448"/>
      <c r="F58" s="448"/>
      <c r="G58" s="448"/>
      <c r="H58" s="940" t="s">
        <v>470</v>
      </c>
      <c r="I58" s="940"/>
      <c r="J58" s="940"/>
      <c r="K58" s="940"/>
      <c r="L58" s="940"/>
      <c r="M58" s="940"/>
      <c r="N58" s="940"/>
      <c r="O58" s="940"/>
      <c r="P58" s="940"/>
      <c r="Q58" s="940"/>
      <c r="R58" s="940"/>
      <c r="S58" s="940"/>
      <c r="T58" s="940"/>
      <c r="U58" s="940"/>
      <c r="V58" s="941">
        <f>AD59*L39</f>
        <v>-0.26148221004622074</v>
      </c>
      <c r="W58" s="945"/>
      <c r="X58" s="946" t="s">
        <v>28</v>
      </c>
      <c r="Y58" s="448"/>
      <c r="Z58" s="448"/>
      <c r="AA58" s="448"/>
      <c r="AB58" s="289"/>
      <c r="AC58" s="453" t="s">
        <v>596</v>
      </c>
      <c r="AD58" s="453">
        <f>L39</f>
        <v>-0.11835462412189314</v>
      </c>
      <c r="AE58" s="448" t="s">
        <v>508</v>
      </c>
      <c r="AF58" s="448"/>
      <c r="AG58" s="448"/>
      <c r="AH58" s="448"/>
      <c r="AI58" s="448"/>
      <c r="AJ58" s="448"/>
      <c r="AK58" s="448"/>
      <c r="AL58" s="448"/>
      <c r="AM58" s="448"/>
      <c r="AN58" s="448"/>
      <c r="AO58" s="448"/>
      <c r="AP58" s="448"/>
      <c r="AQ58" s="448"/>
      <c r="AR58" s="448"/>
      <c r="AS58" s="448"/>
      <c r="AT58" s="448"/>
      <c r="AU58" s="448"/>
      <c r="AV58" s="448"/>
      <c r="AW58" s="448"/>
      <c r="AX58" s="448"/>
      <c r="AY58" s="448"/>
      <c r="AZ58" s="448"/>
      <c r="BA58" s="448"/>
      <c r="BB58" s="448"/>
      <c r="BC58" s="448"/>
      <c r="BD58" s="448"/>
      <c r="BE58" s="448"/>
      <c r="BF58" s="448"/>
      <c r="BG58" s="448"/>
      <c r="BH58" s="448"/>
      <c r="BI58" s="448"/>
      <c r="BJ58" s="448"/>
      <c r="BK58" s="448"/>
      <c r="BL58" s="448"/>
      <c r="BM58" s="448"/>
      <c r="BN58" s="448"/>
      <c r="BO58" s="448"/>
    </row>
    <row r="59" spans="1:67">
      <c r="A59" s="448"/>
      <c r="B59" s="448"/>
      <c r="C59" s="448"/>
      <c r="D59" s="448"/>
      <c r="E59" s="448"/>
      <c r="F59" s="448"/>
      <c r="G59" s="448"/>
      <c r="H59" s="940"/>
      <c r="I59" s="940"/>
      <c r="J59" s="940"/>
      <c r="K59" s="940"/>
      <c r="L59" s="940"/>
      <c r="M59" s="940"/>
      <c r="N59" s="940"/>
      <c r="O59" s="940"/>
      <c r="P59" s="940"/>
      <c r="Q59" s="940"/>
      <c r="R59" s="940"/>
      <c r="S59" s="940"/>
      <c r="T59" s="940"/>
      <c r="U59" s="940"/>
      <c r="V59" s="942"/>
      <c r="W59" s="945"/>
      <c r="X59" s="947"/>
      <c r="Y59" s="448"/>
      <c r="Z59" s="448"/>
      <c r="AA59" s="448"/>
      <c r="AB59" s="289"/>
      <c r="AC59" s="453" t="s">
        <v>591</v>
      </c>
      <c r="AD59" s="453">
        <f>(AD55-AD57)/(AD58-AD56)</f>
        <v>2.2093113132353905</v>
      </c>
      <c r="AE59" s="448" t="s">
        <v>257</v>
      </c>
      <c r="AF59" s="448"/>
      <c r="AG59" s="448"/>
      <c r="AH59" s="448"/>
      <c r="AI59" s="448"/>
      <c r="AJ59" s="448"/>
      <c r="AK59" s="448"/>
      <c r="AL59" s="448"/>
      <c r="AM59" s="448"/>
      <c r="AN59" s="448"/>
      <c r="AO59" s="448"/>
      <c r="AP59" s="448"/>
      <c r="AQ59" s="448"/>
      <c r="AR59" s="448"/>
      <c r="AS59" s="448"/>
      <c r="AT59" s="448"/>
      <c r="AU59" s="448"/>
      <c r="AV59" s="448"/>
      <c r="AW59" s="448"/>
      <c r="AX59" s="448"/>
      <c r="AY59" s="448"/>
      <c r="AZ59" s="448"/>
      <c r="BA59" s="448"/>
      <c r="BB59" s="448"/>
      <c r="BC59" s="448"/>
      <c r="BD59" s="448"/>
      <c r="BE59" s="448"/>
      <c r="BF59" s="448"/>
      <c r="BG59" s="448"/>
      <c r="BH59" s="448"/>
      <c r="BI59" s="448"/>
      <c r="BJ59" s="448"/>
      <c r="BK59" s="448"/>
      <c r="BL59" s="448"/>
      <c r="BM59" s="448"/>
      <c r="BN59" s="448"/>
      <c r="BO59" s="448"/>
    </row>
    <row r="60" spans="1:67">
      <c r="A60" s="448"/>
      <c r="B60" s="448"/>
      <c r="C60" s="448"/>
      <c r="D60" s="448"/>
      <c r="E60" s="448"/>
      <c r="F60" s="448"/>
      <c r="G60" s="448"/>
      <c r="H60" s="940" t="s">
        <v>469</v>
      </c>
      <c r="I60" s="940"/>
      <c r="J60" s="940"/>
      <c r="K60" s="940"/>
      <c r="L60" s="940"/>
      <c r="M60" s="940"/>
      <c r="N60" s="940"/>
      <c r="O60" s="940"/>
      <c r="P60" s="940"/>
      <c r="Q60" s="940"/>
      <c r="R60" s="940"/>
      <c r="S60" s="940"/>
      <c r="T60" s="940"/>
      <c r="U60" s="940"/>
      <c r="V60" s="1023">
        <f>E44+AD59*L39</f>
        <v>-7.3448155433795534</v>
      </c>
      <c r="W60" s="1024"/>
      <c r="X60" s="931" t="str">
        <f>longitudeDecimal2Txt(V60)</f>
        <v>W 07°20.68 (W 07.3448) [W 07°20'41.33]</v>
      </c>
      <c r="Y60" s="931"/>
      <c r="Z60" s="931"/>
      <c r="AA60" s="931"/>
      <c r="AB60" s="931"/>
      <c r="AC60" s="931"/>
      <c r="AD60" s="1065" t="str" cm="1">
        <f t="array" ref="AD60">CONCATENATE("Memo depart: ", longitudeDecimal2Txt(E44))</f>
        <v>Memo depart: W 07°05.00 (W 07.0833) [W 07°05'00.00]</v>
      </c>
      <c r="AE60" s="1066"/>
      <c r="AF60" s="1066"/>
      <c r="AG60" s="448"/>
      <c r="AH60" s="448"/>
      <c r="AI60" s="448"/>
      <c r="AJ60" s="448"/>
      <c r="AK60" s="448"/>
      <c r="AL60" s="448"/>
      <c r="AM60" s="448"/>
      <c r="AN60" s="448"/>
      <c r="AO60" s="448"/>
      <c r="AP60" s="448"/>
      <c r="AQ60" s="448"/>
      <c r="AR60" s="448"/>
      <c r="AS60" s="448"/>
      <c r="AT60" s="448"/>
      <c r="AU60" s="448"/>
      <c r="AV60" s="448"/>
      <c r="AW60" s="448"/>
      <c r="AX60" s="448"/>
      <c r="AY60" s="448"/>
      <c r="AZ60" s="448"/>
      <c r="BA60" s="448"/>
      <c r="BB60" s="448"/>
      <c r="BC60" s="448"/>
      <c r="BD60" s="448"/>
      <c r="BE60" s="448"/>
      <c r="BF60" s="448"/>
      <c r="BG60" s="448"/>
      <c r="BH60" s="448"/>
      <c r="BI60" s="448"/>
      <c r="BJ60" s="448"/>
      <c r="BK60" s="448"/>
      <c r="BL60" s="448"/>
      <c r="BM60" s="448"/>
      <c r="BN60" s="448"/>
      <c r="BO60" s="448"/>
    </row>
    <row r="61" spans="1:67" ht="15.75" thickBot="1">
      <c r="A61" s="448"/>
      <c r="B61" s="448"/>
      <c r="C61" s="448"/>
      <c r="D61" s="448"/>
      <c r="E61" s="448"/>
      <c r="F61" s="448"/>
      <c r="G61" s="448"/>
      <c r="H61" s="940"/>
      <c r="I61" s="940"/>
      <c r="J61" s="940"/>
      <c r="K61" s="940"/>
      <c r="L61" s="940"/>
      <c r="M61" s="940"/>
      <c r="N61" s="940"/>
      <c r="O61" s="940"/>
      <c r="P61" s="940"/>
      <c r="Q61" s="940"/>
      <c r="R61" s="940"/>
      <c r="S61" s="940"/>
      <c r="T61" s="940"/>
      <c r="U61" s="940"/>
      <c r="V61" s="1025"/>
      <c r="W61" s="1026"/>
      <c r="X61" s="931"/>
      <c r="Y61" s="931"/>
      <c r="Z61" s="931"/>
      <c r="AA61" s="931"/>
      <c r="AB61" s="931"/>
      <c r="AC61" s="931"/>
      <c r="AD61" s="1065"/>
      <c r="AE61" s="1066"/>
      <c r="AF61" s="1066"/>
      <c r="AG61" s="448"/>
      <c r="AH61" s="448"/>
      <c r="AI61" s="448"/>
      <c r="AJ61" s="448"/>
      <c r="AK61" s="448"/>
      <c r="AL61" s="448"/>
      <c r="AM61" s="448"/>
      <c r="AN61" s="448"/>
      <c r="AO61" s="448"/>
      <c r="AP61" s="448"/>
      <c r="AQ61" s="448"/>
      <c r="AR61" s="448"/>
      <c r="AS61" s="448"/>
      <c r="AT61" s="448"/>
      <c r="AU61" s="448"/>
      <c r="AV61" s="448"/>
      <c r="AW61" s="448"/>
      <c r="AX61" s="448"/>
      <c r="AY61" s="448"/>
      <c r="AZ61" s="448"/>
      <c r="BA61" s="448"/>
      <c r="BB61" s="448"/>
      <c r="BC61" s="448"/>
      <c r="BD61" s="448"/>
      <c r="BE61" s="448"/>
      <c r="BF61" s="448"/>
      <c r="BG61" s="448"/>
      <c r="BH61" s="448"/>
      <c r="BI61" s="448"/>
      <c r="BJ61" s="448"/>
      <c r="BK61" s="448"/>
      <c r="BL61" s="448"/>
      <c r="BM61" s="448"/>
      <c r="BN61" s="448"/>
      <c r="BO61" s="448"/>
    </row>
    <row r="62" spans="1:67" ht="16.5" thickTop="1" thickBot="1">
      <c r="A62" s="448"/>
      <c r="B62" s="448"/>
      <c r="C62" s="448"/>
      <c r="D62" s="448"/>
      <c r="E62" s="448"/>
      <c r="F62" s="448"/>
      <c r="G62" s="448"/>
      <c r="H62" s="934" t="s">
        <v>266</v>
      </c>
      <c r="I62" s="934"/>
      <c r="J62" s="934"/>
      <c r="K62" s="934"/>
      <c r="L62" s="934"/>
      <c r="M62" s="934"/>
      <c r="N62" s="934"/>
      <c r="O62" s="934"/>
      <c r="P62" s="934"/>
      <c r="Q62" s="934"/>
      <c r="R62" s="934"/>
      <c r="S62" s="934"/>
      <c r="T62" s="934"/>
      <c r="U62" s="934"/>
      <c r="V62" s="935">
        <f>AD54+AD59</f>
        <v>12.552366868790948</v>
      </c>
      <c r="W62" s="936"/>
      <c r="X62" s="590" t="str">
        <f>heureDecimal2Txt(V62)</f>
        <v>12:33:08.52(12.5523)</v>
      </c>
      <c r="Y62" s="590"/>
      <c r="Z62" s="590"/>
      <c r="AA62" s="590"/>
      <c r="AB62" s="590"/>
      <c r="AC62" s="590"/>
      <c r="AD62" s="448"/>
      <c r="AE62" s="448"/>
      <c r="AF62" s="448"/>
      <c r="AG62" s="448"/>
      <c r="AH62" s="448"/>
      <c r="AI62" s="448"/>
      <c r="AJ62" s="448"/>
      <c r="AK62" s="448"/>
      <c r="AL62" s="448"/>
      <c r="AM62" s="448"/>
      <c r="AN62" s="448"/>
      <c r="AO62" s="448"/>
      <c r="AP62" s="448"/>
      <c r="AQ62" s="448"/>
      <c r="AR62" s="448"/>
      <c r="AS62" s="448"/>
      <c r="AT62" s="448"/>
      <c r="AU62" s="448"/>
      <c r="AV62" s="448"/>
      <c r="AW62" s="448"/>
      <c r="AX62" s="448"/>
      <c r="AY62" s="448"/>
      <c r="AZ62" s="448"/>
      <c r="BA62" s="448"/>
      <c r="BB62" s="448"/>
      <c r="BC62" s="448"/>
      <c r="BD62" s="448"/>
      <c r="BE62" s="448"/>
      <c r="BF62" s="448"/>
      <c r="BG62" s="448"/>
      <c r="BH62" s="448"/>
      <c r="BI62" s="448"/>
      <c r="BJ62" s="448"/>
      <c r="BK62" s="448"/>
      <c r="BL62" s="448"/>
      <c r="BM62" s="448"/>
      <c r="BN62" s="448"/>
      <c r="BO62" s="448"/>
    </row>
    <row r="63" spans="1:67" ht="16.5" thickTop="1" thickBot="1">
      <c r="A63" s="448"/>
      <c r="B63" s="448"/>
      <c r="C63" s="448"/>
      <c r="D63" s="448"/>
      <c r="E63" s="448"/>
      <c r="F63" s="448"/>
      <c r="G63" s="448"/>
      <c r="H63" s="934"/>
      <c r="I63" s="934"/>
      <c r="J63" s="934"/>
      <c r="K63" s="934"/>
      <c r="L63" s="934"/>
      <c r="M63" s="934"/>
      <c r="N63" s="934"/>
      <c r="O63" s="934"/>
      <c r="P63" s="934"/>
      <c r="Q63" s="934"/>
      <c r="R63" s="934"/>
      <c r="S63" s="934"/>
      <c r="T63" s="934"/>
      <c r="U63" s="934"/>
      <c r="V63" s="937"/>
      <c r="W63" s="936"/>
      <c r="X63" s="590"/>
      <c r="Y63" s="590"/>
      <c r="Z63" s="590"/>
      <c r="AA63" s="590"/>
      <c r="AB63" s="590"/>
      <c r="AC63" s="590"/>
      <c r="AD63" s="448"/>
      <c r="AE63" s="448"/>
      <c r="AF63" s="448"/>
      <c r="AG63" s="448"/>
      <c r="AH63" s="448"/>
      <c r="AI63" s="448"/>
      <c r="AJ63" s="448"/>
      <c r="AK63" s="448"/>
      <c r="AL63" s="448"/>
      <c r="AM63" s="448"/>
      <c r="AN63" s="448"/>
      <c r="AO63" s="448"/>
      <c r="AP63" s="448"/>
      <c r="AQ63" s="448"/>
      <c r="AR63" s="448"/>
      <c r="AS63" s="448"/>
      <c r="AT63" s="448"/>
      <c r="AU63" s="448"/>
      <c r="AV63" s="448"/>
      <c r="AW63" s="448"/>
      <c r="AX63" s="448"/>
      <c r="AY63" s="448"/>
      <c r="AZ63" s="448"/>
      <c r="BA63" s="448"/>
      <c r="BB63" s="448"/>
      <c r="BC63" s="448"/>
      <c r="BD63" s="448"/>
      <c r="BE63" s="448"/>
      <c r="BF63" s="448"/>
      <c r="BG63" s="448"/>
      <c r="BH63" s="448"/>
      <c r="BI63" s="448"/>
      <c r="BJ63" s="448"/>
      <c r="BK63" s="448"/>
      <c r="BL63" s="448"/>
      <c r="BM63" s="448"/>
      <c r="BN63" s="448"/>
      <c r="BO63" s="448"/>
    </row>
    <row r="64" spans="1:67" ht="15.75" thickTop="1">
      <c r="A64" s="448"/>
      <c r="B64" s="448"/>
      <c r="C64" s="448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8"/>
      <c r="R64" s="448"/>
      <c r="S64" s="448"/>
      <c r="T64" s="448"/>
      <c r="U64" s="448"/>
      <c r="V64" s="448"/>
      <c r="W64" s="448"/>
      <c r="X64" s="448"/>
      <c r="Y64" s="448"/>
      <c r="Z64" s="448"/>
      <c r="AA64" s="448"/>
      <c r="AC64" s="448"/>
      <c r="AD64" s="448"/>
      <c r="AE64" s="448"/>
      <c r="AF64" s="448"/>
      <c r="AG64" s="448"/>
      <c r="AH64" s="448"/>
      <c r="AI64" s="448"/>
      <c r="AJ64" s="448"/>
      <c r="AK64" s="448"/>
      <c r="AL64" s="448"/>
      <c r="AM64" s="448"/>
      <c r="AN64" s="448"/>
      <c r="AO64" s="448"/>
      <c r="AP64" s="448"/>
      <c r="AQ64" s="448"/>
      <c r="AR64" s="448"/>
      <c r="AS64" s="448"/>
      <c r="AT64" s="448"/>
      <c r="AU64" s="448"/>
      <c r="AV64" s="448"/>
      <c r="AW64" s="448"/>
      <c r="AX64" s="448"/>
      <c r="AY64" s="448"/>
      <c r="AZ64" s="448"/>
      <c r="BA64" s="448"/>
      <c r="BB64" s="448"/>
      <c r="BC64" s="448"/>
      <c r="BD64" s="448"/>
      <c r="BE64" s="448"/>
      <c r="BF64" s="448"/>
      <c r="BG64" s="448"/>
      <c r="BH64" s="448"/>
      <c r="BI64" s="448"/>
      <c r="BJ64" s="448"/>
      <c r="BK64" s="448"/>
      <c r="BL64" s="448"/>
      <c r="BM64" s="448"/>
      <c r="BN64" s="448"/>
      <c r="BO64" s="448"/>
    </row>
    <row r="65" spans="1:67" ht="15.75" thickBot="1">
      <c r="A65" s="448"/>
      <c r="B65" s="448"/>
      <c r="C65" s="448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8"/>
      <c r="R65" s="448"/>
      <c r="S65" s="448"/>
      <c r="T65" s="448"/>
      <c r="U65" s="448"/>
      <c r="V65" s="448"/>
      <c r="W65" s="448"/>
      <c r="X65" s="448"/>
      <c r="Y65" s="448"/>
      <c r="Z65" s="448"/>
      <c r="AA65" s="448"/>
      <c r="AC65" s="448"/>
      <c r="AD65" s="448"/>
      <c r="AE65" s="448"/>
      <c r="AF65" s="448"/>
      <c r="AG65" s="448"/>
      <c r="AH65" s="448"/>
      <c r="AI65" s="448"/>
      <c r="AJ65" s="448"/>
      <c r="AK65" s="448"/>
      <c r="AL65" s="448"/>
      <c r="AM65" s="448"/>
      <c r="AN65" s="448"/>
      <c r="AO65" s="448"/>
      <c r="AP65" s="448"/>
      <c r="AQ65" s="448"/>
      <c r="AR65" s="448"/>
      <c r="AS65" s="448"/>
      <c r="AT65" s="448"/>
      <c r="AU65" s="448"/>
      <c r="AV65" s="448"/>
      <c r="AW65" s="448"/>
      <c r="AX65" s="448"/>
      <c r="AY65" s="448"/>
      <c r="AZ65" s="448"/>
      <c r="BA65" s="448"/>
      <c r="BB65" s="448"/>
      <c r="BC65" s="448"/>
      <c r="BD65" s="448"/>
      <c r="BE65" s="448"/>
      <c r="BF65" s="448"/>
      <c r="BG65" s="448"/>
      <c r="BH65" s="448"/>
      <c r="BI65" s="448"/>
      <c r="BJ65" s="448"/>
      <c r="BK65" s="448"/>
      <c r="BL65" s="448"/>
      <c r="BM65" s="448"/>
      <c r="BN65" s="448"/>
      <c r="BO65" s="448"/>
    </row>
    <row r="66" spans="1:67" s="360" customFormat="1" ht="17.25" customHeight="1" thickBot="1">
      <c r="A66" s="447"/>
      <c r="B66" s="379" t="s">
        <v>583</v>
      </c>
      <c r="C66" s="380"/>
      <c r="D66" s="380"/>
      <c r="E66" s="380"/>
      <c r="F66" s="380"/>
      <c r="G66" s="380"/>
      <c r="H66" s="381"/>
      <c r="I66" s="92" t="str">
        <f>L7</f>
        <v>2025/06/30</v>
      </c>
      <c r="J66" s="92"/>
      <c r="K66" s="382"/>
      <c r="L66" s="383"/>
      <c r="M66" s="92" t="str">
        <f>heureDecimal2Txt(E69)</f>
        <v>12:33:08.52(12.5523)</v>
      </c>
      <c r="N66" s="92"/>
      <c r="O66" s="92"/>
      <c r="P66" s="381"/>
      <c r="Q66" s="381"/>
      <c r="R66" s="381"/>
      <c r="S66" s="381"/>
      <c r="T66" s="381"/>
      <c r="U66" s="381"/>
      <c r="V66" s="384"/>
      <c r="W66" s="381"/>
      <c r="X66" s="381"/>
      <c r="Y66" s="381"/>
      <c r="Z66" s="381"/>
      <c r="AA66" s="384"/>
      <c r="AB66" s="302"/>
      <c r="AC66" s="448"/>
      <c r="AD66" s="448"/>
      <c r="AE66" s="448"/>
      <c r="AF66" s="448"/>
      <c r="AG66" s="448"/>
      <c r="AH66" s="448"/>
      <c r="AI66" s="448"/>
      <c r="AJ66" s="448"/>
      <c r="AK66" s="448"/>
      <c r="AL66" s="448"/>
      <c r="AM66" s="448"/>
      <c r="AN66" s="448"/>
      <c r="AO66" s="448"/>
      <c r="AP66" s="448"/>
      <c r="AQ66" s="448"/>
      <c r="AR66" s="448"/>
      <c r="AS66" s="448"/>
      <c r="AT66" s="448"/>
      <c r="AU66" s="448"/>
      <c r="AV66" s="448"/>
      <c r="AW66" s="448"/>
      <c r="AX66" s="448"/>
      <c r="AY66" s="448"/>
      <c r="AZ66" s="448"/>
      <c r="BA66" s="448"/>
      <c r="BB66" s="448"/>
      <c r="BC66" s="448"/>
      <c r="BD66" s="448"/>
      <c r="BE66" s="448"/>
      <c r="BF66" s="448"/>
      <c r="BG66" s="448"/>
      <c r="BH66" s="448"/>
      <c r="BI66" s="448"/>
      <c r="BJ66" s="448"/>
      <c r="BK66" s="448"/>
      <c r="BL66" s="448"/>
      <c r="BM66" s="448"/>
      <c r="BN66" s="449"/>
      <c r="BO66" s="447"/>
    </row>
    <row r="67" spans="1:67" s="360" customFormat="1" ht="17.25" customHeight="1" thickBot="1">
      <c r="A67" s="447"/>
      <c r="B67" s="447"/>
      <c r="C67" s="1263" t="s">
        <v>1</v>
      </c>
      <c r="D67" s="1263"/>
      <c r="E67" s="1264" t="s">
        <v>227</v>
      </c>
      <c r="F67" s="1265"/>
      <c r="G67" s="1265"/>
      <c r="H67" s="450"/>
      <c r="I67" s="447"/>
      <c r="J67" s="447"/>
      <c r="K67" s="447"/>
      <c r="L67" s="447"/>
      <c r="M67" s="447"/>
      <c r="N67" s="447"/>
      <c r="O67" s="447"/>
      <c r="P67" s="447"/>
      <c r="Q67" s="447"/>
      <c r="R67" s="447"/>
      <c r="S67" s="447"/>
      <c r="T67" s="447"/>
      <c r="U67" s="447"/>
      <c r="V67" s="447"/>
      <c r="W67" s="447"/>
      <c r="X67" s="447"/>
      <c r="Y67" s="447"/>
      <c r="Z67" s="447"/>
      <c r="AA67" s="447"/>
      <c r="AB67" s="301"/>
      <c r="AC67" s="448"/>
      <c r="AD67" s="448"/>
      <c r="AE67" s="448"/>
      <c r="AF67" s="448"/>
      <c r="AG67" s="448"/>
      <c r="AH67" s="448"/>
      <c r="AI67" s="448"/>
      <c r="AJ67" s="448"/>
      <c r="AK67" s="448"/>
      <c r="AL67" s="448"/>
      <c r="AM67" s="448"/>
      <c r="AN67" s="448"/>
      <c r="AO67" s="448"/>
      <c r="AP67" s="448"/>
      <c r="AQ67" s="448"/>
      <c r="AR67" s="448"/>
      <c r="AS67" s="448"/>
      <c r="AT67" s="448"/>
      <c r="AU67" s="448"/>
      <c r="AV67" s="448"/>
      <c r="AW67" s="448"/>
      <c r="AX67" s="448"/>
      <c r="AY67" s="448"/>
      <c r="AZ67" s="448"/>
      <c r="BA67" s="448"/>
      <c r="BB67" s="448"/>
      <c r="BC67" s="448"/>
      <c r="BD67" s="448"/>
      <c r="BE67" s="448"/>
      <c r="BF67" s="448"/>
      <c r="BG67" s="448"/>
      <c r="BH67" s="448"/>
      <c r="BI67" s="448"/>
      <c r="BJ67" s="448"/>
      <c r="BK67" s="448"/>
      <c r="BL67" s="448"/>
      <c r="BM67" s="448"/>
      <c r="BN67" s="449"/>
      <c r="BO67" s="447"/>
    </row>
    <row r="68" spans="1:67" s="360" customFormat="1" ht="17.25" customHeight="1" thickTop="1" thickBot="1">
      <c r="A68" s="447"/>
      <c r="B68" s="447"/>
      <c r="C68" s="1064" t="s">
        <v>824</v>
      </c>
      <c r="D68" s="1064"/>
      <c r="E68" s="1062">
        <f>V54</f>
        <v>2.2093113132353905</v>
      </c>
      <c r="F68" s="1062"/>
      <c r="G68" s="1062"/>
      <c r="H68" s="1063" t="str" cm="1">
        <f t="array" ref="H68">heureDecimal2Txt(E68)</f>
        <v>02:12:33.52(02.2093)</v>
      </c>
      <c r="I68" s="1063"/>
      <c r="J68" s="1063"/>
      <c r="K68" s="1063"/>
      <c r="L68" s="1063"/>
      <c r="M68" s="1063"/>
      <c r="N68" s="448"/>
      <c r="O68" s="447"/>
      <c r="P68" s="447"/>
      <c r="Q68" s="447"/>
      <c r="R68" s="447"/>
      <c r="S68" s="447"/>
      <c r="T68" s="447"/>
      <c r="U68" s="447"/>
      <c r="V68" s="447"/>
      <c r="W68" s="447"/>
      <c r="X68" s="447"/>
      <c r="Y68" s="447"/>
      <c r="Z68" s="447"/>
      <c r="AA68" s="447"/>
      <c r="AB68" s="303"/>
      <c r="AC68" s="448"/>
      <c r="AD68" s="448"/>
      <c r="AE68" s="448"/>
      <c r="AF68" s="448"/>
      <c r="AG68" s="448"/>
      <c r="AH68" s="448"/>
      <c r="AI68" s="448"/>
      <c r="AJ68" s="448"/>
      <c r="AK68" s="448"/>
      <c r="AL68" s="448"/>
      <c r="AM68" s="448"/>
      <c r="AN68" s="448"/>
      <c r="AO68" s="448"/>
      <c r="AP68" s="448"/>
      <c r="AQ68" s="448"/>
      <c r="AR68" s="448"/>
      <c r="AS68" s="448"/>
      <c r="AT68" s="448"/>
      <c r="AU68" s="448"/>
      <c r="AV68" s="448"/>
      <c r="AW68" s="448"/>
      <c r="AX68" s="448"/>
      <c r="AY68" s="448"/>
      <c r="AZ68" s="448"/>
      <c r="BA68" s="448"/>
      <c r="BB68" s="448"/>
      <c r="BC68" s="448"/>
      <c r="BD68" s="448"/>
      <c r="BE68" s="448"/>
      <c r="BF68" s="448"/>
      <c r="BG68" s="448"/>
      <c r="BH68" s="448"/>
      <c r="BI68" s="448"/>
      <c r="BJ68" s="448"/>
      <c r="BK68" s="448"/>
      <c r="BL68" s="448"/>
      <c r="BM68" s="448"/>
      <c r="BN68" s="449"/>
      <c r="BO68" s="447"/>
    </row>
    <row r="69" spans="1:67" s="360" customFormat="1" ht="17.25" customHeight="1" thickTop="1" thickBot="1">
      <c r="A69" s="528"/>
      <c r="B69" s="528"/>
      <c r="C69" s="527" t="s">
        <v>584</v>
      </c>
      <c r="D69" s="527"/>
      <c r="E69" s="1062">
        <f>V62</f>
        <v>12.552366868790948</v>
      </c>
      <c r="F69" s="1062"/>
      <c r="G69" s="1062"/>
      <c r="H69" s="1063" t="str" cm="1">
        <f t="array" ref="H69">heureDecimal2Txt(E69)</f>
        <v>12:33:08.52(12.5523)</v>
      </c>
      <c r="I69" s="1063"/>
      <c r="J69" s="1063"/>
      <c r="K69" s="1063"/>
      <c r="L69" s="1063"/>
      <c r="M69" s="1063"/>
      <c r="N69" s="529"/>
      <c r="O69" s="528"/>
      <c r="P69" s="447"/>
      <c r="Q69" s="447"/>
      <c r="R69" s="447"/>
      <c r="S69" s="447"/>
      <c r="T69" s="447"/>
      <c r="U69" s="447"/>
      <c r="V69" s="447"/>
      <c r="W69" s="447"/>
      <c r="X69" s="447"/>
      <c r="Y69" s="447"/>
      <c r="Z69" s="447"/>
      <c r="AA69" s="447"/>
      <c r="AB69" s="303"/>
      <c r="AC69" s="448"/>
      <c r="AD69" s="448"/>
      <c r="AE69" s="448"/>
      <c r="AF69" s="448"/>
      <c r="AG69" s="448"/>
      <c r="AH69" s="448"/>
      <c r="AI69" s="448"/>
      <c r="AJ69" s="448"/>
      <c r="AK69" s="448"/>
      <c r="AL69" s="448"/>
      <c r="AM69" s="448"/>
      <c r="AN69" s="448"/>
      <c r="AO69" s="448"/>
      <c r="AP69" s="448"/>
      <c r="AQ69" s="448"/>
      <c r="AR69" s="448"/>
      <c r="AS69" s="448"/>
      <c r="AT69" s="448"/>
      <c r="AU69" s="448"/>
      <c r="AV69" s="448"/>
      <c r="AW69" s="448"/>
      <c r="AX69" s="448"/>
      <c r="AY69" s="448"/>
      <c r="AZ69" s="448"/>
      <c r="BA69" s="448"/>
      <c r="BB69" s="448"/>
      <c r="BC69" s="448"/>
      <c r="BD69" s="448"/>
      <c r="BE69" s="448"/>
      <c r="BF69" s="448"/>
      <c r="BG69" s="448"/>
      <c r="BH69" s="448"/>
      <c r="BI69" s="448"/>
      <c r="BJ69" s="448"/>
      <c r="BK69" s="448"/>
      <c r="BL69" s="448"/>
      <c r="BM69" s="448"/>
      <c r="BN69" s="449"/>
      <c r="BO69" s="447"/>
    </row>
    <row r="70" spans="1:67" s="360" customFormat="1" ht="17.25" customHeight="1" thickTop="1" thickBot="1">
      <c r="A70" s="447"/>
      <c r="B70" s="447"/>
      <c r="C70" s="530" t="s">
        <v>7</v>
      </c>
      <c r="D70" s="530"/>
      <c r="E70" s="1124">
        <f>F26</f>
        <v>46.1</v>
      </c>
      <c r="F70" s="1124"/>
      <c r="G70" s="1124"/>
      <c r="H70" s="1063" t="str" cm="1">
        <f t="array" ref="H70">latitudeDecimal2Txt(E70)</f>
        <v>N 46°06.00 (N 46.1000) [N 46°06'00.00]</v>
      </c>
      <c r="I70" s="1063"/>
      <c r="J70" s="1063"/>
      <c r="K70" s="1063"/>
      <c r="L70" s="1063"/>
      <c r="M70" s="1063"/>
      <c r="N70" s="448"/>
      <c r="O70" s="448"/>
      <c r="P70" s="448"/>
      <c r="Q70" s="448"/>
      <c r="R70" s="448"/>
      <c r="S70" s="448"/>
      <c r="T70" s="448"/>
      <c r="U70" s="448"/>
      <c r="V70" s="448"/>
      <c r="W70" s="448"/>
      <c r="X70" s="448"/>
      <c r="Y70" s="448"/>
      <c r="Z70" s="447"/>
      <c r="AA70" s="447"/>
      <c r="AB70" s="303"/>
      <c r="AC70" s="448"/>
      <c r="AD70" s="448"/>
      <c r="AE70" s="448"/>
      <c r="AF70" s="448"/>
      <c r="AG70" s="448"/>
      <c r="AH70" s="448"/>
      <c r="AI70" s="448"/>
      <c r="AJ70" s="448"/>
      <c r="AK70" s="448"/>
      <c r="AL70" s="448"/>
      <c r="AM70" s="448"/>
      <c r="AN70" s="448"/>
      <c r="AO70" s="448"/>
      <c r="AP70" s="448"/>
      <c r="AQ70" s="448"/>
      <c r="AR70" s="448"/>
      <c r="AS70" s="448"/>
      <c r="AT70" s="448"/>
      <c r="AU70" s="448"/>
      <c r="AV70" s="448"/>
      <c r="AW70" s="448"/>
      <c r="AX70" s="448"/>
      <c r="AY70" s="448"/>
      <c r="AZ70" s="448"/>
      <c r="BA70" s="448"/>
      <c r="BB70" s="448"/>
      <c r="BC70" s="448"/>
      <c r="BD70" s="448"/>
      <c r="BE70" s="448"/>
      <c r="BF70" s="448"/>
      <c r="BG70" s="448"/>
      <c r="BH70" s="448"/>
      <c r="BI70" s="448"/>
      <c r="BJ70" s="448"/>
      <c r="BK70" s="448"/>
      <c r="BL70" s="448"/>
      <c r="BM70" s="448"/>
      <c r="BN70" s="449"/>
      <c r="BO70" s="447"/>
    </row>
    <row r="71" spans="1:67" s="360" customFormat="1" ht="17.25" customHeight="1" thickTop="1" thickBot="1">
      <c r="A71" s="447"/>
      <c r="B71" s="447"/>
      <c r="C71" s="458"/>
      <c r="D71" s="458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47"/>
      <c r="AA71" s="447"/>
      <c r="AB71" s="301"/>
      <c r="AC71" s="448"/>
      <c r="AD71" s="448"/>
      <c r="AE71" s="448"/>
      <c r="AF71" s="448"/>
      <c r="AG71" s="448"/>
      <c r="AH71" s="448"/>
      <c r="AI71" s="448"/>
      <c r="AJ71" s="448"/>
      <c r="AK71" s="448"/>
      <c r="AL71" s="448"/>
      <c r="AM71" s="448"/>
      <c r="AN71" s="448"/>
      <c r="AO71" s="448"/>
      <c r="AP71" s="448"/>
      <c r="AQ71" s="448"/>
      <c r="AR71" s="448"/>
      <c r="AS71" s="448"/>
      <c r="AT71" s="448"/>
      <c r="AU71" s="448"/>
      <c r="AV71" s="448"/>
      <c r="AW71" s="448"/>
      <c r="AX71" s="448"/>
      <c r="AY71" s="448"/>
      <c r="AZ71" s="448"/>
      <c r="BA71" s="448"/>
      <c r="BB71" s="448"/>
      <c r="BC71" s="448"/>
      <c r="BD71" s="448"/>
      <c r="BE71" s="448"/>
      <c r="BF71" s="448"/>
      <c r="BG71" s="448"/>
      <c r="BH71" s="448"/>
      <c r="BI71" s="448"/>
      <c r="BJ71" s="448"/>
      <c r="BK71" s="448"/>
      <c r="BL71" s="448"/>
      <c r="BM71" s="448"/>
      <c r="BN71" s="449"/>
      <c r="BO71" s="447"/>
    </row>
    <row r="72" spans="1:67" s="360" customFormat="1" ht="17.25" customHeight="1" thickBot="1">
      <c r="A72" s="447"/>
      <c r="B72" s="379" t="s">
        <v>18</v>
      </c>
      <c r="C72" s="381"/>
      <c r="D72" s="381"/>
      <c r="E72" s="381"/>
      <c r="F72" s="381"/>
      <c r="G72" s="381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  <c r="U72" s="381"/>
      <c r="V72" s="381"/>
      <c r="W72" s="381"/>
      <c r="X72" s="381"/>
      <c r="Y72" s="381"/>
      <c r="Z72" s="381"/>
      <c r="AA72" s="381"/>
      <c r="AB72" s="302"/>
      <c r="AC72" s="448"/>
      <c r="AD72" s="448"/>
      <c r="AE72" s="448"/>
      <c r="AF72" s="448"/>
      <c r="AG72" s="448"/>
      <c r="AH72" s="448"/>
      <c r="AI72" s="448"/>
      <c r="AJ72" s="448"/>
      <c r="AK72" s="448"/>
      <c r="AL72" s="448"/>
      <c r="AM72" s="448"/>
      <c r="AN72" s="448"/>
      <c r="AO72" s="448"/>
      <c r="AP72" s="448"/>
      <c r="AQ72" s="448"/>
      <c r="AR72" s="448"/>
      <c r="AS72" s="448"/>
      <c r="AT72" s="448"/>
      <c r="AU72" s="448"/>
      <c r="AV72" s="448"/>
      <c r="AW72" s="448"/>
      <c r="AX72" s="448"/>
      <c r="AY72" s="448"/>
      <c r="AZ72" s="448"/>
      <c r="BA72" s="448"/>
      <c r="BB72" s="448"/>
      <c r="BC72" s="448"/>
      <c r="BD72" s="448"/>
      <c r="BE72" s="448"/>
      <c r="BF72" s="448"/>
      <c r="BG72" s="448"/>
      <c r="BH72" s="448"/>
      <c r="BI72" s="448"/>
      <c r="BJ72" s="448"/>
      <c r="BK72" s="448"/>
      <c r="BL72" s="448"/>
      <c r="BM72" s="448"/>
      <c r="BN72" s="449"/>
      <c r="BO72" s="447"/>
    </row>
    <row r="73" spans="1:67" s="360" customFormat="1" ht="18" customHeight="1">
      <c r="A73" s="447"/>
      <c r="B73" s="448"/>
      <c r="C73" s="1257" t="s">
        <v>165</v>
      </c>
      <c r="D73" s="1258"/>
      <c r="E73" s="1258"/>
      <c r="F73" s="1258"/>
      <c r="G73" s="1258"/>
      <c r="H73" s="1258"/>
      <c r="I73" s="1259"/>
      <c r="J73" s="594" t="s">
        <v>167</v>
      </c>
      <c r="K73" s="594"/>
      <c r="L73" s="594"/>
      <c r="M73" s="594"/>
      <c r="N73" s="594"/>
      <c r="O73" s="594"/>
      <c r="P73" s="448"/>
      <c r="Q73" s="448"/>
      <c r="R73" s="448"/>
      <c r="S73" s="448"/>
      <c r="T73" s="448"/>
      <c r="U73" s="448"/>
      <c r="V73" s="448"/>
      <c r="W73" s="448"/>
      <c r="X73" s="448"/>
      <c r="Y73" s="448"/>
      <c r="Z73" s="448"/>
      <c r="AA73" s="448"/>
      <c r="AB73" s="301"/>
      <c r="AC73" s="494" t="s">
        <v>166</v>
      </c>
      <c r="AD73" s="494" t="s">
        <v>167</v>
      </c>
      <c r="AE73" s="448"/>
      <c r="AF73" s="448"/>
      <c r="AG73" s="448"/>
      <c r="AH73" s="448"/>
      <c r="AI73" s="448"/>
      <c r="AJ73" s="448"/>
      <c r="AK73" s="448"/>
      <c r="AL73" s="448"/>
      <c r="AM73" s="448"/>
      <c r="AN73" s="448"/>
      <c r="AO73" s="448"/>
      <c r="AP73" s="448"/>
      <c r="AQ73" s="448"/>
      <c r="AR73" s="448"/>
      <c r="AS73" s="448"/>
      <c r="AT73" s="448"/>
      <c r="AU73" s="448"/>
      <c r="AV73" s="448"/>
      <c r="AW73" s="448"/>
      <c r="AX73" s="448"/>
      <c r="AY73" s="448"/>
      <c r="AZ73" s="448"/>
      <c r="BA73" s="448"/>
      <c r="BB73" s="448"/>
      <c r="BC73" s="448"/>
      <c r="BD73" s="448"/>
      <c r="BE73" s="448"/>
      <c r="BF73" s="448"/>
      <c r="BG73" s="448"/>
      <c r="BH73" s="448"/>
      <c r="BI73" s="448"/>
      <c r="BJ73" s="448"/>
      <c r="BK73" s="448"/>
      <c r="BL73" s="448"/>
      <c r="BM73" s="448"/>
      <c r="BN73" s="449"/>
      <c r="BO73" s="447"/>
    </row>
    <row r="74" spans="1:67" s="360" customFormat="1" ht="18" hidden="1" customHeight="1" thickTop="1" thickBot="1">
      <c r="A74" s="447"/>
      <c r="B74" s="451"/>
      <c r="C74" s="1260" t="s">
        <v>128</v>
      </c>
      <c r="D74" s="1261"/>
      <c r="E74" s="1261"/>
      <c r="F74" s="1261"/>
      <c r="G74" s="1261"/>
      <c r="H74" s="1261"/>
      <c r="I74" s="1262"/>
      <c r="J74" s="564" cm="1">
        <f t="array" ref="J74">angleConvert2Decimal(M74)</f>
        <v>2.5000000000000001E-2</v>
      </c>
      <c r="K74" s="564"/>
      <c r="L74" s="564"/>
      <c r="M74" s="571" t="s">
        <v>828</v>
      </c>
      <c r="N74" s="571"/>
      <c r="O74" s="571"/>
      <c r="P74" s="1326" t="str" cm="1">
        <f t="array" ref="P74">angleDecimal2Txt(J74)</f>
        <v>+00°01.50 (+00.0250) [+00°01'30.00]</v>
      </c>
      <c r="Q74" s="1327"/>
      <c r="R74" s="1327"/>
      <c r="S74" s="1327"/>
      <c r="T74" s="1327"/>
      <c r="U74" s="1327"/>
      <c r="V74" s="1327"/>
      <c r="W74" s="1327"/>
      <c r="X74" s="1328"/>
      <c r="Y74" s="451"/>
      <c r="Z74" s="447"/>
      <c r="AA74" s="447"/>
      <c r="AB74" s="301"/>
      <c r="AC74" s="448"/>
      <c r="AD74" s="448"/>
      <c r="AE74" s="448"/>
      <c r="AF74" s="448"/>
      <c r="AG74" s="448"/>
      <c r="AH74" s="448"/>
      <c r="AI74" s="448"/>
      <c r="AJ74" s="448"/>
      <c r="AK74" s="448"/>
      <c r="AL74" s="448"/>
      <c r="AM74" s="448"/>
      <c r="AN74" s="448"/>
      <c r="AO74" s="448"/>
      <c r="AP74" s="448"/>
      <c r="AQ74" s="448"/>
      <c r="AR74" s="448"/>
      <c r="AS74" s="448"/>
      <c r="AT74" s="448"/>
      <c r="AU74" s="448"/>
      <c r="AV74" s="448"/>
      <c r="AW74" s="448"/>
      <c r="AX74" s="448"/>
      <c r="AY74" s="448"/>
      <c r="AZ74" s="448"/>
      <c r="BA74" s="448"/>
      <c r="BB74" s="448"/>
      <c r="BC74" s="448"/>
      <c r="BD74" s="448"/>
      <c r="BE74" s="448"/>
      <c r="BF74" s="448"/>
      <c r="BG74" s="448"/>
      <c r="BH74" s="448"/>
      <c r="BI74" s="448"/>
      <c r="BJ74" s="448"/>
      <c r="BK74" s="448"/>
      <c r="BL74" s="448"/>
      <c r="BM74" s="448"/>
      <c r="BN74" s="449"/>
      <c r="BO74" s="447"/>
    </row>
    <row r="75" spans="1:67" s="360" customFormat="1" ht="18" hidden="1" customHeight="1" thickTop="1" thickBot="1">
      <c r="A75" s="447"/>
      <c r="B75" s="447"/>
      <c r="C75" s="1215" t="s">
        <v>127</v>
      </c>
      <c r="D75" s="1215"/>
      <c r="E75" s="1215"/>
      <c r="F75" s="1215"/>
      <c r="G75" s="1215"/>
      <c r="H75" s="1215"/>
      <c r="I75" s="1215"/>
      <c r="J75" s="564" cm="1">
        <f t="array" ref="J75">angleConvert2Decimal(M75)</f>
        <v>1.6666666666666668E-3</v>
      </c>
      <c r="K75" s="564"/>
      <c r="L75" s="564"/>
      <c r="M75" s="571" t="s">
        <v>829</v>
      </c>
      <c r="N75" s="594"/>
      <c r="O75" s="594"/>
      <c r="P75" s="1216" t="str" cm="1">
        <f t="array" ref="P75">angleDecimal2Txt(J75)</f>
        <v>+00°00.10 (+00.0016) [+00°00'06.00]</v>
      </c>
      <c r="Q75" s="1216"/>
      <c r="R75" s="1216"/>
      <c r="S75" s="1216"/>
      <c r="T75" s="1216"/>
      <c r="U75" s="1216"/>
      <c r="V75" s="1216"/>
      <c r="W75" s="1216"/>
      <c r="X75" s="1216"/>
      <c r="Y75" s="451"/>
      <c r="Z75" s="447"/>
      <c r="AA75" s="447"/>
      <c r="AB75" s="301"/>
      <c r="AC75" s="448"/>
      <c r="AD75" s="448"/>
      <c r="AE75" s="448"/>
      <c r="AF75" s="448"/>
      <c r="AG75" s="448"/>
      <c r="AH75" s="448"/>
      <c r="AI75" s="448"/>
      <c r="AJ75" s="448"/>
      <c r="AK75" s="448"/>
      <c r="AL75" s="448"/>
      <c r="AM75" s="448"/>
      <c r="AN75" s="448"/>
      <c r="AO75" s="448"/>
      <c r="AP75" s="448"/>
      <c r="AQ75" s="448"/>
      <c r="AR75" s="448"/>
      <c r="AS75" s="448"/>
      <c r="AT75" s="448"/>
      <c r="AU75" s="448"/>
      <c r="AV75" s="448"/>
      <c r="AW75" s="448"/>
      <c r="AX75" s="448"/>
      <c r="AY75" s="448"/>
      <c r="AZ75" s="448"/>
      <c r="BA75" s="448"/>
      <c r="BB75" s="448"/>
      <c r="BC75" s="448"/>
      <c r="BD75" s="448"/>
      <c r="BE75" s="448"/>
      <c r="BF75" s="448"/>
      <c r="BG75" s="448"/>
      <c r="BH75" s="448"/>
      <c r="BI75" s="448"/>
      <c r="BJ75" s="448"/>
      <c r="BK75" s="448"/>
      <c r="BL75" s="448"/>
      <c r="BM75" s="448"/>
      <c r="BN75" s="449"/>
      <c r="BO75" s="447"/>
    </row>
    <row r="76" spans="1:67" s="360" customFormat="1" ht="18" hidden="1" customHeight="1" thickTop="1" thickBot="1">
      <c r="A76" s="447"/>
      <c r="B76" s="447"/>
      <c r="C76" s="1215" t="s">
        <v>135</v>
      </c>
      <c r="D76" s="1215"/>
      <c r="E76" s="1215"/>
      <c r="F76" s="1215"/>
      <c r="G76" s="1215"/>
      <c r="H76" s="1215"/>
      <c r="I76" s="1215"/>
      <c r="J76" s="564" cm="1">
        <f t="array" ref="J76">angleConvert2Decimal(M76)</f>
        <v>8.3333333333333295E-4</v>
      </c>
      <c r="K76" s="564"/>
      <c r="L76" s="564"/>
      <c r="M76" s="679">
        <f>J75/2</f>
        <v>8.3333333333333339E-4</v>
      </c>
      <c r="N76" s="777"/>
      <c r="O76" s="777"/>
      <c r="P76" s="1216" t="str" cm="1">
        <f t="array" ref="P76">angleDecimal2Txt(J76)</f>
        <v>+00°00.04 (+00.0008) [+00°00'02.99]</v>
      </c>
      <c r="Q76" s="1216"/>
      <c r="R76" s="1216"/>
      <c r="S76" s="1216"/>
      <c r="T76" s="1216"/>
      <c r="U76" s="1216"/>
      <c r="V76" s="1216"/>
      <c r="W76" s="1216"/>
      <c r="X76" s="1216"/>
      <c r="Y76" s="451"/>
      <c r="Z76" s="447"/>
      <c r="AA76" s="447"/>
      <c r="AB76" s="301"/>
      <c r="AC76" s="448"/>
      <c r="AD76" s="448"/>
      <c r="AE76" s="448"/>
      <c r="AF76" s="448"/>
      <c r="AG76" s="448"/>
      <c r="AH76" s="448"/>
      <c r="AI76" s="448"/>
      <c r="AJ76" s="448"/>
      <c r="AK76" s="448"/>
      <c r="AL76" s="448"/>
      <c r="AM76" s="448"/>
      <c r="AN76" s="448"/>
      <c r="AO76" s="448"/>
      <c r="AP76" s="448"/>
      <c r="AQ76" s="448"/>
      <c r="AR76" s="448"/>
      <c r="AS76" s="448"/>
      <c r="AT76" s="448"/>
      <c r="AU76" s="448"/>
      <c r="AV76" s="448"/>
      <c r="AW76" s="448"/>
      <c r="AX76" s="448"/>
      <c r="AY76" s="448"/>
      <c r="AZ76" s="448"/>
      <c r="BA76" s="448"/>
      <c r="BB76" s="448"/>
      <c r="BC76" s="448"/>
      <c r="BD76" s="448"/>
      <c r="BE76" s="448"/>
      <c r="BF76" s="448"/>
      <c r="BG76" s="448"/>
      <c r="BH76" s="448"/>
      <c r="BI76" s="448"/>
      <c r="BJ76" s="448"/>
      <c r="BK76" s="448"/>
      <c r="BL76" s="448"/>
      <c r="BM76" s="448"/>
      <c r="BN76" s="449"/>
      <c r="BO76" s="447"/>
    </row>
    <row r="77" spans="1:67" s="360" customFormat="1" ht="18" customHeight="1" thickBot="1">
      <c r="A77" s="447"/>
      <c r="B77" s="447"/>
      <c r="C77" s="1269" t="s">
        <v>19</v>
      </c>
      <c r="D77" s="1269"/>
      <c r="E77" s="1269"/>
      <c r="F77" s="1269"/>
      <c r="G77" s="1269"/>
      <c r="H77" s="1269"/>
      <c r="I77" s="1269"/>
      <c r="J77" s="777">
        <f>M77</f>
        <v>2</v>
      </c>
      <c r="K77" s="777"/>
      <c r="L77" s="777"/>
      <c r="M77" s="571">
        <v>2</v>
      </c>
      <c r="N77" s="594"/>
      <c r="O77" s="594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47"/>
      <c r="AA77" s="447"/>
      <c r="AB77" s="301"/>
      <c r="AC77" s="448"/>
      <c r="AD77" s="448"/>
      <c r="AE77" s="448"/>
      <c r="AF77" s="448"/>
      <c r="AG77" s="448"/>
      <c r="AH77" s="448"/>
      <c r="AI77" s="448"/>
      <c r="AJ77" s="448"/>
      <c r="AK77" s="448"/>
      <c r="AL77" s="448"/>
      <c r="AM77" s="448"/>
      <c r="AN77" s="448"/>
      <c r="AO77" s="448"/>
      <c r="AP77" s="448"/>
      <c r="AQ77" s="448"/>
      <c r="AR77" s="448"/>
      <c r="AS77" s="448"/>
      <c r="AT77" s="448"/>
      <c r="AU77" s="448"/>
      <c r="AV77" s="448"/>
      <c r="AW77" s="448"/>
      <c r="AX77" s="448"/>
      <c r="AY77" s="448"/>
      <c r="AZ77" s="448"/>
      <c r="BA77" s="448"/>
      <c r="BB77" s="448"/>
      <c r="BC77" s="448"/>
      <c r="BD77" s="448"/>
      <c r="BE77" s="448"/>
      <c r="BF77" s="448"/>
      <c r="BG77" s="448"/>
      <c r="BH77" s="448"/>
      <c r="BI77" s="448"/>
      <c r="BJ77" s="448"/>
      <c r="BK77" s="448"/>
      <c r="BL77" s="448"/>
      <c r="BM77" s="448"/>
      <c r="BN77" s="449"/>
      <c r="BO77" s="447"/>
    </row>
    <row r="78" spans="1:67" s="360" customFormat="1" ht="18" customHeight="1" thickTop="1" thickBot="1">
      <c r="A78" s="447"/>
      <c r="B78" s="451"/>
      <c r="C78" s="1266" t="s">
        <v>20</v>
      </c>
      <c r="D78" s="1267"/>
      <c r="E78" s="1267"/>
      <c r="F78" s="1267"/>
      <c r="G78" s="1267"/>
      <c r="H78" s="1267"/>
      <c r="I78" s="1268"/>
      <c r="J78" s="564" cm="1">
        <f t="array" ref="J78">angleConvert2Decimal(M78)</f>
        <v>2.1666666666666667E-2</v>
      </c>
      <c r="K78" s="564"/>
      <c r="L78" s="564"/>
      <c r="M78" s="571" t="s">
        <v>924</v>
      </c>
      <c r="N78" s="594"/>
      <c r="O78" s="594"/>
      <c r="P78" s="1216" t="str" cm="1">
        <f t="array" ref="P78">angleDecimal2Txt(J78)</f>
        <v>+00°01.30 (+00.0216) [+00°01'18.00]</v>
      </c>
      <c r="Q78" s="1216"/>
      <c r="R78" s="1216"/>
      <c r="S78" s="1216"/>
      <c r="T78" s="1216"/>
      <c r="U78" s="1216"/>
      <c r="V78" s="1216"/>
      <c r="W78" s="1216"/>
      <c r="X78" s="1216"/>
      <c r="Y78" s="451"/>
      <c r="Z78" s="447"/>
      <c r="AA78" s="447"/>
      <c r="AB78" s="301"/>
      <c r="AC78" s="448"/>
      <c r="AD78" s="448"/>
      <c r="AE78" s="448"/>
      <c r="AF78" s="448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  <c r="AQ78" s="448"/>
      <c r="AR78" s="448"/>
      <c r="AS78" s="448"/>
      <c r="AT78" s="448"/>
      <c r="AU78" s="448"/>
      <c r="AV78" s="448"/>
      <c r="AW78" s="448"/>
      <c r="AX78" s="448"/>
      <c r="AY78" s="448"/>
      <c r="AZ78" s="448"/>
      <c r="BA78" s="448"/>
      <c r="BB78" s="448"/>
      <c r="BC78" s="448"/>
      <c r="BD78" s="448"/>
      <c r="BE78" s="448"/>
      <c r="BF78" s="448"/>
      <c r="BG78" s="448"/>
      <c r="BH78" s="448"/>
      <c r="BI78" s="448"/>
      <c r="BJ78" s="448"/>
      <c r="BK78" s="448"/>
      <c r="BL78" s="448"/>
      <c r="BM78" s="448"/>
      <c r="BN78" s="449"/>
      <c r="BO78" s="447"/>
    </row>
    <row r="79" spans="1:67" s="360" customFormat="1" ht="18" customHeight="1" thickTop="1" thickBot="1">
      <c r="A79" s="447"/>
      <c r="B79" s="447"/>
      <c r="C79" s="1273" t="s">
        <v>26</v>
      </c>
      <c r="D79" s="1273"/>
      <c r="E79" s="1273"/>
      <c r="F79" s="1273"/>
      <c r="G79" s="1273"/>
      <c r="H79" s="1273"/>
      <c r="I79" s="1273"/>
      <c r="J79" s="564">
        <f>IF(J73=AC73,J76,angleConvert2Decimal(M79))</f>
        <v>66.95</v>
      </c>
      <c r="K79" s="564"/>
      <c r="L79" s="564"/>
      <c r="M79" s="571" t="s">
        <v>253</v>
      </c>
      <c r="N79" s="594"/>
      <c r="O79" s="594"/>
      <c r="P79" s="1216" t="str" cm="1">
        <f t="array" ref="P79">angleDecimal2Txt(J79)</f>
        <v>+66°57.00 (+66.9500) [+66°57'00.00]</v>
      </c>
      <c r="Q79" s="1216"/>
      <c r="R79" s="1216"/>
      <c r="S79" s="1216"/>
      <c r="T79" s="1216"/>
      <c r="U79" s="1216"/>
      <c r="V79" s="1216"/>
      <c r="W79" s="1216"/>
      <c r="X79" s="1216"/>
      <c r="Y79" s="451"/>
      <c r="Z79" s="447"/>
      <c r="AA79" s="447"/>
      <c r="AB79" s="301"/>
      <c r="AC79" s="448"/>
      <c r="AD79" s="448"/>
      <c r="AE79" s="448"/>
      <c r="AF79" s="448"/>
      <c r="AG79" s="448"/>
      <c r="AH79" s="448"/>
      <c r="AI79" s="448"/>
      <c r="AJ79" s="448"/>
      <c r="AK79" s="448"/>
      <c r="AL79" s="448"/>
      <c r="AM79" s="448"/>
      <c r="AN79" s="448"/>
      <c r="AO79" s="448"/>
      <c r="AP79" s="448"/>
      <c r="AQ79" s="448"/>
      <c r="AR79" s="448"/>
      <c r="AS79" s="448"/>
      <c r="AT79" s="448"/>
      <c r="AU79" s="448"/>
      <c r="AV79" s="448"/>
      <c r="AW79" s="448"/>
      <c r="AX79" s="448"/>
      <c r="AY79" s="448"/>
      <c r="AZ79" s="448"/>
      <c r="BA79" s="448"/>
      <c r="BB79" s="448"/>
      <c r="BC79" s="448"/>
      <c r="BD79" s="448"/>
      <c r="BE79" s="448"/>
      <c r="BF79" s="448"/>
      <c r="BG79" s="448"/>
      <c r="BH79" s="448"/>
      <c r="BI79" s="448"/>
      <c r="BJ79" s="448"/>
      <c r="BK79" s="448"/>
      <c r="BL79" s="448"/>
      <c r="BM79" s="448"/>
      <c r="BN79" s="449"/>
      <c r="BO79" s="447"/>
    </row>
    <row r="80" spans="1:67" s="360" customFormat="1" ht="18" customHeight="1" thickTop="1">
      <c r="A80" s="447"/>
      <c r="B80" s="447"/>
      <c r="C80" s="1185" t="s">
        <v>30</v>
      </c>
      <c r="D80" s="1185"/>
      <c r="E80" s="1185"/>
      <c r="F80" s="1185"/>
      <c r="G80" s="1185"/>
      <c r="H80" s="1185"/>
      <c r="I80" s="1185"/>
      <c r="J80" s="564" t="str">
        <f>M80</f>
        <v>Soleil</v>
      </c>
      <c r="K80" s="564"/>
      <c r="L80" s="564"/>
      <c r="M80" s="1186" t="s">
        <v>31</v>
      </c>
      <c r="N80" s="1187"/>
      <c r="O80" s="1188"/>
      <c r="P80" s="451"/>
      <c r="Q80" s="451"/>
      <c r="R80" s="451"/>
      <c r="S80" s="451"/>
      <c r="T80" s="451"/>
      <c r="U80" s="451"/>
      <c r="V80" s="451"/>
      <c r="W80" s="451"/>
      <c r="X80" s="451"/>
      <c r="Y80" s="451"/>
      <c r="Z80" s="447"/>
      <c r="AA80" s="447"/>
      <c r="AB80" s="301"/>
      <c r="AC80" s="448"/>
      <c r="AD80" s="448"/>
      <c r="AE80" s="448"/>
      <c r="AF80" s="448"/>
      <c r="AG80" s="447"/>
      <c r="AH80" s="447"/>
      <c r="AI80" s="448"/>
      <c r="AJ80" s="448"/>
      <c r="AK80" s="448"/>
      <c r="AL80" s="448"/>
      <c r="AM80" s="448"/>
      <c r="AN80" s="448"/>
      <c r="AO80" s="448"/>
      <c r="AP80" s="448"/>
      <c r="AQ80" s="448"/>
      <c r="AR80" s="448"/>
      <c r="AS80" s="448"/>
      <c r="AT80" s="448"/>
      <c r="AU80" s="448"/>
      <c r="AV80" s="448"/>
      <c r="AW80" s="448"/>
      <c r="AX80" s="448"/>
      <c r="AY80" s="448"/>
      <c r="AZ80" s="448"/>
      <c r="BA80" s="448"/>
      <c r="BB80" s="448"/>
      <c r="BC80" s="448"/>
      <c r="BD80" s="448"/>
      <c r="BE80" s="448"/>
      <c r="BF80" s="448"/>
      <c r="BG80" s="448"/>
      <c r="BH80" s="448"/>
      <c r="BI80" s="448"/>
      <c r="BJ80" s="448"/>
      <c r="BK80" s="448"/>
      <c r="BL80" s="448"/>
      <c r="BM80" s="448"/>
      <c r="BN80" s="449"/>
      <c r="BO80" s="447"/>
    </row>
    <row r="81" spans="1:67" s="360" customFormat="1" ht="18" customHeight="1">
      <c r="A81" s="447"/>
      <c r="B81" s="447"/>
      <c r="C81" s="1185" t="s">
        <v>56</v>
      </c>
      <c r="D81" s="1185"/>
      <c r="E81" s="1185"/>
      <c r="F81" s="1185"/>
      <c r="G81" s="1185"/>
      <c r="H81" s="1185"/>
      <c r="I81" s="1185"/>
      <c r="J81" s="564" t="str">
        <f>M81</f>
        <v>BordInf</v>
      </c>
      <c r="K81" s="564"/>
      <c r="L81" s="564"/>
      <c r="M81" s="594" t="s">
        <v>57</v>
      </c>
      <c r="N81" s="594"/>
      <c r="O81" s="594"/>
      <c r="P81" s="451"/>
      <c r="Q81" s="451"/>
      <c r="R81" s="451"/>
      <c r="S81" s="451"/>
      <c r="T81" s="451"/>
      <c r="U81" s="451"/>
      <c r="V81" s="451"/>
      <c r="W81" s="451"/>
      <c r="X81" s="451"/>
      <c r="Y81" s="451"/>
      <c r="Z81" s="447"/>
      <c r="AA81" s="447"/>
      <c r="AB81" s="301"/>
      <c r="AC81" s="448"/>
      <c r="AD81" s="448"/>
      <c r="AE81" s="448"/>
      <c r="AF81" s="448"/>
      <c r="AG81" s="447"/>
      <c r="AH81" s="447"/>
      <c r="AI81" s="448"/>
      <c r="AJ81" s="448"/>
      <c r="AK81" s="448"/>
      <c r="AL81" s="448"/>
      <c r="AM81" s="448"/>
      <c r="AN81" s="448"/>
      <c r="AO81" s="448"/>
      <c r="AP81" s="448"/>
      <c r="AQ81" s="448"/>
      <c r="AR81" s="448"/>
      <c r="AS81" s="448"/>
      <c r="AT81" s="448"/>
      <c r="AU81" s="448"/>
      <c r="AV81" s="448"/>
      <c r="AW81" s="448"/>
      <c r="AX81" s="448"/>
      <c r="AY81" s="448"/>
      <c r="AZ81" s="448"/>
      <c r="BA81" s="448"/>
      <c r="BB81" s="448"/>
      <c r="BC81" s="448"/>
      <c r="BD81" s="448"/>
      <c r="BE81" s="448"/>
      <c r="BF81" s="448"/>
      <c r="BG81" s="448"/>
      <c r="BH81" s="448"/>
      <c r="BI81" s="448"/>
      <c r="BJ81" s="448"/>
      <c r="BK81" s="448"/>
      <c r="BL81" s="448"/>
      <c r="BM81" s="448"/>
      <c r="BN81" s="449"/>
      <c r="BO81" s="447"/>
    </row>
    <row r="82" spans="1:67" s="360" customFormat="1" ht="17.25" customHeight="1">
      <c r="A82" s="447"/>
      <c r="B82" s="447"/>
      <c r="C82" s="1193" t="s">
        <v>151</v>
      </c>
      <c r="D82" s="1194"/>
      <c r="E82" s="497"/>
      <c r="F82" s="497"/>
      <c r="G82" s="497"/>
      <c r="H82" s="497"/>
      <c r="I82" s="498"/>
      <c r="J82" s="1124" cm="1">
        <f t="array" ref="J82">angleConvert2Decimal(M82)</f>
        <v>2.8833333333333302E-3</v>
      </c>
      <c r="K82" s="1124"/>
      <c r="L82" s="1124"/>
      <c r="M82" s="737">
        <f>P84</f>
        <v>2.8833333333333302E-3</v>
      </c>
      <c r="N82" s="737"/>
      <c r="O82" s="737"/>
      <c r="P82" s="1162" t="s">
        <v>97</v>
      </c>
      <c r="Q82" s="1162"/>
      <c r="R82" s="1162"/>
      <c r="S82" s="451"/>
      <c r="T82" s="451"/>
      <c r="U82" s="451"/>
      <c r="V82" s="451"/>
      <c r="W82" s="451"/>
      <c r="X82" s="451"/>
      <c r="Y82" s="451"/>
      <c r="Z82" s="447"/>
      <c r="AA82" s="447"/>
      <c r="AB82" s="301"/>
      <c r="AC82" s="448"/>
      <c r="AD82" s="448"/>
      <c r="AE82" s="448"/>
      <c r="AF82" s="448"/>
      <c r="AG82" s="447"/>
      <c r="AH82" s="447"/>
      <c r="AI82" s="448"/>
      <c r="AJ82" s="448"/>
      <c r="AK82" s="448"/>
      <c r="AL82" s="448"/>
      <c r="AM82" s="448"/>
      <c r="AN82" s="448"/>
      <c r="AO82" s="448"/>
      <c r="AP82" s="448"/>
      <c r="AQ82" s="448"/>
      <c r="AR82" s="448"/>
      <c r="AS82" s="448"/>
      <c r="AT82" s="448"/>
      <c r="AU82" s="448"/>
      <c r="AV82" s="448"/>
      <c r="AW82" s="448"/>
      <c r="AX82" s="448"/>
      <c r="AY82" s="448"/>
      <c r="AZ82" s="448"/>
      <c r="BA82" s="448"/>
      <c r="BB82" s="448"/>
      <c r="BC82" s="448"/>
      <c r="BD82" s="448"/>
      <c r="BE82" s="448"/>
      <c r="BF82" s="448"/>
      <c r="BG82" s="448"/>
      <c r="BH82" s="448"/>
      <c r="BI82" s="448"/>
      <c r="BJ82" s="448"/>
      <c r="BK82" s="448"/>
      <c r="BL82" s="448"/>
      <c r="BM82" s="448"/>
      <c r="BN82" s="449"/>
      <c r="BO82" s="447"/>
    </row>
    <row r="83" spans="1:67" s="360" customFormat="1" ht="17.25" customHeight="1" thickBot="1">
      <c r="A83" s="447"/>
      <c r="B83" s="447"/>
      <c r="C83" s="499"/>
      <c r="D83" s="1189" t="s">
        <v>152</v>
      </c>
      <c r="E83" s="1189"/>
      <c r="F83" s="1189"/>
      <c r="G83" s="1189"/>
      <c r="H83" s="1189"/>
      <c r="I83" s="1190"/>
      <c r="J83" s="1124"/>
      <c r="K83" s="1124"/>
      <c r="L83" s="1124"/>
      <c r="M83" s="737"/>
      <c r="N83" s="737"/>
      <c r="O83" s="737"/>
      <c r="P83" s="1162"/>
      <c r="Q83" s="1162"/>
      <c r="R83" s="1162"/>
      <c r="S83" s="451"/>
      <c r="T83" s="451"/>
      <c r="U83" s="451"/>
      <c r="V83" s="451"/>
      <c r="W83" s="451"/>
      <c r="X83" s="451"/>
      <c r="Y83" s="451"/>
      <c r="Z83" s="447"/>
      <c r="AA83" s="447"/>
      <c r="AB83" s="301"/>
      <c r="AC83" s="448"/>
      <c r="AD83" s="448"/>
      <c r="AE83" s="448"/>
      <c r="AF83" s="448"/>
      <c r="AG83" s="447"/>
      <c r="AH83" s="447"/>
      <c r="AI83" s="448"/>
      <c r="AJ83" s="448"/>
      <c r="AK83" s="448"/>
      <c r="AL83" s="448"/>
      <c r="AM83" s="448"/>
      <c r="AN83" s="448"/>
      <c r="AO83" s="448"/>
      <c r="AP83" s="448"/>
      <c r="AQ83" s="448"/>
      <c r="AR83" s="448"/>
      <c r="AS83" s="448"/>
      <c r="AT83" s="448"/>
      <c r="AU83" s="448"/>
      <c r="AV83" s="448"/>
      <c r="AW83" s="448"/>
      <c r="AX83" s="448"/>
      <c r="AY83" s="448"/>
      <c r="AZ83" s="448"/>
      <c r="BA83" s="448"/>
      <c r="BB83" s="448"/>
      <c r="BC83" s="448"/>
      <c r="BD83" s="448"/>
      <c r="BE83" s="448"/>
      <c r="BF83" s="448"/>
      <c r="BG83" s="448"/>
      <c r="BH83" s="448"/>
      <c r="BI83" s="448"/>
      <c r="BJ83" s="448"/>
      <c r="BK83" s="448"/>
      <c r="BL83" s="448"/>
      <c r="BM83" s="448"/>
      <c r="BN83" s="449"/>
      <c r="BO83" s="447"/>
    </row>
    <row r="84" spans="1:67" s="360" customFormat="1" ht="17.25" customHeight="1" thickTop="1" thickBot="1">
      <c r="A84" s="447"/>
      <c r="B84" s="447"/>
      <c r="C84" s="499"/>
      <c r="D84" s="1189"/>
      <c r="E84" s="1189"/>
      <c r="F84" s="1189"/>
      <c r="G84" s="1189"/>
      <c r="H84" s="1189"/>
      <c r="I84" s="1190"/>
      <c r="J84" s="1124"/>
      <c r="K84" s="1124"/>
      <c r="L84" s="1124"/>
      <c r="M84" s="737"/>
      <c r="N84" s="737"/>
      <c r="O84" s="737"/>
      <c r="P84" s="1163" cm="1">
        <f t="array" ref="P84">astroHPSoleilEnDegre()</f>
        <v>2.8833333333333302E-3</v>
      </c>
      <c r="Q84" s="1163"/>
      <c r="R84" s="1163"/>
      <c r="S84" s="565" t="str" cm="1">
        <f t="array" ref="S84">angleDecimal2Txt(angleConvert2Decimal(P84))</f>
        <v>+00°00.17 (+00.0028) [+00°00'10.37]</v>
      </c>
      <c r="T84" s="565"/>
      <c r="U84" s="565"/>
      <c r="V84" s="565"/>
      <c r="W84" s="565"/>
      <c r="X84" s="565"/>
      <c r="Y84" s="451"/>
      <c r="Z84" s="447"/>
      <c r="AA84" s="447"/>
      <c r="AB84" s="301"/>
      <c r="AC84" s="448"/>
      <c r="AD84" s="448"/>
      <c r="AE84" s="448"/>
      <c r="AF84" s="448"/>
      <c r="AG84" s="448"/>
      <c r="AH84" s="448"/>
      <c r="AI84" s="448"/>
      <c r="AJ84" s="448"/>
      <c r="AK84" s="448"/>
      <c r="AL84" s="448"/>
      <c r="AM84" s="448"/>
      <c r="AN84" s="448"/>
      <c r="AO84" s="448"/>
      <c r="AP84" s="448"/>
      <c r="AQ84" s="448"/>
      <c r="AR84" s="448"/>
      <c r="AS84" s="448"/>
      <c r="AT84" s="448"/>
      <c r="AU84" s="448"/>
      <c r="AV84" s="448"/>
      <c r="AW84" s="448"/>
      <c r="AX84" s="448"/>
      <c r="AY84" s="448"/>
      <c r="AZ84" s="448"/>
      <c r="BA84" s="448"/>
      <c r="BB84" s="448"/>
      <c r="BC84" s="448"/>
      <c r="BD84" s="448"/>
      <c r="BE84" s="448"/>
      <c r="BF84" s="448"/>
      <c r="BG84" s="448"/>
      <c r="BH84" s="448"/>
      <c r="BI84" s="448"/>
      <c r="BJ84" s="448"/>
      <c r="BK84" s="448"/>
      <c r="BL84" s="448"/>
      <c r="BM84" s="448"/>
      <c r="BN84" s="449"/>
      <c r="BO84" s="447"/>
    </row>
    <row r="85" spans="1:67" s="360" customFormat="1" ht="17.25" customHeight="1" thickTop="1" thickBot="1">
      <c r="A85" s="447"/>
      <c r="B85" s="447"/>
      <c r="C85" s="500"/>
      <c r="D85" s="1191"/>
      <c r="E85" s="1191"/>
      <c r="F85" s="1191"/>
      <c r="G85" s="1191"/>
      <c r="H85" s="1191"/>
      <c r="I85" s="1192"/>
      <c r="J85" s="1124"/>
      <c r="K85" s="1124"/>
      <c r="L85" s="1124"/>
      <c r="M85" s="737"/>
      <c r="N85" s="737"/>
      <c r="O85" s="737"/>
      <c r="P85" s="565" t="str" cm="1">
        <f t="array" ref="P85">angleDecimal2Txt(J82)</f>
        <v>+00°00.17 (+00.0028) [+00°00'10.37]</v>
      </c>
      <c r="Q85" s="565"/>
      <c r="R85" s="565"/>
      <c r="S85" s="565"/>
      <c r="T85" s="565"/>
      <c r="U85" s="565"/>
      <c r="V85" s="565"/>
      <c r="W85" s="565"/>
      <c r="X85" s="565"/>
      <c r="Y85" s="451"/>
      <c r="Z85" s="447"/>
      <c r="AA85" s="447"/>
      <c r="AB85" s="301"/>
      <c r="AC85" s="495" t="s">
        <v>98</v>
      </c>
      <c r="AD85" s="496" t="s">
        <v>57</v>
      </c>
      <c r="AE85" s="496" t="s">
        <v>188</v>
      </c>
      <c r="AF85" s="496" t="s">
        <v>58</v>
      </c>
      <c r="AG85" s="448"/>
      <c r="AH85" s="448"/>
      <c r="AI85" s="448"/>
      <c r="AJ85" s="448"/>
      <c r="AK85" s="448"/>
      <c r="AL85" s="448"/>
      <c r="AM85" s="448"/>
      <c r="AN85" s="448"/>
      <c r="AO85" s="448"/>
      <c r="AP85" s="448"/>
      <c r="AQ85" s="448"/>
      <c r="AR85" s="448"/>
      <c r="AS85" s="448"/>
      <c r="AT85" s="448"/>
      <c r="AU85" s="448"/>
      <c r="AV85" s="448"/>
      <c r="AW85" s="448"/>
      <c r="AX85" s="448"/>
      <c r="AY85" s="448"/>
      <c r="AZ85" s="448"/>
      <c r="BA85" s="448"/>
      <c r="BB85" s="448"/>
      <c r="BC85" s="448"/>
      <c r="BD85" s="448"/>
      <c r="BE85" s="448"/>
      <c r="BF85" s="448"/>
      <c r="BG85" s="448"/>
      <c r="BH85" s="448"/>
      <c r="BI85" s="448"/>
      <c r="BJ85" s="448"/>
      <c r="BK85" s="448"/>
      <c r="BL85" s="448"/>
      <c r="BM85" s="448"/>
      <c r="BN85" s="449"/>
      <c r="BO85" s="447"/>
    </row>
    <row r="86" spans="1:67" s="360" customFormat="1" ht="17.25" customHeight="1" thickTop="1">
      <c r="A86" s="447"/>
      <c r="B86" s="447"/>
      <c r="C86" s="1195" t="s">
        <v>100</v>
      </c>
      <c r="D86" s="1196"/>
      <c r="E86" s="1196"/>
      <c r="F86" s="1196"/>
      <c r="G86" s="1196"/>
      <c r="H86" s="1196"/>
      <c r="I86" s="1197"/>
      <c r="J86" s="1124" cm="1">
        <f t="array" ref="J86">angleConvert2Decimal(M86)</f>
        <v>0.52666666699999998</v>
      </c>
      <c r="K86" s="1124"/>
      <c r="L86" s="1124"/>
      <c r="M86" s="737">
        <f>P88</f>
        <v>0.52666666699999998</v>
      </c>
      <c r="N86" s="737"/>
      <c r="O86" s="737"/>
      <c r="P86" s="1162" t="s">
        <v>97</v>
      </c>
      <c r="Q86" s="1162"/>
      <c r="R86" s="1162"/>
      <c r="S86" s="451"/>
      <c r="T86" s="451"/>
      <c r="U86" s="451"/>
      <c r="V86" s="451"/>
      <c r="W86" s="451"/>
      <c r="X86" s="451"/>
      <c r="Y86" s="451"/>
      <c r="Z86" s="447"/>
      <c r="AA86" s="447"/>
      <c r="AB86" s="301"/>
      <c r="AC86" s="448"/>
      <c r="AD86" s="448"/>
      <c r="AE86" s="448"/>
      <c r="AF86" s="448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  <c r="AQ86" s="448"/>
      <c r="AR86" s="448"/>
      <c r="AS86" s="448"/>
      <c r="AT86" s="448"/>
      <c r="AU86" s="448"/>
      <c r="AV86" s="448"/>
      <c r="AW86" s="448"/>
      <c r="AX86" s="448"/>
      <c r="AY86" s="448"/>
      <c r="AZ86" s="448"/>
      <c r="BA86" s="448"/>
      <c r="BB86" s="448"/>
      <c r="BC86" s="448"/>
      <c r="BD86" s="448"/>
      <c r="BE86" s="448"/>
      <c r="BF86" s="448"/>
      <c r="BG86" s="448"/>
      <c r="BH86" s="448"/>
      <c r="BI86" s="448"/>
      <c r="BJ86" s="448"/>
      <c r="BK86" s="448"/>
      <c r="BL86" s="448"/>
      <c r="BM86" s="448"/>
      <c r="BN86" s="449"/>
      <c r="BO86" s="447"/>
    </row>
    <row r="87" spans="1:67" s="360" customFormat="1" ht="17.25" customHeight="1" thickBot="1">
      <c r="A87" s="447"/>
      <c r="B87" s="447"/>
      <c r="C87" s="1198"/>
      <c r="D87" s="1199"/>
      <c r="E87" s="1199"/>
      <c r="F87" s="1199"/>
      <c r="G87" s="1199"/>
      <c r="H87" s="1199"/>
      <c r="I87" s="1200"/>
      <c r="J87" s="1124"/>
      <c r="K87" s="1124"/>
      <c r="L87" s="1124"/>
      <c r="M87" s="737"/>
      <c r="N87" s="737"/>
      <c r="O87" s="737"/>
      <c r="P87" s="1162"/>
      <c r="Q87" s="1162"/>
      <c r="R87" s="1162"/>
      <c r="S87" s="451"/>
      <c r="T87" s="451"/>
      <c r="U87" s="451"/>
      <c r="V87" s="451"/>
      <c r="W87" s="451"/>
      <c r="X87" s="451"/>
      <c r="Y87" s="451"/>
      <c r="Z87" s="447"/>
      <c r="AA87" s="447"/>
      <c r="AB87" s="301"/>
      <c r="AC87" s="448"/>
      <c r="AD87" s="448"/>
      <c r="AE87" s="448"/>
      <c r="AF87" s="448"/>
      <c r="AG87" s="448"/>
      <c r="AH87" s="448"/>
      <c r="AI87" s="448"/>
      <c r="AJ87" s="448"/>
      <c r="AK87" s="448"/>
      <c r="AL87" s="448"/>
      <c r="AM87" s="448"/>
      <c r="AN87" s="448"/>
      <c r="AO87" s="448"/>
      <c r="AP87" s="448"/>
      <c r="AQ87" s="448"/>
      <c r="AR87" s="448"/>
      <c r="AS87" s="448"/>
      <c r="AT87" s="448"/>
      <c r="AU87" s="448"/>
      <c r="AV87" s="448"/>
      <c r="AW87" s="448"/>
      <c r="AX87" s="448"/>
      <c r="AY87" s="448"/>
      <c r="AZ87" s="448"/>
      <c r="BA87" s="448"/>
      <c r="BB87" s="448"/>
      <c r="BC87" s="448"/>
      <c r="BD87" s="448"/>
      <c r="BE87" s="448"/>
      <c r="BF87" s="448"/>
      <c r="BG87" s="448"/>
      <c r="BH87" s="448"/>
      <c r="BI87" s="448"/>
      <c r="BJ87" s="448"/>
      <c r="BK87" s="448"/>
      <c r="BL87" s="448"/>
      <c r="BM87" s="448"/>
      <c r="BN87" s="449"/>
      <c r="BO87" s="447"/>
    </row>
    <row r="88" spans="1:67" s="360" customFormat="1" ht="17.25" customHeight="1" thickTop="1" thickBot="1">
      <c r="A88" s="447"/>
      <c r="B88" s="447"/>
      <c r="C88" s="1198"/>
      <c r="D88" s="1199"/>
      <c r="E88" s="1199"/>
      <c r="F88" s="1199"/>
      <c r="G88" s="1199"/>
      <c r="H88" s="1199"/>
      <c r="I88" s="1200"/>
      <c r="J88" s="1124"/>
      <c r="K88" s="1124"/>
      <c r="L88" s="1124"/>
      <c r="M88" s="737"/>
      <c r="N88" s="737"/>
      <c r="O88" s="737"/>
      <c r="P88" s="1163" cm="1">
        <f t="array" ref="P88">astroDiametreSoleilEnDegre(AA7)</f>
        <v>0.52666666699999998</v>
      </c>
      <c r="Q88" s="1163"/>
      <c r="R88" s="1163"/>
      <c r="S88" s="565" t="str" cm="1">
        <f t="array" ref="S88">angleDecimal2Txt(angleConvert2Decimal(P88))</f>
        <v>+00°31.60 (+00.5266) [+00°31'36.00]</v>
      </c>
      <c r="T88" s="565"/>
      <c r="U88" s="565"/>
      <c r="V88" s="565"/>
      <c r="W88" s="565"/>
      <c r="X88" s="565"/>
      <c r="Y88" s="451"/>
      <c r="Z88" s="447"/>
      <c r="AA88" s="447"/>
      <c r="AB88" s="301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48"/>
      <c r="BC88" s="448"/>
      <c r="BD88" s="448"/>
      <c r="BE88" s="448"/>
      <c r="BF88" s="448"/>
      <c r="BG88" s="448"/>
      <c r="BH88" s="448"/>
      <c r="BI88" s="448"/>
      <c r="BJ88" s="448"/>
      <c r="BK88" s="448"/>
      <c r="BL88" s="448"/>
      <c r="BM88" s="448"/>
      <c r="BN88" s="449"/>
      <c r="BO88" s="447"/>
    </row>
    <row r="89" spans="1:67" s="360" customFormat="1" ht="17.25" customHeight="1" thickTop="1" thickBot="1">
      <c r="A89" s="447"/>
      <c r="B89" s="447"/>
      <c r="C89" s="1201"/>
      <c r="D89" s="1202"/>
      <c r="E89" s="1202"/>
      <c r="F89" s="1202"/>
      <c r="G89" s="1202"/>
      <c r="H89" s="1202"/>
      <c r="I89" s="1203"/>
      <c r="J89" s="1124"/>
      <c r="K89" s="1124"/>
      <c r="L89" s="1124"/>
      <c r="M89" s="737"/>
      <c r="N89" s="737"/>
      <c r="O89" s="737"/>
      <c r="P89" s="565" t="str" cm="1">
        <f t="array" ref="P89">angleDecimal2Txt(J86)</f>
        <v>+00°31.60 (+00.5266) [+00°31'36.00]</v>
      </c>
      <c r="Q89" s="565"/>
      <c r="R89" s="565"/>
      <c r="S89" s="565"/>
      <c r="T89" s="565"/>
      <c r="U89" s="565"/>
      <c r="V89" s="565"/>
      <c r="W89" s="565"/>
      <c r="X89" s="565"/>
      <c r="Y89" s="451"/>
      <c r="Z89" s="447"/>
      <c r="AA89" s="447"/>
      <c r="AB89" s="301"/>
      <c r="AC89" s="448"/>
      <c r="AD89" s="448"/>
      <c r="AE89" s="447"/>
      <c r="AF89" s="447"/>
      <c r="AG89" s="448"/>
      <c r="AH89" s="448"/>
      <c r="AI89" s="448"/>
      <c r="AJ89" s="448"/>
      <c r="AK89" s="448"/>
      <c r="AL89" s="448"/>
      <c r="AM89" s="448"/>
      <c r="AN89" s="448"/>
      <c r="AO89" s="448"/>
      <c r="AP89" s="448"/>
      <c r="AQ89" s="448"/>
      <c r="AR89" s="448"/>
      <c r="AS89" s="448"/>
      <c r="AT89" s="448"/>
      <c r="AU89" s="448"/>
      <c r="AV89" s="448"/>
      <c r="AW89" s="448"/>
      <c r="AX89" s="448"/>
      <c r="AY89" s="448"/>
      <c r="AZ89" s="448"/>
      <c r="BA89" s="448"/>
      <c r="BB89" s="448"/>
      <c r="BC89" s="448"/>
      <c r="BD89" s="448"/>
      <c r="BE89" s="448"/>
      <c r="BF89" s="448"/>
      <c r="BG89" s="448"/>
      <c r="BH89" s="448"/>
      <c r="BI89" s="448"/>
      <c r="BJ89" s="448"/>
      <c r="BK89" s="448"/>
      <c r="BL89" s="448"/>
      <c r="BM89" s="448"/>
      <c r="BN89" s="449"/>
      <c r="BO89" s="447"/>
    </row>
    <row r="90" spans="1:67" s="360" customFormat="1" ht="17.25" customHeight="1" thickTop="1" thickBot="1">
      <c r="A90" s="447"/>
      <c r="B90" s="447"/>
      <c r="C90" s="451"/>
      <c r="D90" s="451"/>
      <c r="E90" s="451"/>
      <c r="F90" s="451"/>
      <c r="G90" s="451"/>
      <c r="H90" s="451"/>
      <c r="I90" s="451"/>
      <c r="J90" s="451"/>
      <c r="K90" s="451"/>
      <c r="L90" s="451"/>
      <c r="M90" s="451"/>
      <c r="N90" s="451"/>
      <c r="O90" s="451"/>
      <c r="P90" s="451"/>
      <c r="Q90" s="451"/>
      <c r="R90" s="451"/>
      <c r="S90" s="451"/>
      <c r="T90" s="451"/>
      <c r="U90" s="451"/>
      <c r="V90" s="451"/>
      <c r="W90" s="451"/>
      <c r="X90" s="451"/>
      <c r="Y90" s="451"/>
      <c r="Z90" s="447"/>
      <c r="AA90" s="447"/>
      <c r="AB90" s="301"/>
      <c r="AC90" s="447"/>
      <c r="AD90" s="447"/>
      <c r="AE90" s="447"/>
      <c r="AF90" s="447"/>
      <c r="AG90" s="447"/>
      <c r="AH90" s="448"/>
      <c r="AI90" s="448"/>
      <c r="AJ90" s="448"/>
      <c r="AK90" s="448"/>
      <c r="AL90" s="448"/>
      <c r="AM90" s="448"/>
      <c r="AN90" s="448"/>
      <c r="AO90" s="448"/>
      <c r="AP90" s="448"/>
      <c r="AQ90" s="448"/>
      <c r="AR90" s="448"/>
      <c r="AS90" s="448"/>
      <c r="AT90" s="448"/>
      <c r="AU90" s="448"/>
      <c r="AV90" s="448"/>
      <c r="AW90" s="448"/>
      <c r="AX90" s="448"/>
      <c r="AY90" s="448"/>
      <c r="AZ90" s="448"/>
      <c r="BA90" s="448"/>
      <c r="BB90" s="448"/>
      <c r="BC90" s="448"/>
      <c r="BD90" s="448"/>
      <c r="BE90" s="448"/>
      <c r="BF90" s="448"/>
      <c r="BG90" s="448"/>
      <c r="BH90" s="448"/>
      <c r="BI90" s="448"/>
      <c r="BJ90" s="448"/>
      <c r="BK90" s="448"/>
      <c r="BL90" s="448"/>
      <c r="BM90" s="448"/>
      <c r="BN90" s="449"/>
      <c r="BO90" s="447"/>
    </row>
    <row r="91" spans="1:67" s="360" customFormat="1" ht="17.25" customHeight="1" thickBot="1">
      <c r="A91" s="447"/>
      <c r="B91" s="379" t="s">
        <v>9</v>
      </c>
      <c r="C91" s="381"/>
      <c r="D91" s="381"/>
      <c r="E91" s="381"/>
      <c r="F91" s="564">
        <f>IF(G92=AD92,D95,IF(G92=AD93,D102,D108))</f>
        <v>23.133193688349891</v>
      </c>
      <c r="G91" s="564"/>
      <c r="H91" s="564"/>
      <c r="I91" s="381"/>
      <c r="J91" s="381"/>
      <c r="K91" s="501" t="str" cm="1">
        <f t="array" ref="K91">latitudeDecimal2Txt(F91)</f>
        <v>N 23°07.99 (N 23.1331) [N 23°07'59.49]</v>
      </c>
      <c r="L91" s="501"/>
      <c r="M91" s="501"/>
      <c r="N91" s="501"/>
      <c r="O91" s="50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04"/>
      <c r="AC91" s="448"/>
      <c r="AD91" s="459" t="s">
        <v>512</v>
      </c>
      <c r="AE91" s="447"/>
      <c r="AF91" s="447"/>
      <c r="AG91" s="447"/>
      <c r="AH91" s="448"/>
      <c r="AI91" s="448"/>
      <c r="AJ91" s="448"/>
      <c r="AK91" s="448"/>
      <c r="AL91" s="448"/>
      <c r="AM91" s="448"/>
      <c r="AN91" s="448"/>
      <c r="AO91" s="448"/>
      <c r="AP91" s="448"/>
      <c r="AQ91" s="448"/>
      <c r="AR91" s="448"/>
      <c r="AS91" s="448"/>
      <c r="AT91" s="448"/>
      <c r="AU91" s="448"/>
      <c r="AV91" s="448"/>
      <c r="AW91" s="448"/>
      <c r="AX91" s="448"/>
      <c r="AY91" s="448"/>
      <c r="AZ91" s="448"/>
      <c r="BA91" s="448"/>
      <c r="BB91" s="448"/>
      <c r="BC91" s="448"/>
      <c r="BD91" s="448"/>
      <c r="BE91" s="448"/>
      <c r="BF91" s="448"/>
      <c r="BG91" s="448"/>
      <c r="BH91" s="448"/>
      <c r="BI91" s="448"/>
      <c r="BJ91" s="448"/>
      <c r="BK91" s="448"/>
      <c r="BL91" s="448"/>
      <c r="BM91" s="448"/>
      <c r="BN91" s="449"/>
      <c r="BO91" s="447"/>
    </row>
    <row r="92" spans="1:67" s="389" customFormat="1" ht="17.25" customHeight="1">
      <c r="A92" s="460"/>
      <c r="B92" s="460"/>
      <c r="C92" s="1164" t="s">
        <v>35</v>
      </c>
      <c r="D92" s="1164"/>
      <c r="E92" s="1164"/>
      <c r="F92" s="1164"/>
      <c r="G92" s="678" t="s">
        <v>14</v>
      </c>
      <c r="H92" s="678"/>
      <c r="I92" s="678"/>
      <c r="J92" s="460"/>
      <c r="K92" s="460"/>
      <c r="L92" s="460"/>
      <c r="M92" s="460"/>
      <c r="N92" s="460"/>
      <c r="O92" s="460"/>
      <c r="P92" s="460"/>
      <c r="Q92" s="460"/>
      <c r="R92" s="460"/>
      <c r="S92" s="460"/>
      <c r="T92" s="460"/>
      <c r="U92" s="460"/>
      <c r="V92" s="460"/>
      <c r="W92" s="460"/>
      <c r="X92" s="460"/>
      <c r="Y92" s="460"/>
      <c r="Z92" s="460"/>
      <c r="AA92" s="460"/>
      <c r="AB92" s="305"/>
      <c r="AC92" s="1165" t="s">
        <v>36</v>
      </c>
      <c r="AD92" s="459" t="s">
        <v>10</v>
      </c>
      <c r="AE92" s="448"/>
      <c r="AF92" s="460"/>
      <c r="AG92" s="460"/>
      <c r="AH92" s="448"/>
      <c r="AI92" s="448"/>
      <c r="AJ92" s="448"/>
      <c r="AK92" s="448"/>
      <c r="AL92" s="448"/>
      <c r="AM92" s="448"/>
      <c r="AN92" s="448"/>
      <c r="AO92" s="448"/>
      <c r="AP92" s="448"/>
      <c r="AQ92" s="448"/>
      <c r="AR92" s="448"/>
      <c r="AS92" s="448"/>
      <c r="AT92" s="448"/>
      <c r="AU92" s="448"/>
      <c r="AV92" s="448"/>
      <c r="AW92" s="448"/>
      <c r="AX92" s="448"/>
      <c r="AY92" s="448"/>
      <c r="AZ92" s="448"/>
      <c r="BA92" s="448"/>
      <c r="BB92" s="448"/>
      <c r="BC92" s="448"/>
      <c r="BD92" s="448"/>
      <c r="BE92" s="448"/>
      <c r="BF92" s="448"/>
      <c r="BG92" s="448"/>
      <c r="BH92" s="448"/>
      <c r="BI92" s="448"/>
      <c r="BJ92" s="448"/>
      <c r="BK92" s="448"/>
      <c r="BL92" s="448"/>
      <c r="BM92" s="448"/>
      <c r="BN92" s="460"/>
      <c r="BO92" s="460"/>
    </row>
    <row r="93" spans="1:67" s="360" customFormat="1" ht="17.25" hidden="1" customHeight="1">
      <c r="A93" s="447"/>
      <c r="B93" s="447"/>
      <c r="C93" s="924" t="s">
        <v>10</v>
      </c>
      <c r="D93" s="1271" t="s">
        <v>9</v>
      </c>
      <c r="E93" s="1272"/>
      <c r="F93" s="1272"/>
      <c r="G93" s="1272"/>
      <c r="H93" s="1272"/>
      <c r="I93" s="1167" t="s">
        <v>575</v>
      </c>
      <c r="J93" s="1168"/>
      <c r="K93" s="1167" t="s">
        <v>13</v>
      </c>
      <c r="L93" s="1171"/>
      <c r="M93" s="1172"/>
      <c r="N93" s="1166" t="s">
        <v>15</v>
      </c>
      <c r="O93" s="1166"/>
      <c r="P93" s="1166"/>
      <c r="Q93" s="1166"/>
      <c r="R93" s="1166"/>
      <c r="S93" s="451"/>
      <c r="T93" s="447"/>
      <c r="U93" s="447"/>
      <c r="V93" s="447"/>
      <c r="W93" s="447"/>
      <c r="X93" s="447"/>
      <c r="Y93" s="447"/>
      <c r="Z93" s="447"/>
      <c r="AA93" s="447"/>
      <c r="AB93" s="301"/>
      <c r="AC93" s="1165"/>
      <c r="AD93" s="459" t="s">
        <v>14</v>
      </c>
      <c r="AE93" s="448"/>
      <c r="AF93" s="447"/>
      <c r="AG93" s="447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48"/>
      <c r="BC93" s="448"/>
      <c r="BD93" s="448"/>
      <c r="BE93" s="448"/>
      <c r="BF93" s="448"/>
      <c r="BG93" s="448"/>
      <c r="BH93" s="448"/>
      <c r="BI93" s="448"/>
      <c r="BJ93" s="448"/>
      <c r="BK93" s="448"/>
      <c r="BL93" s="448"/>
      <c r="BM93" s="448"/>
      <c r="BN93" s="449"/>
      <c r="BO93" s="447"/>
    </row>
    <row r="94" spans="1:67" s="360" customFormat="1" ht="17.25" hidden="1" customHeight="1" thickBot="1">
      <c r="A94" s="447"/>
      <c r="B94" s="447"/>
      <c r="C94" s="924"/>
      <c r="D94" s="1271"/>
      <c r="E94" s="1272"/>
      <c r="F94" s="1272"/>
      <c r="G94" s="1272"/>
      <c r="H94" s="1272"/>
      <c r="I94" s="1169"/>
      <c r="J94" s="1170"/>
      <c r="K94" s="1173"/>
      <c r="L94" s="1174"/>
      <c r="M94" s="1175"/>
      <c r="N94" s="1166"/>
      <c r="O94" s="1166"/>
      <c r="P94" s="1166"/>
      <c r="Q94" s="1166"/>
      <c r="R94" s="1166"/>
      <c r="S94" s="451"/>
      <c r="T94" s="447"/>
      <c r="U94" s="447"/>
      <c r="V94" s="447"/>
      <c r="W94" s="447"/>
      <c r="X94" s="447"/>
      <c r="Y94" s="447"/>
      <c r="Z94" s="447"/>
      <c r="AA94" s="447"/>
      <c r="AB94" s="301"/>
      <c r="AC94" s="448"/>
      <c r="AD94" s="461" t="s">
        <v>73</v>
      </c>
      <c r="AE94" s="453" t="s">
        <v>180</v>
      </c>
      <c r="AF94" s="448"/>
      <c r="AG94" s="448"/>
      <c r="AH94" s="448"/>
      <c r="AI94" s="448"/>
      <c r="AJ94" s="448"/>
      <c r="AK94" s="448"/>
      <c r="AL94" s="448"/>
      <c r="AM94" s="448"/>
      <c r="AN94" s="448"/>
      <c r="AO94" s="448"/>
      <c r="AP94" s="448"/>
      <c r="AQ94" s="448"/>
      <c r="AR94" s="448"/>
      <c r="AS94" s="448"/>
      <c r="AT94" s="448"/>
      <c r="AU94" s="448"/>
      <c r="AV94" s="448"/>
      <c r="AW94" s="448"/>
      <c r="AX94" s="448"/>
      <c r="AY94" s="448"/>
      <c r="AZ94" s="448"/>
      <c r="BA94" s="448"/>
      <c r="BB94" s="448"/>
      <c r="BC94" s="448"/>
      <c r="BD94" s="448"/>
      <c r="BE94" s="448"/>
      <c r="BF94" s="448"/>
      <c r="BG94" s="448"/>
      <c r="BH94" s="448"/>
      <c r="BI94" s="448"/>
      <c r="BJ94" s="448"/>
      <c r="BK94" s="448"/>
      <c r="BL94" s="448"/>
      <c r="BM94" s="448"/>
      <c r="BN94" s="449"/>
      <c r="BO94" s="447"/>
    </row>
    <row r="95" spans="1:67" s="360" customFormat="1" ht="17.25" hidden="1" customHeight="1" thickTop="1" thickBot="1">
      <c r="A95" s="447"/>
      <c r="B95" s="447"/>
      <c r="C95" s="924"/>
      <c r="D95" s="1124" t="str">
        <f>IF(G92=AD92,AD100,"---")</f>
        <v>---</v>
      </c>
      <c r="E95" s="1124"/>
      <c r="F95" s="1124"/>
      <c r="G95" s="1124"/>
      <c r="H95" s="1124"/>
      <c r="I95" s="1124">
        <f>E69</f>
        <v>12.552366868790948</v>
      </c>
      <c r="J95" s="1124"/>
      <c r="K95" s="604">
        <v>11</v>
      </c>
      <c r="L95" s="604"/>
      <c r="M95" s="604"/>
      <c r="N95" s="575" t="s">
        <v>3</v>
      </c>
      <c r="O95" s="584" t="s">
        <v>498</v>
      </c>
      <c r="P95" s="585"/>
      <c r="Q95" s="585"/>
      <c r="R95" s="585"/>
      <c r="S95" s="590" t="str" cm="1">
        <f t="array" ref="S95">angleDecimal2Txt(AE95)</f>
        <v>+23°08.30 (+23.1383) [+23°08'18.00]</v>
      </c>
      <c r="T95" s="1329"/>
      <c r="U95" s="1329"/>
      <c r="V95" s="1329"/>
      <c r="W95" s="1329"/>
      <c r="X95" s="447"/>
      <c r="Y95" s="447"/>
      <c r="Z95" s="447"/>
      <c r="AA95" s="447"/>
      <c r="AB95" s="301"/>
      <c r="AC95" s="453" t="s">
        <v>172</v>
      </c>
      <c r="AD95" s="453">
        <f>VLOOKUP(N95,Outils!$C$9:$E$10,3)</f>
        <v>1</v>
      </c>
      <c r="AE95" s="453" cm="1">
        <f t="array" ref="AE95">AD95*angleConvert2Decimal(O95)</f>
        <v>23.138333333333332</v>
      </c>
      <c r="AF95" s="448"/>
      <c r="AG95" s="448"/>
      <c r="AH95" s="448"/>
      <c r="AI95" s="448"/>
      <c r="AJ95" s="448"/>
      <c r="AK95" s="448"/>
      <c r="AL95" s="448"/>
      <c r="AM95" s="448"/>
      <c r="AN95" s="448"/>
      <c r="AO95" s="448"/>
      <c r="AP95" s="448"/>
      <c r="AQ95" s="448"/>
      <c r="AR95" s="448"/>
      <c r="AS95" s="448"/>
      <c r="AT95" s="448"/>
      <c r="AU95" s="448"/>
      <c r="AV95" s="448"/>
      <c r="AW95" s="448"/>
      <c r="AX95" s="448"/>
      <c r="AY95" s="448"/>
      <c r="AZ95" s="448"/>
      <c r="BA95" s="448"/>
      <c r="BB95" s="448"/>
      <c r="BC95" s="448"/>
      <c r="BD95" s="448"/>
      <c r="BE95" s="448"/>
      <c r="BF95" s="448"/>
      <c r="BG95" s="448"/>
      <c r="BH95" s="448"/>
      <c r="BI95" s="448"/>
      <c r="BJ95" s="448"/>
      <c r="BK95" s="448"/>
      <c r="BL95" s="448"/>
      <c r="BM95" s="448"/>
      <c r="BN95" s="449"/>
      <c r="BO95" s="447"/>
    </row>
    <row r="96" spans="1:67" s="360" customFormat="1" ht="17.25" hidden="1" customHeight="1" thickTop="1" thickBot="1">
      <c r="A96" s="447"/>
      <c r="B96" s="447"/>
      <c r="C96" s="924"/>
      <c r="D96" s="1124"/>
      <c r="E96" s="1124"/>
      <c r="F96" s="1124"/>
      <c r="G96" s="1124"/>
      <c r="H96" s="1124"/>
      <c r="I96" s="1124"/>
      <c r="J96" s="1124"/>
      <c r="K96" s="604"/>
      <c r="L96" s="604"/>
      <c r="M96" s="604"/>
      <c r="N96" s="575"/>
      <c r="O96" s="585"/>
      <c r="P96" s="585"/>
      <c r="Q96" s="585"/>
      <c r="R96" s="585"/>
      <c r="S96" s="1329"/>
      <c r="T96" s="1329"/>
      <c r="U96" s="1329"/>
      <c r="V96" s="1329"/>
      <c r="W96" s="1329"/>
      <c r="X96" s="1064" t="s">
        <v>837</v>
      </c>
      <c r="Y96" s="1086" t="s">
        <v>838</v>
      </c>
      <c r="Z96" s="1062" cm="1">
        <f t="array" ref="Z96">angleConvert2Decimal(Y96)</f>
        <v>-3.3333333333333335E-3</v>
      </c>
      <c r="AA96" s="590" t="str" cm="1">
        <f t="array" ref="AA96">angleDecimal2Txt(Z96,0)</f>
        <v>-00°00.20</v>
      </c>
      <c r="AB96" s="301"/>
      <c r="AC96" s="453" t="s">
        <v>173</v>
      </c>
      <c r="AD96" s="453">
        <f>VLOOKUP(N97,Outils!$C$9:$E$10,3)</f>
        <v>1</v>
      </c>
      <c r="AE96" s="453" cm="1">
        <f t="array" ref="AE96">AD96*angleConvert2Decimal(O97)</f>
        <v>23.135000000000002</v>
      </c>
      <c r="AF96" s="448"/>
      <c r="AG96" s="448"/>
      <c r="AH96" s="448"/>
      <c r="AI96" s="448"/>
      <c r="AJ96" s="448"/>
      <c r="AK96" s="448"/>
      <c r="AL96" s="448"/>
      <c r="AM96" s="448"/>
      <c r="AN96" s="448"/>
      <c r="AO96" s="448"/>
      <c r="AP96" s="448"/>
      <c r="AQ96" s="448"/>
      <c r="AR96" s="448"/>
      <c r="AS96" s="448"/>
      <c r="AT96" s="448"/>
      <c r="AU96" s="448"/>
      <c r="AV96" s="448"/>
      <c r="AW96" s="448"/>
      <c r="AX96" s="448"/>
      <c r="AY96" s="448"/>
      <c r="AZ96" s="448"/>
      <c r="BA96" s="448"/>
      <c r="BB96" s="448"/>
      <c r="BC96" s="448"/>
      <c r="BD96" s="448"/>
      <c r="BE96" s="448"/>
      <c r="BF96" s="448"/>
      <c r="BG96" s="448"/>
      <c r="BH96" s="448"/>
      <c r="BI96" s="448"/>
      <c r="BJ96" s="448"/>
      <c r="BK96" s="448"/>
      <c r="BL96" s="448"/>
      <c r="BM96" s="448"/>
      <c r="BN96" s="449"/>
      <c r="BO96" s="447"/>
    </row>
    <row r="97" spans="1:67" s="360" customFormat="1" ht="17.25" hidden="1" customHeight="1" thickTop="1" thickBot="1">
      <c r="A97" s="447"/>
      <c r="B97" s="447"/>
      <c r="C97" s="924"/>
      <c r="D97" s="1124"/>
      <c r="E97" s="1124"/>
      <c r="F97" s="1124"/>
      <c r="G97" s="1124"/>
      <c r="H97" s="1124"/>
      <c r="I97" s="1124"/>
      <c r="J97" s="1124"/>
      <c r="K97" s="604">
        <v>12</v>
      </c>
      <c r="L97" s="604"/>
      <c r="M97" s="604"/>
      <c r="N97" s="575" t="s">
        <v>3</v>
      </c>
      <c r="O97" s="584" t="s">
        <v>879</v>
      </c>
      <c r="P97" s="585"/>
      <c r="Q97" s="585"/>
      <c r="R97" s="585"/>
      <c r="S97" s="590" t="str" cm="1">
        <f t="array" ref="S97">angleDecimal2Txt((AE96))</f>
        <v>+23°08.09 (+23.1350) [+23°08'06.00]</v>
      </c>
      <c r="T97" s="1329"/>
      <c r="U97" s="1329"/>
      <c r="V97" s="1329"/>
      <c r="W97" s="1329"/>
      <c r="X97" s="1064"/>
      <c r="Y97" s="1087"/>
      <c r="Z97" s="1062"/>
      <c r="AA97" s="590"/>
      <c r="AB97" s="301"/>
      <c r="AC97" s="453" t="s">
        <v>38</v>
      </c>
      <c r="AD97" s="457">
        <f>AE96-AE95</f>
        <v>-3.3333333333303017E-3</v>
      </c>
      <c r="AE97" s="448" t="str" cm="1">
        <f t="array" ref="AE97">angleDecimal2Txt(AD97)</f>
        <v>-00°00.19 (-00.0033) [-00°00'11.99]</v>
      </c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48"/>
      <c r="BC97" s="448"/>
      <c r="BD97" s="448"/>
      <c r="BE97" s="448"/>
      <c r="BF97" s="448"/>
      <c r="BG97" s="448"/>
      <c r="BH97" s="448"/>
      <c r="BI97" s="448"/>
      <c r="BJ97" s="448"/>
      <c r="BK97" s="448"/>
      <c r="BL97" s="448"/>
      <c r="BM97" s="448"/>
      <c r="BN97" s="449"/>
      <c r="BO97" s="447"/>
    </row>
    <row r="98" spans="1:67" s="360" customFormat="1" ht="17.25" hidden="1" customHeight="1" thickTop="1" thickBot="1">
      <c r="A98" s="447"/>
      <c r="B98" s="447"/>
      <c r="C98" s="924"/>
      <c r="D98" s="565" t="e" cm="1">
        <f t="array" ref="D98">latitudeDecimal2Txt(D95)</f>
        <v>#VALUE!</v>
      </c>
      <c r="E98" s="565"/>
      <c r="F98" s="565"/>
      <c r="G98" s="565"/>
      <c r="H98" s="565"/>
      <c r="I98" s="1124"/>
      <c r="J98" s="1124"/>
      <c r="K98" s="604"/>
      <c r="L98" s="604"/>
      <c r="M98" s="604"/>
      <c r="N98" s="575"/>
      <c r="O98" s="585"/>
      <c r="P98" s="585"/>
      <c r="Q98" s="585"/>
      <c r="R98" s="585"/>
      <c r="S98" s="1329"/>
      <c r="T98" s="1329"/>
      <c r="U98" s="1329"/>
      <c r="V98" s="1329"/>
      <c r="W98" s="1329"/>
      <c r="X98" s="447"/>
      <c r="Y98" s="447"/>
      <c r="Z98" s="447"/>
      <c r="AA98" s="447"/>
      <c r="AB98" s="301"/>
      <c r="AC98" s="453" t="s">
        <v>174</v>
      </c>
      <c r="AD98" s="457">
        <f>K97-K95</f>
        <v>1</v>
      </c>
      <c r="AE98" s="447"/>
      <c r="AF98" s="447"/>
      <c r="AG98" s="447"/>
      <c r="AH98" s="447"/>
      <c r="AI98" s="448"/>
      <c r="AJ98" s="448"/>
      <c r="AK98" s="448"/>
      <c r="AL98" s="448"/>
      <c r="AM98" s="448"/>
      <c r="AN98" s="448"/>
      <c r="AO98" s="448"/>
      <c r="AP98" s="448"/>
      <c r="AQ98" s="448"/>
      <c r="AR98" s="448"/>
      <c r="AS98" s="448"/>
      <c r="AT98" s="448"/>
      <c r="AU98" s="448"/>
      <c r="AV98" s="448"/>
      <c r="AW98" s="448"/>
      <c r="AX98" s="448"/>
      <c r="AY98" s="448"/>
      <c r="AZ98" s="448"/>
      <c r="BA98" s="448"/>
      <c r="BB98" s="448"/>
      <c r="BC98" s="448"/>
      <c r="BD98" s="448"/>
      <c r="BE98" s="448"/>
      <c r="BF98" s="448"/>
      <c r="BG98" s="448"/>
      <c r="BH98" s="448"/>
      <c r="BI98" s="448"/>
      <c r="BJ98" s="448"/>
      <c r="BK98" s="448"/>
      <c r="BL98" s="448"/>
      <c r="BM98" s="448"/>
      <c r="BN98" s="449"/>
      <c r="BO98" s="447"/>
    </row>
    <row r="99" spans="1:67" s="360" customFormat="1" ht="17.25" hidden="1" customHeight="1" thickTop="1">
      <c r="A99" s="447"/>
      <c r="B99" s="447"/>
      <c r="C99" s="450"/>
      <c r="D99" s="450"/>
      <c r="E99" s="450"/>
      <c r="F99" s="447"/>
      <c r="G99" s="447"/>
      <c r="H99" s="447"/>
      <c r="I99" s="447"/>
      <c r="J99" s="447"/>
      <c r="K99" s="447"/>
      <c r="L99" s="447"/>
      <c r="M99" s="447"/>
      <c r="N99" s="447"/>
      <c r="O99" s="447"/>
      <c r="P99" s="447"/>
      <c r="Q99" s="447"/>
      <c r="R99" s="447"/>
      <c r="S99" s="447"/>
      <c r="T99" s="447"/>
      <c r="U99" s="447"/>
      <c r="V99" s="447"/>
      <c r="W99" s="447"/>
      <c r="X99" s="447"/>
      <c r="Y99" s="447"/>
      <c r="Z99" s="447"/>
      <c r="AA99" s="447"/>
      <c r="AB99" s="301"/>
      <c r="AC99" s="453" t="s">
        <v>39</v>
      </c>
      <c r="AD99" s="457">
        <f>I95-K95</f>
        <v>1.5523668687909478</v>
      </c>
      <c r="AE99" s="448"/>
      <c r="AF99" s="448"/>
      <c r="AG99" s="448"/>
      <c r="AH99" s="448"/>
      <c r="AI99" s="462"/>
      <c r="AJ99" s="448"/>
      <c r="AK99" s="448"/>
      <c r="AL99" s="448"/>
      <c r="AM99" s="448"/>
      <c r="AN99" s="448"/>
      <c r="AO99" s="448"/>
      <c r="AP99" s="448"/>
      <c r="AQ99" s="448"/>
      <c r="AR99" s="448"/>
      <c r="AS99" s="448"/>
      <c r="AT99" s="448"/>
      <c r="AU99" s="448"/>
      <c r="AV99" s="448"/>
      <c r="AW99" s="448"/>
      <c r="AX99" s="448"/>
      <c r="AY99" s="448"/>
      <c r="AZ99" s="448"/>
      <c r="BA99" s="448"/>
      <c r="BB99" s="448"/>
      <c r="BC99" s="448"/>
      <c r="BD99" s="448"/>
      <c r="BE99" s="448"/>
      <c r="BF99" s="448"/>
      <c r="BG99" s="448"/>
      <c r="BH99" s="448"/>
      <c r="BI99" s="448"/>
      <c r="BJ99" s="448"/>
      <c r="BK99" s="448"/>
      <c r="BL99" s="448"/>
      <c r="BM99" s="448"/>
      <c r="BN99" s="449"/>
      <c r="BO99" s="447"/>
    </row>
    <row r="100" spans="1:67" s="360" customFormat="1" ht="17.25" customHeight="1">
      <c r="A100" s="447"/>
      <c r="B100" s="447"/>
      <c r="C100" s="726" t="s">
        <v>14</v>
      </c>
      <c r="D100" s="1272" t="s">
        <v>9</v>
      </c>
      <c r="E100" s="1272"/>
      <c r="F100" s="1272"/>
      <c r="G100" s="1272"/>
      <c r="H100" s="1272"/>
      <c r="I100" s="1167" t="s">
        <v>575</v>
      </c>
      <c r="J100" s="1168"/>
      <c r="K100" s="1167" t="s">
        <v>569</v>
      </c>
      <c r="L100" s="1171"/>
      <c r="M100" s="1172"/>
      <c r="N100" s="1166" t="s">
        <v>16</v>
      </c>
      <c r="O100" s="1166"/>
      <c r="P100" s="1166"/>
      <c r="Q100" s="1166"/>
      <c r="R100" s="1166"/>
      <c r="S100" s="1166" t="s">
        <v>131</v>
      </c>
      <c r="T100" s="1166"/>
      <c r="U100" s="1166"/>
      <c r="V100" s="1166"/>
      <c r="W100" s="1166"/>
      <c r="X100" s="447"/>
      <c r="Y100" s="447"/>
      <c r="Z100" s="447"/>
      <c r="AA100" s="451"/>
      <c r="AB100" s="301"/>
      <c r="AC100" s="453" t="s">
        <v>37</v>
      </c>
      <c r="AD100" s="453">
        <f>AE95+(AD97/AD98)*AD99</f>
        <v>23.133158777104033</v>
      </c>
      <c r="AE100" s="448"/>
      <c r="AF100" s="448"/>
      <c r="AG100" s="448"/>
      <c r="AH100" s="448"/>
      <c r="AI100" s="448"/>
      <c r="AJ100" s="448"/>
      <c r="AK100" s="448"/>
      <c r="AL100" s="448"/>
      <c r="AM100" s="448"/>
      <c r="AN100" s="448"/>
      <c r="AO100" s="448"/>
      <c r="AP100" s="448"/>
      <c r="AQ100" s="448"/>
      <c r="AR100" s="448"/>
      <c r="AS100" s="448"/>
      <c r="AT100" s="448"/>
      <c r="AU100" s="448"/>
      <c r="AV100" s="448"/>
      <c r="AW100" s="448"/>
      <c r="AX100" s="448"/>
      <c r="AY100" s="448"/>
      <c r="AZ100" s="448"/>
      <c r="BA100" s="448"/>
      <c r="BB100" s="448"/>
      <c r="BC100" s="448"/>
      <c r="BD100" s="448"/>
      <c r="BE100" s="448"/>
      <c r="BF100" s="448"/>
      <c r="BG100" s="448"/>
      <c r="BH100" s="448"/>
      <c r="BI100" s="448"/>
      <c r="BJ100" s="448"/>
      <c r="BK100" s="448"/>
      <c r="BL100" s="448"/>
      <c r="BM100" s="448"/>
      <c r="BN100" s="449"/>
      <c r="BO100" s="447"/>
    </row>
    <row r="101" spans="1:67" s="360" customFormat="1" ht="17.25" customHeight="1">
      <c r="A101" s="447"/>
      <c r="B101" s="447"/>
      <c r="C101" s="726"/>
      <c r="D101" s="1272"/>
      <c r="E101" s="1272"/>
      <c r="F101" s="1272"/>
      <c r="G101" s="1272"/>
      <c r="H101" s="1272"/>
      <c r="I101" s="1169"/>
      <c r="J101" s="1170"/>
      <c r="K101" s="1173"/>
      <c r="L101" s="1174"/>
      <c r="M101" s="1175"/>
      <c r="N101" s="1166"/>
      <c r="O101" s="1166"/>
      <c r="P101" s="1166"/>
      <c r="Q101" s="1166"/>
      <c r="R101" s="1166"/>
      <c r="S101" s="1166"/>
      <c r="T101" s="1166"/>
      <c r="U101" s="1166"/>
      <c r="V101" s="1166"/>
      <c r="W101" s="1166"/>
      <c r="X101" s="447"/>
      <c r="Y101" s="447"/>
      <c r="Z101" s="447"/>
      <c r="AA101" s="451"/>
      <c r="AB101" s="301"/>
      <c r="AC101" s="448"/>
      <c r="AD101" s="448"/>
      <c r="AE101" s="448"/>
      <c r="AF101" s="447"/>
      <c r="AG101" s="448"/>
      <c r="AH101" s="448"/>
      <c r="AI101" s="448"/>
      <c r="AJ101" s="448"/>
      <c r="AK101" s="448"/>
      <c r="AL101" s="448"/>
      <c r="AM101" s="448"/>
      <c r="AN101" s="448"/>
      <c r="AO101" s="448"/>
      <c r="AP101" s="448"/>
      <c r="AQ101" s="448"/>
      <c r="AR101" s="448"/>
      <c r="AS101" s="448"/>
      <c r="AT101" s="448"/>
      <c r="AU101" s="448"/>
      <c r="AV101" s="448"/>
      <c r="AW101" s="448"/>
      <c r="AX101" s="448"/>
      <c r="AY101" s="448"/>
      <c r="AZ101" s="448"/>
      <c r="BA101" s="448"/>
      <c r="BB101" s="448"/>
      <c r="BC101" s="448"/>
      <c r="BD101" s="448"/>
      <c r="BE101" s="448"/>
      <c r="BF101" s="448"/>
      <c r="BG101" s="448"/>
      <c r="BH101" s="448"/>
      <c r="BI101" s="448"/>
      <c r="BJ101" s="448"/>
      <c r="BK101" s="448"/>
      <c r="BL101" s="448"/>
      <c r="BM101" s="448"/>
      <c r="BN101" s="449"/>
      <c r="BO101" s="447"/>
    </row>
    <row r="102" spans="1:67" s="360" customFormat="1" ht="17.25" customHeight="1">
      <c r="A102" s="447"/>
      <c r="B102" s="447"/>
      <c r="C102" s="726"/>
      <c r="D102" s="1124">
        <f>IF(G92=AD93,AD106,"---")</f>
        <v>23.133193688349891</v>
      </c>
      <c r="E102" s="1124"/>
      <c r="F102" s="1124"/>
      <c r="G102" s="1124"/>
      <c r="H102" s="1124"/>
      <c r="I102" s="1124">
        <f>I95</f>
        <v>12.552366868790948</v>
      </c>
      <c r="J102" s="1124"/>
      <c r="K102" s="575">
        <v>0</v>
      </c>
      <c r="L102" s="575"/>
      <c r="M102" s="575"/>
      <c r="N102" s="575" t="s">
        <v>3</v>
      </c>
      <c r="O102" s="604" t="s">
        <v>883</v>
      </c>
      <c r="P102" s="575"/>
      <c r="Q102" s="575"/>
      <c r="R102" s="575"/>
      <c r="S102" s="575" t="s">
        <v>4</v>
      </c>
      <c r="T102" s="604" t="s">
        <v>882</v>
      </c>
      <c r="U102" s="575"/>
      <c r="V102" s="575"/>
      <c r="W102" s="575"/>
      <c r="X102" s="447"/>
      <c r="Y102" s="447"/>
      <c r="Z102" s="447"/>
      <c r="AA102" s="451"/>
      <c r="AB102" s="301"/>
      <c r="AC102" s="453" t="s">
        <v>175</v>
      </c>
      <c r="AD102" s="453">
        <f>VLOOKUP(N102,Outils!$C$9:$E$10,3)</f>
        <v>1</v>
      </c>
      <c r="AE102" s="448"/>
      <c r="AF102" s="447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48"/>
      <c r="BC102" s="448"/>
      <c r="BD102" s="448"/>
      <c r="BE102" s="448"/>
      <c r="BF102" s="448"/>
      <c r="BG102" s="448"/>
      <c r="BH102" s="448"/>
      <c r="BI102" s="448"/>
      <c r="BJ102" s="448"/>
      <c r="BK102" s="448"/>
      <c r="BL102" s="448"/>
      <c r="BM102" s="448"/>
      <c r="BN102" s="449"/>
      <c r="BO102" s="447"/>
    </row>
    <row r="103" spans="1:67" s="360" customFormat="1" ht="17.25" customHeight="1" thickBot="1">
      <c r="A103" s="447"/>
      <c r="B103" s="447"/>
      <c r="C103" s="726"/>
      <c r="D103" s="1124"/>
      <c r="E103" s="1124"/>
      <c r="F103" s="1124"/>
      <c r="G103" s="1124"/>
      <c r="H103" s="1124"/>
      <c r="I103" s="1124"/>
      <c r="J103" s="1124"/>
      <c r="K103" s="575"/>
      <c r="L103" s="575"/>
      <c r="M103" s="575"/>
      <c r="N103" s="575"/>
      <c r="O103" s="575"/>
      <c r="P103" s="575"/>
      <c r="Q103" s="575"/>
      <c r="R103" s="575"/>
      <c r="S103" s="575"/>
      <c r="T103" s="575"/>
      <c r="U103" s="575"/>
      <c r="V103" s="575"/>
      <c r="W103" s="575"/>
      <c r="X103" s="447"/>
      <c r="Y103" s="447"/>
      <c r="Z103" s="451"/>
      <c r="AA103" s="451"/>
      <c r="AB103" s="301"/>
      <c r="AC103" s="453" t="s">
        <v>176</v>
      </c>
      <c r="AD103" s="453" cm="1">
        <f t="array" ref="AD103">angleConvert2Decimal(O102)*AD102</f>
        <v>23.166666666666668</v>
      </c>
      <c r="AE103" s="448"/>
      <c r="AF103" s="447"/>
      <c r="AG103" s="448"/>
      <c r="AH103" s="448"/>
      <c r="AI103" s="448"/>
      <c r="AJ103" s="448"/>
      <c r="AK103" s="448"/>
      <c r="AL103" s="448"/>
      <c r="AM103" s="448"/>
      <c r="AN103" s="448"/>
      <c r="AO103" s="448"/>
      <c r="AP103" s="448"/>
      <c r="AQ103" s="448"/>
      <c r="AR103" s="448"/>
      <c r="AS103" s="448"/>
      <c r="AT103" s="448"/>
      <c r="AU103" s="448"/>
      <c r="AV103" s="448"/>
      <c r="AW103" s="448"/>
      <c r="AX103" s="448"/>
      <c r="AY103" s="448"/>
      <c r="AZ103" s="448"/>
      <c r="BA103" s="448"/>
      <c r="BB103" s="448"/>
      <c r="BC103" s="448"/>
      <c r="BD103" s="448"/>
      <c r="BE103" s="448"/>
      <c r="BF103" s="448"/>
      <c r="BG103" s="448"/>
      <c r="BH103" s="448"/>
      <c r="BI103" s="448"/>
      <c r="BJ103" s="448"/>
      <c r="BK103" s="448"/>
      <c r="BL103" s="448"/>
      <c r="BM103" s="448"/>
      <c r="BN103" s="449"/>
      <c r="BO103" s="447"/>
    </row>
    <row r="104" spans="1:67" s="360" customFormat="1" ht="17.25" customHeight="1" thickTop="1" thickBot="1">
      <c r="A104" s="447"/>
      <c r="B104" s="447"/>
      <c r="C104" s="726"/>
      <c r="D104" s="565" t="str" cm="1">
        <f t="array" ref="D104">latitudeDecimal2Txt(D102)</f>
        <v>N 23°07.99 (N 23.1331) [N 23°07'59.49]</v>
      </c>
      <c r="E104" s="565"/>
      <c r="F104" s="565"/>
      <c r="G104" s="565"/>
      <c r="H104" s="565"/>
      <c r="I104" s="1124"/>
      <c r="J104" s="1124"/>
      <c r="K104" s="565" t="str" cm="1">
        <f t="array" ref="K104">heureDecimal2Txt(K102)</f>
        <v>00:00:00.00(00.0000)</v>
      </c>
      <c r="L104" s="565"/>
      <c r="M104" s="565"/>
      <c r="N104" s="565" t="str" cm="1">
        <f t="array" ref="N104">angleDecimal2Txt(AD103)</f>
        <v>+23°10.00 (+23.1666) [+23°10'00.00]</v>
      </c>
      <c r="O104" s="565"/>
      <c r="P104" s="565"/>
      <c r="Q104" s="565"/>
      <c r="R104" s="565"/>
      <c r="S104" s="565" t="str" cm="1">
        <f t="array" ref="S104">angleDecimal2Txt(AD105)</f>
        <v>-00°00.16 (-00.0026) [-00°00'09.59]</v>
      </c>
      <c r="T104" s="1063"/>
      <c r="U104" s="1063"/>
      <c r="V104" s="1063"/>
      <c r="W104" s="1063"/>
      <c r="X104" s="447"/>
      <c r="Y104" s="447"/>
      <c r="Z104" s="451"/>
      <c r="AA104" s="447"/>
      <c r="AB104" s="301"/>
      <c r="AC104" s="453" t="s">
        <v>177</v>
      </c>
      <c r="AD104" s="453">
        <f>VLOOKUP(S102,Outils!$C$9:$E$10,3)</f>
        <v>-1</v>
      </c>
      <c r="AE104" s="448"/>
      <c r="AF104" s="447"/>
      <c r="AG104" s="448"/>
      <c r="AH104" s="448"/>
      <c r="AI104" s="448"/>
      <c r="AJ104" s="448"/>
      <c r="AK104" s="448"/>
      <c r="AL104" s="448"/>
      <c r="AM104" s="448"/>
      <c r="AN104" s="448"/>
      <c r="AO104" s="448"/>
      <c r="AP104" s="448"/>
      <c r="AQ104" s="448"/>
      <c r="AR104" s="448"/>
      <c r="AS104" s="448"/>
      <c r="AT104" s="448"/>
      <c r="AU104" s="448"/>
      <c r="AV104" s="448"/>
      <c r="AW104" s="448"/>
      <c r="AX104" s="448"/>
      <c r="AY104" s="448"/>
      <c r="AZ104" s="448"/>
      <c r="BA104" s="448"/>
      <c r="BB104" s="448"/>
      <c r="BC104" s="448"/>
      <c r="BD104" s="448"/>
      <c r="BE104" s="448"/>
      <c r="BF104" s="448"/>
      <c r="BG104" s="448"/>
      <c r="BH104" s="448"/>
      <c r="BI104" s="448"/>
      <c r="BJ104" s="448"/>
      <c r="BK104" s="448"/>
      <c r="BL104" s="448"/>
      <c r="BM104" s="448"/>
      <c r="BN104" s="449"/>
      <c r="BO104" s="447"/>
    </row>
    <row r="105" spans="1:67" s="360" customFormat="1" ht="17.25" hidden="1" customHeight="1" thickTop="1">
      <c r="A105" s="463" t="s">
        <v>495</v>
      </c>
      <c r="B105" s="447"/>
      <c r="C105" s="450"/>
      <c r="D105" s="450"/>
      <c r="E105" s="450"/>
      <c r="F105" s="447"/>
      <c r="G105" s="447"/>
      <c r="H105" s="447"/>
      <c r="I105" s="448"/>
      <c r="J105" s="447"/>
      <c r="K105" s="447"/>
      <c r="L105" s="447"/>
      <c r="M105" s="447"/>
      <c r="N105" s="447"/>
      <c r="O105" s="447"/>
      <c r="P105" s="447"/>
      <c r="Q105" s="447"/>
      <c r="R105" s="447"/>
      <c r="S105" s="447"/>
      <c r="T105" s="447"/>
      <c r="U105" s="447"/>
      <c r="V105" s="447"/>
      <c r="W105" s="447"/>
      <c r="X105" s="447"/>
      <c r="Y105" s="447"/>
      <c r="Z105" s="451"/>
      <c r="AA105" s="447"/>
      <c r="AB105" s="301"/>
      <c r="AC105" s="453" t="s">
        <v>178</v>
      </c>
      <c r="AD105" s="453" cm="1">
        <f t="array" ref="AD105">angleConvert2Decimal(T102)*AD104</f>
        <v>-2.6666666666666666E-3</v>
      </c>
      <c r="AE105" s="448"/>
      <c r="AF105" s="447"/>
      <c r="AG105" s="448"/>
      <c r="AH105" s="448"/>
      <c r="AI105" s="448"/>
      <c r="AJ105" s="448"/>
      <c r="AK105" s="448"/>
      <c r="AL105" s="448"/>
      <c r="AM105" s="448"/>
      <c r="AN105" s="448"/>
      <c r="AO105" s="448"/>
      <c r="AP105" s="448"/>
      <c r="AQ105" s="448"/>
      <c r="AR105" s="448"/>
      <c r="AS105" s="448"/>
      <c r="AT105" s="448"/>
      <c r="AU105" s="448"/>
      <c r="AV105" s="448"/>
      <c r="AW105" s="448"/>
      <c r="AX105" s="448"/>
      <c r="AY105" s="448"/>
      <c r="AZ105" s="448"/>
      <c r="BA105" s="448"/>
      <c r="BB105" s="448"/>
      <c r="BC105" s="448"/>
      <c r="BD105" s="448"/>
      <c r="BE105" s="448"/>
      <c r="BF105" s="448"/>
      <c r="BG105" s="448"/>
      <c r="BH105" s="448"/>
      <c r="BI105" s="448"/>
      <c r="BJ105" s="448"/>
      <c r="BK105" s="448"/>
      <c r="BL105" s="448"/>
      <c r="BM105" s="448"/>
      <c r="BN105" s="449"/>
      <c r="BO105" s="447"/>
    </row>
    <row r="106" spans="1:67" s="360" customFormat="1" ht="17.25" hidden="1" customHeight="1">
      <c r="A106" s="447"/>
      <c r="B106" s="447"/>
      <c r="C106" s="726" t="s">
        <v>576</v>
      </c>
      <c r="D106" s="1272" t="s">
        <v>9</v>
      </c>
      <c r="E106" s="1272"/>
      <c r="F106" s="1272"/>
      <c r="G106" s="1272"/>
      <c r="H106" s="1272"/>
      <c r="I106" s="1320" t="s">
        <v>514</v>
      </c>
      <c r="J106" s="1321"/>
      <c r="K106" s="1321"/>
      <c r="L106" s="1321"/>
      <c r="M106" s="1322"/>
      <c r="N106" s="447"/>
      <c r="O106" s="447"/>
      <c r="P106" s="447"/>
      <c r="Q106" s="447"/>
      <c r="R106" s="447"/>
      <c r="S106" s="447"/>
      <c r="T106" s="447"/>
      <c r="U106" s="447"/>
      <c r="V106" s="447"/>
      <c r="W106" s="447"/>
      <c r="X106" s="447"/>
      <c r="Y106" s="447"/>
      <c r="Z106" s="447"/>
      <c r="AA106" s="447"/>
      <c r="AB106" s="301"/>
      <c r="AC106" s="453" t="s">
        <v>179</v>
      </c>
      <c r="AD106" s="453">
        <f>AD103+AD105*(I102-K102)</f>
        <v>23.133193688349891</v>
      </c>
      <c r="AE106" s="448"/>
      <c r="AF106" s="447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48"/>
      <c r="BC106" s="448"/>
      <c r="BD106" s="448"/>
      <c r="BE106" s="448"/>
      <c r="BF106" s="448"/>
      <c r="BG106" s="448"/>
      <c r="BH106" s="448"/>
      <c r="BI106" s="448"/>
      <c r="BJ106" s="448"/>
      <c r="BK106" s="448"/>
      <c r="BL106" s="448"/>
      <c r="BM106" s="448"/>
      <c r="BN106" s="449"/>
      <c r="BO106" s="447"/>
    </row>
    <row r="107" spans="1:67" s="360" customFormat="1" ht="17.25" hidden="1" customHeight="1">
      <c r="A107" s="447"/>
      <c r="B107" s="447"/>
      <c r="C107" s="726"/>
      <c r="D107" s="1272"/>
      <c r="E107" s="1272"/>
      <c r="F107" s="1272"/>
      <c r="G107" s="1272"/>
      <c r="H107" s="1272"/>
      <c r="I107" s="1323"/>
      <c r="J107" s="1324"/>
      <c r="K107" s="1324"/>
      <c r="L107" s="1324"/>
      <c r="M107" s="1325"/>
      <c r="N107" s="447"/>
      <c r="O107" s="447"/>
      <c r="P107" s="447"/>
      <c r="Q107" s="447"/>
      <c r="R107" s="447"/>
      <c r="S107" s="448"/>
      <c r="T107" s="448"/>
      <c r="U107" s="448"/>
      <c r="V107" s="448"/>
      <c r="W107" s="448"/>
      <c r="X107" s="448"/>
      <c r="Y107" s="448"/>
      <c r="Z107" s="447"/>
      <c r="AA107" s="447"/>
      <c r="AB107" s="301"/>
      <c r="AC107" s="453"/>
      <c r="AD107" s="453"/>
      <c r="AE107" s="448"/>
      <c r="AF107" s="447"/>
      <c r="AG107" s="448"/>
      <c r="AH107" s="448"/>
      <c r="AI107" s="448"/>
      <c r="AJ107" s="448"/>
      <c r="AK107" s="448"/>
      <c r="AL107" s="448"/>
      <c r="AM107" s="448"/>
      <c r="AN107" s="448"/>
      <c r="AO107" s="448"/>
      <c r="AP107" s="448"/>
      <c r="AQ107" s="448"/>
      <c r="AR107" s="448"/>
      <c r="AS107" s="448"/>
      <c r="AT107" s="448"/>
      <c r="AU107" s="448"/>
      <c r="AV107" s="448"/>
      <c r="AW107" s="448"/>
      <c r="AX107" s="448"/>
      <c r="AY107" s="448"/>
      <c r="AZ107" s="448"/>
      <c r="BA107" s="448"/>
      <c r="BB107" s="448"/>
      <c r="BC107" s="448"/>
      <c r="BD107" s="448"/>
      <c r="BE107" s="448"/>
      <c r="BF107" s="448"/>
      <c r="BG107" s="448"/>
      <c r="BH107" s="448"/>
      <c r="BI107" s="448"/>
      <c r="BJ107" s="448"/>
      <c r="BK107" s="448"/>
      <c r="BL107" s="448"/>
      <c r="BM107" s="448"/>
      <c r="BN107" s="449"/>
      <c r="BO107" s="447"/>
    </row>
    <row r="108" spans="1:67" s="360" customFormat="1" ht="17.25" hidden="1" customHeight="1">
      <c r="A108" s="447"/>
      <c r="B108" s="447"/>
      <c r="C108" s="726"/>
      <c r="D108" s="1124" t="str">
        <f>IF(G92=AD91,AD109,"---")</f>
        <v>---</v>
      </c>
      <c r="E108" s="1124"/>
      <c r="F108" s="1124"/>
      <c r="G108" s="1124"/>
      <c r="H108" s="1124"/>
      <c r="I108" s="575" t="s">
        <v>4</v>
      </c>
      <c r="J108" s="604" t="s">
        <v>574</v>
      </c>
      <c r="K108" s="604"/>
      <c r="L108" s="604"/>
      <c r="M108" s="604"/>
      <c r="N108" s="447"/>
      <c r="O108" s="447"/>
      <c r="P108" s="447"/>
      <c r="Q108" s="447"/>
      <c r="R108" s="447"/>
      <c r="S108" s="447"/>
      <c r="T108" s="447"/>
      <c r="U108" s="448"/>
      <c r="V108" s="448"/>
      <c r="W108" s="448"/>
      <c r="X108" s="448"/>
      <c r="Y108" s="448"/>
      <c r="Z108" s="447"/>
      <c r="AA108" s="447"/>
      <c r="AB108" s="301"/>
      <c r="AC108" s="453" t="s">
        <v>175</v>
      </c>
      <c r="AD108" s="453">
        <f>VLOOKUP(I108,Outils!$C$9:$E$10,3)</f>
        <v>-1</v>
      </c>
      <c r="AE108" s="448"/>
      <c r="AF108" s="447"/>
      <c r="AG108" s="448"/>
      <c r="AH108" s="448"/>
      <c r="AI108" s="448"/>
      <c r="AJ108" s="448"/>
      <c r="AK108" s="448"/>
      <c r="AL108" s="448"/>
      <c r="AM108" s="448"/>
      <c r="AN108" s="448"/>
      <c r="AO108" s="448"/>
      <c r="AP108" s="448"/>
      <c r="AQ108" s="448"/>
      <c r="AR108" s="448"/>
      <c r="AS108" s="448"/>
      <c r="AT108" s="448"/>
      <c r="AU108" s="448"/>
      <c r="AV108" s="448"/>
      <c r="AW108" s="448"/>
      <c r="AX108" s="448"/>
      <c r="AY108" s="448"/>
      <c r="AZ108" s="448"/>
      <c r="BA108" s="448"/>
      <c r="BB108" s="448"/>
      <c r="BC108" s="448"/>
      <c r="BD108" s="448"/>
      <c r="BE108" s="448"/>
      <c r="BF108" s="448"/>
      <c r="BG108" s="448"/>
      <c r="BH108" s="448"/>
      <c r="BI108" s="448"/>
      <c r="BJ108" s="448"/>
      <c r="BK108" s="448"/>
      <c r="BL108" s="448"/>
      <c r="BM108" s="448"/>
      <c r="BN108" s="449"/>
      <c r="BO108" s="447"/>
    </row>
    <row r="109" spans="1:67" s="360" customFormat="1" ht="17.25" hidden="1" customHeight="1" thickBot="1">
      <c r="A109" s="447"/>
      <c r="B109" s="447"/>
      <c r="C109" s="726"/>
      <c r="D109" s="1124"/>
      <c r="E109" s="1124"/>
      <c r="F109" s="1124"/>
      <c r="G109" s="1124"/>
      <c r="H109" s="1124"/>
      <c r="I109" s="575"/>
      <c r="J109" s="604"/>
      <c r="K109" s="604"/>
      <c r="L109" s="604"/>
      <c r="M109" s="604"/>
      <c r="N109" s="447"/>
      <c r="O109" s="447"/>
      <c r="P109" s="447"/>
      <c r="Q109" s="447"/>
      <c r="R109" s="447"/>
      <c r="S109" s="447"/>
      <c r="T109" s="447"/>
      <c r="U109" s="448"/>
      <c r="V109" s="448"/>
      <c r="W109" s="448"/>
      <c r="X109" s="448"/>
      <c r="Y109" s="448"/>
      <c r="Z109" s="447"/>
      <c r="AA109" s="447"/>
      <c r="AB109" s="301"/>
      <c r="AC109" s="453" t="s">
        <v>176</v>
      </c>
      <c r="AD109" s="453" cm="1">
        <f t="array" ref="AD109">angleConvert2Decimal(J108)*AD108</f>
        <v>-14.728333333333333</v>
      </c>
      <c r="AE109" s="448"/>
      <c r="AF109" s="448"/>
      <c r="AG109" s="448"/>
      <c r="AH109" s="448"/>
      <c r="AI109" s="448"/>
      <c r="AJ109" s="448"/>
      <c r="AK109" s="448"/>
      <c r="AL109" s="448"/>
      <c r="AM109" s="448"/>
      <c r="AN109" s="448"/>
      <c r="AO109" s="448"/>
      <c r="AP109" s="448"/>
      <c r="AQ109" s="448"/>
      <c r="AR109" s="448"/>
      <c r="AS109" s="448"/>
      <c r="AT109" s="448"/>
      <c r="AU109" s="448"/>
      <c r="AV109" s="448"/>
      <c r="AW109" s="448"/>
      <c r="AX109" s="448"/>
      <c r="AY109" s="448"/>
      <c r="AZ109" s="448"/>
      <c r="BA109" s="448"/>
      <c r="BB109" s="448"/>
      <c r="BC109" s="448"/>
      <c r="BD109" s="448"/>
      <c r="BE109" s="448"/>
      <c r="BF109" s="448"/>
      <c r="BG109" s="448"/>
      <c r="BH109" s="448"/>
      <c r="BI109" s="448"/>
      <c r="BJ109" s="448"/>
      <c r="BK109" s="448"/>
      <c r="BL109" s="448"/>
      <c r="BM109" s="448"/>
      <c r="BN109" s="449"/>
      <c r="BO109" s="447"/>
    </row>
    <row r="110" spans="1:67" s="360" customFormat="1" ht="17.25" hidden="1" customHeight="1" thickTop="1" thickBot="1">
      <c r="A110" s="447"/>
      <c r="B110" s="447"/>
      <c r="C110" s="726"/>
      <c r="D110" s="565" t="str" cm="1">
        <f t="array" ref="D110">latitudeDecimal2Txt(AD109)</f>
        <v>S 14°43.70 (S 14.7283) [S 14°43'42.00]</v>
      </c>
      <c r="E110" s="565"/>
      <c r="F110" s="565"/>
      <c r="G110" s="565"/>
      <c r="H110" s="565"/>
      <c r="I110" s="448"/>
      <c r="J110" s="448"/>
      <c r="K110" s="448"/>
      <c r="L110" s="448"/>
      <c r="M110" s="447"/>
      <c r="N110" s="448"/>
      <c r="O110" s="448"/>
      <c r="P110" s="447"/>
      <c r="Q110" s="447"/>
      <c r="R110" s="447"/>
      <c r="S110" s="447"/>
      <c r="T110" s="447"/>
      <c r="U110" s="448"/>
      <c r="V110" s="448"/>
      <c r="W110" s="448"/>
      <c r="X110" s="448"/>
      <c r="Y110" s="448"/>
      <c r="Z110" s="447"/>
      <c r="AA110" s="447"/>
      <c r="AB110" s="301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48"/>
      <c r="BC110" s="448"/>
      <c r="BD110" s="448"/>
      <c r="BE110" s="448"/>
      <c r="BF110" s="448"/>
      <c r="BG110" s="448"/>
      <c r="BH110" s="448"/>
      <c r="BI110" s="448"/>
      <c r="BJ110" s="448"/>
      <c r="BK110" s="448"/>
      <c r="BL110" s="448"/>
      <c r="BM110" s="448"/>
      <c r="BN110" s="449"/>
      <c r="BO110" s="447"/>
    </row>
    <row r="111" spans="1:67" s="360" customFormat="1" ht="17.25" customHeight="1" thickTop="1" thickBot="1">
      <c r="A111" s="448"/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8"/>
      <c r="M111" s="448"/>
      <c r="N111" s="448"/>
      <c r="O111" s="448"/>
      <c r="P111" s="448"/>
      <c r="Q111" s="448"/>
      <c r="R111" s="448"/>
      <c r="S111" s="448"/>
      <c r="T111" s="448"/>
      <c r="U111" s="448"/>
      <c r="V111" s="448"/>
      <c r="W111" s="448"/>
      <c r="X111" s="448"/>
      <c r="Y111" s="448"/>
      <c r="Z111" s="448"/>
      <c r="AA111" s="448"/>
      <c r="AB111" s="364"/>
      <c r="AC111" s="448"/>
      <c r="AD111" s="448"/>
      <c r="AE111" s="448"/>
      <c r="AF111" s="448"/>
      <c r="AG111" s="448"/>
      <c r="AH111" s="448"/>
      <c r="AI111" s="448"/>
      <c r="AJ111" s="448"/>
      <c r="AK111" s="448"/>
      <c r="AL111" s="448"/>
      <c r="AM111" s="448"/>
      <c r="AN111" s="448"/>
      <c r="AO111" s="448"/>
      <c r="AP111" s="448"/>
      <c r="AQ111" s="448"/>
      <c r="AR111" s="448"/>
      <c r="AS111" s="448"/>
      <c r="AT111" s="448"/>
      <c r="AU111" s="448"/>
      <c r="AV111" s="448"/>
      <c r="AW111" s="448"/>
      <c r="AX111" s="448"/>
      <c r="AY111" s="448"/>
      <c r="AZ111" s="448"/>
      <c r="BA111" s="448"/>
      <c r="BB111" s="448"/>
      <c r="BC111" s="448"/>
      <c r="BD111" s="448"/>
      <c r="BE111" s="448"/>
      <c r="BF111" s="448"/>
      <c r="BG111" s="448"/>
      <c r="BH111" s="448"/>
      <c r="BI111" s="448"/>
      <c r="BJ111" s="448"/>
      <c r="BK111" s="448"/>
      <c r="BL111" s="448"/>
      <c r="BM111" s="448"/>
      <c r="BN111" s="449"/>
      <c r="BO111" s="447"/>
    </row>
    <row r="112" spans="1:67" s="360" customFormat="1" ht="17.25" customHeight="1" thickTop="1" thickBot="1">
      <c r="A112" s="447"/>
      <c r="B112" s="379" t="s">
        <v>23</v>
      </c>
      <c r="C112" s="380"/>
      <c r="D112" s="1178" t="s">
        <v>72</v>
      </c>
      <c r="E112" s="1179"/>
      <c r="F112" s="1180">
        <f>IF(G113=AD113,O150,O140)</f>
        <v>67.144288851193551</v>
      </c>
      <c r="G112" s="564"/>
      <c r="H112" s="564"/>
      <c r="I112" s="381"/>
      <c r="J112" s="381"/>
      <c r="K112" s="381"/>
      <c r="L112" s="501" t="s">
        <v>60</v>
      </c>
      <c r="M112" s="564">
        <f>O115</f>
        <v>66.95</v>
      </c>
      <c r="N112" s="564"/>
      <c r="O112" s="381"/>
      <c r="P112" s="381"/>
      <c r="Q112" s="501" t="s">
        <v>95</v>
      </c>
      <c r="R112" s="501"/>
      <c r="S112" s="564">
        <f>-O127+O122+O131</f>
        <v>0.25739197523773433</v>
      </c>
      <c r="T112" s="564"/>
      <c r="U112" s="564"/>
      <c r="V112" s="1181" t="str" cm="1">
        <f t="array" ref="V112">angleDecimal2Txt(S112)</f>
        <v>+00°15.44 (+00.2573) [+00°15'26.61]</v>
      </c>
      <c r="W112" s="1181"/>
      <c r="X112" s="1181"/>
      <c r="Y112" s="1181"/>
      <c r="Z112" s="1181"/>
      <c r="AA112" s="381"/>
      <c r="AB112" s="304"/>
      <c r="AC112" s="448"/>
      <c r="AD112" s="448"/>
      <c r="AE112" s="448"/>
      <c r="AF112" s="448"/>
      <c r="AG112" s="448"/>
      <c r="AH112" s="448"/>
      <c r="AI112" s="448"/>
      <c r="AJ112" s="448"/>
      <c r="AK112" s="448"/>
      <c r="AL112" s="448"/>
      <c r="AM112" s="448"/>
      <c r="AN112" s="448"/>
      <c r="AO112" s="448"/>
      <c r="AP112" s="448"/>
      <c r="AQ112" s="448"/>
      <c r="AR112" s="448"/>
      <c r="AS112" s="448"/>
      <c r="AT112" s="448"/>
      <c r="AU112" s="448"/>
      <c r="AV112" s="448"/>
      <c r="AW112" s="448"/>
      <c r="AX112" s="448"/>
      <c r="AY112" s="448"/>
      <c r="AZ112" s="448"/>
      <c r="BA112" s="448"/>
      <c r="BB112" s="448"/>
      <c r="BC112" s="448"/>
      <c r="BD112" s="448"/>
      <c r="BE112" s="448"/>
      <c r="BF112" s="448"/>
      <c r="BG112" s="448"/>
      <c r="BH112" s="448"/>
      <c r="BI112" s="448"/>
      <c r="BJ112" s="448"/>
      <c r="BK112" s="448"/>
      <c r="BL112" s="448"/>
      <c r="BM112" s="448"/>
      <c r="BN112" s="449"/>
      <c r="BO112" s="447"/>
    </row>
    <row r="113" spans="1:67" s="360" customFormat="1" ht="17.25" customHeight="1">
      <c r="A113" s="447"/>
      <c r="B113" s="447"/>
      <c r="C113" s="1182" t="s">
        <v>35</v>
      </c>
      <c r="D113" s="1183"/>
      <c r="E113" s="1183"/>
      <c r="F113" s="1184"/>
      <c r="G113" s="678" t="s">
        <v>51</v>
      </c>
      <c r="H113" s="678"/>
      <c r="I113" s="678"/>
      <c r="J113" s="447"/>
      <c r="K113" s="447"/>
      <c r="L113" s="447"/>
      <c r="M113" s="447"/>
      <c r="N113" s="447"/>
      <c r="O113" s="447"/>
      <c r="P113" s="447" t="s">
        <v>69</v>
      </c>
      <c r="Q113" s="447"/>
      <c r="R113" s="447"/>
      <c r="S113" s="447"/>
      <c r="T113" s="447"/>
      <c r="U113" s="447"/>
      <c r="V113" s="451"/>
      <c r="W113" s="451"/>
      <c r="X113" s="451"/>
      <c r="Y113" s="451"/>
      <c r="Z113" s="451"/>
      <c r="AA113" s="447"/>
      <c r="AB113" s="301"/>
      <c r="AC113" s="1159" t="s">
        <v>36</v>
      </c>
      <c r="AD113" s="459" t="s">
        <v>50</v>
      </c>
      <c r="AE113" s="448"/>
      <c r="AF113" s="448"/>
      <c r="AG113" s="448"/>
      <c r="AH113" s="448"/>
      <c r="AI113" s="448"/>
      <c r="AJ113" s="448"/>
      <c r="AK113" s="448"/>
      <c r="AL113" s="448"/>
      <c r="AM113" s="448"/>
      <c r="AN113" s="448"/>
      <c r="AO113" s="448"/>
      <c r="AP113" s="448"/>
      <c r="AQ113" s="448"/>
      <c r="AR113" s="448"/>
      <c r="AS113" s="448"/>
      <c r="AT113" s="448"/>
      <c r="AU113" s="448"/>
      <c r="AV113" s="448"/>
      <c r="AW113" s="448"/>
      <c r="AX113" s="448"/>
      <c r="AY113" s="448"/>
      <c r="AZ113" s="448"/>
      <c r="BA113" s="448"/>
      <c r="BB113" s="448"/>
      <c r="BC113" s="448"/>
      <c r="BD113" s="448"/>
      <c r="BE113" s="448"/>
      <c r="BF113" s="448"/>
      <c r="BG113" s="448"/>
      <c r="BH113" s="448"/>
      <c r="BI113" s="448"/>
      <c r="BJ113" s="448"/>
      <c r="BK113" s="448"/>
      <c r="BL113" s="448"/>
      <c r="BM113" s="448"/>
      <c r="BN113" s="449"/>
      <c r="BO113" s="447"/>
    </row>
    <row r="114" spans="1:67" s="360" customFormat="1" ht="17.25" customHeight="1" thickBot="1">
      <c r="A114" s="447"/>
      <c r="B114" s="447"/>
      <c r="C114" s="460"/>
      <c r="D114" s="460"/>
      <c r="E114" s="460"/>
      <c r="F114" s="1176" t="s">
        <v>62</v>
      </c>
      <c r="G114" s="1150"/>
      <c r="H114" s="1177"/>
      <c r="I114" s="1177"/>
      <c r="J114" s="564">
        <f>IF(G113=AD113,"---",O140)</f>
        <v>67.144288851193551</v>
      </c>
      <c r="K114" s="564"/>
      <c r="L114" s="564"/>
      <c r="M114" s="447"/>
      <c r="N114" s="447"/>
      <c r="O114" s="447"/>
      <c r="P114" s="447"/>
      <c r="Q114" s="447"/>
      <c r="R114" s="447"/>
      <c r="S114" s="447"/>
      <c r="T114" s="447"/>
      <c r="U114" s="447"/>
      <c r="V114" s="451"/>
      <c r="W114" s="451"/>
      <c r="X114" s="451"/>
      <c r="Y114" s="451"/>
      <c r="Z114" s="451"/>
      <c r="AA114" s="447"/>
      <c r="AB114" s="301"/>
      <c r="AC114" s="1160"/>
      <c r="AD114" s="459" t="s">
        <v>51</v>
      </c>
      <c r="AE114" s="448"/>
      <c r="AF114" s="448"/>
      <c r="AG114" s="448"/>
      <c r="AH114" s="448"/>
      <c r="AI114" s="448"/>
      <c r="AJ114" s="448"/>
      <c r="AK114" s="448"/>
      <c r="AL114" s="448"/>
      <c r="AM114" s="448"/>
      <c r="AN114" s="448"/>
      <c r="AO114" s="448"/>
      <c r="AP114" s="448"/>
      <c r="AQ114" s="448"/>
      <c r="AR114" s="448"/>
      <c r="AS114" s="448"/>
      <c r="AT114" s="448"/>
      <c r="AU114" s="448"/>
      <c r="AV114" s="448"/>
      <c r="AW114" s="448"/>
      <c r="AX114" s="448"/>
      <c r="AY114" s="448"/>
      <c r="AZ114" s="448"/>
      <c r="BA114" s="448"/>
      <c r="BB114" s="448"/>
      <c r="BC114" s="448"/>
      <c r="BD114" s="448"/>
      <c r="BE114" s="448"/>
      <c r="BF114" s="448"/>
      <c r="BG114" s="448"/>
      <c r="BH114" s="448"/>
      <c r="BI114" s="448"/>
      <c r="BJ114" s="448"/>
      <c r="BK114" s="448"/>
      <c r="BL114" s="448"/>
      <c r="BM114" s="448"/>
      <c r="BN114" s="449"/>
      <c r="BO114" s="447"/>
    </row>
    <row r="115" spans="1:67" s="360" customFormat="1" ht="17.25" customHeight="1" thickTop="1" thickBot="1">
      <c r="A115" s="447"/>
      <c r="B115" s="447"/>
      <c r="C115" s="447"/>
      <c r="D115" s="447"/>
      <c r="E115" s="447"/>
      <c r="F115" s="447"/>
      <c r="G115" s="447"/>
      <c r="H115" s="695" t="s">
        <v>47</v>
      </c>
      <c r="I115" s="659"/>
      <c r="J115" s="659"/>
      <c r="K115" s="659"/>
      <c r="L115" s="659"/>
      <c r="M115" s="659"/>
      <c r="N115" s="660"/>
      <c r="O115" s="564">
        <f>J79</f>
        <v>66.95</v>
      </c>
      <c r="P115" s="564"/>
      <c r="Q115" s="564"/>
      <c r="R115" s="564"/>
      <c r="S115" s="447" t="s">
        <v>54</v>
      </c>
      <c r="T115" s="447"/>
      <c r="U115" s="565" t="str" cm="1">
        <f t="array" ref="U115">angleDecimal2Txt(O115)</f>
        <v>+66°57.00 (+66.9500) [+66°57'00.00]</v>
      </c>
      <c r="V115" s="565"/>
      <c r="W115" s="565"/>
      <c r="X115" s="565"/>
      <c r="Y115" s="565"/>
      <c r="Z115" s="565"/>
      <c r="AA115" s="447"/>
      <c r="AB115" s="301"/>
      <c r="AC115" s="1161"/>
      <c r="AD115" s="459" t="s">
        <v>827</v>
      </c>
      <c r="AE115" s="448"/>
      <c r="AF115" s="448"/>
      <c r="AG115" s="448"/>
      <c r="AH115" s="448"/>
      <c r="AI115" s="448"/>
      <c r="AJ115" s="448"/>
      <c r="AK115" s="448"/>
      <c r="AL115" s="448"/>
      <c r="AM115" s="448"/>
      <c r="AN115" s="448"/>
      <c r="AO115" s="448"/>
      <c r="AP115" s="448"/>
      <c r="AQ115" s="448"/>
      <c r="AR115" s="448"/>
      <c r="AS115" s="448"/>
      <c r="AT115" s="448"/>
      <c r="AU115" s="448"/>
      <c r="AV115" s="448"/>
      <c r="AW115" s="448"/>
      <c r="AX115" s="448"/>
      <c r="AY115" s="448"/>
      <c r="AZ115" s="448"/>
      <c r="BA115" s="448"/>
      <c r="BB115" s="448"/>
      <c r="BC115" s="448"/>
      <c r="BD115" s="448"/>
      <c r="BE115" s="448"/>
      <c r="BF115" s="448"/>
      <c r="BG115" s="448"/>
      <c r="BH115" s="448"/>
      <c r="BI115" s="448"/>
      <c r="BJ115" s="448"/>
      <c r="BK115" s="448"/>
      <c r="BL115" s="448"/>
      <c r="BM115" s="448"/>
      <c r="BN115" s="449"/>
      <c r="BO115" s="447"/>
    </row>
    <row r="116" spans="1:67" s="360" customFormat="1" ht="17.25" customHeight="1" thickTop="1" thickBot="1">
      <c r="A116" s="447"/>
      <c r="B116" s="447"/>
      <c r="C116" s="447"/>
      <c r="D116" s="447"/>
      <c r="E116" s="447"/>
      <c r="F116" s="447"/>
      <c r="G116" s="447"/>
      <c r="H116" s="695" t="s">
        <v>24</v>
      </c>
      <c r="I116" s="659"/>
      <c r="J116" s="659"/>
      <c r="K116" s="659"/>
      <c r="L116" s="659"/>
      <c r="M116" s="659"/>
      <c r="N116" s="660"/>
      <c r="O116" s="564">
        <f>J78</f>
        <v>2.1666666666666667E-2</v>
      </c>
      <c r="P116" s="564"/>
      <c r="Q116" s="564"/>
      <c r="R116" s="564"/>
      <c r="S116" s="447" t="s">
        <v>54</v>
      </c>
      <c r="T116" s="447"/>
      <c r="U116" s="565" t="str" cm="1">
        <f t="array" ref="U116">angleDecimal2Txt(O116)</f>
        <v>+00°01.30 (+00.0216) [+00°01'18.00]</v>
      </c>
      <c r="V116" s="565"/>
      <c r="W116" s="565"/>
      <c r="X116" s="565"/>
      <c r="Y116" s="565"/>
      <c r="Z116" s="565"/>
      <c r="AA116" s="447"/>
      <c r="AB116" s="301"/>
      <c r="AC116" s="453" t="s">
        <v>59</v>
      </c>
      <c r="AD116" s="457">
        <f>O116</f>
        <v>2.1666666666666667E-2</v>
      </c>
      <c r="AE116" s="448"/>
      <c r="AF116" s="448"/>
      <c r="AG116" s="448"/>
      <c r="AH116" s="448"/>
      <c r="AI116" s="448"/>
      <c r="AJ116" s="448"/>
      <c r="AK116" s="448"/>
      <c r="AL116" s="448"/>
      <c r="AM116" s="448"/>
      <c r="AN116" s="448"/>
      <c r="AO116" s="448"/>
      <c r="AP116" s="448"/>
      <c r="AQ116" s="448"/>
      <c r="AR116" s="448"/>
      <c r="AS116" s="448"/>
      <c r="AT116" s="448"/>
      <c r="AU116" s="448"/>
      <c r="AV116" s="448"/>
      <c r="AW116" s="448"/>
      <c r="AX116" s="448"/>
      <c r="AY116" s="448"/>
      <c r="AZ116" s="448"/>
      <c r="BA116" s="448"/>
      <c r="BB116" s="448"/>
      <c r="BC116" s="448"/>
      <c r="BD116" s="448"/>
      <c r="BE116" s="448"/>
      <c r="BF116" s="448"/>
      <c r="BG116" s="448"/>
      <c r="BH116" s="448"/>
      <c r="BI116" s="448"/>
      <c r="BJ116" s="448"/>
      <c r="BK116" s="448"/>
      <c r="BL116" s="448"/>
      <c r="BM116" s="448"/>
      <c r="BN116" s="449"/>
      <c r="BO116" s="447"/>
    </row>
    <row r="117" spans="1:67" s="360" customFormat="1" ht="17.25" customHeight="1" thickTop="1" thickBot="1">
      <c r="A117" s="447"/>
      <c r="B117" s="447"/>
      <c r="C117" s="450"/>
      <c r="D117" s="450"/>
      <c r="E117" s="450"/>
      <c r="F117" s="450"/>
      <c r="G117" s="447"/>
      <c r="H117" s="695" t="s">
        <v>68</v>
      </c>
      <c r="I117" s="659"/>
      <c r="J117" s="659"/>
      <c r="K117" s="659"/>
      <c r="L117" s="659"/>
      <c r="M117" s="659"/>
      <c r="N117" s="660"/>
      <c r="O117" s="564">
        <f>AD118</f>
        <v>4.1436457377531689E-2</v>
      </c>
      <c r="P117" s="564"/>
      <c r="Q117" s="564"/>
      <c r="R117" s="564"/>
      <c r="S117" s="447" t="s">
        <v>54</v>
      </c>
      <c r="T117" s="447"/>
      <c r="U117" s="565" t="str" cm="1">
        <f t="array" ref="U117">angleDecimal2Txt(O117)</f>
        <v>+00°02.48 (+00.0414) [+00°02'29.17]</v>
      </c>
      <c r="V117" s="565"/>
      <c r="W117" s="565"/>
      <c r="X117" s="565"/>
      <c r="Y117" s="565"/>
      <c r="Z117" s="565"/>
      <c r="AA117" s="447"/>
      <c r="AB117" s="301"/>
      <c r="AC117" s="453" t="s">
        <v>46</v>
      </c>
      <c r="AD117" s="453">
        <f>J77</f>
        <v>2</v>
      </c>
      <c r="AE117" s="448"/>
      <c r="AF117" s="448"/>
      <c r="AG117" s="448"/>
      <c r="AH117" s="448"/>
      <c r="AI117" s="448"/>
      <c r="AJ117" s="448"/>
      <c r="AK117" s="448"/>
      <c r="AL117" s="448"/>
      <c r="AM117" s="448"/>
      <c r="AN117" s="448"/>
      <c r="AO117" s="448"/>
      <c r="AP117" s="448"/>
      <c r="AQ117" s="448"/>
      <c r="AR117" s="448"/>
      <c r="AS117" s="448"/>
      <c r="AT117" s="448"/>
      <c r="AU117" s="448"/>
      <c r="AV117" s="448"/>
      <c r="AW117" s="448"/>
      <c r="AX117" s="448"/>
      <c r="AY117" s="448"/>
      <c r="AZ117" s="448"/>
      <c r="BA117" s="448"/>
      <c r="BB117" s="448"/>
      <c r="BC117" s="448"/>
      <c r="BD117" s="448"/>
      <c r="BE117" s="448"/>
      <c r="BF117" s="448"/>
      <c r="BG117" s="448"/>
      <c r="BH117" s="448"/>
      <c r="BI117" s="448"/>
      <c r="BJ117" s="448"/>
      <c r="BK117" s="448"/>
      <c r="BL117" s="448"/>
      <c r="BM117" s="448"/>
      <c r="BN117" s="449"/>
      <c r="BO117" s="447"/>
    </row>
    <row r="118" spans="1:67" s="360" customFormat="1" ht="17.25" customHeight="1" thickTop="1" thickBot="1">
      <c r="A118" s="447"/>
      <c r="B118" s="447"/>
      <c r="C118" s="450"/>
      <c r="D118" s="450"/>
      <c r="E118" s="450"/>
      <c r="F118" s="450"/>
      <c r="G118" s="450"/>
      <c r="H118" s="447"/>
      <c r="I118" s="447"/>
      <c r="J118" s="447"/>
      <c r="K118" s="451"/>
      <c r="L118" s="451"/>
      <c r="M118" s="1157" t="s">
        <v>113</v>
      </c>
      <c r="N118" s="1157"/>
      <c r="O118" s="1157"/>
      <c r="P118" s="1157"/>
      <c r="Q118" s="451"/>
      <c r="R118" s="451"/>
      <c r="S118" s="447"/>
      <c r="T118" s="447"/>
      <c r="U118" s="451"/>
      <c r="V118" s="451"/>
      <c r="W118" s="451"/>
      <c r="X118" s="451"/>
      <c r="Y118" s="451"/>
      <c r="Z118" s="451"/>
      <c r="AA118" s="447"/>
      <c r="AB118" s="301"/>
      <c r="AC118" s="464" t="s">
        <v>67</v>
      </c>
      <c r="AD118" s="453">
        <f>0.0293 * SQRT(AD117)</f>
        <v>4.1436457377531689E-2</v>
      </c>
      <c r="AE118" s="448"/>
      <c r="AF118" s="448"/>
      <c r="AG118" s="448"/>
      <c r="AH118" s="448"/>
      <c r="AI118" s="448"/>
      <c r="AJ118" s="448"/>
      <c r="AK118" s="448"/>
      <c r="AL118" s="448"/>
      <c r="AM118" s="448"/>
      <c r="AN118" s="448"/>
      <c r="AO118" s="448"/>
      <c r="AP118" s="448"/>
      <c r="AQ118" s="448"/>
      <c r="AR118" s="448"/>
      <c r="AS118" s="448"/>
      <c r="AT118" s="448"/>
      <c r="AU118" s="448"/>
      <c r="AV118" s="448"/>
      <c r="AW118" s="448"/>
      <c r="AX118" s="448"/>
      <c r="AY118" s="448"/>
      <c r="AZ118" s="448"/>
      <c r="BA118" s="448"/>
      <c r="BB118" s="448"/>
      <c r="BC118" s="448"/>
      <c r="BD118" s="448"/>
      <c r="BE118" s="448"/>
      <c r="BF118" s="448"/>
      <c r="BG118" s="448"/>
      <c r="BH118" s="448"/>
      <c r="BI118" s="448"/>
      <c r="BJ118" s="448"/>
      <c r="BK118" s="448"/>
      <c r="BL118" s="448"/>
      <c r="BM118" s="448"/>
      <c r="BN118" s="449"/>
      <c r="BO118" s="447"/>
    </row>
    <row r="119" spans="1:67" s="360" customFormat="1" ht="17.25" customHeight="1" thickTop="1" thickBot="1">
      <c r="A119" s="447"/>
      <c r="B119" s="447"/>
      <c r="C119" s="450"/>
      <c r="D119" s="450"/>
      <c r="E119" s="450"/>
      <c r="F119" s="450"/>
      <c r="G119" s="447"/>
      <c r="H119" s="695" t="s">
        <v>397</v>
      </c>
      <c r="I119" s="659"/>
      <c r="J119" s="659"/>
      <c r="K119" s="659"/>
      <c r="L119" s="659"/>
      <c r="M119" s="659"/>
      <c r="N119" s="660"/>
      <c r="O119" s="564">
        <f>O115-O116-O117</f>
        <v>66.886896875955813</v>
      </c>
      <c r="P119" s="564"/>
      <c r="Q119" s="447" t="s">
        <v>54</v>
      </c>
      <c r="R119" s="1158">
        <f>O119*Outils!F4</f>
        <v>1.1673965769273382</v>
      </c>
      <c r="S119" s="1158"/>
      <c r="T119" s="503" t="s">
        <v>64</v>
      </c>
      <c r="U119" s="565" t="str" cm="1">
        <f t="array" ref="U119">angleDecimal2Txt(O119)</f>
        <v>+66°53.21 (+66.8868) [+66°53'12.82]</v>
      </c>
      <c r="V119" s="565"/>
      <c r="W119" s="565"/>
      <c r="X119" s="565"/>
      <c r="Y119" s="565"/>
      <c r="Z119" s="565"/>
      <c r="AA119" s="447"/>
      <c r="AB119" s="301"/>
      <c r="AC119" s="448"/>
      <c r="AD119" s="448"/>
      <c r="AE119" s="448"/>
      <c r="AF119" s="448"/>
      <c r="AG119" s="448"/>
      <c r="AH119" s="448"/>
      <c r="AI119" s="448"/>
      <c r="AJ119" s="448"/>
      <c r="AK119" s="448"/>
      <c r="AL119" s="448"/>
      <c r="AM119" s="448"/>
      <c r="AN119" s="448"/>
      <c r="AO119" s="448"/>
      <c r="AP119" s="448"/>
      <c r="AQ119" s="448"/>
      <c r="AR119" s="448"/>
      <c r="AS119" s="448"/>
      <c r="AT119" s="448"/>
      <c r="AU119" s="448"/>
      <c r="AV119" s="448"/>
      <c r="AW119" s="448"/>
      <c r="AX119" s="448"/>
      <c r="AY119" s="448"/>
      <c r="AZ119" s="448"/>
      <c r="BA119" s="448"/>
      <c r="BB119" s="448"/>
      <c r="BC119" s="448"/>
      <c r="BD119" s="448"/>
      <c r="BE119" s="448"/>
      <c r="BF119" s="448"/>
      <c r="BG119" s="448"/>
      <c r="BH119" s="448"/>
      <c r="BI119" s="448"/>
      <c r="BJ119" s="448"/>
      <c r="BK119" s="448"/>
      <c r="BL119" s="448"/>
      <c r="BM119" s="448"/>
      <c r="BN119" s="449"/>
      <c r="BO119" s="447"/>
    </row>
    <row r="120" spans="1:67" s="360" customFormat="1" ht="17.25" customHeight="1" thickTop="1" thickBot="1">
      <c r="A120" s="447"/>
      <c r="B120" s="447"/>
      <c r="C120" s="447"/>
      <c r="D120" s="447"/>
      <c r="E120" s="447"/>
      <c r="F120" s="447"/>
      <c r="G120" s="447"/>
      <c r="H120" s="451"/>
      <c r="I120" s="451"/>
      <c r="J120" s="451"/>
      <c r="K120" s="451"/>
      <c r="L120" s="451"/>
      <c r="M120" s="451"/>
      <c r="N120" s="451"/>
      <c r="O120" s="451"/>
      <c r="P120" s="451"/>
      <c r="Q120" s="451"/>
      <c r="R120" s="451"/>
      <c r="S120" s="447"/>
      <c r="T120" s="447"/>
      <c r="U120" s="451"/>
      <c r="V120" s="451"/>
      <c r="W120" s="451"/>
      <c r="X120" s="451"/>
      <c r="Y120" s="451"/>
      <c r="Z120" s="451"/>
      <c r="AA120" s="447"/>
      <c r="AB120" s="301"/>
      <c r="AC120" s="448"/>
      <c r="AD120" s="448"/>
      <c r="AE120" s="448"/>
      <c r="AF120" s="448"/>
      <c r="AG120" s="448"/>
      <c r="AH120" s="448"/>
      <c r="AI120" s="448"/>
      <c r="AJ120" s="448"/>
      <c r="AK120" s="448"/>
      <c r="AL120" s="448"/>
      <c r="AM120" s="448"/>
      <c r="AN120" s="448"/>
      <c r="AO120" s="448"/>
      <c r="AP120" s="448"/>
      <c r="AQ120" s="448"/>
      <c r="AR120" s="448"/>
      <c r="AS120" s="448"/>
      <c r="AT120" s="448"/>
      <c r="AU120" s="448"/>
      <c r="AV120" s="448"/>
      <c r="AW120" s="448"/>
      <c r="AX120" s="448"/>
      <c r="AY120" s="448"/>
      <c r="AZ120" s="448"/>
      <c r="BA120" s="448"/>
      <c r="BB120" s="448"/>
      <c r="BC120" s="448"/>
      <c r="BD120" s="448"/>
      <c r="BE120" s="448"/>
      <c r="BF120" s="448"/>
      <c r="BG120" s="448"/>
      <c r="BH120" s="448"/>
      <c r="BI120" s="448"/>
      <c r="BJ120" s="448"/>
      <c r="BK120" s="448"/>
      <c r="BL120" s="448"/>
      <c r="BM120" s="448"/>
      <c r="BN120" s="449"/>
      <c r="BO120" s="447"/>
    </row>
    <row r="121" spans="1:67" ht="17.25" customHeight="1" thickTop="1" thickBot="1">
      <c r="A121" s="451"/>
      <c r="B121" s="451"/>
      <c r="C121" s="451"/>
      <c r="D121" s="451"/>
      <c r="E121" s="451"/>
      <c r="F121" s="447"/>
      <c r="G121" s="447"/>
      <c r="H121" s="1141" t="s">
        <v>52</v>
      </c>
      <c r="I121" s="1142"/>
      <c r="J121" s="1142"/>
      <c r="K121" s="1142"/>
      <c r="L121" s="1142"/>
      <c r="M121" s="1142"/>
      <c r="N121" s="1143"/>
      <c r="O121" s="1126">
        <f>J82</f>
        <v>2.8833333333333302E-3</v>
      </c>
      <c r="P121" s="564"/>
      <c r="Q121" s="564"/>
      <c r="R121" s="564"/>
      <c r="S121" s="447" t="s">
        <v>54</v>
      </c>
      <c r="T121" s="447"/>
      <c r="U121" s="565" t="str" cm="1">
        <f t="array" ref="U121">angleDecimal2Txt(O121)</f>
        <v>+00°00.17 (+00.0028) [+00°00'10.37]</v>
      </c>
      <c r="V121" s="565"/>
      <c r="W121" s="565"/>
      <c r="X121" s="565"/>
      <c r="Y121" s="565"/>
      <c r="Z121" s="565"/>
      <c r="AA121" s="447"/>
      <c r="AB121" s="301"/>
      <c r="AC121" s="453" t="s">
        <v>183</v>
      </c>
      <c r="AD121" s="453">
        <f>O121*COS(R119)</f>
        <v>1.1318451843031951E-3</v>
      </c>
      <c r="AE121" s="448"/>
      <c r="AF121" s="448"/>
      <c r="AG121" s="448"/>
      <c r="AH121" s="448"/>
      <c r="AI121" s="448"/>
      <c r="AJ121" s="448"/>
      <c r="AK121" s="448"/>
      <c r="AL121" s="448"/>
      <c r="AM121" s="448"/>
      <c r="AN121" s="448"/>
      <c r="AO121" s="448"/>
      <c r="AP121" s="448"/>
      <c r="AQ121" s="448"/>
      <c r="AR121" s="448"/>
      <c r="AS121" s="448"/>
      <c r="AT121" s="448"/>
      <c r="AU121" s="448"/>
      <c r="AV121" s="448"/>
      <c r="AW121" s="448"/>
      <c r="AX121" s="448"/>
      <c r="AY121" s="448"/>
      <c r="AZ121" s="448"/>
      <c r="BA121" s="448"/>
      <c r="BB121" s="448"/>
      <c r="BC121" s="448"/>
      <c r="BD121" s="448"/>
      <c r="BE121" s="448"/>
      <c r="BF121" s="448"/>
      <c r="BG121" s="448"/>
      <c r="BH121" s="448"/>
      <c r="BI121" s="448"/>
      <c r="BJ121" s="448"/>
      <c r="BK121" s="448"/>
      <c r="BL121" s="448"/>
      <c r="BM121" s="448"/>
      <c r="BN121" s="449"/>
      <c r="BO121" s="447"/>
    </row>
    <row r="122" spans="1:67" ht="17.25" customHeight="1" thickTop="1" thickBot="1">
      <c r="A122" s="451"/>
      <c r="B122" s="451"/>
      <c r="C122" s="451"/>
      <c r="D122" s="451"/>
      <c r="E122" s="451"/>
      <c r="F122" s="447"/>
      <c r="G122" s="447"/>
      <c r="H122" s="658" t="s">
        <v>140</v>
      </c>
      <c r="I122" s="659"/>
      <c r="J122" s="659"/>
      <c r="K122" s="659"/>
      <c r="L122" s="659"/>
      <c r="M122" s="659"/>
      <c r="N122" s="660"/>
      <c r="O122" s="564">
        <f>AD121</f>
        <v>1.1318451843031951E-3</v>
      </c>
      <c r="P122" s="564"/>
      <c r="Q122" s="564"/>
      <c r="R122" s="564"/>
      <c r="S122" s="447" t="s">
        <v>54</v>
      </c>
      <c r="T122" s="447"/>
      <c r="U122" s="565" t="str" cm="1">
        <f t="array" ref="U122">angleDecimal2Txt(O122)</f>
        <v>+00°00.06 (+00.0011) [+00°00'04.07]</v>
      </c>
      <c r="V122" s="565"/>
      <c r="W122" s="565"/>
      <c r="X122" s="565"/>
      <c r="Y122" s="565"/>
      <c r="Z122" s="565"/>
      <c r="AA122" s="447"/>
      <c r="AB122" s="301"/>
      <c r="AC122" s="448"/>
      <c r="AD122" s="448"/>
      <c r="AE122" s="448"/>
      <c r="AF122" s="448"/>
      <c r="AG122" s="448"/>
      <c r="AH122" s="448"/>
      <c r="AI122" s="448"/>
      <c r="AJ122" s="448"/>
      <c r="AK122" s="448"/>
      <c r="AL122" s="448"/>
      <c r="AM122" s="448"/>
      <c r="AN122" s="448"/>
      <c r="AO122" s="448"/>
      <c r="AP122" s="448"/>
      <c r="AQ122" s="448"/>
      <c r="AR122" s="448"/>
      <c r="AS122" s="448"/>
      <c r="AT122" s="448"/>
      <c r="AU122" s="448"/>
      <c r="AV122" s="448"/>
      <c r="AW122" s="448"/>
      <c r="AX122" s="448"/>
      <c r="AY122" s="448"/>
      <c r="AZ122" s="448"/>
      <c r="BA122" s="448"/>
      <c r="BB122" s="448"/>
      <c r="BC122" s="448"/>
      <c r="BD122" s="448"/>
      <c r="BE122" s="448"/>
      <c r="BF122" s="448"/>
      <c r="BG122" s="448"/>
      <c r="BH122" s="448"/>
      <c r="BI122" s="448"/>
      <c r="BJ122" s="448"/>
      <c r="BK122" s="448"/>
      <c r="BL122" s="448"/>
      <c r="BM122" s="448"/>
      <c r="BN122" s="449"/>
      <c r="BO122" s="447"/>
    </row>
    <row r="123" spans="1:67" ht="17.25" customHeight="1" thickTop="1">
      <c r="A123" s="451"/>
      <c r="B123" s="451"/>
      <c r="C123" s="451"/>
      <c r="D123" s="451"/>
      <c r="E123" s="451"/>
      <c r="F123" s="447"/>
      <c r="G123" s="447"/>
      <c r="H123" s="451"/>
      <c r="I123" s="451"/>
      <c r="J123" s="451"/>
      <c r="K123" s="451"/>
      <c r="L123" s="451"/>
      <c r="M123" s="451"/>
      <c r="N123" s="451"/>
      <c r="O123" s="451"/>
      <c r="P123" s="451"/>
      <c r="Q123" s="451"/>
      <c r="R123" s="451"/>
      <c r="S123" s="451"/>
      <c r="T123" s="451"/>
      <c r="U123" s="451"/>
      <c r="V123" s="451"/>
      <c r="W123" s="451"/>
      <c r="X123" s="451"/>
      <c r="Y123" s="451"/>
      <c r="Z123" s="451"/>
      <c r="AA123" s="447"/>
      <c r="AB123" s="301"/>
      <c r="AC123" s="448"/>
      <c r="AD123" s="448"/>
      <c r="AE123" s="448"/>
      <c r="AF123" s="448"/>
      <c r="AG123" s="448"/>
      <c r="AH123" s="448"/>
      <c r="AI123" s="448"/>
      <c r="AJ123" s="448"/>
      <c r="AK123" s="448"/>
      <c r="AL123" s="448"/>
      <c r="AM123" s="448"/>
      <c r="AN123" s="448"/>
      <c r="AO123" s="448"/>
      <c r="AP123" s="448"/>
      <c r="AQ123" s="448"/>
      <c r="AR123" s="448"/>
      <c r="AS123" s="448"/>
      <c r="AT123" s="448"/>
      <c r="AU123" s="448"/>
      <c r="AV123" s="448"/>
      <c r="AW123" s="448"/>
      <c r="AX123" s="448"/>
      <c r="AY123" s="448"/>
      <c r="AZ123" s="448"/>
      <c r="BA123" s="448"/>
      <c r="BB123" s="448"/>
      <c r="BC123" s="448"/>
      <c r="BD123" s="448"/>
      <c r="BE123" s="448"/>
      <c r="BF123" s="448"/>
      <c r="BG123" s="448"/>
      <c r="BH123" s="448"/>
      <c r="BI123" s="448"/>
      <c r="BJ123" s="448"/>
      <c r="BK123" s="448"/>
      <c r="BL123" s="448"/>
      <c r="BM123" s="448"/>
      <c r="BN123" s="449"/>
      <c r="BO123" s="447"/>
    </row>
    <row r="124" spans="1:67" ht="17.25" customHeight="1">
      <c r="A124" s="451"/>
      <c r="B124" s="451"/>
      <c r="C124" s="451"/>
      <c r="D124" s="451"/>
      <c r="E124" s="450"/>
      <c r="F124" s="447"/>
      <c r="G124" s="447"/>
      <c r="H124" s="451"/>
      <c r="I124" s="451"/>
      <c r="J124" s="451"/>
      <c r="K124" s="451"/>
      <c r="L124" s="451"/>
      <c r="M124" s="451"/>
      <c r="N124" s="451"/>
      <c r="O124" s="451"/>
      <c r="P124"/>
      <c r="Q124" s="447"/>
      <c r="R124" s="447"/>
      <c r="S124" s="1151" t="s">
        <v>126</v>
      </c>
      <c r="T124" s="1152"/>
      <c r="U124" s="1153"/>
      <c r="V124" s="447"/>
      <c r="W124" s="447"/>
      <c r="X124" s="447"/>
      <c r="Y124" s="451"/>
      <c r="Z124" s="451"/>
      <c r="AA124" s="447"/>
      <c r="AB124" s="301"/>
      <c r="AC124" s="453" t="s">
        <v>49</v>
      </c>
      <c r="AD124" s="453" t="s">
        <v>185</v>
      </c>
      <c r="AE124" s="448"/>
      <c r="AF124" s="448"/>
      <c r="AG124" s="448"/>
      <c r="AH124" s="448"/>
      <c r="AI124" s="448"/>
      <c r="AJ124" s="448"/>
      <c r="AK124" s="448"/>
      <c r="AL124" s="448"/>
      <c r="AM124" s="448"/>
      <c r="AN124" s="448"/>
      <c r="AO124" s="448"/>
      <c r="AP124" s="448"/>
      <c r="AQ124" s="448"/>
      <c r="AR124" s="448"/>
      <c r="AS124" s="448"/>
      <c r="AT124" s="448"/>
      <c r="AU124" s="448"/>
      <c r="AV124" s="448"/>
      <c r="AW124" s="448"/>
      <c r="AX124" s="448"/>
      <c r="AY124" s="448"/>
      <c r="AZ124" s="448"/>
      <c r="BA124" s="448"/>
      <c r="BB124" s="448"/>
      <c r="BC124" s="448"/>
      <c r="BD124" s="448"/>
      <c r="BE124" s="448"/>
      <c r="BF124" s="448"/>
      <c r="BG124" s="448"/>
      <c r="BH124" s="448"/>
      <c r="BI124" s="448"/>
      <c r="BJ124" s="448"/>
      <c r="BK124" s="448"/>
      <c r="BL124" s="448"/>
      <c r="BM124" s="448"/>
      <c r="BN124" s="449"/>
      <c r="BO124" s="447"/>
    </row>
    <row r="125" spans="1:67" ht="17.25" customHeight="1">
      <c r="A125" s="451"/>
      <c r="B125" s="451"/>
      <c r="C125" s="451"/>
      <c r="D125" s="451"/>
      <c r="E125" s="450"/>
      <c r="F125" s="447"/>
      <c r="G125" s="447"/>
      <c r="H125" s="1141" t="s">
        <v>65</v>
      </c>
      <c r="I125" s="1142"/>
      <c r="J125" s="1142"/>
      <c r="K125" s="1142"/>
      <c r="L125" s="1142"/>
      <c r="M125" s="1142"/>
      <c r="N125" s="1143"/>
      <c r="O125" s="702">
        <f>S125</f>
        <v>10</v>
      </c>
      <c r="P125" s="703"/>
      <c r="Q125" s="703"/>
      <c r="R125" s="703"/>
      <c r="S125" s="1154">
        <v>10</v>
      </c>
      <c r="T125" s="1155"/>
      <c r="U125" s="1156"/>
      <c r="V125" s="447"/>
      <c r="W125" s="447"/>
      <c r="X125" s="447"/>
      <c r="Y125" s="451"/>
      <c r="Z125" s="451"/>
      <c r="AA125" s="447"/>
      <c r="AB125" s="301"/>
      <c r="AC125" s="453" t="s">
        <v>186</v>
      </c>
      <c r="AD125" s="453">
        <f>1/TAN((O119 + 7.31 / (O119 + 4.4)) * Outils!F4)</f>
        <v>0.4246923427253872</v>
      </c>
      <c r="AE125" s="448"/>
      <c r="AF125" s="448"/>
      <c r="AG125" s="448"/>
      <c r="AH125" s="448"/>
      <c r="AI125" s="448"/>
      <c r="AJ125" s="448"/>
      <c r="AK125" s="448"/>
      <c r="AL125" s="448"/>
      <c r="AM125" s="448"/>
      <c r="AN125" s="448"/>
      <c r="AO125" s="448"/>
      <c r="AP125" s="448"/>
      <c r="AQ125" s="448"/>
      <c r="AR125" s="448"/>
      <c r="AS125" s="448"/>
      <c r="AT125" s="448"/>
      <c r="AU125" s="448"/>
      <c r="AV125" s="448"/>
      <c r="AW125" s="448"/>
      <c r="AX125" s="448"/>
      <c r="AY125" s="448"/>
      <c r="AZ125" s="448"/>
      <c r="BA125" s="448"/>
      <c r="BB125" s="448"/>
      <c r="BC125" s="448"/>
      <c r="BD125" s="448"/>
      <c r="BE125" s="448"/>
      <c r="BF125" s="448"/>
      <c r="BG125" s="448"/>
      <c r="BH125" s="448"/>
      <c r="BI125" s="448"/>
      <c r="BJ125" s="448"/>
      <c r="BK125" s="448"/>
      <c r="BL125" s="448"/>
      <c r="BM125" s="448"/>
      <c r="BN125" s="449"/>
      <c r="BO125" s="447"/>
    </row>
    <row r="126" spans="1:67" ht="17.25" customHeight="1" thickBot="1">
      <c r="A126" s="451"/>
      <c r="B126" s="451"/>
      <c r="C126" s="451"/>
      <c r="D126" s="451"/>
      <c r="E126" s="451"/>
      <c r="F126" s="447"/>
      <c r="G126" s="447"/>
      <c r="H126" s="1141" t="s">
        <v>66</v>
      </c>
      <c r="I126" s="1142"/>
      <c r="J126" s="1142"/>
      <c r="K126" s="1142"/>
      <c r="L126" s="1142"/>
      <c r="M126" s="1142"/>
      <c r="N126" s="1143"/>
      <c r="O126" s="702">
        <f>S126</f>
        <v>1010</v>
      </c>
      <c r="P126" s="703"/>
      <c r="Q126" s="703"/>
      <c r="R126" s="703"/>
      <c r="S126" s="1154">
        <v>1010</v>
      </c>
      <c r="T126" s="1155"/>
      <c r="U126" s="1156"/>
      <c r="V126" s="447"/>
      <c r="W126" s="447"/>
      <c r="X126" s="447"/>
      <c r="Y126" s="451"/>
      <c r="Z126" s="451"/>
      <c r="AA126" s="447"/>
      <c r="AB126" s="301"/>
      <c r="AC126" s="453" t="s">
        <v>187</v>
      </c>
      <c r="AD126" s="453">
        <f>AD125/60</f>
        <v>7.0782057120897862E-3</v>
      </c>
      <c r="AE126" s="448"/>
      <c r="AF126" s="448"/>
      <c r="AG126" s="448"/>
      <c r="AH126" s="448"/>
      <c r="AI126" s="448"/>
      <c r="AJ126" s="448"/>
      <c r="AK126" s="448"/>
      <c r="AL126" s="448"/>
      <c r="AM126" s="448"/>
      <c r="AN126" s="448"/>
      <c r="AO126" s="448"/>
      <c r="AP126" s="448"/>
      <c r="AQ126" s="448"/>
      <c r="AR126" s="448"/>
      <c r="AS126" s="448"/>
      <c r="AT126" s="448"/>
      <c r="AU126" s="448"/>
      <c r="AV126" s="448"/>
      <c r="AW126" s="448"/>
      <c r="AX126" s="448"/>
      <c r="AY126" s="448"/>
      <c r="AZ126" s="448"/>
      <c r="BA126" s="448"/>
      <c r="BB126" s="448"/>
      <c r="BC126" s="448"/>
      <c r="BD126" s="448"/>
      <c r="BE126" s="448"/>
      <c r="BF126" s="448"/>
      <c r="BG126" s="448"/>
      <c r="BH126" s="448"/>
      <c r="BI126" s="448"/>
      <c r="BJ126" s="448"/>
      <c r="BK126" s="448"/>
      <c r="BL126" s="448"/>
      <c r="BM126" s="448"/>
      <c r="BN126" s="449"/>
      <c r="BO126" s="447"/>
    </row>
    <row r="127" spans="1:67" ht="17.25" customHeight="1" thickTop="1" thickBot="1">
      <c r="A127" s="451"/>
      <c r="B127" s="451"/>
      <c r="C127" s="451"/>
      <c r="D127" s="451"/>
      <c r="E127" s="451"/>
      <c r="F127" s="447"/>
      <c r="G127" s="447"/>
      <c r="H127" s="658" t="s">
        <v>141</v>
      </c>
      <c r="I127" s="659"/>
      <c r="J127" s="659"/>
      <c r="K127" s="659"/>
      <c r="L127" s="659"/>
      <c r="M127" s="659"/>
      <c r="N127" s="660"/>
      <c r="O127" s="564">
        <f>AD128</f>
        <v>7.0732034465688749E-3</v>
      </c>
      <c r="P127" s="564"/>
      <c r="Q127" s="564"/>
      <c r="R127" s="564"/>
      <c r="S127" s="447" t="s">
        <v>54</v>
      </c>
      <c r="T127" s="447"/>
      <c r="U127" s="565" t="str" cm="1">
        <f t="array" ref="U127">angleDecimal2Txt(O127)</f>
        <v>+00°00.42 (+00.0070) [+00°00'25.46]</v>
      </c>
      <c r="V127" s="565"/>
      <c r="W127" s="565"/>
      <c r="X127" s="565"/>
      <c r="Y127" s="565"/>
      <c r="Z127" s="565"/>
      <c r="AA127" s="447"/>
      <c r="AB127" s="301"/>
      <c r="AC127" s="453" t="s">
        <v>96</v>
      </c>
      <c r="AD127" s="453">
        <f xml:space="preserve"> 0.28 * O126 / (273 + O125)</f>
        <v>0.99929328621908131</v>
      </c>
      <c r="AE127" s="448"/>
      <c r="AF127" s="448"/>
      <c r="AG127" s="448"/>
      <c r="AH127" s="448"/>
      <c r="AI127" s="448"/>
      <c r="AJ127" s="448"/>
      <c r="AK127" s="448"/>
      <c r="AL127" s="448"/>
      <c r="AM127" s="448"/>
      <c r="AN127" s="448"/>
      <c r="AO127" s="448"/>
      <c r="AP127" s="448"/>
      <c r="AQ127" s="448"/>
      <c r="AR127" s="448"/>
      <c r="AS127" s="448"/>
      <c r="AT127" s="448"/>
      <c r="AU127" s="448"/>
      <c r="AV127" s="448"/>
      <c r="AW127" s="448"/>
      <c r="AX127" s="448"/>
      <c r="AY127" s="448"/>
      <c r="AZ127" s="448"/>
      <c r="BA127" s="448"/>
      <c r="BB127" s="448"/>
      <c r="BC127" s="448"/>
      <c r="BD127" s="448"/>
      <c r="BE127" s="448"/>
      <c r="BF127" s="448"/>
      <c r="BG127" s="448"/>
      <c r="BH127" s="448"/>
      <c r="BI127" s="448"/>
      <c r="BJ127" s="448"/>
      <c r="BK127" s="448"/>
      <c r="BL127" s="448"/>
      <c r="BM127" s="448"/>
      <c r="BN127" s="449"/>
      <c r="BO127" s="447"/>
    </row>
    <row r="128" spans="1:67" ht="17.25" customHeight="1" thickTop="1">
      <c r="A128" s="451"/>
      <c r="B128" s="451"/>
      <c r="C128" s="451"/>
      <c r="D128" s="451"/>
      <c r="E128" s="451"/>
      <c r="F128" s="447"/>
      <c r="G128" s="447"/>
      <c r="H128" s="451"/>
      <c r="I128" s="451"/>
      <c r="J128" s="451"/>
      <c r="K128" s="451"/>
      <c r="L128" s="451"/>
      <c r="M128" s="451"/>
      <c r="N128" s="451"/>
      <c r="O128" s="451"/>
      <c r="P128" s="447"/>
      <c r="Q128" s="447"/>
      <c r="R128" s="447"/>
      <c r="S128" s="447"/>
      <c r="T128" s="447"/>
      <c r="U128" s="447"/>
      <c r="V128" s="447"/>
      <c r="W128" s="447"/>
      <c r="X128" s="447"/>
      <c r="Y128" s="451"/>
      <c r="Z128" s="451"/>
      <c r="AA128" s="447"/>
      <c r="AB128" s="301"/>
      <c r="AC128" s="453" t="s">
        <v>184</v>
      </c>
      <c r="AD128" s="453">
        <f>AD127*AD126</f>
        <v>7.0732034465688749E-3</v>
      </c>
      <c r="AE128" s="448"/>
      <c r="AF128" s="448"/>
      <c r="AG128" s="448"/>
      <c r="AH128" s="448"/>
      <c r="AI128" s="448"/>
      <c r="AJ128" s="448"/>
      <c r="AK128" s="448"/>
      <c r="AL128" s="448"/>
      <c r="AM128" s="448"/>
      <c r="AN128" s="448"/>
      <c r="AO128" s="448"/>
      <c r="AP128" s="448"/>
      <c r="AQ128" s="448"/>
      <c r="AR128" s="448"/>
      <c r="AS128" s="448"/>
      <c r="AT128" s="448"/>
      <c r="AU128" s="448"/>
      <c r="AV128" s="448"/>
      <c r="AW128" s="448"/>
      <c r="AX128" s="448"/>
      <c r="AY128" s="448"/>
      <c r="AZ128" s="448"/>
      <c r="BA128" s="448"/>
      <c r="BB128" s="448"/>
      <c r="BC128" s="448"/>
      <c r="BD128" s="448"/>
      <c r="BE128" s="448"/>
      <c r="BF128" s="448"/>
      <c r="BG128" s="448"/>
      <c r="BH128" s="448"/>
      <c r="BI128" s="448"/>
      <c r="BJ128" s="448"/>
      <c r="BK128" s="448"/>
      <c r="BL128" s="448"/>
      <c r="BM128" s="448"/>
      <c r="BN128" s="449"/>
      <c r="BO128" s="447"/>
    </row>
    <row r="129" spans="1:67" ht="17.25" customHeight="1">
      <c r="A129" s="451"/>
      <c r="B129" s="451"/>
      <c r="C129" s="451"/>
      <c r="D129" s="451"/>
      <c r="E129" s="451"/>
      <c r="F129" s="447"/>
      <c r="G129" s="447"/>
      <c r="H129" s="1141" t="s">
        <v>100</v>
      </c>
      <c r="I129" s="1142"/>
      <c r="J129" s="1142"/>
      <c r="K129" s="1142"/>
      <c r="L129" s="1142"/>
      <c r="M129" s="1142"/>
      <c r="N129" s="1143"/>
      <c r="O129" s="1126">
        <f>J86</f>
        <v>0.52666666699999998</v>
      </c>
      <c r="P129" s="1126"/>
      <c r="Q129" s="1126"/>
      <c r="R129" s="1126"/>
      <c r="S129" s="447"/>
      <c r="T129" s="447"/>
      <c r="U129" s="447"/>
      <c r="V129" s="447"/>
      <c r="W129" s="447"/>
      <c r="X129" s="447"/>
      <c r="Y129" s="447"/>
      <c r="Z129" s="447"/>
      <c r="AA129" s="447"/>
      <c r="AB129" s="301"/>
      <c r="AC129" s="448"/>
      <c r="AD129" s="448"/>
      <c r="AE129" s="448"/>
      <c r="AF129" s="448"/>
      <c r="AG129" s="448"/>
      <c r="AH129" s="448"/>
      <c r="AI129" s="448"/>
      <c r="AJ129" s="448"/>
      <c r="AK129" s="448"/>
      <c r="AL129" s="448"/>
      <c r="AM129" s="448"/>
      <c r="AN129" s="448"/>
      <c r="AO129" s="448"/>
      <c r="AP129" s="448"/>
      <c r="AQ129" s="448"/>
      <c r="AR129" s="448"/>
      <c r="AS129" s="448"/>
      <c r="AT129" s="448"/>
      <c r="AU129" s="448"/>
      <c r="AV129" s="448"/>
      <c r="AW129" s="448"/>
      <c r="AX129" s="448"/>
      <c r="AY129" s="448"/>
      <c r="AZ129" s="448"/>
      <c r="BA129" s="448"/>
      <c r="BB129" s="448"/>
      <c r="BC129" s="448"/>
      <c r="BD129" s="448"/>
      <c r="BE129" s="448"/>
      <c r="BF129" s="448"/>
      <c r="BG129" s="448"/>
      <c r="BH129" s="448"/>
      <c r="BI129" s="448"/>
      <c r="BJ129" s="448"/>
      <c r="BK129" s="448"/>
      <c r="BL129" s="448"/>
      <c r="BM129" s="448"/>
      <c r="BN129" s="449"/>
      <c r="BO129" s="447"/>
    </row>
    <row r="130" spans="1:67" ht="17.25" customHeight="1" thickBot="1">
      <c r="A130" s="447"/>
      <c r="B130" s="451"/>
      <c r="C130" s="451"/>
      <c r="D130" s="451"/>
      <c r="E130" s="450"/>
      <c r="F130" s="450"/>
      <c r="G130" s="450"/>
      <c r="H130" s="1141" t="s">
        <v>70</v>
      </c>
      <c r="I130" s="1142"/>
      <c r="J130" s="1142"/>
      <c r="K130" s="1142"/>
      <c r="L130" s="1142"/>
      <c r="M130" s="1142"/>
      <c r="N130" s="1143"/>
      <c r="O130" s="1126" t="str">
        <f>J81</f>
        <v>BordInf</v>
      </c>
      <c r="P130" s="1126"/>
      <c r="Q130" s="1126"/>
      <c r="R130" s="1126"/>
      <c r="S130" s="447"/>
      <c r="T130" s="447"/>
      <c r="U130" s="447"/>
      <c r="V130" s="447"/>
      <c r="W130" s="447"/>
      <c r="X130" s="447"/>
      <c r="Y130" s="447"/>
      <c r="Z130" s="447"/>
      <c r="AA130" s="447"/>
      <c r="AB130" s="301"/>
      <c r="AC130" s="453" t="s">
        <v>30</v>
      </c>
      <c r="AD130" s="1128" t="str">
        <f>J80</f>
        <v>Soleil</v>
      </c>
      <c r="AE130" s="1128"/>
      <c r="AF130" s="448"/>
      <c r="AG130" s="448"/>
      <c r="AH130" s="448"/>
      <c r="AI130" s="448"/>
      <c r="AJ130" s="448"/>
      <c r="AK130" s="448"/>
      <c r="AL130" s="448"/>
      <c r="AM130" s="448"/>
      <c r="AN130" s="448"/>
      <c r="AO130" s="448"/>
      <c r="AP130" s="448"/>
      <c r="AQ130" s="448"/>
      <c r="AR130" s="448"/>
      <c r="AS130" s="448"/>
      <c r="AT130" s="448"/>
      <c r="AU130" s="448"/>
      <c r="AV130" s="448"/>
      <c r="AW130" s="448"/>
      <c r="AX130" s="448"/>
      <c r="AY130" s="448"/>
      <c r="AZ130" s="448"/>
      <c r="BA130" s="448"/>
      <c r="BB130" s="448"/>
      <c r="BC130" s="448"/>
      <c r="BD130" s="448"/>
      <c r="BE130" s="448"/>
      <c r="BF130" s="448"/>
      <c r="BG130" s="448"/>
      <c r="BH130" s="448"/>
      <c r="BI130" s="448"/>
      <c r="BJ130" s="448"/>
      <c r="BK130" s="448"/>
      <c r="BL130" s="448"/>
      <c r="BM130" s="448"/>
      <c r="BN130" s="449"/>
      <c r="BO130" s="447"/>
    </row>
    <row r="131" spans="1:67" ht="17.25" customHeight="1" thickTop="1" thickBot="1">
      <c r="A131" s="447"/>
      <c r="B131" s="447"/>
      <c r="C131" s="450"/>
      <c r="D131" s="450"/>
      <c r="E131" s="450"/>
      <c r="F131" s="450"/>
      <c r="G131" s="450"/>
      <c r="H131" s="658" t="s">
        <v>71</v>
      </c>
      <c r="I131" s="659"/>
      <c r="J131" s="659"/>
      <c r="K131" s="659"/>
      <c r="L131" s="659"/>
      <c r="M131" s="659"/>
      <c r="N131" s="660"/>
      <c r="O131" s="564">
        <f>AD132</f>
        <v>0.26333333349999999</v>
      </c>
      <c r="P131" s="564"/>
      <c r="Q131" s="564"/>
      <c r="R131" s="564"/>
      <c r="S131" s="447" t="s">
        <v>54</v>
      </c>
      <c r="T131" s="447"/>
      <c r="U131" s="565" t="str" cm="1">
        <f t="array" ref="U131">angleDecimal2Txt(O131)</f>
        <v>+00°15.80 (+00.2633) [+00°15'48.00]</v>
      </c>
      <c r="V131" s="565"/>
      <c r="W131" s="565"/>
      <c r="X131" s="565"/>
      <c r="Y131" s="565"/>
      <c r="Z131" s="565"/>
      <c r="AA131" s="447"/>
      <c r="AB131" s="301"/>
      <c r="AC131" s="453" t="s">
        <v>190</v>
      </c>
      <c r="AD131" s="1128" t="str">
        <f>O130</f>
        <v>BordInf</v>
      </c>
      <c r="AE131" s="1128"/>
      <c r="AF131" s="448"/>
      <c r="AG131" s="448"/>
      <c r="AH131" s="448"/>
      <c r="AI131" s="448"/>
      <c r="AJ131" s="448"/>
      <c r="AK131" s="448"/>
      <c r="AL131" s="448"/>
      <c r="AM131" s="448"/>
      <c r="AN131" s="448"/>
      <c r="AO131" s="448"/>
      <c r="AP131" s="448"/>
      <c r="AQ131" s="448"/>
      <c r="AR131" s="448"/>
      <c r="AS131" s="448"/>
      <c r="AT131" s="448"/>
      <c r="AU131" s="448"/>
      <c r="AV131" s="448"/>
      <c r="AW131" s="448"/>
      <c r="AX131" s="448"/>
      <c r="AY131" s="448"/>
      <c r="AZ131" s="448"/>
      <c r="BA131" s="448"/>
      <c r="BB131" s="448"/>
      <c r="BC131" s="448"/>
      <c r="BD131" s="448"/>
      <c r="BE131" s="448"/>
      <c r="BF131" s="448"/>
      <c r="BG131" s="448"/>
      <c r="BH131" s="448"/>
      <c r="BI131" s="448"/>
      <c r="BJ131" s="448"/>
      <c r="BK131" s="448"/>
      <c r="BL131" s="448"/>
      <c r="BM131" s="448"/>
      <c r="BN131" s="449"/>
      <c r="BO131" s="447"/>
    </row>
    <row r="132" spans="1:67" ht="17.25" customHeight="1" thickTop="1">
      <c r="A132" s="447"/>
      <c r="B132" s="447"/>
      <c r="C132" s="450"/>
      <c r="D132" s="450"/>
      <c r="E132" s="450"/>
      <c r="F132" s="450"/>
      <c r="G132" s="450"/>
      <c r="H132" s="451"/>
      <c r="I132" s="451"/>
      <c r="J132" s="451"/>
      <c r="K132" s="451"/>
      <c r="L132" s="451"/>
      <c r="M132" s="451"/>
      <c r="N132" s="451"/>
      <c r="O132" s="451"/>
      <c r="P132" s="451"/>
      <c r="Q132" s="451"/>
      <c r="R132" s="451"/>
      <c r="S132" s="451"/>
      <c r="T132" s="451"/>
      <c r="U132" s="451"/>
      <c r="V132" s="451"/>
      <c r="W132" s="451"/>
      <c r="X132" s="451"/>
      <c r="Y132" s="451"/>
      <c r="Z132" s="451"/>
      <c r="AA132" s="447"/>
      <c r="AB132" s="301"/>
      <c r="AC132" s="453" t="s">
        <v>191</v>
      </c>
      <c r="AD132" s="1127" cm="1">
        <f t="array" ref="AD132">astroDiametreSoleilEnDegre(AA7,O130)</f>
        <v>0.26333333349999999</v>
      </c>
      <c r="AE132" s="1127"/>
      <c r="AF132" s="448"/>
      <c r="AG132" s="448"/>
      <c r="AH132" s="448"/>
      <c r="AI132" s="448"/>
      <c r="AJ132" s="448"/>
      <c r="AK132" s="448"/>
      <c r="AL132" s="448"/>
      <c r="AM132" s="448"/>
      <c r="AN132" s="448"/>
      <c r="AO132" s="448"/>
      <c r="AP132" s="448"/>
      <c r="AQ132" s="448"/>
      <c r="AR132" s="448"/>
      <c r="AS132" s="448"/>
      <c r="AT132" s="448"/>
      <c r="AU132" s="448"/>
      <c r="AV132" s="448"/>
      <c r="AW132" s="448"/>
      <c r="AX132" s="448"/>
      <c r="AY132" s="448"/>
      <c r="AZ132" s="448"/>
      <c r="BA132" s="448"/>
      <c r="BB132" s="448"/>
      <c r="BC132" s="448"/>
      <c r="BD132" s="448"/>
      <c r="BE132" s="448"/>
      <c r="BF132" s="448"/>
      <c r="BG132" s="448"/>
      <c r="BH132" s="448"/>
      <c r="BI132" s="448"/>
      <c r="BJ132" s="448"/>
      <c r="BK132" s="448"/>
      <c r="BL132" s="448"/>
      <c r="BM132" s="448"/>
      <c r="BN132" s="449"/>
      <c r="BO132" s="447"/>
    </row>
    <row r="133" spans="1:67" ht="17.25" customHeight="1">
      <c r="A133" s="447"/>
      <c r="B133" s="447"/>
      <c r="C133" s="450"/>
      <c r="D133" s="450"/>
      <c r="E133" s="450"/>
      <c r="F133" s="450"/>
      <c r="G133" s="1129" t="s">
        <v>107</v>
      </c>
      <c r="H133" s="1130"/>
      <c r="I133" s="1130"/>
      <c r="J133" s="1130"/>
      <c r="K133" s="1130"/>
      <c r="L133" s="1130"/>
      <c r="M133" s="1130"/>
      <c r="N133" s="1130"/>
      <c r="O133" s="1130"/>
      <c r="P133" s="1130"/>
      <c r="Q133" s="1130"/>
      <c r="R133" s="1130"/>
      <c r="S133" s="1131"/>
      <c r="T133" s="451"/>
      <c r="U133" s="451"/>
      <c r="V133" s="451"/>
      <c r="W133" s="451"/>
      <c r="X133" s="451"/>
      <c r="Y133" s="451"/>
      <c r="Z133" s="451"/>
      <c r="AA133" s="447"/>
      <c r="AB133" s="301"/>
      <c r="AC133" s="448"/>
      <c r="AD133" s="448"/>
      <c r="AE133" s="448"/>
      <c r="AF133" s="448"/>
      <c r="AG133" s="448"/>
      <c r="AH133" s="448"/>
      <c r="AI133" s="448"/>
      <c r="AJ133" s="448"/>
      <c r="AK133" s="448"/>
      <c r="AL133" s="448"/>
      <c r="AM133" s="448"/>
      <c r="AN133" s="448"/>
      <c r="AO133" s="448"/>
      <c r="AP133" s="448"/>
      <c r="AQ133" s="448"/>
      <c r="AR133" s="448"/>
      <c r="AS133" s="448"/>
      <c r="AT133" s="448"/>
      <c r="AU133" s="448"/>
      <c r="AV133" s="448"/>
      <c r="AW133" s="448"/>
      <c r="AX133" s="448"/>
      <c r="AY133" s="448"/>
      <c r="AZ133" s="448"/>
      <c r="BA133" s="448"/>
      <c r="BB133" s="448"/>
      <c r="BC133" s="448"/>
      <c r="BD133" s="448"/>
      <c r="BE133" s="448"/>
      <c r="BF133" s="448"/>
      <c r="BG133" s="448"/>
      <c r="BH133" s="448"/>
      <c r="BI133" s="448"/>
      <c r="BJ133" s="448"/>
      <c r="BK133" s="448"/>
      <c r="BL133" s="448"/>
      <c r="BM133" s="448"/>
      <c r="BN133" s="449"/>
      <c r="BO133" s="447"/>
    </row>
    <row r="134" spans="1:67" ht="17.25" customHeight="1">
      <c r="A134" s="447"/>
      <c r="B134" s="447"/>
      <c r="C134" s="450"/>
      <c r="D134" s="450"/>
      <c r="E134" s="450"/>
      <c r="F134" s="450"/>
      <c r="G134" s="1132" t="s">
        <v>115</v>
      </c>
      <c r="H134" s="1133"/>
      <c r="I134" s="1098" t="s">
        <v>110</v>
      </c>
      <c r="J134" s="1099"/>
      <c r="K134" s="1099"/>
      <c r="L134" s="1099"/>
      <c r="M134" s="1099"/>
      <c r="N134" s="1100"/>
      <c r="O134" s="1136">
        <f>(O122-O127-O117+O129/2) * 60</f>
        <v>12.957331071612156</v>
      </c>
      <c r="P134" s="1137"/>
      <c r="Q134" s="1137"/>
      <c r="R134" s="1137"/>
      <c r="S134" s="1140" t="s">
        <v>108</v>
      </c>
      <c r="T134" s="451"/>
      <c r="U134" s="451"/>
      <c r="V134" s="451"/>
      <c r="W134" s="451"/>
      <c r="X134" s="451"/>
      <c r="Y134" s="451"/>
      <c r="Z134" s="451"/>
      <c r="AA134" s="447"/>
      <c r="AB134" s="301"/>
      <c r="AC134" s="448"/>
      <c r="AD134" s="448"/>
      <c r="AE134" s="448"/>
      <c r="AF134" s="448"/>
      <c r="AG134" s="448"/>
      <c r="AH134" s="448"/>
      <c r="AI134" s="448"/>
      <c r="AJ134" s="448"/>
      <c r="AK134" s="448"/>
      <c r="AL134" s="448"/>
      <c r="AM134" s="448"/>
      <c r="AN134" s="448"/>
      <c r="AO134" s="448"/>
      <c r="AP134" s="448"/>
      <c r="AQ134" s="448"/>
      <c r="AR134" s="448"/>
      <c r="AS134" s="448"/>
      <c r="AT134" s="448"/>
      <c r="AU134" s="448"/>
      <c r="AV134" s="448"/>
      <c r="AW134" s="448"/>
      <c r="AX134" s="448"/>
      <c r="AY134" s="448"/>
      <c r="AZ134" s="448"/>
      <c r="BA134" s="448"/>
      <c r="BB134" s="448"/>
      <c r="BC134" s="448"/>
      <c r="BD134" s="448"/>
      <c r="BE134" s="448"/>
      <c r="BF134" s="448"/>
      <c r="BG134" s="448"/>
      <c r="BH134" s="448"/>
      <c r="BI134" s="448"/>
      <c r="BJ134" s="448"/>
      <c r="BK134" s="448"/>
      <c r="BL134" s="448"/>
      <c r="BM134" s="448"/>
      <c r="BN134" s="449"/>
      <c r="BO134" s="447"/>
    </row>
    <row r="135" spans="1:67" ht="17.25" customHeight="1">
      <c r="A135" s="447"/>
      <c r="B135" s="447"/>
      <c r="C135" s="450"/>
      <c r="D135" s="450"/>
      <c r="E135" s="450"/>
      <c r="F135" s="450"/>
      <c r="G135" s="1134"/>
      <c r="H135" s="1135"/>
      <c r="I135" s="1095" t="s">
        <v>114</v>
      </c>
      <c r="J135" s="1096"/>
      <c r="K135" s="1096"/>
      <c r="L135" s="1096"/>
      <c r="M135" s="1096"/>
      <c r="N135" s="1097"/>
      <c r="O135" s="1138"/>
      <c r="P135" s="1139"/>
      <c r="Q135" s="1139"/>
      <c r="R135" s="1139"/>
      <c r="S135" s="1073"/>
      <c r="T135" s="451"/>
      <c r="U135" s="451"/>
      <c r="V135" s="451"/>
      <c r="W135" s="451"/>
      <c r="X135" s="451"/>
      <c r="Y135" s="451"/>
      <c r="Z135" s="451"/>
      <c r="AA135" s="447"/>
      <c r="AB135" s="301"/>
      <c r="AC135" s="448"/>
      <c r="AD135" s="448"/>
      <c r="AE135" s="448"/>
      <c r="AF135" s="448"/>
      <c r="AG135" s="448"/>
      <c r="AH135" s="448"/>
      <c r="AI135" s="448"/>
      <c r="AJ135" s="448"/>
      <c r="AK135" s="448"/>
      <c r="AL135" s="448"/>
      <c r="AM135" s="448"/>
      <c r="AN135" s="448"/>
      <c r="AO135" s="448"/>
      <c r="AP135" s="448"/>
      <c r="AQ135" s="448"/>
      <c r="AR135" s="448"/>
      <c r="AS135" s="448"/>
      <c r="AT135" s="448"/>
      <c r="AU135" s="448"/>
      <c r="AV135" s="448"/>
      <c r="AW135" s="448"/>
      <c r="AX135" s="448"/>
      <c r="AY135" s="448"/>
      <c r="AZ135" s="448"/>
      <c r="BA135" s="448"/>
      <c r="BB135" s="448"/>
      <c r="BC135" s="448"/>
      <c r="BD135" s="448"/>
      <c r="BE135" s="448"/>
      <c r="BF135" s="448"/>
      <c r="BG135" s="448"/>
      <c r="BH135" s="448"/>
      <c r="BI135" s="448"/>
      <c r="BJ135" s="448"/>
      <c r="BK135" s="448"/>
      <c r="BL135" s="448"/>
      <c r="BM135" s="448"/>
      <c r="BN135" s="449"/>
      <c r="BO135" s="447"/>
    </row>
    <row r="136" spans="1:67" ht="17.25" customHeight="1">
      <c r="A136" s="447"/>
      <c r="B136" s="447"/>
      <c r="C136" s="450"/>
      <c r="D136" s="450"/>
      <c r="E136" s="450"/>
      <c r="F136" s="450"/>
      <c r="G136" s="450"/>
      <c r="H136" s="451"/>
      <c r="I136" s="1098" t="s">
        <v>111</v>
      </c>
      <c r="J136" s="1099"/>
      <c r="K136" s="1099"/>
      <c r="L136" s="1099"/>
      <c r="M136" s="1099"/>
      <c r="N136" s="1100"/>
      <c r="O136" s="1138">
        <f>(O122-O127+O129/2)*60</f>
        <v>15.44351851426406</v>
      </c>
      <c r="P136" s="1139"/>
      <c r="Q136" s="1139"/>
      <c r="R136" s="1139"/>
      <c r="S136" s="1073" t="s">
        <v>108</v>
      </c>
      <c r="T136" s="451"/>
      <c r="U136" s="451"/>
      <c r="V136" s="451"/>
      <c r="W136" s="451"/>
      <c r="X136" s="451"/>
      <c r="Y136" s="451"/>
      <c r="Z136" s="451"/>
      <c r="AA136" s="447"/>
      <c r="AB136" s="301"/>
      <c r="AC136" s="448"/>
      <c r="AD136" s="448"/>
      <c r="AE136" s="448"/>
      <c r="AF136" s="448"/>
      <c r="AG136" s="448"/>
      <c r="AH136" s="448"/>
      <c r="AI136" s="448"/>
      <c r="AJ136" s="448"/>
      <c r="AK136" s="448"/>
      <c r="AL136" s="448"/>
      <c r="AM136" s="448"/>
      <c r="AN136" s="448"/>
      <c r="AO136" s="448"/>
      <c r="AP136" s="448"/>
      <c r="AQ136" s="448"/>
      <c r="AR136" s="448"/>
      <c r="AS136" s="448"/>
      <c r="AT136" s="448"/>
      <c r="AU136" s="448"/>
      <c r="AV136" s="448"/>
      <c r="AW136" s="448"/>
      <c r="AX136" s="448"/>
      <c r="AY136" s="448"/>
      <c r="AZ136" s="448"/>
      <c r="BA136" s="448"/>
      <c r="BB136" s="448"/>
      <c r="BC136" s="448"/>
      <c r="BD136" s="448"/>
      <c r="BE136" s="448"/>
      <c r="BF136" s="448"/>
      <c r="BG136" s="448"/>
      <c r="BH136" s="448"/>
      <c r="BI136" s="448"/>
      <c r="BJ136" s="448"/>
      <c r="BK136" s="448"/>
      <c r="BL136" s="448"/>
      <c r="BM136" s="448"/>
      <c r="BN136" s="449"/>
      <c r="BO136" s="447"/>
    </row>
    <row r="137" spans="1:67" ht="17.25" customHeight="1">
      <c r="A137" s="447"/>
      <c r="B137" s="447"/>
      <c r="C137" s="450"/>
      <c r="D137" s="450"/>
      <c r="E137" s="450"/>
      <c r="F137" s="450"/>
      <c r="G137" s="450"/>
      <c r="H137" s="451"/>
      <c r="I137" s="1095" t="s">
        <v>112</v>
      </c>
      <c r="J137" s="1096"/>
      <c r="K137" s="1096"/>
      <c r="L137" s="1096"/>
      <c r="M137" s="1096"/>
      <c r="N137" s="1097"/>
      <c r="O137" s="1138"/>
      <c r="P137" s="1139"/>
      <c r="Q137" s="1139"/>
      <c r="R137" s="1139"/>
      <c r="S137" s="1073"/>
      <c r="T137" s="451"/>
      <c r="U137" s="451"/>
      <c r="V137" s="451"/>
      <c r="W137" s="451"/>
      <c r="X137" s="451"/>
      <c r="Y137" s="451"/>
      <c r="Z137" s="451"/>
      <c r="AA137" s="447"/>
      <c r="AB137" s="301"/>
      <c r="AC137" s="448"/>
      <c r="AD137" s="448"/>
      <c r="AE137" s="448"/>
      <c r="AF137" s="448"/>
      <c r="AG137" s="448"/>
      <c r="AH137" s="448"/>
      <c r="AI137" s="448"/>
      <c r="AJ137" s="448"/>
      <c r="AK137" s="448"/>
      <c r="AL137" s="448"/>
      <c r="AM137" s="448"/>
      <c r="AN137" s="448"/>
      <c r="AO137" s="448"/>
      <c r="AP137" s="448"/>
      <c r="AQ137" s="448"/>
      <c r="AR137" s="448"/>
      <c r="AS137" s="448"/>
      <c r="AT137" s="448"/>
      <c r="AU137" s="448"/>
      <c r="AV137" s="448"/>
      <c r="AW137" s="448"/>
      <c r="AX137" s="448"/>
      <c r="AY137" s="448"/>
      <c r="AZ137" s="448"/>
      <c r="BA137" s="448"/>
      <c r="BB137" s="448"/>
      <c r="BC137" s="448"/>
      <c r="BD137" s="448"/>
      <c r="BE137" s="448"/>
      <c r="BF137" s="448"/>
      <c r="BG137" s="448"/>
      <c r="BH137" s="448"/>
      <c r="BI137" s="448"/>
      <c r="BJ137" s="448"/>
      <c r="BK137" s="448"/>
      <c r="BL137" s="448"/>
      <c r="BM137" s="448"/>
      <c r="BN137" s="449"/>
      <c r="BO137" s="447"/>
    </row>
    <row r="138" spans="1:67" ht="17.25" customHeight="1">
      <c r="A138" s="447"/>
      <c r="B138" s="447"/>
      <c r="C138" s="450"/>
      <c r="D138" s="450"/>
      <c r="E138" s="450"/>
      <c r="F138" s="450"/>
      <c r="G138" s="450"/>
      <c r="H138" s="451"/>
      <c r="I138" s="1092" t="s">
        <v>71</v>
      </c>
      <c r="J138" s="1093"/>
      <c r="K138" s="1093"/>
      <c r="L138" s="1093"/>
      <c r="M138" s="1093"/>
      <c r="N138" s="1094"/>
      <c r="O138" s="1074">
        <f>O131*60</f>
        <v>15.80000001</v>
      </c>
      <c r="P138" s="1075"/>
      <c r="Q138" s="1075"/>
      <c r="R138" s="1075"/>
      <c r="S138" s="502" t="s">
        <v>108</v>
      </c>
      <c r="T138" s="451"/>
      <c r="U138" s="451"/>
      <c r="V138" s="451"/>
      <c r="W138" s="451"/>
      <c r="X138" s="451"/>
      <c r="Y138" s="451"/>
      <c r="Z138" s="451"/>
      <c r="AA138" s="447"/>
      <c r="AB138" s="301"/>
      <c r="AC138" s="448"/>
      <c r="AD138" s="448"/>
      <c r="AE138" s="448"/>
      <c r="AF138" s="448"/>
      <c r="AG138" s="448"/>
      <c r="AH138" s="448"/>
      <c r="AI138" s="448"/>
      <c r="AJ138" s="448"/>
      <c r="AK138" s="448"/>
      <c r="AL138" s="448"/>
      <c r="AM138" s="448"/>
      <c r="AN138" s="448"/>
      <c r="AO138" s="448"/>
      <c r="AP138" s="448"/>
      <c r="AQ138" s="448"/>
      <c r="AR138" s="448"/>
      <c r="AS138" s="448"/>
      <c r="AT138" s="448"/>
      <c r="AU138" s="448"/>
      <c r="AV138" s="448"/>
      <c r="AW138" s="448"/>
      <c r="AX138" s="448"/>
      <c r="AY138" s="448"/>
      <c r="AZ138" s="448"/>
      <c r="BA138" s="448"/>
      <c r="BB138" s="448"/>
      <c r="BC138" s="448"/>
      <c r="BD138" s="448"/>
      <c r="BE138" s="448"/>
      <c r="BF138" s="448"/>
      <c r="BG138" s="448"/>
      <c r="BH138" s="448"/>
      <c r="BI138" s="448"/>
      <c r="BJ138" s="448"/>
      <c r="BK138" s="448"/>
      <c r="BL138" s="448"/>
      <c r="BM138" s="448"/>
      <c r="BN138" s="449"/>
      <c r="BO138" s="447"/>
    </row>
    <row r="139" spans="1:67" ht="17.25" customHeight="1" thickBot="1">
      <c r="A139" s="447"/>
      <c r="B139" s="447"/>
      <c r="C139" s="450"/>
      <c r="D139" s="450"/>
      <c r="E139" s="450"/>
      <c r="F139" s="450"/>
      <c r="G139" s="450"/>
      <c r="H139" s="451"/>
      <c r="I139" s="451"/>
      <c r="J139" s="451"/>
      <c r="K139" s="451"/>
      <c r="L139" s="451"/>
      <c r="M139" s="451"/>
      <c r="N139" s="451"/>
      <c r="O139" s="451"/>
      <c r="P139" s="451"/>
      <c r="Q139" s="451"/>
      <c r="R139" s="451"/>
      <c r="S139" s="447"/>
      <c r="T139" s="447"/>
      <c r="U139" s="447"/>
      <c r="V139" s="447"/>
      <c r="W139" s="447"/>
      <c r="X139" s="447"/>
      <c r="Y139" s="447"/>
      <c r="Z139" s="447"/>
      <c r="AA139" s="447"/>
      <c r="AB139" s="301"/>
      <c r="AC139" s="448"/>
      <c r="AD139" s="448"/>
      <c r="AE139" s="448"/>
      <c r="AF139" s="448"/>
      <c r="AG139" s="448"/>
      <c r="AH139" s="448"/>
      <c r="AI139" s="448"/>
      <c r="AJ139" s="448"/>
      <c r="AK139" s="448"/>
      <c r="AL139" s="448"/>
      <c r="AM139" s="448"/>
      <c r="AN139" s="448"/>
      <c r="AO139" s="448"/>
      <c r="AP139" s="448"/>
      <c r="AQ139" s="448"/>
      <c r="AR139" s="448"/>
      <c r="AS139" s="448"/>
      <c r="AT139" s="448"/>
      <c r="AU139" s="448"/>
      <c r="AV139" s="448"/>
      <c r="AW139" s="448"/>
      <c r="AX139" s="448"/>
      <c r="AY139" s="448"/>
      <c r="AZ139" s="448"/>
      <c r="BA139" s="448"/>
      <c r="BB139" s="448"/>
      <c r="BC139" s="448"/>
      <c r="BD139" s="448"/>
      <c r="BE139" s="448"/>
      <c r="BF139" s="448"/>
      <c r="BG139" s="448"/>
      <c r="BH139" s="448"/>
      <c r="BI139" s="448"/>
      <c r="BJ139" s="448"/>
      <c r="BK139" s="448"/>
      <c r="BL139" s="448"/>
      <c r="BM139" s="448"/>
      <c r="BN139" s="449"/>
      <c r="BO139" s="447"/>
    </row>
    <row r="140" spans="1:67" ht="17.25" customHeight="1" thickTop="1" thickBot="1">
      <c r="A140" s="447"/>
      <c r="B140" s="447"/>
      <c r="C140" s="450"/>
      <c r="D140" s="450"/>
      <c r="E140" s="450"/>
      <c r="F140" s="450"/>
      <c r="G140" s="450"/>
      <c r="H140" s="831" t="s">
        <v>142</v>
      </c>
      <c r="I140" s="832"/>
      <c r="J140" s="832"/>
      <c r="K140" s="832"/>
      <c r="L140" s="832"/>
      <c r="M140" s="832"/>
      <c r="N140" s="833"/>
      <c r="O140" s="564">
        <f>O119-O127+O122+O131</f>
        <v>67.144288851193551</v>
      </c>
      <c r="P140" s="564"/>
      <c r="Q140" s="564"/>
      <c r="R140" s="564"/>
      <c r="S140" s="447" t="s">
        <v>54</v>
      </c>
      <c r="T140" s="447"/>
      <c r="U140" s="565" t="str" cm="1">
        <f t="array" ref="U140">angleDecimal2Txt(O140)</f>
        <v>+67°08.65 (+67.1442) [+67°08'39.43]</v>
      </c>
      <c r="V140" s="565"/>
      <c r="W140" s="565"/>
      <c r="X140" s="565"/>
      <c r="Y140" s="565"/>
      <c r="Z140" s="565"/>
      <c r="AA140" s="447"/>
      <c r="AB140" s="301"/>
      <c r="AC140" s="448"/>
      <c r="AD140" s="448"/>
      <c r="AE140" s="1068" t="s">
        <v>540</v>
      </c>
      <c r="AF140" s="448"/>
      <c r="AG140" s="448"/>
      <c r="AH140" s="448"/>
      <c r="AI140" s="448"/>
      <c r="AJ140" s="448"/>
      <c r="AK140" s="448"/>
      <c r="AL140" s="448"/>
      <c r="AM140" s="448"/>
      <c r="AN140" s="448"/>
      <c r="AO140" s="448"/>
      <c r="AP140" s="448"/>
      <c r="AQ140" s="448"/>
      <c r="AR140" s="448"/>
      <c r="AS140" s="448"/>
      <c r="AT140" s="448"/>
      <c r="AU140" s="448"/>
      <c r="AV140" s="448"/>
      <c r="AW140" s="448"/>
      <c r="AX140" s="448"/>
      <c r="AY140" s="448"/>
      <c r="AZ140" s="448"/>
      <c r="BA140" s="448"/>
      <c r="BB140" s="448"/>
      <c r="BC140" s="448"/>
      <c r="BD140" s="448"/>
      <c r="BE140" s="448"/>
      <c r="BF140" s="448"/>
      <c r="BG140" s="448"/>
      <c r="BH140" s="448"/>
      <c r="BI140" s="448"/>
      <c r="BJ140" s="448"/>
      <c r="BK140" s="448"/>
      <c r="BL140" s="448"/>
      <c r="BM140" s="448"/>
      <c r="BN140" s="449"/>
      <c r="BO140" s="447"/>
    </row>
    <row r="141" spans="1:67" ht="17.25" customHeight="1" thickTop="1">
      <c r="A141" s="447"/>
      <c r="B141" s="447"/>
      <c r="C141" s="450"/>
      <c r="D141" s="450"/>
      <c r="E141" s="450"/>
      <c r="F141" s="450"/>
      <c r="G141" s="450"/>
      <c r="H141" s="447"/>
      <c r="I141" s="447"/>
      <c r="J141" s="447"/>
      <c r="K141" s="447"/>
      <c r="L141" s="447"/>
      <c r="M141" s="447"/>
      <c r="N141" s="447"/>
      <c r="O141" s="447"/>
      <c r="P141" s="447"/>
      <c r="Q141" s="447"/>
      <c r="R141" s="447"/>
      <c r="S141" s="447"/>
      <c r="T141" s="447"/>
      <c r="U141" s="447"/>
      <c r="V141" s="447"/>
      <c r="W141" s="447"/>
      <c r="X141" s="447"/>
      <c r="Y141" s="447"/>
      <c r="Z141" s="447"/>
      <c r="AA141" s="447"/>
      <c r="AB141" s="301"/>
      <c r="AC141" s="448"/>
      <c r="AD141" s="448"/>
      <c r="AE141" s="1068"/>
      <c r="AF141" s="448" t="s">
        <v>535</v>
      </c>
      <c r="AG141" s="448" t="s">
        <v>536</v>
      </c>
      <c r="AH141" s="448" t="s">
        <v>522</v>
      </c>
      <c r="AI141" s="448"/>
      <c r="AJ141" s="448"/>
      <c r="AK141" s="448"/>
      <c r="AL141" s="448"/>
      <c r="AM141" s="448"/>
      <c r="AN141" s="448"/>
      <c r="AO141" s="448"/>
      <c r="AP141" s="448"/>
      <c r="AQ141" s="448"/>
      <c r="AR141" s="448"/>
      <c r="AS141" s="448"/>
      <c r="AT141" s="448"/>
      <c r="AU141" s="448"/>
      <c r="AV141" s="448"/>
      <c r="AW141" s="448"/>
      <c r="AX141" s="448"/>
      <c r="AY141" s="448"/>
      <c r="AZ141" s="448"/>
      <c r="BA141" s="448"/>
      <c r="BB141" s="448"/>
      <c r="BC141" s="448"/>
      <c r="BD141" s="448"/>
      <c r="BE141" s="448"/>
      <c r="BF141" s="448"/>
      <c r="BG141" s="448"/>
      <c r="BH141" s="448"/>
      <c r="BI141" s="448"/>
      <c r="BJ141" s="448"/>
      <c r="BK141" s="448"/>
      <c r="BL141" s="448"/>
      <c r="BM141" s="448"/>
      <c r="BN141" s="449"/>
      <c r="BO141" s="447"/>
    </row>
    <row r="142" spans="1:67" ht="17.25" hidden="1" customHeight="1">
      <c r="A142" s="447"/>
      <c r="B142" s="447"/>
      <c r="C142" s="450"/>
      <c r="D142" s="450"/>
      <c r="E142" s="450"/>
      <c r="F142" s="1150" t="s">
        <v>63</v>
      </c>
      <c r="G142" s="1150"/>
      <c r="H142" s="1150"/>
      <c r="I142" s="1150"/>
      <c r="J142" s="564" t="str">
        <f>IF(G113=AD113,O150,"---")</f>
        <v>---</v>
      </c>
      <c r="K142" s="564"/>
      <c r="L142" s="564"/>
      <c r="M142" s="447"/>
      <c r="N142" s="447"/>
      <c r="O142" s="447"/>
      <c r="P142" s="447"/>
      <c r="Q142" s="447"/>
      <c r="R142" s="447"/>
      <c r="S142" s="447"/>
      <c r="T142" s="447"/>
      <c r="U142" s="447"/>
      <c r="V142" s="447"/>
      <c r="W142" s="447"/>
      <c r="X142" s="447"/>
      <c r="Y142" s="447"/>
      <c r="Z142" s="447"/>
      <c r="AA142" s="447"/>
      <c r="AB142" s="301"/>
      <c r="AC142" s="448"/>
      <c r="AD142" s="448"/>
      <c r="AE142" s="448" t="s">
        <v>542</v>
      </c>
      <c r="AF142" s="448">
        <v>10</v>
      </c>
      <c r="AG142" s="448">
        <v>60</v>
      </c>
      <c r="AH142" s="448" cm="1">
        <f t="array" ref="AH142">astroCalculLatitude(VLOOKUP(AE142,$AC$158:$AD$159,2,FALSE),AF142,AG142)</f>
        <v>40</v>
      </c>
      <c r="AI142" s="448"/>
      <c r="AJ142" s="448"/>
      <c r="AK142" s="448"/>
      <c r="AL142" s="448">
        <f t="shared" ref="AL142:AL150" si="0">VLOOKUP(AE142,$AC$158:$AD$159,2,FALSE)</f>
        <v>-1</v>
      </c>
      <c r="AM142" s="448"/>
      <c r="AN142" s="448"/>
      <c r="AO142" s="448"/>
      <c r="AP142" s="448"/>
      <c r="AQ142" s="448"/>
      <c r="AR142" s="448"/>
      <c r="AS142" s="448"/>
      <c r="AT142" s="448"/>
      <c r="AU142" s="448"/>
      <c r="AV142" s="448"/>
      <c r="AW142" s="448"/>
      <c r="AX142" s="448"/>
      <c r="AY142" s="448"/>
      <c r="AZ142" s="448"/>
      <c r="BA142" s="448"/>
      <c r="BB142" s="448"/>
      <c r="BC142" s="448"/>
      <c r="BD142" s="448"/>
      <c r="BE142" s="448"/>
      <c r="BF142" s="448"/>
      <c r="BG142" s="448"/>
      <c r="BH142" s="448"/>
      <c r="BI142" s="448"/>
      <c r="BJ142" s="448"/>
      <c r="BK142" s="448"/>
      <c r="BL142" s="448"/>
      <c r="BM142" s="448"/>
      <c r="BN142" s="449"/>
      <c r="BO142" s="447"/>
    </row>
    <row r="143" spans="1:67" ht="17.25" hidden="1" customHeight="1">
      <c r="A143" s="447"/>
      <c r="B143" s="447"/>
      <c r="C143" s="450"/>
      <c r="D143" s="450"/>
      <c r="E143" s="450"/>
      <c r="F143" s="448"/>
      <c r="G143" s="448"/>
      <c r="H143" s="448"/>
      <c r="I143" s="448"/>
      <c r="J143" s="448"/>
      <c r="K143" s="448"/>
      <c r="L143" s="448"/>
      <c r="M143" s="447"/>
      <c r="N143" s="447"/>
      <c r="O143" s="447"/>
      <c r="P143" s="447"/>
      <c r="Q143" s="447"/>
      <c r="R143" s="447"/>
      <c r="S143" s="447"/>
      <c r="T143" s="447"/>
      <c r="U143" s="447"/>
      <c r="V143" s="447"/>
      <c r="W143" s="447"/>
      <c r="X143" s="447"/>
      <c r="Y143" s="447"/>
      <c r="Z143" s="447"/>
      <c r="AA143" s="447"/>
      <c r="AB143" s="301"/>
      <c r="AC143" s="448"/>
      <c r="AD143" s="448"/>
      <c r="AE143" s="448" t="s">
        <v>542</v>
      </c>
      <c r="AF143" s="448">
        <v>-10</v>
      </c>
      <c r="AG143" s="448">
        <v>65</v>
      </c>
      <c r="AH143" s="448" cm="1">
        <f t="array" ref="AH143">astroCalculLatitude(VLOOKUP(AE143,$AC$158:$AD$159,2,FALSE),AF143,AG143)</f>
        <v>15</v>
      </c>
      <c r="AI143" s="448"/>
      <c r="AJ143" s="448"/>
      <c r="AK143" s="448"/>
      <c r="AL143" s="448">
        <f t="shared" si="0"/>
        <v>-1</v>
      </c>
      <c r="AM143" s="448"/>
      <c r="AN143" s="448"/>
      <c r="AO143" s="448"/>
      <c r="AP143" s="448"/>
      <c r="AQ143" s="448"/>
      <c r="AR143" s="448"/>
      <c r="AS143" s="448"/>
      <c r="AT143" s="448"/>
      <c r="AU143" s="448"/>
      <c r="AV143" s="448"/>
      <c r="AW143" s="448"/>
      <c r="AX143" s="448"/>
      <c r="AY143" s="448"/>
      <c r="AZ143" s="448"/>
      <c r="BA143" s="448"/>
      <c r="BB143" s="448"/>
      <c r="BC143" s="448"/>
      <c r="BD143" s="448"/>
      <c r="BE143" s="448"/>
      <c r="BF143" s="448"/>
      <c r="BG143" s="448"/>
      <c r="BH143" s="448"/>
      <c r="BI143" s="448"/>
      <c r="BJ143" s="448"/>
      <c r="BK143" s="448"/>
      <c r="BL143" s="448"/>
      <c r="BM143" s="448"/>
      <c r="BN143" s="449"/>
      <c r="BO143" s="447"/>
    </row>
    <row r="144" spans="1:67" ht="17.25" hidden="1" customHeight="1">
      <c r="A144" s="447"/>
      <c r="B144" s="447"/>
      <c r="C144" s="450"/>
      <c r="D144" s="450"/>
      <c r="E144" s="450"/>
      <c r="F144" s="448"/>
      <c r="G144" s="448"/>
      <c r="H144" s="448"/>
      <c r="I144" s="448"/>
      <c r="J144" s="448"/>
      <c r="K144" s="448"/>
      <c r="L144" s="448"/>
      <c r="M144" s="447"/>
      <c r="N144" s="447"/>
      <c r="O144" s="447"/>
      <c r="P144" s="447"/>
      <c r="Q144" s="447"/>
      <c r="R144" s="447"/>
      <c r="S144" s="447"/>
      <c r="T144" s="504" t="s">
        <v>82</v>
      </c>
      <c r="U144" s="1072" t="s">
        <v>33</v>
      </c>
      <c r="V144" s="1072"/>
      <c r="W144" s="447"/>
      <c r="X144" s="447"/>
      <c r="Y144" s="447"/>
      <c r="Z144" s="447"/>
      <c r="AA144" s="447"/>
      <c r="AB144" s="301"/>
      <c r="AC144" s="448"/>
      <c r="AD144" s="448"/>
      <c r="AE144" s="448" t="s">
        <v>541</v>
      </c>
      <c r="AF144" s="448">
        <v>-20</v>
      </c>
      <c r="AG144" s="448">
        <v>60</v>
      </c>
      <c r="AH144" s="448" cm="1">
        <f t="array" ref="AH144">astroCalculLatitude(VLOOKUP(AE144,$AC$158:$AD$159,2,FALSE),AF144,AG144)</f>
        <v>-50</v>
      </c>
      <c r="AI144" s="448"/>
      <c r="AJ144" s="448"/>
      <c r="AK144" s="448"/>
      <c r="AL144" s="448">
        <f t="shared" si="0"/>
        <v>1</v>
      </c>
      <c r="AM144" s="448"/>
      <c r="AN144" s="448"/>
      <c r="AO144" s="448"/>
      <c r="AP144" s="448"/>
      <c r="AQ144" s="448"/>
      <c r="AR144" s="448"/>
      <c r="AS144" s="448"/>
      <c r="AT144" s="448"/>
      <c r="AU144" s="448"/>
      <c r="AV144" s="448"/>
      <c r="AW144" s="448"/>
      <c r="AX144" s="448"/>
      <c r="AY144" s="448"/>
      <c r="AZ144" s="448"/>
      <c r="BA144" s="448"/>
      <c r="BB144" s="448"/>
      <c r="BC144" s="448"/>
      <c r="BD144" s="448"/>
      <c r="BE144" s="448"/>
      <c r="BF144" s="448"/>
      <c r="BG144" s="448"/>
      <c r="BH144" s="448"/>
      <c r="BI144" s="448"/>
      <c r="BJ144" s="448"/>
      <c r="BK144" s="448"/>
      <c r="BL144" s="448"/>
      <c r="BM144" s="448"/>
      <c r="BN144" s="449"/>
      <c r="BO144" s="447"/>
    </row>
    <row r="145" spans="1:67" ht="17.25" hidden="1" customHeight="1">
      <c r="A145" s="447"/>
      <c r="B145" s="447"/>
      <c r="C145" s="450"/>
      <c r="D145" s="450"/>
      <c r="E145" s="450"/>
      <c r="F145" s="450"/>
      <c r="G145" s="450"/>
      <c r="H145" s="447"/>
      <c r="I145" s="447"/>
      <c r="J145" s="447"/>
      <c r="K145" s="447"/>
      <c r="L145" s="447"/>
      <c r="M145" s="447"/>
      <c r="N145" s="447"/>
      <c r="O145" s="447"/>
      <c r="P145" s="447"/>
      <c r="Q145" s="447"/>
      <c r="R145" s="447"/>
      <c r="S145" s="447"/>
      <c r="T145" s="505" t="s">
        <v>78</v>
      </c>
      <c r="U145" s="1072" t="s">
        <v>80</v>
      </c>
      <c r="V145" s="1072"/>
      <c r="W145" s="447"/>
      <c r="X145" s="447"/>
      <c r="Y145" s="447"/>
      <c r="Z145" s="447"/>
      <c r="AA145" s="447"/>
      <c r="AB145" s="301"/>
      <c r="AC145" s="448"/>
      <c r="AD145" s="448"/>
      <c r="AE145" s="448" t="s">
        <v>541</v>
      </c>
      <c r="AF145" s="448">
        <v>23</v>
      </c>
      <c r="AG145" s="448">
        <v>72</v>
      </c>
      <c r="AH145" s="448" cm="1">
        <f t="array" ref="AH145">astroCalculLatitude(VLOOKUP(AE145,$AC$158:$AD$159,2,FALSE),AF145,AG145)</f>
        <v>5</v>
      </c>
      <c r="AI145" s="448"/>
      <c r="AJ145" s="448"/>
      <c r="AK145" s="448"/>
      <c r="AL145" s="448">
        <f t="shared" si="0"/>
        <v>1</v>
      </c>
      <c r="AM145" s="448"/>
      <c r="AN145" s="448"/>
      <c r="AO145" s="448"/>
      <c r="AP145" s="448"/>
      <c r="AQ145" s="448"/>
      <c r="AR145" s="448"/>
      <c r="AS145" s="448"/>
      <c r="AT145" s="448"/>
      <c r="AU145" s="448"/>
      <c r="AV145" s="448"/>
      <c r="AW145" s="448"/>
      <c r="AX145" s="448"/>
      <c r="AY145" s="448"/>
      <c r="AZ145" s="448"/>
      <c r="BA145" s="448"/>
      <c r="BB145" s="448"/>
      <c r="BC145" s="448"/>
      <c r="BD145" s="448"/>
      <c r="BE145" s="448"/>
      <c r="BF145" s="448"/>
      <c r="BG145" s="448"/>
      <c r="BH145" s="448"/>
      <c r="BI145" s="448"/>
      <c r="BJ145" s="448"/>
      <c r="BK145" s="448"/>
      <c r="BL145" s="448"/>
      <c r="BM145" s="448"/>
      <c r="BN145" s="449"/>
      <c r="BO145" s="447"/>
    </row>
    <row r="146" spans="1:67" ht="17.25" hidden="1" customHeight="1">
      <c r="A146" s="447"/>
      <c r="B146" s="447"/>
      <c r="C146" s="450"/>
      <c r="D146" s="450"/>
      <c r="E146" s="450"/>
      <c r="F146" s="450"/>
      <c r="G146" s="450"/>
      <c r="H146" s="447" t="s">
        <v>72</v>
      </c>
      <c r="I146" s="466" t="s">
        <v>74</v>
      </c>
      <c r="J146" s="447" t="s">
        <v>60</v>
      </c>
      <c r="K146" s="1082" t="s">
        <v>75</v>
      </c>
      <c r="L146" s="447" t="s">
        <v>59</v>
      </c>
      <c r="M146" s="447"/>
      <c r="N146" s="1082" t="s">
        <v>77</v>
      </c>
      <c r="O146" s="466" t="s">
        <v>230</v>
      </c>
      <c r="P146" s="447"/>
      <c r="Q146" s="1082" t="s">
        <v>77</v>
      </c>
      <c r="R146" s="447" t="s">
        <v>231</v>
      </c>
      <c r="S146" s="447"/>
      <c r="T146" s="465" t="s">
        <v>79</v>
      </c>
      <c r="U146" s="1144" t="s">
        <v>81</v>
      </c>
      <c r="V146" s="1144"/>
      <c r="W146" s="447"/>
      <c r="X146" s="447"/>
      <c r="Y146" s="447"/>
      <c r="Z146" s="448"/>
      <c r="AA146" s="448"/>
      <c r="AB146" s="301"/>
      <c r="AC146" s="462" t="s">
        <v>538</v>
      </c>
      <c r="AD146" s="462" t="s">
        <v>537</v>
      </c>
      <c r="AE146" s="448" t="s">
        <v>541</v>
      </c>
      <c r="AF146" s="448" cm="1">
        <f t="array" ref="AF146">angleConvert2Decimal(AC146)</f>
        <v>22.083333333333332</v>
      </c>
      <c r="AG146" s="448" cm="1">
        <f t="array" ref="AG146">angleConvert2Decimal(AD146)</f>
        <v>67.75</v>
      </c>
      <c r="AH146" s="448" cm="1">
        <f t="array" ref="AH146">astroCalculLatitude(VLOOKUP(AE146,$AC$158:$AD$159,2,FALSE),AF146,AG146)</f>
        <v>-0.16666666666666785</v>
      </c>
      <c r="AI146" s="448" t="str" cm="1">
        <f t="array" ref="AI146">angleDecimal2Txt(AH146)</f>
        <v>-00°10.00 (-00.1666) [-00°10'00.00]</v>
      </c>
      <c r="AJ146" s="448"/>
      <c r="AK146" s="448"/>
      <c r="AL146" s="448">
        <f t="shared" si="0"/>
        <v>1</v>
      </c>
      <c r="AM146" s="448"/>
      <c r="AN146" s="448"/>
      <c r="AO146" s="448"/>
      <c r="AP146" s="448"/>
      <c r="AQ146" s="448"/>
      <c r="AR146" s="448"/>
      <c r="AS146" s="448"/>
      <c r="AT146" s="448"/>
      <c r="AU146" s="448"/>
      <c r="AV146" s="448"/>
      <c r="AW146" s="448"/>
      <c r="AX146" s="448"/>
      <c r="AY146" s="448"/>
      <c r="AZ146" s="448"/>
      <c r="BA146" s="448"/>
      <c r="BB146" s="448"/>
      <c r="BC146" s="448"/>
      <c r="BD146" s="448"/>
      <c r="BE146" s="448"/>
      <c r="BF146" s="448"/>
      <c r="BG146" s="448"/>
      <c r="BH146" s="448"/>
      <c r="BI146" s="448"/>
      <c r="BJ146" s="448"/>
      <c r="BK146" s="448"/>
      <c r="BL146" s="448"/>
      <c r="BM146" s="448"/>
      <c r="BN146" s="449"/>
      <c r="BO146" s="447"/>
    </row>
    <row r="147" spans="1:67" ht="17.25" hidden="1" customHeight="1" thickBot="1">
      <c r="A147" s="447"/>
      <c r="B147" s="447"/>
      <c r="C147" s="450"/>
      <c r="D147" s="450"/>
      <c r="E147" s="450"/>
      <c r="F147" s="450"/>
      <c r="G147" s="450"/>
      <c r="H147" s="447"/>
      <c r="I147" s="466"/>
      <c r="J147" s="506">
        <f>O115</f>
        <v>66.95</v>
      </c>
      <c r="K147" s="1082"/>
      <c r="L147" s="1145">
        <f>O116</f>
        <v>2.1666666666666667E-2</v>
      </c>
      <c r="M147" s="1145"/>
      <c r="N147" s="1082"/>
      <c r="O147" s="821" t="s">
        <v>146</v>
      </c>
      <c r="P147" s="821"/>
      <c r="Q147" s="1082"/>
      <c r="R147" s="485" t="s">
        <v>79</v>
      </c>
      <c r="S147" s="447"/>
      <c r="T147" s="447"/>
      <c r="U147" s="447"/>
      <c r="V147" s="448"/>
      <c r="W147" s="448"/>
      <c r="X147" s="448"/>
      <c r="Y147" s="448"/>
      <c r="Z147" s="448"/>
      <c r="AA147" s="448"/>
      <c r="AB147" s="301"/>
      <c r="AC147" s="462" t="s">
        <v>539</v>
      </c>
      <c r="AD147" s="462" t="s">
        <v>543</v>
      </c>
      <c r="AE147" s="448" t="s">
        <v>541</v>
      </c>
      <c r="AF147" s="448" cm="1">
        <f t="array" ref="AF147">angleConvert2Decimal(AC147)</f>
        <v>18.766666666666666</v>
      </c>
      <c r="AG147" s="448" cm="1">
        <f t="array" ref="AG147">angleConvert2Decimal(AD147)</f>
        <v>6.3666833333333335</v>
      </c>
      <c r="AH147" s="448" cm="1">
        <f t="array" ref="AH147">astroCalculLatitude(VLOOKUP(AE147,$AC$158:$AD$159,2,FALSE),AF147,AG147)</f>
        <v>77.600016666666662</v>
      </c>
      <c r="AI147" s="448" t="str" cm="1">
        <f t="array" ref="AI147">angleDecimal2Txt(AH147)</f>
        <v>+77°36.00 (+77.6000) [+77°36'00.05]</v>
      </c>
      <c r="AJ147" s="448"/>
      <c r="AK147" s="448"/>
      <c r="AL147" s="448">
        <f t="shared" si="0"/>
        <v>1</v>
      </c>
      <c r="AM147" s="448"/>
      <c r="AN147" s="448"/>
      <c r="AO147" s="448"/>
      <c r="AP147" s="448"/>
      <c r="AQ147" s="448"/>
      <c r="AR147" s="448"/>
      <c r="AS147" s="448"/>
      <c r="AT147" s="448"/>
      <c r="AU147" s="448"/>
      <c r="AV147" s="448"/>
      <c r="AW147" s="448"/>
      <c r="AX147" s="448"/>
      <c r="AY147" s="448"/>
      <c r="AZ147" s="448"/>
      <c r="BA147" s="448"/>
      <c r="BB147" s="448"/>
      <c r="BC147" s="448"/>
      <c r="BD147" s="448"/>
      <c r="BE147" s="448"/>
      <c r="BF147" s="448"/>
      <c r="BG147" s="448"/>
      <c r="BH147" s="448"/>
      <c r="BI147" s="448"/>
      <c r="BJ147" s="448"/>
      <c r="BK147" s="448"/>
      <c r="BL147" s="448"/>
      <c r="BM147" s="448"/>
      <c r="BN147" s="449"/>
      <c r="BO147" s="447"/>
    </row>
    <row r="148" spans="1:67" ht="17.25" hidden="1" customHeight="1" thickTop="1" thickBot="1">
      <c r="A148" s="447"/>
      <c r="B148" s="447"/>
      <c r="C148" s="450"/>
      <c r="D148" s="450"/>
      <c r="E148" s="450"/>
      <c r="F148" s="450"/>
      <c r="G148" s="450"/>
      <c r="H148" s="447"/>
      <c r="I148" s="466"/>
      <c r="J148" s="448"/>
      <c r="K148" s="507" t="s">
        <v>229</v>
      </c>
      <c r="L148" s="1146" cm="1">
        <f t="array" ref="L148">angleConvert2Decimal(L147)</f>
        <v>2.1666666666666699E-2</v>
      </c>
      <c r="M148" s="1147"/>
      <c r="N148" s="447"/>
      <c r="O148" s="1148" cm="1">
        <f t="array" ref="O148">angleConvert2Decimal(O147)</f>
        <v>0.17166666666666669</v>
      </c>
      <c r="P148" s="1149"/>
      <c r="Q148" s="462"/>
      <c r="R148" s="508" cm="1">
        <f t="array" ref="R148">angleConvert2Decimal(R147)</f>
        <v>-0.53333333333333333</v>
      </c>
      <c r="S148" s="448"/>
      <c r="T148" s="509" t="s">
        <v>103</v>
      </c>
      <c r="U148" s="509"/>
      <c r="V148" s="509">
        <f>R148+O148</f>
        <v>-0.36166666666666664</v>
      </c>
      <c r="W148" s="565" t="str" cm="1">
        <f t="array" ref="W148">angleDecimal2Txt(V148)</f>
        <v>-00°21.69 (-00.3616) [-00°21'42.00]</v>
      </c>
      <c r="X148" s="565"/>
      <c r="Y148" s="565"/>
      <c r="Z148" s="565"/>
      <c r="AA148" s="565"/>
      <c r="AB148" s="301"/>
      <c r="AC148" s="448"/>
      <c r="AD148" s="448"/>
      <c r="AE148" s="448" t="s">
        <v>542</v>
      </c>
      <c r="AF148" s="448">
        <f>-1 * AF147</f>
        <v>-18.766666666666666</v>
      </c>
      <c r="AG148" s="448">
        <f>AG147</f>
        <v>6.3666833333333335</v>
      </c>
      <c r="AH148" s="448" cm="1">
        <f t="array" ref="AH148">astroCalculLatitude(VLOOKUP(AE148,$AC$158:$AD$159,2,FALSE),AF148,AG148)</f>
        <v>-77.600016666666662</v>
      </c>
      <c r="AI148" s="448"/>
      <c r="AJ148" s="448"/>
      <c r="AK148" s="448"/>
      <c r="AL148" s="448">
        <f t="shared" si="0"/>
        <v>-1</v>
      </c>
      <c r="AM148" s="448"/>
      <c r="AN148" s="448"/>
      <c r="AO148" s="448"/>
      <c r="AP148" s="448"/>
      <c r="AQ148" s="448"/>
      <c r="AR148" s="448"/>
      <c r="AS148" s="448"/>
      <c r="AT148" s="448"/>
      <c r="AU148" s="448"/>
      <c r="AV148" s="448"/>
      <c r="AW148" s="448"/>
      <c r="AX148" s="448"/>
      <c r="AY148" s="448"/>
      <c r="AZ148" s="448"/>
      <c r="BA148" s="448"/>
      <c r="BB148" s="448"/>
      <c r="BC148" s="448"/>
      <c r="BD148" s="448"/>
      <c r="BE148" s="448"/>
      <c r="BF148" s="448"/>
      <c r="BG148" s="448"/>
      <c r="BH148" s="448"/>
      <c r="BI148" s="448"/>
      <c r="BJ148" s="448"/>
      <c r="BK148" s="448"/>
      <c r="BL148" s="448"/>
      <c r="BM148" s="448"/>
      <c r="BN148" s="449"/>
      <c r="BO148" s="447"/>
    </row>
    <row r="149" spans="1:67" ht="17.25" hidden="1" customHeight="1" thickTop="1" thickBot="1">
      <c r="A149" s="447"/>
      <c r="B149" s="447"/>
      <c r="C149" s="450"/>
      <c r="D149" s="450"/>
      <c r="E149" s="450"/>
      <c r="F149" s="450"/>
      <c r="G149" s="450"/>
      <c r="H149" s="447"/>
      <c r="I149" s="466"/>
      <c r="J149" s="447"/>
      <c r="K149" s="466"/>
      <c r="L149" s="447"/>
      <c r="M149" s="447"/>
      <c r="N149" s="466"/>
      <c r="O149" s="447"/>
      <c r="P149" s="447"/>
      <c r="Q149" s="466"/>
      <c r="R149" s="467"/>
      <c r="S149" s="447"/>
      <c r="T149" s="447"/>
      <c r="U149" s="447"/>
      <c r="V149" s="447"/>
      <c r="W149" s="447"/>
      <c r="X149" s="447"/>
      <c r="Y149" s="447"/>
      <c r="Z149" s="447"/>
      <c r="AA149" s="447"/>
      <c r="AB149" s="301"/>
      <c r="AC149" s="448"/>
      <c r="AD149" s="448"/>
      <c r="AE149" s="448" t="s">
        <v>542</v>
      </c>
      <c r="AF149" s="448">
        <v>10</v>
      </c>
      <c r="AG149" s="448">
        <v>60</v>
      </c>
      <c r="AH149" s="448" cm="1">
        <f t="array" ref="AH149">astroCalculLatitude(VLOOKUP(AE149,$AC$158:$AD$159,2,FALSE),AF149,AG149)</f>
        <v>40</v>
      </c>
      <c r="AI149" s="448"/>
      <c r="AJ149" s="448"/>
      <c r="AK149" s="448"/>
      <c r="AL149" s="448">
        <f t="shared" si="0"/>
        <v>-1</v>
      </c>
      <c r="AM149" s="448"/>
      <c r="AN149" s="448"/>
      <c r="AO149" s="448"/>
      <c r="AP149" s="448"/>
      <c r="AQ149" s="448"/>
      <c r="AR149" s="448"/>
      <c r="AS149" s="448"/>
      <c r="AT149" s="448"/>
      <c r="AU149" s="448"/>
      <c r="AV149" s="448"/>
      <c r="AW149" s="448"/>
      <c r="AX149" s="448"/>
      <c r="AY149" s="448"/>
      <c r="AZ149" s="448"/>
      <c r="BA149" s="448"/>
      <c r="BB149" s="448"/>
      <c r="BC149" s="448"/>
      <c r="BD149" s="448"/>
      <c r="BE149" s="448"/>
      <c r="BF149" s="448"/>
      <c r="BG149" s="448"/>
      <c r="BH149" s="448"/>
      <c r="BI149" s="448"/>
      <c r="BJ149" s="448"/>
      <c r="BK149" s="448"/>
      <c r="BL149" s="448"/>
      <c r="BM149" s="448"/>
      <c r="BN149" s="449"/>
      <c r="BO149" s="447"/>
    </row>
    <row r="150" spans="1:67" ht="17.25" hidden="1" customHeight="1" thickTop="1" thickBot="1">
      <c r="A150" s="447"/>
      <c r="B150" s="447"/>
      <c r="C150" s="450"/>
      <c r="D150" s="450"/>
      <c r="E150" s="450"/>
      <c r="F150" s="450"/>
      <c r="G150" s="450"/>
      <c r="H150" s="831" t="s">
        <v>145</v>
      </c>
      <c r="I150" s="832"/>
      <c r="J150" s="832"/>
      <c r="K150" s="832"/>
      <c r="L150" s="832"/>
      <c r="M150" s="832"/>
      <c r="N150" s="833"/>
      <c r="O150" s="564">
        <f>J147-L148+O148+R148</f>
        <v>66.566666666666677</v>
      </c>
      <c r="P150" s="564"/>
      <c r="Q150" s="564"/>
      <c r="R150" s="564"/>
      <c r="S150" s="447" t="s">
        <v>54</v>
      </c>
      <c r="T150" s="447"/>
      <c r="U150" s="565" t="str" cm="1">
        <f t="array" ref="U150">angleDecimal2Txt(O150)</f>
        <v>+66°34.00 (+66.5666) [+66°34'00.00]</v>
      </c>
      <c r="V150" s="565"/>
      <c r="W150" s="565"/>
      <c r="X150" s="565"/>
      <c r="Y150" s="565"/>
      <c r="Z150" s="565"/>
      <c r="AA150" s="447"/>
      <c r="AB150" s="301"/>
      <c r="AC150" s="448"/>
      <c r="AD150" s="448"/>
      <c r="AE150" s="448" t="s">
        <v>541</v>
      </c>
      <c r="AF150" s="448">
        <v>10</v>
      </c>
      <c r="AG150" s="448">
        <v>60</v>
      </c>
      <c r="AH150" s="448" cm="1">
        <f t="array" ref="AH150">astroCalculLatitude(VLOOKUP(AE150,$AC$158:$AD$159,2,FALSE),AF150,AG150)</f>
        <v>-20</v>
      </c>
      <c r="AI150" s="448"/>
      <c r="AJ150" s="448"/>
      <c r="AK150" s="448"/>
      <c r="AL150" s="448">
        <f t="shared" si="0"/>
        <v>1</v>
      </c>
      <c r="AM150" s="448"/>
      <c r="AN150" s="448"/>
      <c r="AO150" s="448"/>
      <c r="AP150" s="448"/>
      <c r="AQ150" s="448"/>
      <c r="AR150" s="448"/>
      <c r="AS150" s="448"/>
      <c r="AT150" s="448"/>
      <c r="AU150" s="448"/>
      <c r="AV150" s="448"/>
      <c r="AW150" s="448"/>
      <c r="AX150" s="448"/>
      <c r="AY150" s="448"/>
      <c r="AZ150" s="448"/>
      <c r="BA150" s="448"/>
      <c r="BB150" s="448"/>
      <c r="BC150" s="448"/>
      <c r="BD150" s="448"/>
      <c r="BE150" s="448"/>
      <c r="BF150" s="448"/>
      <c r="BG150" s="448"/>
      <c r="BH150" s="448"/>
      <c r="BI150" s="448"/>
      <c r="BJ150" s="448"/>
      <c r="BK150" s="448"/>
      <c r="BL150" s="448"/>
      <c r="BM150" s="448"/>
      <c r="BN150" s="449"/>
      <c r="BO150" s="447"/>
    </row>
    <row r="151" spans="1:67" ht="17.25" customHeight="1" thickBot="1">
      <c r="A151" s="447"/>
      <c r="B151" s="447"/>
      <c r="C151" s="450"/>
      <c r="D151" s="468"/>
      <c r="E151" s="450"/>
      <c r="F151" s="450"/>
      <c r="G151" s="450"/>
      <c r="H151" s="447"/>
      <c r="I151" s="447"/>
      <c r="J151" s="447"/>
      <c r="K151" s="447"/>
      <c r="L151" s="447"/>
      <c r="M151" s="447"/>
      <c r="N151" s="447"/>
      <c r="O151" s="447"/>
      <c r="P151" s="447"/>
      <c r="Q151" s="447"/>
      <c r="R151" s="447"/>
      <c r="S151" s="447"/>
      <c r="T151" s="447"/>
      <c r="U151" s="447"/>
      <c r="V151" s="447"/>
      <c r="W151" s="447"/>
      <c r="X151" s="447"/>
      <c r="Y151" s="447"/>
      <c r="Z151" s="447"/>
      <c r="AA151" s="447"/>
      <c r="AB151" s="301"/>
      <c r="AC151" s="448"/>
      <c r="AD151" s="448"/>
      <c r="AE151" s="448"/>
      <c r="AF151" s="448"/>
      <c r="AG151" s="448"/>
      <c r="AH151" s="448"/>
      <c r="AI151" s="448"/>
      <c r="AJ151" s="448"/>
      <c r="AK151" s="448"/>
      <c r="AL151" s="448"/>
      <c r="AM151" s="448"/>
      <c r="AN151" s="448"/>
      <c r="AO151" s="448"/>
      <c r="AP151" s="448"/>
      <c r="AQ151" s="448"/>
      <c r="AR151" s="448"/>
      <c r="AS151" s="448"/>
      <c r="AT151" s="448"/>
      <c r="AU151" s="448"/>
      <c r="AV151" s="448"/>
      <c r="AW151" s="448"/>
      <c r="AX151" s="448"/>
      <c r="AY151" s="448"/>
      <c r="AZ151" s="448"/>
      <c r="BA151" s="448"/>
      <c r="BB151" s="448"/>
      <c r="BC151" s="448"/>
      <c r="BD151" s="448"/>
      <c r="BE151" s="448"/>
      <c r="BF151" s="448"/>
      <c r="BG151" s="448"/>
      <c r="BH151" s="448"/>
      <c r="BI151" s="448"/>
      <c r="BJ151" s="448"/>
      <c r="BK151" s="448"/>
      <c r="BL151" s="448"/>
      <c r="BM151" s="448"/>
      <c r="BN151" s="449"/>
      <c r="BO151" s="447"/>
    </row>
    <row r="152" spans="1:67" ht="17.25" customHeight="1" thickBot="1">
      <c r="A152" s="447"/>
      <c r="B152" s="1084" t="s">
        <v>254</v>
      </c>
      <c r="C152" s="1085"/>
      <c r="D152" s="1085"/>
      <c r="E152" s="1085"/>
      <c r="F152" s="1085"/>
      <c r="G152" s="1085"/>
      <c r="H152" s="1085"/>
      <c r="I152" s="1085"/>
      <c r="J152" s="1085"/>
      <c r="K152" s="1085"/>
      <c r="L152" s="1085"/>
      <c r="M152" s="1085"/>
      <c r="N152" s="1085"/>
      <c r="O152" s="1085"/>
      <c r="P152" s="1085"/>
      <c r="Q152" s="1085"/>
      <c r="R152" s="1085"/>
      <c r="S152" s="1085"/>
      <c r="T152" s="1085"/>
      <c r="U152" s="1085"/>
      <c r="V152" s="1085"/>
      <c r="W152" s="1085"/>
      <c r="X152" s="1085"/>
      <c r="Y152" s="1085"/>
      <c r="Z152" s="1085"/>
      <c r="AA152" s="1085"/>
      <c r="AB152" s="302"/>
      <c r="AC152" s="448"/>
      <c r="AD152" s="448"/>
      <c r="AE152" s="448"/>
      <c r="AF152" s="448"/>
      <c r="AG152" s="448"/>
      <c r="AH152" s="448"/>
      <c r="AI152" s="448"/>
      <c r="AJ152" s="448"/>
      <c r="AK152" s="448"/>
      <c r="AL152" s="448"/>
      <c r="AM152" s="448"/>
      <c r="AN152" s="448"/>
      <c r="AO152" s="448"/>
      <c r="AP152" s="448"/>
      <c r="AQ152" s="448"/>
      <c r="AR152" s="448"/>
      <c r="AS152" s="448"/>
      <c r="AT152" s="448"/>
      <c r="AU152" s="448"/>
      <c r="AV152" s="448"/>
      <c r="AW152" s="448"/>
      <c r="AX152" s="448"/>
      <c r="AY152" s="448"/>
      <c r="AZ152" s="448"/>
      <c r="BA152" s="448"/>
      <c r="BB152" s="448"/>
      <c r="BC152" s="448"/>
      <c r="BD152" s="448"/>
      <c r="BE152" s="448"/>
      <c r="BF152" s="448"/>
      <c r="BG152" s="448"/>
      <c r="BH152" s="448"/>
      <c r="BI152" s="448"/>
      <c r="BJ152" s="448"/>
      <c r="BK152" s="448"/>
      <c r="BL152" s="448"/>
      <c r="BM152" s="448"/>
      <c r="BN152" s="449"/>
      <c r="BO152" s="447"/>
    </row>
    <row r="153" spans="1:67" ht="17.25" customHeight="1">
      <c r="A153" s="447"/>
      <c r="B153" s="447"/>
      <c r="C153" s="447"/>
      <c r="D153" s="447"/>
      <c r="E153" s="447"/>
      <c r="F153" s="447"/>
      <c r="G153" s="447"/>
      <c r="H153" s="447"/>
      <c r="I153" s="447"/>
      <c r="J153" s="447"/>
      <c r="K153" s="447"/>
      <c r="L153" s="447"/>
      <c r="M153" s="447"/>
      <c r="N153" s="447"/>
      <c r="O153" s="447"/>
      <c r="P153" s="447"/>
      <c r="Q153" s="447"/>
      <c r="R153" s="447"/>
      <c r="S153" s="447"/>
      <c r="T153" s="447"/>
      <c r="U153" s="447"/>
      <c r="V153" s="447"/>
      <c r="W153" s="447"/>
      <c r="X153" s="447"/>
      <c r="Y153" s="447"/>
      <c r="Z153" s="447"/>
      <c r="AA153" s="447"/>
      <c r="AB153" s="301"/>
      <c r="AC153" s="448"/>
      <c r="AD153" s="448"/>
      <c r="AE153" s="448"/>
      <c r="AF153" s="448"/>
      <c r="AG153" s="448"/>
      <c r="AH153" s="448"/>
      <c r="AI153" s="448"/>
      <c r="AJ153" s="448"/>
      <c r="AK153" s="448"/>
      <c r="AL153" s="448"/>
      <c r="AM153" s="448"/>
      <c r="AN153" s="448"/>
      <c r="AO153" s="448"/>
      <c r="AP153" s="448"/>
      <c r="AQ153" s="448"/>
      <c r="AR153" s="448"/>
      <c r="AS153" s="448"/>
      <c r="AT153" s="448"/>
      <c r="AU153" s="448"/>
      <c r="AV153" s="448"/>
      <c r="AW153" s="448"/>
      <c r="AX153" s="448"/>
      <c r="AY153" s="448"/>
      <c r="AZ153" s="448"/>
      <c r="BA153" s="448"/>
      <c r="BB153" s="448"/>
      <c r="BC153" s="448"/>
      <c r="BD153" s="448"/>
      <c r="BE153" s="448"/>
      <c r="BF153" s="448"/>
      <c r="BG153" s="448"/>
      <c r="BH153" s="448"/>
      <c r="BI153" s="448"/>
      <c r="BJ153" s="448"/>
      <c r="BK153" s="448"/>
      <c r="BL153" s="448"/>
      <c r="BM153" s="448"/>
      <c r="BN153" s="449"/>
      <c r="BO153" s="447"/>
    </row>
    <row r="154" spans="1:67" ht="17.25" customHeight="1">
      <c r="A154" s="447"/>
      <c r="B154" s="447"/>
      <c r="C154" s="451"/>
      <c r="D154" s="451"/>
      <c r="E154" s="1118" t="s">
        <v>256</v>
      </c>
      <c r="F154" s="1119"/>
      <c r="G154" s="1119"/>
      <c r="H154" s="1119"/>
      <c r="I154" s="1124">
        <f>90-Q155</f>
        <v>22.855711148806449</v>
      </c>
      <c r="J154" s="1124"/>
      <c r="K154" s="1124"/>
      <c r="L154" s="1124"/>
      <c r="M154" s="1124"/>
      <c r="N154" s="447"/>
      <c r="O154" s="1113" t="s">
        <v>255</v>
      </c>
      <c r="P154" s="1114"/>
      <c r="Q154" s="1115"/>
      <c r="R154" s="1115"/>
      <c r="S154" s="1115"/>
      <c r="T154" s="1116"/>
      <c r="U154" s="448"/>
      <c r="V154" s="448"/>
      <c r="W154" s="448"/>
      <c r="X154" s="448"/>
      <c r="Y154" s="448"/>
      <c r="Z154" s="448"/>
      <c r="AA154" s="448"/>
      <c r="AB154" s="301"/>
      <c r="AC154" s="448"/>
      <c r="AD154" s="448"/>
      <c r="AE154" s="448"/>
      <c r="AF154" s="448"/>
      <c r="AG154" s="448"/>
      <c r="AH154" s="448"/>
      <c r="AI154" s="448"/>
      <c r="AJ154" s="448"/>
      <c r="AK154" s="448"/>
      <c r="AL154" s="448"/>
      <c r="AM154" s="448"/>
      <c r="AN154" s="448"/>
      <c r="AO154" s="448"/>
      <c r="AP154" s="448"/>
      <c r="AQ154" s="448"/>
      <c r="AR154" s="448"/>
      <c r="AS154" s="448"/>
      <c r="AT154" s="448"/>
      <c r="AU154" s="448"/>
      <c r="AV154" s="448"/>
      <c r="AW154" s="448"/>
      <c r="AX154" s="448"/>
      <c r="AY154" s="448"/>
      <c r="AZ154" s="448"/>
      <c r="BA154" s="448"/>
      <c r="BB154" s="448"/>
      <c r="BC154" s="448"/>
      <c r="BD154" s="448"/>
      <c r="BE154" s="448"/>
      <c r="BF154" s="448"/>
      <c r="BG154" s="448"/>
      <c r="BH154" s="448"/>
      <c r="BI154" s="448"/>
      <c r="BJ154" s="448"/>
      <c r="BK154" s="448"/>
      <c r="BL154" s="448"/>
      <c r="BM154" s="448"/>
      <c r="BN154" s="449"/>
      <c r="BO154" s="447"/>
    </row>
    <row r="155" spans="1:67" ht="17.25" customHeight="1" thickBot="1">
      <c r="A155" s="447"/>
      <c r="B155" s="447"/>
      <c r="C155" s="451"/>
      <c r="D155" s="451"/>
      <c r="E155" s="1120"/>
      <c r="F155" s="1121"/>
      <c r="G155" s="1121"/>
      <c r="H155" s="1121"/>
      <c r="I155" s="1124"/>
      <c r="J155" s="1124"/>
      <c r="K155" s="1124"/>
      <c r="L155" s="1124"/>
      <c r="M155" s="1124"/>
      <c r="N155" s="469" t="s">
        <v>116</v>
      </c>
      <c r="O155" s="1101" t="s">
        <v>72</v>
      </c>
      <c r="P155" s="1102"/>
      <c r="Q155" s="1103">
        <f>F112</f>
        <v>67.144288851193551</v>
      </c>
      <c r="R155" s="1104"/>
      <c r="S155" s="1104"/>
      <c r="T155" s="511" t="s">
        <v>54</v>
      </c>
      <c r="U155" s="448"/>
      <c r="V155" s="448"/>
      <c r="W155" s="448"/>
      <c r="X155" s="448"/>
      <c r="Y155" s="447"/>
      <c r="Z155" s="447"/>
      <c r="AA155" s="447"/>
      <c r="AB155" s="301"/>
      <c r="AC155" s="448"/>
      <c r="AD155" s="448"/>
      <c r="AE155" s="448"/>
      <c r="AF155" s="448"/>
      <c r="AG155" s="448"/>
      <c r="AH155" s="448"/>
      <c r="AI155" s="448"/>
      <c r="AJ155" s="448"/>
      <c r="AK155" s="448"/>
      <c r="AL155" s="448"/>
      <c r="AM155" s="448"/>
      <c r="AN155" s="448"/>
      <c r="AO155" s="448"/>
      <c r="AP155" s="448"/>
      <c r="AQ155" s="448"/>
      <c r="AR155" s="448"/>
      <c r="AS155" s="448"/>
      <c r="AT155" s="448"/>
      <c r="AU155" s="448"/>
      <c r="AV155" s="448"/>
      <c r="AW155" s="448"/>
      <c r="AX155" s="448"/>
      <c r="AY155" s="448"/>
      <c r="AZ155" s="448"/>
      <c r="BA155" s="448"/>
      <c r="BB155" s="448"/>
      <c r="BC155" s="448"/>
      <c r="BD155" s="448"/>
      <c r="BE155" s="448"/>
      <c r="BF155" s="448"/>
      <c r="BG155" s="448"/>
      <c r="BH155" s="448"/>
      <c r="BI155" s="448"/>
      <c r="BJ155" s="448"/>
      <c r="BK155" s="448"/>
      <c r="BL155" s="448"/>
      <c r="BM155" s="448"/>
      <c r="BN155" s="449"/>
      <c r="BO155" s="447"/>
    </row>
    <row r="156" spans="1:67" ht="17.25" customHeight="1" thickTop="1" thickBot="1">
      <c r="A156" s="447"/>
      <c r="B156" s="447"/>
      <c r="C156" s="451"/>
      <c r="D156" s="451"/>
      <c r="E156" s="1122"/>
      <c r="F156" s="1123"/>
      <c r="G156" s="1123"/>
      <c r="H156" s="1123"/>
      <c r="I156" s="565" t="str" cm="1">
        <f t="array" ref="I156">angleDecimal2Txt(I154)</f>
        <v>+22°51.34 (+22.8557) [+22°51'20.56]</v>
      </c>
      <c r="J156" s="565"/>
      <c r="K156" s="565"/>
      <c r="L156" s="565"/>
      <c r="M156" s="565"/>
      <c r="N156" s="447"/>
      <c r="O156" s="1101" t="s">
        <v>84</v>
      </c>
      <c r="P156" s="1102"/>
      <c r="Q156" s="1103">
        <f>F91</f>
        <v>23.133193688349891</v>
      </c>
      <c r="R156" s="1104"/>
      <c r="S156" s="1104"/>
      <c r="T156" s="511" t="s">
        <v>54</v>
      </c>
      <c r="U156" s="448"/>
      <c r="V156" s="448"/>
      <c r="W156" s="448"/>
      <c r="X156" s="448"/>
      <c r="Y156" s="447"/>
      <c r="Z156" s="447"/>
      <c r="AA156" s="447"/>
      <c r="AB156" s="301"/>
      <c r="AC156" s="448"/>
      <c r="AD156" s="448"/>
      <c r="AE156" s="448"/>
      <c r="AF156" s="448"/>
      <c r="AG156" s="448"/>
      <c r="AH156" s="448"/>
      <c r="AI156" s="448"/>
      <c r="AJ156" s="448"/>
      <c r="AK156" s="448"/>
      <c r="AL156" s="448"/>
      <c r="AM156" s="448"/>
      <c r="AN156" s="448"/>
      <c r="AO156" s="448"/>
      <c r="AP156" s="448"/>
      <c r="AQ156" s="448"/>
      <c r="AR156" s="448"/>
      <c r="AS156" s="448"/>
      <c r="AT156" s="448"/>
      <c r="AU156" s="448"/>
      <c r="AV156" s="448"/>
      <c r="AW156" s="448"/>
      <c r="AX156" s="448"/>
      <c r="AY156" s="448"/>
      <c r="AZ156" s="448"/>
      <c r="BA156" s="448"/>
      <c r="BB156" s="448"/>
      <c r="BC156" s="448"/>
      <c r="BD156" s="448"/>
      <c r="BE156" s="448"/>
      <c r="BF156" s="448"/>
      <c r="BG156" s="448"/>
      <c r="BH156" s="448"/>
      <c r="BI156" s="448"/>
      <c r="BJ156" s="448"/>
      <c r="BK156" s="448"/>
      <c r="BL156" s="448"/>
      <c r="BM156" s="448"/>
      <c r="BN156" s="449"/>
      <c r="BO156" s="447"/>
    </row>
    <row r="157" spans="1:67" ht="17.25" customHeight="1" thickTop="1">
      <c r="A157" s="447"/>
      <c r="B157" s="447"/>
      <c r="C157" s="451"/>
      <c r="D157" s="451"/>
      <c r="E157" s="447"/>
      <c r="F157" s="447"/>
      <c r="G157" s="447"/>
      <c r="H157" s="447"/>
      <c r="I157" s="447"/>
      <c r="J157" s="447"/>
      <c r="K157" s="447"/>
      <c r="L157" s="447"/>
      <c r="M157" s="447"/>
      <c r="N157" s="447"/>
      <c r="O157" s="447"/>
      <c r="P157" s="447"/>
      <c r="Q157" s="447"/>
      <c r="R157" s="447"/>
      <c r="S157" s="447"/>
      <c r="T157" s="447"/>
      <c r="U157" s="447"/>
      <c r="V157" s="447"/>
      <c r="W157" s="448"/>
      <c r="X157" s="448"/>
      <c r="Y157" s="448"/>
      <c r="Z157" s="448"/>
      <c r="AA157" s="447"/>
      <c r="AB157" s="301"/>
      <c r="AC157" s="448"/>
      <c r="AD157" s="448"/>
      <c r="AE157" s="448"/>
      <c r="AF157" s="448"/>
      <c r="AG157" s="448"/>
      <c r="AH157" s="448"/>
      <c r="AI157" s="448"/>
      <c r="AJ157" s="448"/>
      <c r="AK157" s="448"/>
      <c r="AL157" s="448"/>
      <c r="AM157" s="448"/>
      <c r="AN157" s="448"/>
      <c r="AO157" s="448"/>
      <c r="AP157" s="448"/>
      <c r="AQ157" s="448"/>
      <c r="AR157" s="448"/>
      <c r="AS157" s="448"/>
      <c r="AT157" s="448"/>
      <c r="AU157" s="448"/>
      <c r="AV157" s="448"/>
      <c r="AW157" s="448"/>
      <c r="AX157" s="448"/>
      <c r="AY157" s="448"/>
      <c r="AZ157" s="448"/>
      <c r="BA157" s="448"/>
      <c r="BB157" s="448"/>
      <c r="BC157" s="448"/>
      <c r="BD157" s="448"/>
      <c r="BE157" s="448"/>
      <c r="BF157" s="448"/>
      <c r="BG157" s="448"/>
      <c r="BH157" s="448"/>
      <c r="BI157" s="448"/>
      <c r="BJ157" s="448"/>
      <c r="BK157" s="448"/>
      <c r="BL157" s="448"/>
      <c r="BM157" s="448"/>
      <c r="BN157" s="449"/>
      <c r="BO157" s="447"/>
    </row>
    <row r="158" spans="1:67" ht="17.25" customHeight="1">
      <c r="A158" s="447"/>
      <c r="B158" s="447"/>
      <c r="C158" s="451"/>
      <c r="D158" s="451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8"/>
      <c r="R158" s="448"/>
      <c r="S158" s="448"/>
      <c r="T158" s="448"/>
      <c r="U158" s="448"/>
      <c r="V158" s="448"/>
      <c r="W158" s="448"/>
      <c r="X158" s="448"/>
      <c r="Y158" s="448"/>
      <c r="Z158" s="448"/>
      <c r="AA158" s="448"/>
      <c r="AB158" s="301"/>
      <c r="AC158" s="448" t="s">
        <v>542</v>
      </c>
      <c r="AD158" s="448">
        <v>-1</v>
      </c>
      <c r="AE158" s="448"/>
      <c r="AF158" s="448"/>
      <c r="AG158" s="448"/>
      <c r="AH158" s="448"/>
      <c r="AI158" s="448"/>
      <c r="AJ158" s="448"/>
      <c r="AK158" s="448"/>
      <c r="AL158" s="448"/>
      <c r="AM158" s="448"/>
      <c r="AN158" s="448"/>
      <c r="AO158" s="448"/>
      <c r="AP158" s="448"/>
      <c r="AQ158" s="448"/>
      <c r="AR158" s="448"/>
      <c r="AS158" s="448"/>
      <c r="AT158" s="448"/>
      <c r="AU158" s="448"/>
      <c r="AV158" s="448"/>
      <c r="AW158" s="448"/>
      <c r="AX158" s="448"/>
      <c r="AY158" s="448"/>
      <c r="AZ158" s="448"/>
      <c r="BA158" s="448"/>
      <c r="BB158" s="448"/>
      <c r="BC158" s="448"/>
      <c r="BD158" s="448"/>
      <c r="BE158" s="448"/>
      <c r="BF158" s="448"/>
      <c r="BG158" s="448"/>
      <c r="BH158" s="448"/>
      <c r="BI158" s="448"/>
      <c r="BJ158" s="448"/>
      <c r="BK158" s="448"/>
      <c r="BL158" s="448"/>
      <c r="BM158" s="448"/>
      <c r="BN158" s="449"/>
      <c r="BO158" s="447"/>
    </row>
    <row r="159" spans="1:67" ht="17.25" customHeight="1">
      <c r="A159" s="447"/>
      <c r="B159" s="447"/>
      <c r="C159" s="451"/>
      <c r="D159" s="451"/>
      <c r="E159" s="1088" t="s">
        <v>212</v>
      </c>
      <c r="F159" s="1089"/>
      <c r="G159" s="1089"/>
      <c r="H159" s="1089"/>
      <c r="I159" s="1089"/>
      <c r="J159" s="1089"/>
      <c r="K159" s="1089"/>
      <c r="L159" s="1089"/>
      <c r="M159" s="1089"/>
      <c r="N159" s="1089"/>
      <c r="O159" s="1090"/>
      <c r="P159" s="448"/>
      <c r="Q159" s="1070" t="s">
        <v>544</v>
      </c>
      <c r="R159" s="1070"/>
      <c r="S159" s="1070"/>
      <c r="T159" s="1069" t="str">
        <f>IF(T160&gt;T161,AC158,AC159)</f>
        <v>Soleil au sud</v>
      </c>
      <c r="U159" s="1069"/>
      <c r="V159" s="1071" t="str">
        <f>IF(VLOOKUP(T159,AC158:AD159,2,FALSE)&lt;0,"Le soleil est au sud, et le nord est dans le dos","Le soleil est au nord, et le sud est dans le dos")</f>
        <v>Le soleil est au sud, et le nord est dans le dos</v>
      </c>
      <c r="W159" s="1071"/>
      <c r="X159" s="1071"/>
      <c r="Y159" s="1071"/>
      <c r="Z159" s="1071"/>
      <c r="AA159" s="1071"/>
      <c r="AB159" s="301"/>
      <c r="AC159" s="448" t="s">
        <v>541</v>
      </c>
      <c r="AD159" s="448">
        <v>1</v>
      </c>
      <c r="AE159" s="448"/>
      <c r="AF159" s="448"/>
      <c r="AG159" s="448"/>
      <c r="AH159" s="448"/>
      <c r="AI159" s="448"/>
      <c r="AJ159" s="448"/>
      <c r="AK159" s="448"/>
      <c r="AL159" s="448"/>
      <c r="AM159" s="448"/>
      <c r="AN159" s="448"/>
      <c r="AO159" s="448"/>
      <c r="AP159" s="448"/>
      <c r="AQ159" s="448"/>
      <c r="AR159" s="448"/>
      <c r="AS159" s="448"/>
      <c r="AT159" s="448"/>
      <c r="AU159" s="448"/>
      <c r="AV159" s="448"/>
      <c r="AW159" s="448"/>
      <c r="AX159" s="448"/>
      <c r="AY159" s="448"/>
      <c r="AZ159" s="448"/>
      <c r="BA159" s="448"/>
      <c r="BB159" s="448"/>
      <c r="BC159" s="448"/>
      <c r="BD159" s="448"/>
      <c r="BE159" s="448"/>
      <c r="BF159" s="448"/>
      <c r="BG159" s="448"/>
      <c r="BH159" s="448"/>
      <c r="BI159" s="448"/>
      <c r="BJ159" s="448"/>
      <c r="BK159" s="448"/>
      <c r="BL159" s="448"/>
      <c r="BM159" s="448"/>
      <c r="BN159" s="449"/>
      <c r="BO159" s="447"/>
    </row>
    <row r="160" spans="1:67" ht="17.25" customHeight="1">
      <c r="A160" s="447"/>
      <c r="B160" s="447"/>
      <c r="C160" s="451"/>
      <c r="D160" s="451"/>
      <c r="E160" s="1109"/>
      <c r="F160" s="1109" t="s">
        <v>214</v>
      </c>
      <c r="G160" s="1109"/>
      <c r="H160" s="1109"/>
      <c r="I160" s="1109"/>
      <c r="J160" s="1109"/>
      <c r="K160" s="1110" t="s">
        <v>216</v>
      </c>
      <c r="L160" s="1111"/>
      <c r="M160" s="1111"/>
      <c r="N160" s="1111"/>
      <c r="O160" s="1112"/>
      <c r="P160" s="448"/>
      <c r="Q160" s="1070" t="s">
        <v>85</v>
      </c>
      <c r="R160" s="1070"/>
      <c r="S160" s="1070"/>
      <c r="T160" s="1117">
        <f>E70</f>
        <v>46.1</v>
      </c>
      <c r="U160" s="1117"/>
      <c r="V160" s="1071" t="str">
        <f>CONCATENATE("Lat et Dec - Meme sens ?: ",AC160)</f>
        <v>Lat et Dec - Meme sens ?: TRUE</v>
      </c>
      <c r="W160" s="1071"/>
      <c r="X160" s="1071"/>
      <c r="Y160" s="1071"/>
      <c r="Z160" s="1071"/>
      <c r="AA160" s="1071"/>
      <c r="AB160" s="301"/>
      <c r="AC160" s="448" t="b">
        <f>IF(T160*T161&gt;0,TRUE,FALSE)</f>
        <v>1</v>
      </c>
      <c r="AD160" s="448"/>
      <c r="AE160" s="448"/>
      <c r="AF160" s="448"/>
      <c r="AG160" s="448"/>
      <c r="AH160" s="448"/>
      <c r="AI160" s="448"/>
      <c r="AJ160" s="448"/>
      <c r="AK160" s="448"/>
      <c r="AL160" s="448"/>
      <c r="AM160" s="448"/>
      <c r="AN160" s="448"/>
      <c r="AO160" s="448"/>
      <c r="AP160" s="448"/>
      <c r="AQ160" s="448"/>
      <c r="AR160" s="448"/>
      <c r="AS160" s="448"/>
      <c r="AT160" s="448"/>
      <c r="AU160" s="448"/>
      <c r="AV160" s="448"/>
      <c r="AW160" s="448"/>
      <c r="AX160" s="448"/>
      <c r="AY160" s="448"/>
      <c r="AZ160" s="448"/>
      <c r="BA160" s="448"/>
      <c r="BB160" s="448"/>
      <c r="BC160" s="448"/>
      <c r="BD160" s="448"/>
      <c r="BE160" s="448"/>
      <c r="BF160" s="448"/>
      <c r="BG160" s="448"/>
      <c r="BH160" s="448"/>
      <c r="BI160" s="448"/>
      <c r="BJ160" s="448"/>
      <c r="BK160" s="448"/>
      <c r="BL160" s="448"/>
      <c r="BM160" s="448"/>
      <c r="BN160" s="449"/>
      <c r="BO160" s="447"/>
    </row>
    <row r="161" spans="1:67" ht="17.25" customHeight="1">
      <c r="A161" s="447"/>
      <c r="B161" s="447"/>
      <c r="C161" s="451"/>
      <c r="D161" s="451"/>
      <c r="E161" s="1109"/>
      <c r="F161" s="1109" t="s">
        <v>215</v>
      </c>
      <c r="G161" s="1109"/>
      <c r="H161" s="1109"/>
      <c r="I161" s="1109"/>
      <c r="J161" s="1109"/>
      <c r="K161" s="1110" t="s">
        <v>217</v>
      </c>
      <c r="L161" s="1111"/>
      <c r="M161" s="1111"/>
      <c r="N161" s="1111"/>
      <c r="O161" s="1112"/>
      <c r="P161" s="448"/>
      <c r="Q161" s="1070" t="s">
        <v>84</v>
      </c>
      <c r="R161" s="1070"/>
      <c r="S161" s="1070"/>
      <c r="T161" s="1117">
        <f>F91</f>
        <v>23.133193688349891</v>
      </c>
      <c r="U161" s="1117"/>
      <c r="V161" s="1071" t="str">
        <f>CONCATENATE("Lat &gt; Dec  ? : ",AC161)</f>
        <v>Lat &gt; Dec  ? : TRUE</v>
      </c>
      <c r="W161" s="1071"/>
      <c r="X161" s="1071"/>
      <c r="Y161" s="1071"/>
      <c r="Z161" s="1071"/>
      <c r="AA161" s="1071"/>
      <c r="AB161" s="301"/>
      <c r="AC161" s="470" t="b">
        <f>IF(ABS(T160)&gt;ABS(T161),TRUE, FALSE)</f>
        <v>1</v>
      </c>
      <c r="AD161" s="448"/>
      <c r="AE161" s="448"/>
      <c r="AF161" s="448"/>
      <c r="AG161" s="448"/>
      <c r="AH161" s="448"/>
      <c r="AI161" s="448"/>
      <c r="AJ161" s="448"/>
      <c r="AK161" s="448"/>
      <c r="AL161" s="448"/>
      <c r="AM161" s="448"/>
      <c r="AN161" s="448"/>
      <c r="AO161" s="448"/>
      <c r="AP161" s="448"/>
      <c r="AQ161" s="448"/>
      <c r="AR161" s="448"/>
      <c r="AS161" s="448"/>
      <c r="AT161" s="448"/>
      <c r="AU161" s="448"/>
      <c r="AV161" s="448"/>
      <c r="AW161" s="448"/>
      <c r="AX161" s="448"/>
      <c r="AY161" s="448"/>
      <c r="AZ161" s="448"/>
      <c r="BA161" s="448"/>
      <c r="BB161" s="448"/>
      <c r="BC161" s="448"/>
      <c r="BD161" s="448"/>
      <c r="BE161" s="448"/>
      <c r="BF161" s="448"/>
      <c r="BG161" s="448"/>
      <c r="BH161" s="448"/>
      <c r="BI161" s="448"/>
      <c r="BJ161" s="448"/>
      <c r="BK161" s="448"/>
      <c r="BL161" s="448"/>
      <c r="BM161" s="448"/>
      <c r="BN161" s="449"/>
      <c r="BO161" s="447"/>
    </row>
    <row r="162" spans="1:67" ht="17.25" customHeight="1">
      <c r="A162" s="447"/>
      <c r="B162" s="447"/>
      <c r="C162" s="447"/>
      <c r="D162" s="447"/>
      <c r="E162" s="1125" t="s">
        <v>213</v>
      </c>
      <c r="F162" s="1125"/>
      <c r="G162" s="1125"/>
      <c r="H162" s="1125"/>
      <c r="I162" s="1125"/>
      <c r="J162" s="1125"/>
      <c r="K162" s="1110" t="s">
        <v>218</v>
      </c>
      <c r="L162" s="1111"/>
      <c r="M162" s="1111"/>
      <c r="N162" s="1111"/>
      <c r="O162" s="1112"/>
      <c r="P162" s="448"/>
      <c r="Q162" s="448"/>
      <c r="R162" s="448"/>
      <c r="S162" s="448"/>
      <c r="T162" s="448"/>
      <c r="U162" s="448"/>
      <c r="V162" s="448"/>
      <c r="W162" s="448"/>
      <c r="X162" s="448"/>
      <c r="Y162" s="448"/>
      <c r="Z162" s="448"/>
      <c r="AA162" s="448"/>
      <c r="AB162" s="301"/>
      <c r="AC162" s="448"/>
      <c r="AD162" s="471"/>
      <c r="AE162" s="448"/>
      <c r="AF162" s="448"/>
      <c r="AG162" s="448"/>
      <c r="AH162" s="448"/>
      <c r="AI162" s="448"/>
      <c r="AJ162" s="448"/>
      <c r="AK162" s="448"/>
      <c r="AL162" s="448"/>
      <c r="AM162" s="448"/>
      <c r="AN162" s="448"/>
      <c r="AO162" s="448"/>
      <c r="AP162" s="448"/>
      <c r="AQ162" s="448"/>
      <c r="AR162" s="448"/>
      <c r="AS162" s="448"/>
      <c r="AT162" s="448"/>
      <c r="AU162" s="448"/>
      <c r="AV162" s="448"/>
      <c r="AW162" s="448"/>
      <c r="AX162" s="448"/>
      <c r="AY162" s="448"/>
      <c r="AZ162" s="448"/>
      <c r="BA162" s="448"/>
      <c r="BB162" s="448"/>
      <c r="BC162" s="448"/>
      <c r="BD162" s="448"/>
      <c r="BE162" s="448"/>
      <c r="BF162" s="448"/>
      <c r="BG162" s="448"/>
      <c r="BH162" s="448"/>
      <c r="BI162" s="448"/>
      <c r="BJ162" s="448"/>
      <c r="BK162" s="448"/>
      <c r="BL162" s="448"/>
      <c r="BM162" s="448"/>
      <c r="BN162" s="449"/>
      <c r="BO162" s="447"/>
    </row>
    <row r="163" spans="1:67" ht="17.25" customHeight="1">
      <c r="A163" s="447"/>
      <c r="B163" s="447"/>
      <c r="C163" s="450"/>
      <c r="D163" s="450"/>
      <c r="E163" s="447"/>
      <c r="F163" s="447"/>
      <c r="G163" s="447"/>
      <c r="H163" s="447"/>
      <c r="I163" s="447"/>
      <c r="J163" s="447"/>
      <c r="K163" s="447"/>
      <c r="L163" s="447"/>
      <c r="M163" s="447"/>
      <c r="N163" s="447"/>
      <c r="O163" s="447"/>
      <c r="P163" s="448"/>
      <c r="Q163" s="448"/>
      <c r="R163" s="448"/>
      <c r="S163" s="448"/>
      <c r="T163" s="448"/>
      <c r="U163" s="448"/>
      <c r="V163" s="448"/>
      <c r="W163" s="448"/>
      <c r="X163" s="448"/>
      <c r="Y163" s="448"/>
      <c r="Z163" s="448"/>
      <c r="AA163" s="448"/>
      <c r="AB163" s="301"/>
      <c r="AC163" s="448"/>
      <c r="AD163" s="471"/>
      <c r="AE163" s="448"/>
      <c r="AF163" s="448"/>
      <c r="AG163" s="448"/>
      <c r="AH163" s="448"/>
      <c r="AI163" s="448"/>
      <c r="AJ163" s="448"/>
      <c r="AK163" s="448"/>
      <c r="AL163" s="448"/>
      <c r="AM163" s="448"/>
      <c r="AN163" s="448"/>
      <c r="AO163" s="448"/>
      <c r="AP163" s="448"/>
      <c r="AQ163" s="448"/>
      <c r="AR163" s="448"/>
      <c r="AS163" s="448"/>
      <c r="AT163" s="448"/>
      <c r="AU163" s="448"/>
      <c r="AV163" s="448"/>
      <c r="AW163" s="448"/>
      <c r="AX163" s="448"/>
      <c r="AY163" s="448"/>
      <c r="AZ163" s="448"/>
      <c r="BA163" s="448"/>
      <c r="BB163" s="448"/>
      <c r="BC163" s="448"/>
      <c r="BD163" s="448"/>
      <c r="BE163" s="448"/>
      <c r="BF163" s="448"/>
      <c r="BG163" s="448"/>
      <c r="BH163" s="448"/>
      <c r="BI163" s="448"/>
      <c r="BJ163" s="448"/>
      <c r="BK163" s="448"/>
      <c r="BL163" s="448"/>
      <c r="BM163" s="448"/>
      <c r="BN163" s="449"/>
      <c r="BO163" s="447"/>
    </row>
    <row r="164" spans="1:67" ht="17.25" customHeight="1" thickBot="1">
      <c r="A164" s="447"/>
      <c r="B164" s="447"/>
      <c r="C164" s="450"/>
      <c r="D164" s="450"/>
      <c r="E164" s="450"/>
      <c r="F164" s="450"/>
      <c r="G164" s="450"/>
      <c r="H164" s="447"/>
      <c r="I164" s="447"/>
      <c r="J164" s="447"/>
      <c r="K164" s="447"/>
      <c r="L164" s="447"/>
      <c r="M164" s="448"/>
      <c r="N164" s="448"/>
      <c r="O164" s="448"/>
      <c r="P164" s="448"/>
      <c r="Q164" s="448"/>
      <c r="R164" s="448"/>
      <c r="S164" s="448"/>
      <c r="T164" s="448"/>
      <c r="U164" s="448"/>
      <c r="V164" s="448"/>
      <c r="W164" s="448"/>
      <c r="X164" s="448"/>
      <c r="Y164" s="448"/>
      <c r="Z164" s="448"/>
      <c r="AA164" s="448"/>
      <c r="AB164" s="301"/>
      <c r="AC164" s="448"/>
      <c r="AD164" s="471"/>
      <c r="AE164" s="448"/>
      <c r="AF164" s="448"/>
      <c r="AG164" s="448"/>
      <c r="AH164" s="448"/>
      <c r="AI164" s="448"/>
      <c r="AJ164" s="448"/>
      <c r="AK164" s="448"/>
      <c r="AL164" s="448"/>
      <c r="AM164" s="448"/>
      <c r="AN164" s="448"/>
      <c r="AO164" s="448"/>
      <c r="AP164" s="448"/>
      <c r="AQ164" s="448"/>
      <c r="AR164" s="448"/>
      <c r="AS164" s="448"/>
      <c r="AT164" s="448"/>
      <c r="AU164" s="448"/>
      <c r="AV164" s="448"/>
      <c r="AW164" s="448"/>
      <c r="AX164" s="448"/>
      <c r="AY164" s="448"/>
      <c r="AZ164" s="448"/>
      <c r="BA164" s="448"/>
      <c r="BB164" s="448"/>
      <c r="BC164" s="448"/>
      <c r="BD164" s="448"/>
      <c r="BE164" s="448"/>
      <c r="BF164" s="448"/>
      <c r="BG164" s="448"/>
      <c r="BH164" s="448"/>
      <c r="BI164" s="448"/>
      <c r="BJ164" s="448"/>
      <c r="BK164" s="448"/>
      <c r="BL164" s="448"/>
      <c r="BM164" s="448"/>
      <c r="BN164" s="449"/>
      <c r="BO164" s="447"/>
    </row>
    <row r="165" spans="1:67" ht="17.25" customHeight="1" thickTop="1" thickBot="1">
      <c r="A165" s="447"/>
      <c r="B165" s="447"/>
      <c r="C165" s="450"/>
      <c r="D165" s="450"/>
      <c r="E165" s="450"/>
      <c r="F165" s="450"/>
      <c r="G165" s="450"/>
      <c r="H165" s="562" t="s">
        <v>211</v>
      </c>
      <c r="I165" s="563"/>
      <c r="J165" s="563"/>
      <c r="K165" s="563"/>
      <c r="L165" s="1083"/>
      <c r="M165" s="1076" cm="1">
        <f t="array" ref="M165">astroCalculLatitude(VLOOKUP(T159,AC158:AD159,2,FALSE), T161, Q155)</f>
        <v>45.98890483715634</v>
      </c>
      <c r="N165" s="1077"/>
      <c r="O165" s="472" t="s">
        <v>28</v>
      </c>
      <c r="P165" s="565" t="str">
        <f>latitudeDecimal2Txt(M165)</f>
        <v>N 45°59.33 (N 45.9889) [N 45°59'20.05]</v>
      </c>
      <c r="Q165" s="565"/>
      <c r="R165" s="565"/>
      <c r="S165" s="565"/>
      <c r="T165" s="565"/>
      <c r="U165" s="565"/>
      <c r="V165" s="448" t="s">
        <v>545</v>
      </c>
      <c r="W165" s="448"/>
      <c r="X165" s="448"/>
      <c r="Y165" s="448"/>
      <c r="Z165" s="448"/>
      <c r="AA165" s="448"/>
      <c r="AB165" s="301"/>
      <c r="AC165" s="448"/>
      <c r="AD165" s="448"/>
      <c r="AE165" s="448"/>
      <c r="AF165" s="448"/>
      <c r="AG165" s="448"/>
      <c r="AH165" s="448"/>
      <c r="AI165" s="448"/>
      <c r="AJ165" s="448"/>
      <c r="AK165" s="448"/>
      <c r="AL165" s="448"/>
      <c r="AM165" s="448"/>
      <c r="AN165" s="448"/>
      <c r="AO165" s="448"/>
      <c r="AP165" s="448"/>
      <c r="AQ165" s="448"/>
      <c r="AR165" s="448"/>
      <c r="AS165" s="448"/>
      <c r="AT165" s="448"/>
      <c r="AU165" s="448"/>
      <c r="AV165" s="448"/>
      <c r="AW165" s="448"/>
      <c r="AX165" s="448"/>
      <c r="AY165" s="448"/>
      <c r="AZ165" s="448"/>
      <c r="BA165" s="448"/>
      <c r="BB165" s="448"/>
      <c r="BC165" s="448"/>
      <c r="BD165" s="448"/>
      <c r="BE165" s="448"/>
      <c r="BF165" s="448"/>
      <c r="BG165" s="448"/>
      <c r="BH165" s="448"/>
      <c r="BI165" s="448"/>
      <c r="BJ165" s="448"/>
      <c r="BK165" s="448"/>
      <c r="BL165" s="448"/>
      <c r="BM165" s="448"/>
      <c r="BN165" s="449"/>
      <c r="BO165" s="447"/>
    </row>
    <row r="166" spans="1:67" ht="17.25" customHeight="1" thickTop="1" thickBot="1">
      <c r="A166" s="451"/>
      <c r="B166" s="451"/>
      <c r="C166" s="451"/>
      <c r="D166" s="451"/>
      <c r="E166" s="448"/>
      <c r="F166" s="448"/>
      <c r="G166" s="448"/>
      <c r="H166" s="448"/>
      <c r="I166" s="448"/>
      <c r="J166" s="448"/>
      <c r="K166" s="448"/>
      <c r="L166" s="448"/>
      <c r="M166" s="1067">
        <f>IF(AC160,IF(AC161,I154+T161,T161-I154),I154-T161)</f>
        <v>45.98890483715634</v>
      </c>
      <c r="N166" s="1067"/>
      <c r="O166" s="510" t="s">
        <v>28</v>
      </c>
      <c r="P166" s="565" t="str">
        <f>latitudeDecimal2Txt(M166)</f>
        <v>N 45°59.33 (N 45.9889) [N 45°59'20.05]</v>
      </c>
      <c r="Q166" s="565"/>
      <c r="R166" s="565"/>
      <c r="S166" s="565"/>
      <c r="T166" s="565"/>
      <c r="U166" s="565"/>
      <c r="V166" s="447" t="s">
        <v>546</v>
      </c>
      <c r="W166" s="447"/>
      <c r="X166" s="447"/>
      <c r="Y166" s="447"/>
      <c r="Z166" s="447"/>
      <c r="AA166" s="447"/>
      <c r="AB166" s="301"/>
      <c r="AC166" s="448"/>
      <c r="AD166" s="448"/>
      <c r="AE166" s="448"/>
      <c r="AF166" s="448"/>
      <c r="AG166" s="448"/>
      <c r="AH166" s="448"/>
      <c r="AI166" s="448"/>
      <c r="AJ166" s="448"/>
      <c r="AK166" s="448"/>
      <c r="AL166" s="448"/>
      <c r="AM166" s="448"/>
      <c r="AN166" s="448"/>
      <c r="AO166" s="448"/>
      <c r="AP166" s="448"/>
      <c r="AQ166" s="448"/>
      <c r="AR166" s="448"/>
      <c r="AS166" s="448"/>
      <c r="AT166" s="448"/>
      <c r="AU166" s="448"/>
      <c r="AV166" s="448"/>
      <c r="AW166" s="448"/>
      <c r="AX166" s="448"/>
      <c r="AY166" s="448"/>
      <c r="AZ166" s="448"/>
      <c r="BA166" s="448"/>
      <c r="BB166" s="448"/>
      <c r="BC166" s="448"/>
      <c r="BD166" s="448"/>
      <c r="BE166" s="448"/>
      <c r="BF166" s="448"/>
      <c r="BG166" s="448"/>
      <c r="BH166" s="448"/>
      <c r="BI166" s="448"/>
      <c r="BJ166" s="448"/>
      <c r="BK166" s="448"/>
      <c r="BL166" s="448"/>
      <c r="BM166" s="448"/>
      <c r="BN166" s="449"/>
      <c r="BO166" s="447"/>
    </row>
    <row r="167" spans="1:67" s="360" customFormat="1" ht="17.25" customHeight="1" thickTop="1">
      <c r="A167" s="447"/>
      <c r="B167" s="447"/>
      <c r="C167" s="450"/>
      <c r="D167" s="450"/>
      <c r="E167" s="450"/>
      <c r="F167" s="450"/>
      <c r="G167" s="450"/>
      <c r="H167" s="447"/>
      <c r="I167" s="447"/>
      <c r="J167" s="447"/>
      <c r="K167" s="447"/>
      <c r="L167" s="447"/>
      <c r="M167" s="447"/>
      <c r="N167" s="447"/>
      <c r="O167" s="447"/>
      <c r="P167" s="447"/>
      <c r="Q167" s="447"/>
      <c r="R167" s="447"/>
      <c r="S167" s="447"/>
      <c r="T167" s="447"/>
      <c r="U167" s="447"/>
      <c r="V167" s="447"/>
      <c r="W167" s="447"/>
      <c r="X167" s="447"/>
      <c r="Y167" s="447"/>
      <c r="Z167" s="447"/>
      <c r="AA167" s="447"/>
      <c r="AB167" s="301"/>
      <c r="AC167" s="448"/>
      <c r="AD167" s="448"/>
      <c r="AE167" s="448"/>
      <c r="AF167" s="448"/>
      <c r="AG167" s="448"/>
      <c r="AH167" s="448"/>
      <c r="AI167" s="448"/>
      <c r="AJ167" s="448"/>
      <c r="AK167" s="448"/>
      <c r="AL167" s="448"/>
      <c r="AM167" s="448"/>
      <c r="AN167" s="448"/>
      <c r="AO167" s="448"/>
      <c r="AP167" s="448"/>
      <c r="AQ167" s="448"/>
      <c r="AR167" s="448"/>
      <c r="AS167" s="448"/>
      <c r="AT167" s="448"/>
      <c r="AU167" s="448"/>
      <c r="AV167" s="448"/>
      <c r="AW167" s="448"/>
      <c r="AX167" s="448"/>
      <c r="AY167" s="448"/>
      <c r="AZ167" s="448"/>
      <c r="BA167" s="448"/>
      <c r="BB167" s="448"/>
      <c r="BC167" s="448"/>
      <c r="BD167" s="448"/>
      <c r="BE167" s="448"/>
      <c r="BF167" s="448"/>
      <c r="BG167" s="448"/>
      <c r="BH167" s="448"/>
      <c r="BI167" s="448"/>
      <c r="BJ167" s="448"/>
      <c r="BK167" s="448"/>
      <c r="BL167" s="448"/>
      <c r="BM167" s="448"/>
      <c r="BN167" s="449"/>
      <c r="BO167" s="447"/>
    </row>
    <row r="168" spans="1:67" ht="17.25" customHeight="1" thickBot="1">
      <c r="A168" s="447"/>
      <c r="B168" s="447"/>
      <c r="C168" s="450"/>
      <c r="D168" s="450"/>
      <c r="E168" s="450"/>
      <c r="F168" s="450"/>
      <c r="G168" s="450"/>
      <c r="H168" s="447"/>
      <c r="I168" s="447"/>
      <c r="J168" s="447"/>
      <c r="K168" s="447"/>
      <c r="L168" s="447"/>
      <c r="M168" s="447"/>
      <c r="N168" s="447"/>
      <c r="O168" s="447"/>
      <c r="P168" s="447"/>
      <c r="Q168" s="447"/>
      <c r="R168" s="447"/>
      <c r="S168" s="447"/>
      <c r="T168" s="447"/>
      <c r="U168" s="447"/>
      <c r="V168" s="447"/>
      <c r="W168" s="447"/>
      <c r="X168" s="447"/>
      <c r="Y168" s="447"/>
      <c r="Z168" s="447"/>
      <c r="AA168" s="447"/>
      <c r="AB168" s="301"/>
      <c r="AC168" s="448"/>
      <c r="AD168" s="448"/>
      <c r="AE168" s="448"/>
      <c r="AF168" s="448"/>
      <c r="AG168" s="448"/>
      <c r="AH168" s="448"/>
      <c r="AI168" s="448"/>
      <c r="AJ168" s="448"/>
      <c r="AK168" s="448"/>
      <c r="AL168" s="448"/>
      <c r="AM168" s="448"/>
      <c r="AN168" s="448"/>
      <c r="AO168" s="448"/>
      <c r="AP168" s="448"/>
      <c r="AQ168" s="448"/>
      <c r="AR168" s="448"/>
      <c r="AS168" s="448"/>
      <c r="AT168" s="448"/>
      <c r="AU168" s="448"/>
      <c r="AV168" s="448"/>
      <c r="AW168" s="448"/>
      <c r="AX168" s="448"/>
      <c r="AY168" s="448"/>
      <c r="AZ168" s="448"/>
      <c r="BA168" s="448"/>
      <c r="BB168" s="448"/>
      <c r="BC168" s="448"/>
      <c r="BD168" s="448"/>
      <c r="BE168" s="448"/>
      <c r="BF168" s="448"/>
      <c r="BG168" s="448"/>
      <c r="BH168" s="448"/>
      <c r="BI168" s="448"/>
      <c r="BJ168" s="448"/>
      <c r="BK168" s="448"/>
      <c r="BL168" s="448"/>
      <c r="BM168" s="448"/>
      <c r="BN168" s="449"/>
      <c r="BO168" s="447"/>
    </row>
    <row r="169" spans="1:67" ht="17.25" customHeight="1" thickBot="1">
      <c r="A169" s="447"/>
      <c r="B169" s="379" t="s">
        <v>232</v>
      </c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4"/>
      <c r="AB169" s="302"/>
      <c r="AC169" s="448"/>
      <c r="AD169" s="448"/>
      <c r="AE169" s="448"/>
      <c r="AF169" s="448"/>
      <c r="AG169" s="448"/>
      <c r="AH169" s="448"/>
      <c r="AI169" s="448"/>
      <c r="AJ169" s="448"/>
      <c r="AK169" s="448"/>
      <c r="AL169" s="448"/>
      <c r="AM169" s="448"/>
      <c r="AN169" s="448"/>
      <c r="AO169" s="448"/>
      <c r="AP169" s="448"/>
      <c r="AQ169" s="448"/>
      <c r="AR169" s="448"/>
      <c r="AS169" s="448"/>
      <c r="AT169" s="448"/>
      <c r="AU169" s="448"/>
      <c r="AV169" s="448"/>
      <c r="AW169" s="448"/>
      <c r="AX169" s="448"/>
      <c r="AY169" s="448"/>
      <c r="AZ169" s="448"/>
      <c r="BA169" s="448"/>
      <c r="BB169" s="448"/>
      <c r="BC169" s="448"/>
      <c r="BD169" s="448"/>
      <c r="BE169" s="448"/>
      <c r="BF169" s="448"/>
      <c r="BG169" s="448"/>
      <c r="BH169" s="448"/>
      <c r="BI169" s="448"/>
      <c r="BJ169" s="448"/>
      <c r="BK169" s="448"/>
      <c r="BL169" s="448"/>
      <c r="BM169" s="448"/>
      <c r="BN169" s="449"/>
      <c r="BO169" s="447"/>
    </row>
    <row r="170" spans="1:67" s="360" customFormat="1" ht="17.25" customHeight="1">
      <c r="A170" s="447"/>
      <c r="B170" s="447"/>
      <c r="C170" s="450"/>
      <c r="D170" s="450"/>
      <c r="E170" s="450"/>
      <c r="F170" s="450"/>
      <c r="G170" s="450"/>
      <c r="H170" s="447"/>
      <c r="I170" s="447"/>
      <c r="J170" s="447"/>
      <c r="K170" s="447"/>
      <c r="L170" s="447"/>
      <c r="M170" s="447"/>
      <c r="N170" s="447"/>
      <c r="O170" s="447"/>
      <c r="P170" s="447"/>
      <c r="Q170" s="447"/>
      <c r="R170" s="447"/>
      <c r="S170" s="447"/>
      <c r="T170" s="447"/>
      <c r="U170" s="447"/>
      <c r="V170" s="447"/>
      <c r="W170" s="447"/>
      <c r="X170" s="447"/>
      <c r="Y170" s="447"/>
      <c r="Z170" s="447"/>
      <c r="AA170" s="447"/>
      <c r="AB170" s="301"/>
      <c r="AC170" s="448"/>
      <c r="AD170" s="448"/>
      <c r="AE170" s="448"/>
      <c r="AF170" s="448"/>
      <c r="AG170" s="448"/>
      <c r="AH170" s="448"/>
      <c r="AI170" s="448"/>
      <c r="AJ170" s="448"/>
      <c r="AK170" s="448"/>
      <c r="AL170" s="448"/>
      <c r="AM170" s="448"/>
      <c r="AN170" s="448"/>
      <c r="AO170" s="448"/>
      <c r="AP170" s="448"/>
      <c r="AQ170" s="448"/>
      <c r="AR170" s="448"/>
      <c r="AS170" s="448"/>
      <c r="AT170" s="448"/>
      <c r="AU170" s="448"/>
      <c r="AV170" s="448"/>
      <c r="AW170" s="448"/>
      <c r="AX170" s="448"/>
      <c r="AY170" s="448"/>
      <c r="AZ170" s="448"/>
      <c r="BA170" s="448"/>
      <c r="BB170" s="448"/>
      <c r="BC170" s="448"/>
      <c r="BD170" s="448"/>
      <c r="BE170" s="448"/>
      <c r="BF170" s="448"/>
      <c r="BG170" s="448"/>
      <c r="BH170" s="448"/>
      <c r="BI170" s="448"/>
      <c r="BJ170" s="448"/>
      <c r="BK170" s="448"/>
      <c r="BL170" s="448"/>
      <c r="BM170" s="448"/>
      <c r="BN170" s="449"/>
      <c r="BO170" s="447"/>
    </row>
    <row r="171" spans="1:67" ht="17.25" customHeight="1" thickBot="1">
      <c r="A171" s="447"/>
      <c r="B171" s="447"/>
      <c r="C171" s="1080" t="s">
        <v>233</v>
      </c>
      <c r="D171" s="1080"/>
      <c r="E171" s="1080"/>
      <c r="F171" s="1080"/>
      <c r="G171" s="101"/>
      <c r="H171" s="1080" t="s">
        <v>234</v>
      </c>
      <c r="I171" s="1080"/>
      <c r="J171" s="1080"/>
      <c r="K171" s="447"/>
      <c r="L171" s="1105" t="s">
        <v>223</v>
      </c>
      <c r="M171" s="1105"/>
      <c r="N171" s="1105"/>
      <c r="O171" s="447"/>
      <c r="P171" s="447"/>
      <c r="Q171" s="1106" t="s">
        <v>235</v>
      </c>
      <c r="R171" s="1106"/>
      <c r="S171" s="1106"/>
      <c r="T171" s="1106"/>
      <c r="U171" s="473"/>
      <c r="V171" s="447"/>
      <c r="W171" s="447"/>
      <c r="X171" s="447"/>
      <c r="Y171" s="447"/>
      <c r="Z171" s="447"/>
      <c r="AA171" s="447"/>
      <c r="AB171" s="301"/>
      <c r="AC171" s="448"/>
      <c r="AD171" s="471"/>
      <c r="AE171" s="448"/>
      <c r="AF171" s="448"/>
      <c r="AG171" s="448"/>
      <c r="AH171" s="448"/>
      <c r="AI171" s="448"/>
      <c r="AJ171" s="448"/>
      <c r="AK171" s="448"/>
      <c r="AL171" s="448"/>
      <c r="AM171" s="448"/>
      <c r="AN171" s="448"/>
      <c r="AO171" s="448"/>
      <c r="AP171" s="448"/>
      <c r="AQ171" s="448"/>
      <c r="AR171" s="448"/>
      <c r="AS171" s="448"/>
      <c r="AT171" s="448"/>
      <c r="AU171" s="448"/>
      <c r="AV171" s="448"/>
      <c r="AW171" s="448"/>
      <c r="AX171" s="448"/>
      <c r="AY171" s="448"/>
      <c r="AZ171" s="448"/>
      <c r="BA171" s="448"/>
      <c r="BB171" s="448"/>
      <c r="BC171" s="448"/>
      <c r="BD171" s="448"/>
      <c r="BE171" s="448"/>
      <c r="BF171" s="448"/>
      <c r="BG171" s="448"/>
      <c r="BH171" s="448"/>
      <c r="BI171" s="448"/>
      <c r="BJ171" s="448"/>
      <c r="BK171" s="448"/>
      <c r="BL171" s="448"/>
      <c r="BM171" s="448"/>
      <c r="BN171" s="449"/>
      <c r="BO171" s="447"/>
    </row>
    <row r="172" spans="1:67" ht="17.25" customHeight="1" thickTop="1" thickBot="1">
      <c r="A172" s="447"/>
      <c r="B172" s="447"/>
      <c r="C172" s="450"/>
      <c r="D172" s="516" t="s">
        <v>41</v>
      </c>
      <c r="E172" s="640">
        <f>M165</f>
        <v>45.98890483715634</v>
      </c>
      <c r="F172" s="640"/>
      <c r="G172" s="450"/>
      <c r="H172" s="447"/>
      <c r="I172" s="640">
        <f>W159</f>
        <v>0</v>
      </c>
      <c r="J172" s="640"/>
      <c r="K172" s="447" t="s">
        <v>104</v>
      </c>
      <c r="L172" s="447"/>
      <c r="M172" s="640">
        <v>180</v>
      </c>
      <c r="N172" s="640"/>
      <c r="O172" s="447"/>
      <c r="P172" s="447"/>
      <c r="Q172" s="447"/>
      <c r="R172" s="519" t="s">
        <v>41</v>
      </c>
      <c r="S172" s="564">
        <f>E172</f>
        <v>45.98890483715634</v>
      </c>
      <c r="T172" s="564"/>
      <c r="U172" s="565" t="str" cm="1">
        <f t="array" ref="U172">latitudeDecimal2Txt(S172)</f>
        <v>N 45°59.33 (N 45.9889) [N 45°59'20.05]</v>
      </c>
      <c r="V172" s="565"/>
      <c r="W172" s="565"/>
      <c r="X172" s="565"/>
      <c r="Y172" s="565"/>
      <c r="Z172" s="565"/>
      <c r="AA172" s="447"/>
      <c r="AB172" s="301"/>
      <c r="AC172" s="448"/>
      <c r="AD172" s="471"/>
      <c r="AE172" s="448"/>
      <c r="AF172" s="448"/>
      <c r="AG172" s="448"/>
      <c r="AH172" s="448"/>
      <c r="AI172" s="448"/>
      <c r="AJ172" s="448"/>
      <c r="AK172" s="448"/>
      <c r="AL172" s="448"/>
      <c r="AM172" s="448"/>
      <c r="AN172" s="448"/>
      <c r="AO172" s="448"/>
      <c r="AP172" s="448"/>
      <c r="AQ172" s="448"/>
      <c r="AR172" s="448"/>
      <c r="AS172" s="448"/>
      <c r="AT172" s="448"/>
      <c r="AU172" s="448"/>
      <c r="AV172" s="448"/>
      <c r="AW172" s="448"/>
      <c r="AX172" s="448"/>
      <c r="AY172" s="448"/>
      <c r="AZ172" s="448"/>
      <c r="BA172" s="448"/>
      <c r="BB172" s="448"/>
      <c r="BC172" s="448"/>
      <c r="BD172" s="448"/>
      <c r="BE172" s="448"/>
      <c r="BF172" s="448"/>
      <c r="BG172" s="448"/>
      <c r="BH172" s="448"/>
      <c r="BI172" s="448"/>
      <c r="BJ172" s="448"/>
      <c r="BK172" s="448"/>
      <c r="BL172" s="448"/>
      <c r="BM172" s="448"/>
      <c r="BN172" s="449"/>
      <c r="BO172" s="447"/>
    </row>
    <row r="173" spans="1:67" ht="17.25" customHeight="1" thickTop="1">
      <c r="A173" s="447"/>
      <c r="B173" s="447"/>
      <c r="C173" s="450"/>
      <c r="D173" s="447"/>
      <c r="E173" s="450"/>
      <c r="F173" s="450"/>
      <c r="G173" s="450"/>
      <c r="H173" s="447"/>
      <c r="I173" s="447"/>
      <c r="J173" s="447"/>
      <c r="K173" s="447"/>
      <c r="L173" s="447"/>
      <c r="M173" s="447"/>
      <c r="N173" s="447"/>
      <c r="O173" s="447"/>
      <c r="P173" s="447"/>
      <c r="Q173" s="447"/>
      <c r="R173" s="447"/>
      <c r="S173" s="447"/>
      <c r="T173" s="447"/>
      <c r="U173" s="447"/>
      <c r="V173" s="447"/>
      <c r="W173" s="447"/>
      <c r="X173" s="447"/>
      <c r="Y173" s="447"/>
      <c r="Z173" s="447"/>
      <c r="AA173" s="447"/>
      <c r="AB173" s="301"/>
      <c r="AC173" s="448"/>
      <c r="AD173" s="448"/>
      <c r="AE173" s="448"/>
      <c r="AF173" s="448"/>
      <c r="AG173" s="448"/>
      <c r="AH173" s="448"/>
      <c r="AI173" s="448"/>
      <c r="AJ173" s="448"/>
      <c r="AK173" s="448"/>
      <c r="AL173" s="448"/>
      <c r="AM173" s="448"/>
      <c r="AN173" s="448"/>
      <c r="AO173" s="448"/>
      <c r="AP173" s="448"/>
      <c r="AQ173" s="448"/>
      <c r="AR173" s="448"/>
      <c r="AS173" s="448"/>
      <c r="AT173" s="448"/>
      <c r="AU173" s="448"/>
      <c r="AV173" s="448"/>
      <c r="AW173" s="448"/>
      <c r="AX173" s="448"/>
      <c r="AY173" s="448"/>
      <c r="AZ173" s="448"/>
      <c r="BA173" s="448"/>
      <c r="BB173" s="448"/>
      <c r="BC173" s="448"/>
      <c r="BD173" s="448"/>
      <c r="BE173" s="448"/>
      <c r="BF173" s="448"/>
      <c r="BG173" s="448"/>
      <c r="BH173" s="448"/>
      <c r="BI173" s="448"/>
      <c r="BJ173" s="448"/>
      <c r="BK173" s="448"/>
      <c r="BL173" s="448"/>
      <c r="BM173" s="448"/>
      <c r="BN173" s="449"/>
      <c r="BO173" s="447"/>
    </row>
    <row r="174" spans="1:67" ht="17.25" customHeight="1">
      <c r="A174" s="447"/>
      <c r="B174" s="447"/>
      <c r="C174" s="448"/>
      <c r="D174" s="448"/>
      <c r="E174" s="448"/>
      <c r="F174" s="450"/>
      <c r="G174" s="450"/>
      <c r="H174" s="447"/>
      <c r="I174" s="447"/>
      <c r="J174" s="447"/>
      <c r="K174" s="447"/>
      <c r="L174" s="447"/>
      <c r="M174" s="447"/>
      <c r="N174" s="447"/>
      <c r="O174" s="447"/>
      <c r="P174" s="447"/>
      <c r="Q174" s="1106" t="s">
        <v>236</v>
      </c>
      <c r="R174" s="1106"/>
      <c r="S174" s="1106"/>
      <c r="T174" s="447"/>
      <c r="U174" s="447"/>
      <c r="V174" s="447"/>
      <c r="W174" s="447"/>
      <c r="X174" s="447"/>
      <c r="Y174" s="447"/>
      <c r="Z174" s="447"/>
      <c r="AA174" s="447"/>
      <c r="AB174" s="301"/>
      <c r="AC174" s="448"/>
      <c r="AD174" s="448"/>
      <c r="AE174" s="448"/>
      <c r="AF174" s="448"/>
      <c r="AG174" s="448"/>
      <c r="AH174" s="448"/>
      <c r="AI174" s="448"/>
      <c r="AJ174" s="448"/>
      <c r="AK174" s="448"/>
      <c r="AL174" s="448"/>
      <c r="AM174" s="448"/>
      <c r="AN174" s="448"/>
      <c r="AO174" s="448"/>
      <c r="AP174" s="448"/>
      <c r="AQ174" s="448"/>
      <c r="AR174" s="448"/>
      <c r="AS174" s="448"/>
      <c r="AT174" s="448"/>
      <c r="AU174" s="448"/>
      <c r="AV174" s="448"/>
      <c r="AW174" s="448"/>
      <c r="AX174" s="448"/>
      <c r="AY174" s="448"/>
      <c r="AZ174" s="448"/>
      <c r="BA174" s="448"/>
      <c r="BB174" s="448"/>
      <c r="BC174" s="448"/>
      <c r="BD174" s="448"/>
      <c r="BE174" s="448"/>
      <c r="BF174" s="448"/>
      <c r="BG174" s="448"/>
      <c r="BH174" s="448"/>
      <c r="BI174" s="448"/>
      <c r="BJ174" s="448"/>
      <c r="BK174" s="448"/>
      <c r="BL174" s="448"/>
      <c r="BM174" s="448"/>
      <c r="BN174" s="449"/>
      <c r="BO174" s="447"/>
    </row>
    <row r="175" spans="1:67" ht="17.25" customHeight="1">
      <c r="A175" s="447"/>
      <c r="B175" s="447"/>
      <c r="C175" s="450"/>
      <c r="D175" s="450"/>
      <c r="E175" s="450"/>
      <c r="F175" s="450"/>
      <c r="G175" s="450"/>
      <c r="H175" s="447"/>
      <c r="I175" s="447"/>
      <c r="J175" s="447"/>
      <c r="K175" s="447"/>
      <c r="L175" s="447"/>
      <c r="M175" s="447"/>
      <c r="N175" s="447"/>
      <c r="O175" s="447"/>
      <c r="P175" s="447"/>
      <c r="Q175" s="447"/>
      <c r="R175" s="1107">
        <f>M172-90</f>
        <v>90</v>
      </c>
      <c r="S175" s="1108"/>
      <c r="T175" s="474" t="s">
        <v>28</v>
      </c>
      <c r="U175" s="447"/>
      <c r="V175" s="447"/>
      <c r="W175" s="447"/>
      <c r="X175" s="447"/>
      <c r="Y175" s="447"/>
      <c r="Z175" s="447"/>
      <c r="AA175" s="447"/>
      <c r="AB175" s="301"/>
      <c r="AC175" s="448"/>
      <c r="AD175" s="448"/>
      <c r="AE175" s="448"/>
      <c r="AF175" s="448"/>
      <c r="AG175" s="448"/>
      <c r="AH175" s="448"/>
      <c r="AI175" s="448"/>
      <c r="AJ175" s="448"/>
      <c r="AK175" s="448"/>
      <c r="AL175" s="448"/>
      <c r="AM175" s="448"/>
      <c r="AN175" s="448"/>
      <c r="AO175" s="448"/>
      <c r="AP175" s="448"/>
      <c r="AQ175" s="448"/>
      <c r="AR175" s="448"/>
      <c r="AS175" s="448"/>
      <c r="AT175" s="448"/>
      <c r="AU175" s="448"/>
      <c r="AV175" s="448"/>
      <c r="AW175" s="448"/>
      <c r="AX175" s="448"/>
      <c r="AY175" s="448"/>
      <c r="AZ175" s="448"/>
      <c r="BA175" s="448"/>
      <c r="BB175" s="448"/>
      <c r="BC175" s="448"/>
      <c r="BD175" s="448"/>
      <c r="BE175" s="448"/>
      <c r="BF175" s="448"/>
      <c r="BG175" s="448"/>
      <c r="BH175" s="448"/>
      <c r="BI175" s="448"/>
      <c r="BJ175" s="448"/>
      <c r="BK175" s="448"/>
      <c r="BL175" s="448"/>
      <c r="BM175" s="448"/>
      <c r="BN175" s="449"/>
      <c r="BO175" s="447"/>
    </row>
    <row r="176" spans="1:67" ht="17.25" customHeight="1">
      <c r="A176" s="448"/>
      <c r="B176" s="448"/>
      <c r="C176" s="448"/>
      <c r="D176" s="448"/>
      <c r="E176" s="448"/>
      <c r="F176" s="448"/>
      <c r="G176" s="448"/>
      <c r="H176" s="448"/>
      <c r="I176" s="448"/>
      <c r="J176" s="448"/>
      <c r="K176" s="448"/>
      <c r="L176" s="448"/>
      <c r="M176" s="448"/>
      <c r="N176" s="448"/>
      <c r="O176" s="448"/>
      <c r="P176" s="448"/>
      <c r="Q176" s="448"/>
      <c r="R176" s="448"/>
      <c r="S176" s="448"/>
      <c r="T176" s="448"/>
      <c r="U176" s="448"/>
      <c r="V176" s="448"/>
      <c r="W176" s="448"/>
      <c r="X176" s="448"/>
      <c r="Y176" s="448"/>
      <c r="Z176" s="448"/>
      <c r="AA176" s="448"/>
      <c r="AC176" s="448"/>
      <c r="AD176" s="448"/>
      <c r="AE176" s="448"/>
      <c r="AF176" s="448"/>
      <c r="AG176" s="448"/>
      <c r="AH176" s="448"/>
      <c r="AI176" s="448"/>
      <c r="AJ176" s="448"/>
      <c r="AK176" s="448"/>
      <c r="AL176" s="448"/>
      <c r="AM176" s="448"/>
      <c r="AN176" s="448"/>
      <c r="AO176" s="448"/>
      <c r="AP176" s="448"/>
      <c r="AQ176" s="448"/>
      <c r="AR176" s="448"/>
      <c r="AS176" s="448"/>
      <c r="AT176" s="448"/>
      <c r="AU176" s="448"/>
      <c r="AV176" s="448"/>
      <c r="AW176" s="448"/>
      <c r="AX176" s="448"/>
      <c r="AY176" s="448"/>
      <c r="AZ176" s="448"/>
      <c r="BA176" s="448"/>
      <c r="BB176" s="448"/>
      <c r="BC176" s="448"/>
      <c r="BD176" s="448"/>
      <c r="BE176" s="448"/>
      <c r="BF176" s="448"/>
      <c r="BG176" s="448"/>
      <c r="BH176" s="448"/>
      <c r="BI176" s="448"/>
      <c r="BJ176" s="448"/>
      <c r="BK176" s="448"/>
      <c r="BL176" s="448"/>
      <c r="BM176" s="448"/>
      <c r="BN176" s="448"/>
      <c r="BO176" s="448"/>
    </row>
    <row r="177" spans="1:67" ht="17.25" customHeight="1" thickBot="1">
      <c r="A177" s="448"/>
      <c r="B177" s="448"/>
      <c r="C177" s="448"/>
      <c r="D177" s="448"/>
      <c r="E177" s="448"/>
      <c r="F177" s="448"/>
      <c r="G177" s="448"/>
      <c r="H177" s="448"/>
      <c r="I177" s="448"/>
      <c r="J177" s="448"/>
      <c r="K177" s="448"/>
      <c r="L177" s="448"/>
      <c r="M177" s="448"/>
      <c r="N177" s="448"/>
      <c r="O177" s="448"/>
      <c r="P177" s="448"/>
      <c r="Q177" s="448"/>
      <c r="R177" s="448"/>
      <c r="S177" s="448"/>
      <c r="T177" s="448"/>
      <c r="U177" s="448"/>
      <c r="V177" s="448"/>
      <c r="W177" s="448"/>
      <c r="X177" s="448"/>
      <c r="Y177" s="448"/>
      <c r="Z177" s="448"/>
      <c r="AA177" s="448"/>
      <c r="AC177" s="448"/>
      <c r="AD177" s="448"/>
      <c r="AE177" s="448"/>
      <c r="AF177" s="448"/>
      <c r="AG177" s="448"/>
      <c r="AH177" s="448"/>
      <c r="AI177" s="448"/>
      <c r="AJ177" s="448"/>
      <c r="AK177" s="448"/>
      <c r="AL177" s="448"/>
      <c r="AM177" s="448"/>
      <c r="AN177" s="448"/>
      <c r="AO177" s="448"/>
      <c r="AP177" s="448"/>
      <c r="AQ177" s="448"/>
      <c r="AR177" s="448"/>
      <c r="AS177" s="448"/>
      <c r="AT177" s="448"/>
      <c r="AU177" s="448"/>
      <c r="AV177" s="448"/>
      <c r="AW177" s="448"/>
      <c r="AX177" s="448"/>
      <c r="AY177" s="448"/>
      <c r="AZ177" s="448"/>
      <c r="BA177" s="448"/>
      <c r="BB177" s="448"/>
      <c r="BC177" s="448"/>
      <c r="BD177" s="448"/>
      <c r="BE177" s="448"/>
      <c r="BF177" s="448"/>
      <c r="BG177" s="448"/>
      <c r="BH177" s="448"/>
      <c r="BI177" s="448"/>
      <c r="BJ177" s="448"/>
      <c r="BK177" s="448"/>
      <c r="BL177" s="448"/>
      <c r="BM177" s="448"/>
      <c r="BN177" s="448"/>
      <c r="BO177" s="448"/>
    </row>
    <row r="178" spans="1:67" ht="17.25" customHeight="1" thickBot="1">
      <c r="A178" s="448"/>
      <c r="B178" s="512" t="s">
        <v>240</v>
      </c>
      <c r="C178" s="513"/>
      <c r="D178" s="513"/>
      <c r="E178" s="513"/>
      <c r="F178" s="513"/>
      <c r="G178" s="513"/>
      <c r="H178" s="513"/>
      <c r="I178" s="513"/>
      <c r="J178" s="513"/>
      <c r="K178" s="513"/>
      <c r="L178" s="513"/>
      <c r="M178" s="513"/>
      <c r="N178" s="513"/>
      <c r="O178" s="513"/>
      <c r="P178" s="513"/>
      <c r="Q178" s="513"/>
      <c r="R178" s="513"/>
      <c r="S178" s="513"/>
      <c r="T178" s="513"/>
      <c r="U178" s="513"/>
      <c r="V178" s="513"/>
      <c r="W178" s="513"/>
      <c r="X178" s="513"/>
      <c r="Y178" s="513"/>
      <c r="Z178" s="513"/>
      <c r="AA178" s="514"/>
      <c r="AC178" s="448"/>
      <c r="AD178" s="448"/>
      <c r="AE178" s="448"/>
      <c r="AF178" s="448"/>
      <c r="AG178" s="448"/>
      <c r="AH178" s="448"/>
      <c r="AI178" s="448"/>
      <c r="AJ178" s="448"/>
      <c r="AK178" s="448"/>
      <c r="AL178" s="448"/>
      <c r="AM178" s="448"/>
      <c r="AN178" s="448"/>
      <c r="AO178" s="448"/>
      <c r="AP178" s="448"/>
      <c r="AQ178" s="448"/>
      <c r="AR178" s="448"/>
      <c r="AS178" s="448"/>
      <c r="AT178" s="448"/>
      <c r="AU178" s="448"/>
      <c r="AV178" s="448"/>
      <c r="AW178" s="448"/>
      <c r="AX178" s="448"/>
      <c r="AY178" s="448"/>
      <c r="AZ178" s="448"/>
      <c r="BA178" s="448"/>
      <c r="BB178" s="448"/>
      <c r="BC178" s="448"/>
      <c r="BD178" s="448"/>
      <c r="BE178" s="448"/>
      <c r="BF178" s="448"/>
      <c r="BG178" s="448"/>
      <c r="BH178" s="448"/>
      <c r="BI178" s="448"/>
      <c r="BJ178" s="448"/>
      <c r="BK178" s="448"/>
      <c r="BL178" s="448"/>
      <c r="BM178" s="448"/>
      <c r="BN178" s="448"/>
      <c r="BO178" s="448"/>
    </row>
    <row r="179" spans="1:67" ht="17.25" customHeight="1">
      <c r="A179" s="448"/>
      <c r="B179" s="448"/>
      <c r="C179" s="448"/>
      <c r="D179" s="448"/>
      <c r="E179" s="448"/>
      <c r="F179" s="448"/>
      <c r="G179" s="448"/>
      <c r="H179" s="448"/>
      <c r="I179" s="448"/>
      <c r="J179" s="448"/>
      <c r="K179" s="448"/>
      <c r="L179" s="448"/>
      <c r="M179" s="448"/>
      <c r="N179" s="448"/>
      <c r="O179" s="448"/>
      <c r="P179" s="448"/>
      <c r="Q179" s="448"/>
      <c r="R179" s="448"/>
      <c r="S179" s="448"/>
      <c r="T179" s="448"/>
      <c r="U179" s="448"/>
      <c r="V179" s="448"/>
      <c r="W179" s="448"/>
      <c r="X179" s="448"/>
      <c r="Y179" s="448"/>
      <c r="Z179" s="448"/>
      <c r="AA179" s="448"/>
      <c r="AC179" s="448"/>
      <c r="AD179" s="471"/>
      <c r="AE179" s="448"/>
      <c r="AF179" s="448"/>
      <c r="AG179" s="448"/>
      <c r="AH179" s="448"/>
      <c r="AI179" s="448"/>
      <c r="AJ179" s="448"/>
      <c r="AK179" s="448"/>
      <c r="AL179" s="448"/>
      <c r="AM179" s="448"/>
      <c r="AN179" s="448"/>
      <c r="AO179" s="448"/>
      <c r="AP179" s="448"/>
      <c r="AQ179" s="448"/>
      <c r="AR179" s="448"/>
      <c r="AS179" s="448"/>
      <c r="AT179" s="448"/>
      <c r="AU179" s="448"/>
      <c r="AV179" s="448"/>
      <c r="AW179" s="448"/>
      <c r="AX179" s="448"/>
      <c r="AY179" s="448"/>
      <c r="AZ179" s="448"/>
      <c r="BA179" s="448"/>
      <c r="BB179" s="448"/>
      <c r="BC179" s="448"/>
      <c r="BD179" s="448"/>
      <c r="BE179" s="448"/>
      <c r="BF179" s="448"/>
      <c r="BG179" s="448"/>
      <c r="BH179" s="448"/>
      <c r="BI179" s="448"/>
      <c r="BJ179" s="448"/>
      <c r="BK179" s="448"/>
      <c r="BL179" s="448"/>
      <c r="BM179" s="448"/>
      <c r="BN179" s="448"/>
      <c r="BO179" s="448"/>
    </row>
    <row r="180" spans="1:67" ht="17.25" customHeight="1" thickBot="1">
      <c r="A180" s="448"/>
      <c r="B180" s="448"/>
      <c r="C180" s="1081" t="s">
        <v>235</v>
      </c>
      <c r="D180" s="1081"/>
      <c r="E180" s="1081"/>
      <c r="F180" s="1081"/>
      <c r="G180" s="473"/>
      <c r="H180" s="447"/>
      <c r="I180" s="447"/>
      <c r="J180" s="447"/>
      <c r="K180" s="447"/>
      <c r="L180" s="447"/>
      <c r="M180" s="448"/>
      <c r="N180" s="448"/>
      <c r="O180" s="448"/>
      <c r="P180" s="448"/>
      <c r="Q180" s="518" t="s">
        <v>241</v>
      </c>
      <c r="R180" s="518"/>
      <c r="S180" s="518"/>
      <c r="T180" s="518"/>
      <c r="U180" s="518"/>
      <c r="V180" s="518"/>
      <c r="W180" s="518"/>
      <c r="X180" s="448"/>
      <c r="Y180" s="448"/>
      <c r="Z180" s="448"/>
      <c r="AA180" s="448"/>
      <c r="AC180" s="448"/>
      <c r="AD180" s="448"/>
      <c r="AE180" s="448"/>
      <c r="AF180" s="448"/>
      <c r="AG180" s="448"/>
      <c r="AH180" s="448"/>
      <c r="AI180" s="448"/>
      <c r="AJ180" s="448"/>
      <c r="AK180" s="448"/>
      <c r="AL180" s="448"/>
      <c r="AM180" s="448"/>
      <c r="AN180" s="448"/>
      <c r="AO180" s="448"/>
      <c r="AP180" s="448"/>
      <c r="AQ180" s="448"/>
      <c r="AR180" s="448"/>
      <c r="AS180" s="448"/>
      <c r="AT180" s="448"/>
      <c r="AU180" s="448"/>
      <c r="AV180" s="448"/>
      <c r="AW180" s="448"/>
      <c r="AX180" s="448"/>
      <c r="AY180" s="448"/>
      <c r="AZ180" s="448"/>
      <c r="BA180" s="448"/>
      <c r="BB180" s="448"/>
      <c r="BC180" s="448"/>
      <c r="BD180" s="448"/>
      <c r="BE180" s="448"/>
      <c r="BF180" s="448"/>
      <c r="BG180" s="448"/>
      <c r="BH180" s="448"/>
      <c r="BI180" s="448"/>
      <c r="BJ180" s="448"/>
      <c r="BK180" s="448"/>
      <c r="BL180" s="448"/>
      <c r="BM180" s="448"/>
      <c r="BN180" s="448"/>
      <c r="BO180" s="448"/>
    </row>
    <row r="181" spans="1:67" ht="17.25" customHeight="1" thickTop="1" thickBot="1">
      <c r="A181" s="448"/>
      <c r="B181" s="448"/>
      <c r="C181" s="448"/>
      <c r="D181" s="517" t="s">
        <v>41</v>
      </c>
      <c r="E181" s="640">
        <f>I190</f>
        <v>0</v>
      </c>
      <c r="F181" s="640"/>
      <c r="G181" s="565" t="str" cm="1">
        <f t="array" ref="G181">latitudeDecimal2Txt(E181)</f>
        <v>N 00°00.00 (N 00.0000) [N 00°00'00.00]</v>
      </c>
      <c r="H181" s="565"/>
      <c r="I181" s="565"/>
      <c r="J181" s="565"/>
      <c r="K181" s="565"/>
      <c r="L181" s="565"/>
      <c r="M181" s="448"/>
      <c r="N181" s="448"/>
      <c r="O181" s="448"/>
      <c r="P181" s="448"/>
      <c r="Q181" s="448"/>
      <c r="R181" s="519" t="s">
        <v>41</v>
      </c>
      <c r="S181" s="564">
        <f>AG184</f>
        <v>45.98890483715634</v>
      </c>
      <c r="T181" s="564"/>
      <c r="U181" s="565" t="str" cm="1">
        <f t="array" ref="U181">latitudeDecimal2Txt(S181)</f>
        <v>N 45°59.33 (N 45.9889) [N 45°59'20.05]</v>
      </c>
      <c r="V181" s="565"/>
      <c r="W181" s="565"/>
      <c r="X181" s="565"/>
      <c r="Y181" s="565"/>
      <c r="Z181" s="565"/>
      <c r="AA181" s="448"/>
      <c r="AC181" s="448" t="s">
        <v>271</v>
      </c>
      <c r="AD181" s="471">
        <f>D185</f>
        <v>30</v>
      </c>
      <c r="AE181" s="448"/>
      <c r="AF181" s="448"/>
      <c r="AG181" s="448"/>
      <c r="AH181" s="448"/>
      <c r="AI181" s="448"/>
      <c r="AJ181" s="448"/>
      <c r="AK181" s="448"/>
      <c r="AL181" s="448"/>
      <c r="AM181" s="448"/>
      <c r="AN181" s="448"/>
      <c r="AO181" s="448"/>
      <c r="AP181" s="448"/>
      <c r="AQ181" s="448"/>
      <c r="AR181" s="448"/>
      <c r="AS181" s="448"/>
      <c r="AT181" s="448"/>
      <c r="AU181" s="448"/>
      <c r="AV181" s="448"/>
      <c r="AW181" s="448"/>
      <c r="AX181" s="448"/>
      <c r="AY181" s="448"/>
      <c r="AZ181" s="448"/>
      <c r="BA181" s="448"/>
      <c r="BB181" s="448"/>
      <c r="BC181" s="448"/>
      <c r="BD181" s="448"/>
      <c r="BE181" s="448"/>
      <c r="BF181" s="448"/>
      <c r="BG181" s="448"/>
      <c r="BH181" s="448"/>
      <c r="BI181" s="448"/>
      <c r="BJ181" s="448"/>
      <c r="BK181" s="448"/>
      <c r="BL181" s="448"/>
      <c r="BM181" s="448"/>
      <c r="BN181" s="448"/>
      <c r="BO181" s="448"/>
    </row>
    <row r="182" spans="1:67" ht="17.25" customHeight="1" thickTop="1" thickBot="1">
      <c r="A182" s="448"/>
      <c r="B182" s="448"/>
      <c r="C182" s="448"/>
      <c r="D182" s="517" t="s">
        <v>42</v>
      </c>
      <c r="E182" s="640">
        <v>-7</v>
      </c>
      <c r="F182" s="640"/>
      <c r="G182" s="565" t="str" cm="1">
        <f t="array" ref="G182">longitudeDecimal2Txt(E182)</f>
        <v>W 07°00.00 (W 07.0000) [W 07°00'00.00]</v>
      </c>
      <c r="H182" s="565"/>
      <c r="I182" s="565"/>
      <c r="J182" s="565"/>
      <c r="K182" s="565"/>
      <c r="L182" s="565"/>
      <c r="M182" s="448"/>
      <c r="N182" s="448"/>
      <c r="O182" s="448"/>
      <c r="P182" s="448"/>
      <c r="Q182" s="448"/>
      <c r="R182" s="519" t="s">
        <v>42</v>
      </c>
      <c r="S182" s="564">
        <f>AG185</f>
        <v>19.551706587468296</v>
      </c>
      <c r="T182" s="564"/>
      <c r="U182" s="565" t="str" cm="1">
        <f t="array" ref="U182">longitudeDecimal2Txt(S182)</f>
        <v>E 19°33.10 (E 19.5517) [E 19°33'06.14]</v>
      </c>
      <c r="V182" s="565"/>
      <c r="W182" s="565"/>
      <c r="X182" s="565"/>
      <c r="Y182" s="565"/>
      <c r="Z182" s="565"/>
      <c r="AA182" s="448"/>
      <c r="AC182" s="476" t="s">
        <v>273</v>
      </c>
      <c r="AD182" s="471">
        <f>E181</f>
        <v>0</v>
      </c>
      <c r="AE182" s="448"/>
      <c r="AF182" s="448"/>
      <c r="AG182" s="448"/>
      <c r="AH182" s="448"/>
      <c r="AI182" s="448"/>
      <c r="AJ182" s="448"/>
      <c r="AK182" s="448"/>
      <c r="AL182" s="448"/>
      <c r="AM182" s="448"/>
      <c r="AN182" s="448"/>
      <c r="AO182" s="448"/>
      <c r="AP182" s="448"/>
      <c r="AQ182" s="448"/>
      <c r="AR182" s="448"/>
      <c r="AS182" s="448"/>
      <c r="AT182" s="448"/>
      <c r="AU182" s="448"/>
      <c r="AV182" s="448"/>
      <c r="AW182" s="448"/>
      <c r="AX182" s="448"/>
      <c r="AY182" s="448"/>
      <c r="AZ182" s="448"/>
      <c r="BA182" s="448"/>
      <c r="BB182" s="448"/>
      <c r="BC182" s="448"/>
      <c r="BD182" s="448"/>
      <c r="BE182" s="448"/>
      <c r="BF182" s="448"/>
      <c r="BG182" s="448"/>
      <c r="BH182" s="448"/>
      <c r="BI182" s="448"/>
      <c r="BJ182" s="448"/>
      <c r="BK182" s="448"/>
      <c r="BL182" s="448"/>
      <c r="BM182" s="448"/>
      <c r="BN182" s="448"/>
      <c r="BO182" s="448"/>
    </row>
    <row r="183" spans="1:67" ht="17.25" customHeight="1" thickTop="1">
      <c r="A183" s="448"/>
      <c r="B183" s="448"/>
      <c r="C183" s="447"/>
      <c r="D183" s="447"/>
      <c r="E183" s="447"/>
      <c r="F183" s="447"/>
      <c r="G183" s="447"/>
      <c r="H183" s="447"/>
      <c r="I183" s="447"/>
      <c r="J183" s="447"/>
      <c r="K183" s="447"/>
      <c r="L183" s="447"/>
      <c r="M183" s="448"/>
      <c r="N183" s="448"/>
      <c r="O183" s="448"/>
      <c r="P183" s="448"/>
      <c r="Q183" s="448"/>
      <c r="R183" s="448"/>
      <c r="S183" s="448"/>
      <c r="T183" s="448"/>
      <c r="U183" s="448"/>
      <c r="V183" s="448"/>
      <c r="W183" s="448"/>
      <c r="X183" s="448"/>
      <c r="Y183" s="448"/>
      <c r="Z183" s="448"/>
      <c r="AA183" s="448"/>
      <c r="AC183" s="448" t="s">
        <v>274</v>
      </c>
      <c r="AD183" s="471">
        <f>E182</f>
        <v>-7</v>
      </c>
      <c r="AE183" s="448"/>
      <c r="AF183" s="448"/>
      <c r="AG183" s="448"/>
      <c r="AH183" s="448"/>
      <c r="AI183" s="448"/>
      <c r="AJ183" s="448"/>
      <c r="AK183" s="448"/>
      <c r="AL183" s="448"/>
      <c r="AM183" s="448"/>
      <c r="AN183" s="448"/>
      <c r="AO183" s="448"/>
      <c r="AP183" s="448"/>
      <c r="AQ183" s="448"/>
      <c r="AR183" s="448"/>
      <c r="AS183" s="448"/>
      <c r="AT183" s="448"/>
      <c r="AU183" s="448"/>
      <c r="AV183" s="448"/>
      <c r="AW183" s="448"/>
      <c r="AX183" s="448"/>
      <c r="AY183" s="448"/>
      <c r="AZ183" s="448"/>
      <c r="BA183" s="448"/>
      <c r="BB183" s="448"/>
      <c r="BC183" s="448"/>
      <c r="BD183" s="448"/>
      <c r="BE183" s="448"/>
      <c r="BF183" s="448"/>
      <c r="BG183" s="448"/>
      <c r="BH183" s="448"/>
      <c r="BI183" s="448"/>
      <c r="BJ183" s="448"/>
      <c r="BK183" s="448"/>
      <c r="BL183" s="448"/>
      <c r="BM183" s="448"/>
      <c r="BN183" s="448"/>
      <c r="BO183" s="448"/>
    </row>
    <row r="184" spans="1:67" ht="17.25" customHeight="1">
      <c r="A184" s="448"/>
      <c r="B184" s="448"/>
      <c r="C184" s="1081" t="s">
        <v>236</v>
      </c>
      <c r="D184" s="1081"/>
      <c r="E184" s="1081"/>
      <c r="F184" s="515"/>
      <c r="G184" s="447"/>
      <c r="H184" s="447"/>
      <c r="I184" s="447"/>
      <c r="J184" s="447"/>
      <c r="K184" s="447"/>
      <c r="L184" s="447"/>
      <c r="M184" s="448"/>
      <c r="N184" s="448"/>
      <c r="O184" s="448"/>
      <c r="P184" s="448"/>
      <c r="Q184" s="448"/>
      <c r="R184" s="448"/>
      <c r="S184" s="448"/>
      <c r="T184" s="448"/>
      <c r="U184" s="448"/>
      <c r="V184" s="448"/>
      <c r="W184" s="448"/>
      <c r="X184" s="448"/>
      <c r="Y184" s="448"/>
      <c r="Z184" s="448"/>
      <c r="AA184" s="448"/>
      <c r="AC184" s="448" t="s">
        <v>242</v>
      </c>
      <c r="AD184" s="448">
        <f>TAN(AD181*Outils!F37) * (1 / COS(AD182*Outils!F37))</f>
        <v>0</v>
      </c>
      <c r="AE184" s="1091" t="s">
        <v>277</v>
      </c>
      <c r="AF184" s="1091"/>
      <c r="AG184" s="471">
        <f>S172</f>
        <v>45.98890483715634</v>
      </c>
      <c r="AH184" s="448"/>
      <c r="AI184" s="448"/>
      <c r="AJ184" s="448"/>
      <c r="AK184" s="448"/>
      <c r="AL184" s="448"/>
      <c r="AM184" s="448"/>
      <c r="AN184" s="448"/>
      <c r="AO184" s="448"/>
      <c r="AP184" s="448"/>
      <c r="AQ184" s="448"/>
      <c r="AR184" s="448"/>
      <c r="AS184" s="448"/>
      <c r="AT184" s="448"/>
      <c r="AU184" s="448"/>
      <c r="AV184" s="448"/>
      <c r="AW184" s="448"/>
      <c r="AX184" s="448"/>
      <c r="AY184" s="448"/>
      <c r="AZ184" s="448"/>
      <c r="BA184" s="448"/>
      <c r="BB184" s="448"/>
      <c r="BC184" s="448"/>
      <c r="BD184" s="448"/>
      <c r="BE184" s="448"/>
      <c r="BF184" s="448"/>
      <c r="BG184" s="448"/>
      <c r="BH184" s="448"/>
      <c r="BI184" s="448"/>
      <c r="BJ184" s="448"/>
      <c r="BK184" s="448"/>
      <c r="BL184" s="448"/>
      <c r="BM184" s="448"/>
      <c r="BN184" s="448"/>
      <c r="BO184" s="448"/>
    </row>
    <row r="185" spans="1:67" ht="17.25" customHeight="1">
      <c r="A185" s="448"/>
      <c r="B185" s="448"/>
      <c r="C185" s="448"/>
      <c r="D185" s="640">
        <v>30</v>
      </c>
      <c r="E185" s="640"/>
      <c r="F185" s="127" t="s">
        <v>28</v>
      </c>
      <c r="G185" s="447"/>
      <c r="H185" s="447"/>
      <c r="I185" s="447"/>
      <c r="J185" s="447"/>
      <c r="K185" s="447"/>
      <c r="L185" s="447"/>
      <c r="M185" s="448"/>
      <c r="N185" s="448"/>
      <c r="O185" s="448"/>
      <c r="P185" s="448"/>
      <c r="Q185" s="448"/>
      <c r="R185" s="448"/>
      <c r="S185" s="448"/>
      <c r="T185" s="448"/>
      <c r="U185" s="448"/>
      <c r="V185" s="448"/>
      <c r="W185" s="448"/>
      <c r="X185" s="448"/>
      <c r="Y185" s="448"/>
      <c r="Z185" s="448"/>
      <c r="AA185" s="448"/>
      <c r="AC185" s="448" t="s">
        <v>243</v>
      </c>
      <c r="AD185" s="448">
        <f>AD183-AD182*AD184</f>
        <v>-7</v>
      </c>
      <c r="AE185" s="1091"/>
      <c r="AF185" s="1091"/>
      <c r="AG185" s="448">
        <f>E182+(S172-E181)*TAN(D185*Outils!F4)/COS(Outils!F4*E181)</f>
        <v>19.551706587468296</v>
      </c>
      <c r="AH185" s="448"/>
      <c r="AI185" s="448"/>
      <c r="AJ185" s="448"/>
      <c r="AK185" s="448"/>
      <c r="AL185" s="448"/>
      <c r="AM185" s="448"/>
      <c r="AN185" s="448"/>
      <c r="AO185" s="448"/>
      <c r="AP185" s="448"/>
      <c r="AQ185" s="448"/>
      <c r="AR185" s="448"/>
      <c r="AS185" s="448"/>
      <c r="AT185" s="448"/>
      <c r="AU185" s="448"/>
      <c r="AV185" s="448"/>
      <c r="AW185" s="448"/>
      <c r="AX185" s="448"/>
      <c r="AY185" s="448"/>
      <c r="AZ185" s="448"/>
      <c r="BA185" s="448"/>
      <c r="BB185" s="448"/>
      <c r="BC185" s="448"/>
      <c r="BD185" s="448"/>
      <c r="BE185" s="448"/>
      <c r="BF185" s="448"/>
      <c r="BG185" s="448"/>
      <c r="BH185" s="448"/>
      <c r="BI185" s="448"/>
      <c r="BJ185" s="448"/>
      <c r="BK185" s="448"/>
      <c r="BL185" s="448"/>
      <c r="BM185" s="448"/>
      <c r="BN185" s="448"/>
      <c r="BO185" s="448"/>
    </row>
    <row r="186" spans="1:67">
      <c r="A186" s="448"/>
      <c r="B186" s="448"/>
      <c r="C186" s="448"/>
      <c r="D186" s="448"/>
      <c r="E186" s="448"/>
      <c r="F186" s="448"/>
      <c r="G186" s="448"/>
      <c r="H186" s="448"/>
      <c r="I186" s="448"/>
      <c r="J186" s="448"/>
      <c r="K186" s="448"/>
      <c r="L186" s="448"/>
      <c r="M186" s="448"/>
      <c r="N186" s="448"/>
      <c r="O186" s="448"/>
      <c r="P186" s="448"/>
      <c r="Q186" s="448"/>
      <c r="R186" s="448"/>
      <c r="S186" s="448"/>
      <c r="T186" s="448"/>
      <c r="U186" s="448"/>
      <c r="V186" s="448"/>
      <c r="W186" s="448"/>
      <c r="X186" s="448"/>
      <c r="Y186" s="448"/>
      <c r="Z186" s="448"/>
      <c r="AA186" s="448"/>
      <c r="AC186" s="448"/>
      <c r="AD186" s="448"/>
      <c r="AE186" s="448"/>
      <c r="AF186" s="448"/>
      <c r="AG186" s="448"/>
      <c r="AH186" s="448"/>
      <c r="AI186" s="448"/>
      <c r="AJ186" s="448"/>
      <c r="AK186" s="448"/>
      <c r="AL186" s="448"/>
      <c r="AM186" s="448"/>
      <c r="AN186" s="448"/>
      <c r="AO186" s="448"/>
      <c r="AP186" s="448"/>
      <c r="AQ186" s="448"/>
      <c r="AR186" s="448"/>
      <c r="AS186" s="448"/>
      <c r="AT186" s="448"/>
      <c r="AU186" s="448"/>
      <c r="AV186" s="448"/>
      <c r="AW186" s="448"/>
      <c r="AX186" s="448"/>
      <c r="AY186" s="448"/>
      <c r="AZ186" s="448"/>
      <c r="BA186" s="448"/>
      <c r="BB186" s="448"/>
      <c r="BC186" s="448"/>
      <c r="BD186" s="448"/>
      <c r="BE186" s="448"/>
      <c r="BF186" s="448"/>
      <c r="BG186" s="448"/>
      <c r="BH186" s="448"/>
      <c r="BI186" s="448"/>
      <c r="BJ186" s="448"/>
      <c r="BK186" s="448"/>
      <c r="BL186" s="448"/>
      <c r="BM186" s="448"/>
      <c r="BN186" s="448"/>
      <c r="BO186" s="448"/>
    </row>
    <row r="187" spans="1:67">
      <c r="A187" s="448"/>
      <c r="B187" s="448"/>
      <c r="C187" s="448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8"/>
      <c r="R187" s="448"/>
      <c r="S187" s="447"/>
      <c r="T187" s="447"/>
      <c r="U187" s="448"/>
      <c r="V187" s="448"/>
      <c r="W187" s="448"/>
      <c r="X187" s="448"/>
      <c r="Y187" s="448"/>
      <c r="Z187" s="448"/>
      <c r="AA187" s="448"/>
      <c r="AC187" s="448"/>
      <c r="AD187" s="448"/>
      <c r="AE187" s="448"/>
      <c r="AF187" s="448"/>
      <c r="AG187" s="448"/>
      <c r="AH187" s="448"/>
      <c r="AI187" s="448"/>
      <c r="AJ187" s="448"/>
      <c r="AK187" s="448"/>
      <c r="AL187" s="448"/>
      <c r="AM187" s="448"/>
      <c r="AN187" s="448"/>
      <c r="AO187" s="448"/>
      <c r="AP187" s="448"/>
      <c r="AQ187" s="448"/>
      <c r="AR187" s="448"/>
      <c r="AS187" s="448"/>
      <c r="AT187" s="448"/>
      <c r="AU187" s="448"/>
      <c r="AV187" s="448"/>
      <c r="AW187" s="448"/>
      <c r="AX187" s="448"/>
      <c r="AY187" s="448"/>
      <c r="AZ187" s="448"/>
      <c r="BA187" s="448"/>
      <c r="BB187" s="448"/>
      <c r="BC187" s="448"/>
      <c r="BD187" s="448"/>
      <c r="BE187" s="448"/>
      <c r="BF187" s="448"/>
      <c r="BG187" s="448"/>
      <c r="BH187" s="448"/>
      <c r="BI187" s="448"/>
      <c r="BJ187" s="448"/>
      <c r="BK187" s="448"/>
      <c r="BL187" s="448"/>
      <c r="BM187" s="448"/>
      <c r="BN187" s="448"/>
      <c r="BO187" s="448"/>
    </row>
    <row r="188" spans="1:67" ht="15.75" thickBot="1">
      <c r="A188" s="448"/>
      <c r="B188" s="448"/>
      <c r="C188" s="448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8"/>
      <c r="R188" s="448"/>
      <c r="S188" s="448"/>
      <c r="T188" s="448"/>
      <c r="U188" s="448"/>
      <c r="V188" s="448"/>
      <c r="W188" s="448"/>
      <c r="X188" s="448"/>
      <c r="Y188" s="448"/>
      <c r="Z188" s="448"/>
      <c r="AA188" s="448"/>
      <c r="AC188" s="448"/>
      <c r="AD188" s="448"/>
      <c r="AE188" s="448"/>
      <c r="AF188" s="448"/>
      <c r="AG188" s="448"/>
      <c r="AH188" s="448"/>
      <c r="AI188" s="448"/>
      <c r="AJ188" s="448"/>
      <c r="AK188" s="448"/>
      <c r="AL188" s="448"/>
      <c r="AM188" s="448"/>
      <c r="AN188" s="448"/>
      <c r="AO188" s="448"/>
      <c r="AP188" s="448"/>
      <c r="AQ188" s="448"/>
      <c r="AR188" s="448"/>
      <c r="AS188" s="448"/>
      <c r="AT188" s="448"/>
      <c r="AU188" s="448"/>
      <c r="AV188" s="448"/>
      <c r="AW188" s="448"/>
      <c r="AX188" s="448"/>
      <c r="AY188" s="448"/>
      <c r="AZ188" s="448"/>
      <c r="BA188" s="448"/>
      <c r="BB188" s="448"/>
      <c r="BC188" s="448"/>
      <c r="BD188" s="448"/>
      <c r="BE188" s="448"/>
      <c r="BF188" s="448"/>
      <c r="BG188" s="448"/>
      <c r="BH188" s="448"/>
      <c r="BI188" s="448"/>
      <c r="BJ188" s="448"/>
      <c r="BK188" s="448"/>
      <c r="BL188" s="448"/>
      <c r="BM188" s="448"/>
      <c r="BN188" s="448"/>
      <c r="BO188" s="448"/>
    </row>
    <row r="189" spans="1:67" ht="15.75" thickBot="1">
      <c r="A189" s="448"/>
      <c r="B189" s="512" t="s">
        <v>494</v>
      </c>
      <c r="C189" s="513"/>
      <c r="D189" s="513"/>
      <c r="E189" s="513"/>
      <c r="F189" s="513"/>
      <c r="G189" s="513"/>
      <c r="H189" s="513"/>
      <c r="I189" s="513"/>
      <c r="J189" s="513"/>
      <c r="K189" s="513"/>
      <c r="L189" s="513"/>
      <c r="M189" s="513"/>
      <c r="N189" s="513"/>
      <c r="O189" s="513"/>
      <c r="P189" s="513"/>
      <c r="Q189" s="513"/>
      <c r="R189" s="513"/>
      <c r="S189" s="513"/>
      <c r="T189" s="513"/>
      <c r="U189" s="513"/>
      <c r="V189" s="513"/>
      <c r="W189" s="513"/>
      <c r="X189" s="513"/>
      <c r="Y189" s="513"/>
      <c r="Z189" s="513"/>
      <c r="AA189" s="475"/>
      <c r="AC189" s="448"/>
      <c r="AD189" s="448"/>
      <c r="AE189" s="448"/>
      <c r="AF189" s="448"/>
      <c r="AG189" s="448"/>
      <c r="AH189" s="448"/>
      <c r="AI189" s="448"/>
      <c r="AJ189" s="448"/>
      <c r="AK189" s="448"/>
      <c r="AL189" s="448"/>
      <c r="AM189" s="448"/>
      <c r="AN189" s="448"/>
      <c r="AO189" s="448"/>
      <c r="AP189" s="448"/>
      <c r="AQ189" s="448"/>
      <c r="AR189" s="448"/>
      <c r="AS189" s="448"/>
      <c r="AT189" s="448"/>
      <c r="AU189" s="448"/>
      <c r="AV189" s="448"/>
      <c r="AW189" s="448"/>
      <c r="AX189" s="448"/>
      <c r="AY189" s="448"/>
      <c r="AZ189" s="448"/>
      <c r="BA189" s="448"/>
      <c r="BB189" s="448"/>
      <c r="BC189" s="448"/>
      <c r="BD189" s="448"/>
      <c r="BE189" s="448"/>
      <c r="BF189" s="448"/>
      <c r="BG189" s="448"/>
      <c r="BH189" s="448"/>
      <c r="BI189" s="448"/>
      <c r="BJ189" s="448"/>
      <c r="BK189" s="448"/>
      <c r="BL189" s="448"/>
      <c r="BM189" s="448"/>
      <c r="BN189" s="448"/>
      <c r="BO189" s="448"/>
    </row>
    <row r="190" spans="1:67">
      <c r="A190" s="448"/>
      <c r="B190" s="448"/>
      <c r="C190" s="448"/>
      <c r="D190" s="448"/>
      <c r="E190" s="448"/>
      <c r="F190" s="448"/>
      <c r="G190" s="448"/>
      <c r="H190" s="448"/>
      <c r="I190" s="448"/>
      <c r="J190" s="448"/>
      <c r="K190" s="471"/>
      <c r="L190" s="471"/>
      <c r="M190" s="448"/>
      <c r="N190" s="448"/>
      <c r="O190" s="448"/>
      <c r="P190" s="448"/>
      <c r="Q190" s="448"/>
      <c r="R190" s="448"/>
      <c r="S190" s="448"/>
      <c r="T190" s="448"/>
      <c r="U190" s="448"/>
      <c r="V190" s="448"/>
      <c r="W190" s="448"/>
      <c r="X190" s="448"/>
      <c r="Y190" s="448"/>
      <c r="Z190" s="448"/>
      <c r="AA190" s="448"/>
      <c r="AC190" s="448"/>
      <c r="AD190" s="448"/>
      <c r="AE190" s="448"/>
      <c r="AF190" s="448"/>
      <c r="AG190" s="448"/>
      <c r="AH190" s="448"/>
      <c r="AI190" s="448"/>
      <c r="AJ190" s="448"/>
      <c r="AK190" s="448"/>
      <c r="AL190" s="448"/>
      <c r="AM190" s="448"/>
      <c r="AN190" s="448"/>
      <c r="AO190" s="448"/>
      <c r="AP190" s="448"/>
      <c r="AQ190" s="448"/>
      <c r="AR190" s="448"/>
      <c r="AS190" s="448"/>
      <c r="AT190" s="448"/>
      <c r="AU190" s="448"/>
      <c r="AV190" s="448"/>
      <c r="AW190" s="448"/>
      <c r="AX190" s="448"/>
      <c r="AY190" s="448"/>
      <c r="AZ190" s="448"/>
      <c r="BA190" s="448"/>
      <c r="BB190" s="448"/>
      <c r="BC190" s="448"/>
      <c r="BD190" s="448"/>
      <c r="BE190" s="448"/>
      <c r="BF190" s="448"/>
      <c r="BG190" s="448"/>
      <c r="BH190" s="448"/>
      <c r="BI190" s="448"/>
      <c r="BJ190" s="448"/>
      <c r="BK190" s="448"/>
      <c r="BL190" s="448"/>
      <c r="BM190" s="448"/>
      <c r="BN190" s="448"/>
      <c r="BO190" s="448"/>
    </row>
    <row r="191" spans="1:67">
      <c r="A191" s="448"/>
      <c r="B191" s="1270" t="s">
        <v>1</v>
      </c>
      <c r="C191" s="1270"/>
      <c r="D191" s="1270" t="str">
        <f>I66</f>
        <v>2025/06/30</v>
      </c>
      <c r="E191" s="1270"/>
      <c r="F191" s="1270"/>
      <c r="G191" s="1270"/>
      <c r="H191" s="445" t="s">
        <v>2</v>
      </c>
      <c r="I191" s="1270" t="str">
        <f>M66</f>
        <v>12:33:08.52(12.5523)</v>
      </c>
      <c r="J191" s="1270"/>
      <c r="K191" s="1270"/>
      <c r="L191" s="1270"/>
      <c r="M191" s="448"/>
      <c r="N191" s="448"/>
      <c r="O191" s="448"/>
      <c r="P191" s="448"/>
      <c r="Q191" s="448"/>
      <c r="R191" s="448"/>
      <c r="S191" s="448"/>
      <c r="T191" s="448"/>
      <c r="U191" s="448"/>
      <c r="V191" s="448"/>
      <c r="W191" s="448"/>
      <c r="X191" s="448"/>
      <c r="Y191" s="448"/>
      <c r="Z191" s="448"/>
      <c r="AA191" s="448"/>
      <c r="AC191" s="448"/>
      <c r="AD191" s="448"/>
      <c r="AE191" s="448"/>
      <c r="AF191" s="448"/>
      <c r="AG191" s="448"/>
      <c r="AH191" s="448"/>
      <c r="AI191" s="448"/>
      <c r="AJ191" s="448"/>
      <c r="AK191" s="448"/>
      <c r="AL191" s="448"/>
      <c r="AM191" s="448"/>
      <c r="AN191" s="448"/>
      <c r="AO191" s="448"/>
      <c r="AP191" s="448"/>
      <c r="AQ191" s="448"/>
      <c r="AR191" s="448"/>
      <c r="AS191" s="448"/>
      <c r="AT191" s="448"/>
      <c r="AU191" s="448"/>
      <c r="AV191" s="448"/>
      <c r="AW191" s="448"/>
      <c r="AX191" s="448"/>
      <c r="AY191" s="448"/>
      <c r="AZ191" s="448"/>
      <c r="BA191" s="448"/>
      <c r="BB191" s="448"/>
      <c r="BC191" s="448"/>
      <c r="BD191" s="448"/>
      <c r="BE191" s="448"/>
      <c r="BF191" s="448"/>
      <c r="BG191" s="448"/>
      <c r="BH191" s="448"/>
      <c r="BI191" s="448"/>
      <c r="BJ191" s="448"/>
      <c r="BK191" s="448"/>
      <c r="BL191" s="448"/>
      <c r="BM191" s="448"/>
      <c r="BN191" s="448"/>
      <c r="BO191" s="448"/>
    </row>
    <row r="192" spans="1:67">
      <c r="A192" s="448"/>
      <c r="B192" s="1255" t="s">
        <v>30</v>
      </c>
      <c r="C192" s="1255"/>
      <c r="D192" s="1277" t="s">
        <v>421</v>
      </c>
      <c r="E192" s="1277"/>
      <c r="F192" s="1277"/>
      <c r="G192" s="1277"/>
      <c r="H192" s="477"/>
      <c r="I192" s="477"/>
      <c r="J192" s="477"/>
      <c r="K192" s="477"/>
      <c r="L192" s="477"/>
      <c r="M192" s="448"/>
      <c r="N192" s="448"/>
      <c r="O192" s="448"/>
      <c r="P192" s="448"/>
      <c r="Q192" s="448"/>
      <c r="R192" s="448"/>
      <c r="S192" s="448"/>
      <c r="T192" s="448"/>
      <c r="U192" s="448"/>
      <c r="V192" s="448"/>
      <c r="W192" s="448"/>
      <c r="X192" s="448"/>
      <c r="Y192" s="448"/>
      <c r="Z192" s="448"/>
      <c r="AA192" s="448"/>
      <c r="AC192" s="448"/>
      <c r="AD192" s="448"/>
      <c r="AE192" s="448"/>
      <c r="AF192" s="448"/>
      <c r="AG192" s="448"/>
      <c r="AH192" s="448"/>
      <c r="AI192" s="448"/>
      <c r="AJ192" s="448"/>
      <c r="AK192" s="448"/>
      <c r="AL192" s="448"/>
      <c r="AM192" s="448"/>
      <c r="AN192" s="448"/>
      <c r="AO192" s="448"/>
      <c r="AP192" s="448"/>
      <c r="AQ192" s="448"/>
      <c r="AR192" s="448"/>
      <c r="AS192" s="448"/>
      <c r="AT192" s="448"/>
      <c r="AU192" s="448"/>
      <c r="AV192" s="448"/>
      <c r="AW192" s="448"/>
      <c r="AX192" s="448"/>
      <c r="AY192" s="448"/>
      <c r="AZ192" s="448"/>
      <c r="BA192" s="448"/>
      <c r="BB192" s="448"/>
      <c r="BC192" s="448"/>
      <c r="BD192" s="448"/>
      <c r="BE192" s="448"/>
      <c r="BF192" s="448"/>
      <c r="BG192" s="448"/>
      <c r="BH192" s="448"/>
      <c r="BI192" s="448"/>
      <c r="BJ192" s="448"/>
      <c r="BK192" s="448"/>
      <c r="BL192" s="448"/>
      <c r="BM192" s="448"/>
      <c r="BN192" s="448"/>
      <c r="BO192" s="448"/>
    </row>
    <row r="193" spans="1:67">
      <c r="A193" s="448"/>
      <c r="B193" s="478"/>
      <c r="C193" s="478"/>
      <c r="D193" s="479"/>
      <c r="E193" s="47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8"/>
      <c r="R193" s="448"/>
      <c r="S193" s="448"/>
      <c r="T193" s="448"/>
      <c r="U193" s="448"/>
      <c r="V193" s="448"/>
      <c r="W193" s="448"/>
      <c r="X193" s="448"/>
      <c r="Y193" s="448"/>
      <c r="Z193" s="448"/>
      <c r="AA193" s="448"/>
      <c r="AC193" s="448"/>
      <c r="AD193" s="448"/>
      <c r="AE193" s="448"/>
      <c r="AF193" s="448"/>
      <c r="AG193" s="448"/>
      <c r="AH193" s="448"/>
      <c r="AI193" s="448"/>
      <c r="AJ193" s="448"/>
      <c r="AK193" s="448"/>
      <c r="AL193" s="448"/>
      <c r="AM193" s="448"/>
      <c r="AN193" s="448"/>
      <c r="AO193" s="448"/>
      <c r="AP193" s="448"/>
      <c r="AQ193" s="448"/>
      <c r="AR193" s="448"/>
      <c r="AS193" s="448"/>
      <c r="AT193" s="448"/>
      <c r="AU193" s="448"/>
      <c r="AV193" s="448"/>
      <c r="AW193" s="448"/>
      <c r="AX193" s="448"/>
      <c r="AY193" s="448"/>
      <c r="AZ193" s="448"/>
      <c r="BA193" s="448"/>
      <c r="BB193" s="448"/>
      <c r="BC193" s="448"/>
      <c r="BD193" s="448"/>
      <c r="BE193" s="448"/>
      <c r="BF193" s="448"/>
      <c r="BG193" s="448"/>
      <c r="BH193" s="448"/>
      <c r="BI193" s="448"/>
      <c r="BJ193" s="448"/>
      <c r="BK193" s="448"/>
      <c r="BL193" s="448"/>
      <c r="BM193" s="448"/>
      <c r="BN193" s="448"/>
      <c r="BO193" s="448"/>
    </row>
    <row r="194" spans="1:67" s="402" customFormat="1" ht="17.25" customHeight="1" thickBot="1">
      <c r="A194" s="471"/>
      <c r="B194" s="480" t="s">
        <v>391</v>
      </c>
      <c r="C194" s="480"/>
      <c r="D194" s="480"/>
      <c r="E194" s="480"/>
      <c r="F194" s="481"/>
      <c r="G194" s="481"/>
      <c r="H194" s="482"/>
      <c r="I194" s="482"/>
      <c r="J194" s="482"/>
      <c r="K194" s="482"/>
      <c r="L194" s="482"/>
      <c r="M194" s="482"/>
      <c r="N194" s="482"/>
      <c r="O194" s="482"/>
      <c r="P194" s="482"/>
      <c r="Q194" s="482"/>
      <c r="R194" s="471"/>
      <c r="S194" s="471"/>
      <c r="T194" s="471"/>
      <c r="U194" s="471"/>
      <c r="V194" s="471"/>
      <c r="W194" s="471"/>
      <c r="X194" s="471"/>
      <c r="Y194" s="471"/>
      <c r="Z194" s="471"/>
      <c r="AA194" s="471"/>
      <c r="AB194" s="301"/>
      <c r="AC194" s="448"/>
      <c r="AD194" s="448"/>
      <c r="AE194" s="448"/>
      <c r="AF194" s="448"/>
      <c r="AG194" s="448"/>
      <c r="AH194" s="448"/>
      <c r="AI194" s="448"/>
      <c r="AJ194" s="448"/>
      <c r="AK194" s="448"/>
      <c r="AL194" s="448"/>
      <c r="AM194" s="448"/>
      <c r="AN194" s="448"/>
      <c r="AO194" s="448"/>
      <c r="AP194" s="448"/>
      <c r="AQ194" s="448"/>
      <c r="AR194" s="448"/>
      <c r="AS194" s="448"/>
      <c r="AT194" s="448"/>
      <c r="AU194" s="448"/>
      <c r="AV194" s="448"/>
      <c r="AW194" s="448"/>
      <c r="AX194" s="448"/>
      <c r="AY194" s="448"/>
      <c r="AZ194" s="448"/>
      <c r="BA194" s="448"/>
      <c r="BB194" s="448"/>
      <c r="BC194" s="448"/>
      <c r="BD194" s="448"/>
      <c r="BE194" s="448"/>
      <c r="BF194" s="448"/>
      <c r="BG194" s="448"/>
      <c r="BH194" s="448"/>
      <c r="BI194" s="448"/>
      <c r="BJ194" s="448"/>
      <c r="BK194" s="448"/>
      <c r="BL194" s="448"/>
      <c r="BM194" s="448"/>
      <c r="BN194" s="471"/>
      <c r="BO194" s="471"/>
    </row>
    <row r="195" spans="1:67" s="402" customFormat="1" ht="17.25" customHeight="1" thickTop="1">
      <c r="A195" s="471"/>
      <c r="B195" s="471"/>
      <c r="C195" s="1256" t="s">
        <v>465</v>
      </c>
      <c r="D195" s="1256"/>
      <c r="E195" s="1256" t="str" cm="1">
        <f t="array" ref="E195">angleDecimal2Txt(angleConvert2Decimal(M79))</f>
        <v>+66°57.00 (+66.9500) [+66°57'00.00]</v>
      </c>
      <c r="F195" s="1256"/>
      <c r="G195" s="1256"/>
      <c r="H195" s="1256"/>
      <c r="I195" s="1256"/>
      <c r="J195" s="471"/>
      <c r="K195" s="471"/>
      <c r="L195" s="471"/>
      <c r="M195" s="471"/>
      <c r="N195" s="471"/>
      <c r="O195" s="471"/>
      <c r="P195" s="471"/>
      <c r="Q195" s="471"/>
      <c r="R195" s="471"/>
      <c r="S195" s="471"/>
      <c r="T195" s="471"/>
      <c r="U195" s="471"/>
      <c r="V195" s="471"/>
      <c r="W195" s="471"/>
      <c r="X195" s="471"/>
      <c r="Y195" s="471"/>
      <c r="Z195" s="471"/>
      <c r="AA195" s="471"/>
      <c r="AB195" s="301"/>
      <c r="AC195" s="448"/>
      <c r="AD195" s="448"/>
      <c r="AE195" s="448"/>
      <c r="AF195" s="448"/>
      <c r="AG195" s="448"/>
      <c r="AH195" s="448"/>
      <c r="AI195" s="448"/>
      <c r="AJ195" s="448"/>
      <c r="AK195" s="448"/>
      <c r="AL195" s="448"/>
      <c r="AM195" s="448"/>
      <c r="AN195" s="448"/>
      <c r="AO195" s="448"/>
      <c r="AP195" s="448"/>
      <c r="AQ195" s="448"/>
      <c r="AR195" s="448"/>
      <c r="AS195" s="448"/>
      <c r="AT195" s="448"/>
      <c r="AU195" s="448"/>
      <c r="AV195" s="448"/>
      <c r="AW195" s="448"/>
      <c r="AX195" s="448"/>
      <c r="AY195" s="448"/>
      <c r="AZ195" s="448"/>
      <c r="BA195" s="448"/>
      <c r="BB195" s="448"/>
      <c r="BC195" s="448"/>
      <c r="BD195" s="448"/>
      <c r="BE195" s="448"/>
      <c r="BF195" s="448"/>
      <c r="BG195" s="448"/>
      <c r="BH195" s="448"/>
      <c r="BI195" s="448"/>
      <c r="BJ195" s="448"/>
      <c r="BK195" s="448"/>
      <c r="BL195" s="448"/>
      <c r="BM195" s="448"/>
      <c r="BN195" s="471"/>
      <c r="BO195" s="471"/>
    </row>
    <row r="196" spans="1:67" s="402" customFormat="1" ht="17.25" customHeight="1">
      <c r="A196" s="471"/>
      <c r="B196" s="471"/>
      <c r="C196" s="1278" t="s">
        <v>70</v>
      </c>
      <c r="D196" s="1278"/>
      <c r="E196" s="1278" t="str">
        <f>J81</f>
        <v>BordInf</v>
      </c>
      <c r="F196" s="1278"/>
      <c r="G196" s="1278"/>
      <c r="H196" s="1278"/>
      <c r="I196" s="1278"/>
      <c r="J196" s="471"/>
      <c r="K196" s="471"/>
      <c r="L196" s="471"/>
      <c r="M196" s="471"/>
      <c r="N196" s="471"/>
      <c r="O196" s="471"/>
      <c r="P196" s="471"/>
      <c r="Q196" s="471"/>
      <c r="R196" s="471"/>
      <c r="S196" s="471"/>
      <c r="T196" s="471"/>
      <c r="U196" s="471"/>
      <c r="V196" s="471"/>
      <c r="W196" s="471"/>
      <c r="X196" s="471"/>
      <c r="Y196" s="471"/>
      <c r="Z196" s="471"/>
      <c r="AA196" s="471"/>
      <c r="AB196" s="301"/>
      <c r="AC196" s="448"/>
      <c r="AD196" s="448"/>
      <c r="AE196" s="448"/>
      <c r="AF196" s="448"/>
      <c r="AG196" s="448"/>
      <c r="AH196" s="448"/>
      <c r="AI196" s="448"/>
      <c r="AJ196" s="448"/>
      <c r="AK196" s="448"/>
      <c r="AL196" s="448"/>
      <c r="AM196" s="448"/>
      <c r="AN196" s="448"/>
      <c r="AO196" s="448"/>
      <c r="AP196" s="448"/>
      <c r="AQ196" s="448"/>
      <c r="AR196" s="448"/>
      <c r="AS196" s="448"/>
      <c r="AT196" s="448"/>
      <c r="AU196" s="448"/>
      <c r="AV196" s="448"/>
      <c r="AW196" s="448"/>
      <c r="AX196" s="448"/>
      <c r="AY196" s="448"/>
      <c r="AZ196" s="448"/>
      <c r="BA196" s="448"/>
      <c r="BB196" s="448"/>
      <c r="BC196" s="448"/>
      <c r="BD196" s="448"/>
      <c r="BE196" s="448"/>
      <c r="BF196" s="448"/>
      <c r="BG196" s="448"/>
      <c r="BH196" s="448"/>
      <c r="BI196" s="448"/>
      <c r="BJ196" s="448"/>
      <c r="BK196" s="448"/>
      <c r="BL196" s="448"/>
      <c r="BM196" s="448"/>
      <c r="BN196" s="471"/>
      <c r="BO196" s="471"/>
    </row>
    <row r="197" spans="1:67" s="402" customFormat="1" ht="17.25" customHeight="1">
      <c r="A197" s="471"/>
      <c r="B197" s="471"/>
      <c r="C197" s="1274" t="s">
        <v>393</v>
      </c>
      <c r="D197" s="1274"/>
      <c r="E197" s="1275" t="str" cm="1">
        <f t="array" ref="E197">angleDecimal2Txt(angleConvert2Decimal(M78))</f>
        <v>+00°01.30 (+00.0216) [+00°01'18.00]</v>
      </c>
      <c r="F197" s="1275"/>
      <c r="G197" s="1275"/>
      <c r="H197" s="1275"/>
      <c r="I197" s="1275"/>
      <c r="J197" s="471"/>
      <c r="K197" s="471"/>
      <c r="L197" s="471"/>
      <c r="M197" s="471"/>
      <c r="N197" s="471"/>
      <c r="O197" s="471"/>
      <c r="P197" s="471"/>
      <c r="Q197" s="471"/>
      <c r="R197" s="471"/>
      <c r="S197" s="471"/>
      <c r="T197" s="471"/>
      <c r="U197" s="471"/>
      <c r="V197" s="471"/>
      <c r="W197" s="471"/>
      <c r="X197" s="471"/>
      <c r="Y197" s="471"/>
      <c r="Z197" s="471"/>
      <c r="AA197" s="471"/>
      <c r="AB197" s="301"/>
      <c r="AC197" s="448"/>
      <c r="AD197" s="448"/>
      <c r="AE197" s="448"/>
      <c r="AF197" s="448"/>
      <c r="AG197" s="448"/>
      <c r="AH197" s="448"/>
      <c r="AI197" s="448"/>
      <c r="AJ197" s="448"/>
      <c r="AK197" s="448"/>
      <c r="AL197" s="448"/>
      <c r="AM197" s="448"/>
      <c r="AN197" s="448"/>
      <c r="AO197" s="448"/>
      <c r="AP197" s="448"/>
      <c r="AQ197" s="448"/>
      <c r="AR197" s="448"/>
      <c r="AS197" s="448"/>
      <c r="AT197" s="448"/>
      <c r="AU197" s="448"/>
      <c r="AV197" s="448"/>
      <c r="AW197" s="448"/>
      <c r="AX197" s="448"/>
      <c r="AY197" s="448"/>
      <c r="AZ197" s="448"/>
      <c r="BA197" s="448"/>
      <c r="BB197" s="448"/>
      <c r="BC197" s="448"/>
      <c r="BD197" s="448"/>
      <c r="BE197" s="448"/>
      <c r="BF197" s="448"/>
      <c r="BG197" s="448"/>
      <c r="BH197" s="448"/>
      <c r="BI197" s="448"/>
      <c r="BJ197" s="448"/>
      <c r="BK197" s="448"/>
      <c r="BL197" s="448"/>
      <c r="BM197" s="448"/>
      <c r="BN197" s="471"/>
      <c r="BO197" s="471"/>
    </row>
    <row r="198" spans="1:67" s="402" customFormat="1" ht="17.25" customHeight="1">
      <c r="A198" s="471"/>
      <c r="B198" s="471"/>
      <c r="C198" s="1270" t="s">
        <v>394</v>
      </c>
      <c r="D198" s="1270"/>
      <c r="E198" s="1276" t="str">
        <f>CONCATENATE(M77, " m")</f>
        <v>2 m</v>
      </c>
      <c r="F198" s="1276"/>
      <c r="G198" s="1276"/>
      <c r="H198" s="1276"/>
      <c r="I198" s="1276"/>
      <c r="J198" s="471"/>
      <c r="K198" s="471"/>
      <c r="L198" s="471"/>
      <c r="M198" s="471"/>
      <c r="N198" s="471"/>
      <c r="O198" s="471"/>
      <c r="P198" s="471"/>
      <c r="Q198" s="471"/>
      <c r="R198" s="471"/>
      <c r="S198" s="471"/>
      <c r="T198" s="471"/>
      <c r="U198" s="471"/>
      <c r="V198" s="471"/>
      <c r="W198" s="471"/>
      <c r="X198" s="471"/>
      <c r="Y198" s="471"/>
      <c r="Z198" s="471"/>
      <c r="AA198" s="471"/>
      <c r="AB198" s="301"/>
      <c r="AC198" s="448"/>
      <c r="AD198" s="448"/>
      <c r="AE198" s="448"/>
      <c r="AF198" s="448"/>
      <c r="AG198" s="448"/>
      <c r="AH198" s="448"/>
      <c r="AI198" s="448"/>
      <c r="AJ198" s="448"/>
      <c r="AK198" s="448"/>
      <c r="AL198" s="448"/>
      <c r="AM198" s="448"/>
      <c r="AN198" s="448"/>
      <c r="AO198" s="448"/>
      <c r="AP198" s="448"/>
      <c r="AQ198" s="448"/>
      <c r="AR198" s="448"/>
      <c r="AS198" s="448"/>
      <c r="AT198" s="448"/>
      <c r="AU198" s="448"/>
      <c r="AV198" s="448"/>
      <c r="AW198" s="448"/>
      <c r="AX198" s="448"/>
      <c r="AY198" s="448"/>
      <c r="AZ198" s="448"/>
      <c r="BA198" s="448"/>
      <c r="BB198" s="448"/>
      <c r="BC198" s="448"/>
      <c r="BD198" s="448"/>
      <c r="BE198" s="448"/>
      <c r="BF198" s="448"/>
      <c r="BG198" s="448"/>
      <c r="BH198" s="448"/>
      <c r="BI198" s="448"/>
      <c r="BJ198" s="448"/>
      <c r="BK198" s="448"/>
      <c r="BL198" s="448"/>
      <c r="BM198" s="448"/>
      <c r="BN198" s="471"/>
      <c r="BO198" s="471"/>
    </row>
    <row r="199" spans="1:67" s="402" customFormat="1" ht="17.25" customHeight="1">
      <c r="A199" s="471"/>
      <c r="B199" s="471"/>
      <c r="C199" s="471"/>
      <c r="D199" s="471"/>
      <c r="E199" s="862" t="str" cm="1">
        <f t="array" ref="E199">angleDecimal2Txt(O119)</f>
        <v>+66°53.21 (+66.8868) [+66°53'12.82]</v>
      </c>
      <c r="F199" s="862"/>
      <c r="G199" s="862"/>
      <c r="H199" s="862"/>
      <c r="I199" s="862"/>
      <c r="J199" s="862" t="s">
        <v>466</v>
      </c>
      <c r="K199" s="862"/>
      <c r="L199" s="862"/>
      <c r="M199" s="471"/>
      <c r="N199" s="471"/>
      <c r="O199" s="471"/>
      <c r="P199" s="471"/>
      <c r="Q199" s="471"/>
      <c r="R199" s="471"/>
      <c r="S199" s="471"/>
      <c r="T199" s="471"/>
      <c r="U199" s="471"/>
      <c r="V199" s="471"/>
      <c r="W199" s="471"/>
      <c r="X199" s="471"/>
      <c r="Y199" s="471"/>
      <c r="Z199" s="471"/>
      <c r="AA199" s="471"/>
      <c r="AB199" s="301"/>
      <c r="AC199" s="448"/>
      <c r="AD199" s="448"/>
      <c r="AE199" s="448"/>
      <c r="AF199" s="448"/>
      <c r="AG199" s="448"/>
      <c r="AH199" s="448"/>
      <c r="AI199" s="448"/>
      <c r="AJ199" s="448"/>
      <c r="AK199" s="448"/>
      <c r="AL199" s="448"/>
      <c r="AM199" s="448"/>
      <c r="AN199" s="448"/>
      <c r="AO199" s="448"/>
      <c r="AP199" s="448"/>
      <c r="AQ199" s="448"/>
      <c r="AR199" s="448"/>
      <c r="AS199" s="448"/>
      <c r="AT199" s="448"/>
      <c r="AU199" s="448"/>
      <c r="AV199" s="448"/>
      <c r="AW199" s="448"/>
      <c r="AX199" s="448"/>
      <c r="AY199" s="448"/>
      <c r="AZ199" s="448"/>
      <c r="BA199" s="448"/>
      <c r="BB199" s="448"/>
      <c r="BC199" s="448"/>
      <c r="BD199" s="448"/>
      <c r="BE199" s="448"/>
      <c r="BF199" s="448"/>
      <c r="BG199" s="448"/>
      <c r="BH199" s="448"/>
      <c r="BI199" s="448"/>
      <c r="BJ199" s="448"/>
      <c r="BK199" s="448"/>
      <c r="BL199" s="448"/>
      <c r="BM199" s="448"/>
      <c r="BN199" s="471"/>
      <c r="BO199" s="471"/>
    </row>
    <row r="200" spans="1:67" s="402" customFormat="1" ht="17.25" customHeight="1">
      <c r="A200" s="471"/>
      <c r="B200" s="471"/>
      <c r="C200" s="471"/>
      <c r="D200" s="471"/>
      <c r="E200" s="483"/>
      <c r="F200" s="878" t="s">
        <v>394</v>
      </c>
      <c r="G200" s="880"/>
      <c r="H200" s="871" t="str" cm="1">
        <f t="array" ref="H200">angleDecimal2Txt(O117)</f>
        <v>+00°02.48 (+00.0414) [+00°02'29.17]</v>
      </c>
      <c r="I200" s="871"/>
      <c r="J200" s="871"/>
      <c r="K200" s="871"/>
      <c r="L200" s="871"/>
      <c r="M200" s="471"/>
      <c r="N200" s="471"/>
      <c r="O200" s="471"/>
      <c r="P200" s="471"/>
      <c r="Q200" s="471"/>
      <c r="R200" s="471"/>
      <c r="S200" s="471"/>
      <c r="T200" s="471"/>
      <c r="U200" s="471"/>
      <c r="V200" s="471"/>
      <c r="W200" s="471"/>
      <c r="X200" s="471"/>
      <c r="Y200" s="471"/>
      <c r="Z200" s="471"/>
      <c r="AA200" s="471"/>
      <c r="AB200" s="301"/>
      <c r="AC200" s="448"/>
      <c r="AD200" s="448"/>
      <c r="AE200" s="448"/>
      <c r="AF200" s="448"/>
      <c r="AG200" s="448"/>
      <c r="AH200" s="448"/>
      <c r="AI200" s="448"/>
      <c r="AJ200" s="448"/>
      <c r="AK200" s="448"/>
      <c r="AL200" s="448"/>
      <c r="AM200" s="448"/>
      <c r="AN200" s="448"/>
      <c r="AO200" s="448"/>
      <c r="AP200" s="448"/>
      <c r="AQ200" s="448"/>
      <c r="AR200" s="448"/>
      <c r="AS200" s="448"/>
      <c r="AT200" s="448"/>
      <c r="AU200" s="448"/>
      <c r="AV200" s="448"/>
      <c r="AW200" s="448"/>
      <c r="AX200" s="448"/>
      <c r="AY200" s="448"/>
      <c r="AZ200" s="448"/>
      <c r="BA200" s="448"/>
      <c r="BB200" s="448"/>
      <c r="BC200" s="448"/>
      <c r="BD200" s="448"/>
      <c r="BE200" s="448"/>
      <c r="BF200" s="448"/>
      <c r="BG200" s="448"/>
      <c r="BH200" s="448"/>
      <c r="BI200" s="448"/>
      <c r="BJ200" s="448"/>
      <c r="BK200" s="448"/>
      <c r="BL200" s="448"/>
      <c r="BM200" s="448"/>
      <c r="BN200" s="471"/>
      <c r="BO200" s="471"/>
    </row>
    <row r="201" spans="1:67" s="402" customFormat="1" ht="17.25" customHeight="1">
      <c r="A201" s="471"/>
      <c r="B201" s="471"/>
      <c r="C201" s="471"/>
      <c r="D201" s="471"/>
      <c r="E201" s="471"/>
      <c r="F201" s="861" t="s">
        <v>401</v>
      </c>
      <c r="G201" s="861"/>
      <c r="H201" s="871" t="str" cm="1">
        <f t="array" ref="H201">angleDecimal2Txt(O127)</f>
        <v>+00°00.42 (+00.0070) [+00°00'25.46]</v>
      </c>
      <c r="I201" s="871"/>
      <c r="J201" s="871"/>
      <c r="K201" s="871"/>
      <c r="L201" s="871"/>
      <c r="M201" s="471"/>
      <c r="N201" s="471"/>
      <c r="O201" s="471"/>
      <c r="P201" s="471"/>
      <c r="Q201" s="471"/>
      <c r="R201" s="471"/>
      <c r="S201" s="471"/>
      <c r="T201" s="471"/>
      <c r="U201" s="471"/>
      <c r="V201" s="471"/>
      <c r="W201" s="471"/>
      <c r="X201" s="471"/>
      <c r="Y201" s="471"/>
      <c r="Z201" s="471"/>
      <c r="AA201" s="471"/>
      <c r="AB201" s="301"/>
      <c r="AC201" s="448"/>
      <c r="AD201" s="448"/>
      <c r="AE201" s="448"/>
      <c r="AF201" s="448"/>
      <c r="AG201" s="448"/>
      <c r="AH201" s="448"/>
      <c r="AI201" s="448"/>
      <c r="AJ201" s="448"/>
      <c r="AK201" s="448"/>
      <c r="AL201" s="448"/>
      <c r="AM201" s="448"/>
      <c r="AN201" s="448"/>
      <c r="AO201" s="448"/>
      <c r="AP201" s="448"/>
      <c r="AQ201" s="448"/>
      <c r="AR201" s="448"/>
      <c r="AS201" s="448"/>
      <c r="AT201" s="448"/>
      <c r="AU201" s="448"/>
      <c r="AV201" s="448"/>
      <c r="AW201" s="448"/>
      <c r="AX201" s="448"/>
      <c r="AY201" s="448"/>
      <c r="AZ201" s="448"/>
      <c r="BA201" s="448"/>
      <c r="BB201" s="448"/>
      <c r="BC201" s="448"/>
      <c r="BD201" s="448"/>
      <c r="BE201" s="448"/>
      <c r="BF201" s="448"/>
      <c r="BG201" s="448"/>
      <c r="BH201" s="448"/>
      <c r="BI201" s="448"/>
      <c r="BJ201" s="448"/>
      <c r="BK201" s="448"/>
      <c r="BL201" s="448"/>
      <c r="BM201" s="448"/>
      <c r="BN201" s="471"/>
      <c r="BO201" s="471"/>
    </row>
    <row r="202" spans="1:67" s="402" customFormat="1" ht="17.25" customHeight="1">
      <c r="A202" s="471"/>
      <c r="B202" s="471"/>
      <c r="C202" s="471"/>
      <c r="D202" s="471"/>
      <c r="E202" s="471"/>
      <c r="F202" s="861" t="s">
        <v>402</v>
      </c>
      <c r="G202" s="861"/>
      <c r="H202" s="861" t="str" cm="1">
        <f t="array" ref="H202">angleDecimal2Txt(O122)</f>
        <v>+00°00.06 (+00.0011) [+00°00'04.07]</v>
      </c>
      <c r="I202" s="861"/>
      <c r="J202" s="861"/>
      <c r="K202" s="861"/>
      <c r="L202" s="861"/>
      <c r="M202" s="471"/>
      <c r="N202" s="471"/>
      <c r="O202" s="471"/>
      <c r="P202" s="471"/>
      <c r="Q202" s="471"/>
      <c r="R202" s="471"/>
      <c r="S202" s="471"/>
      <c r="T202" s="471"/>
      <c r="U202" s="471"/>
      <c r="V202" s="471"/>
      <c r="W202" s="471"/>
      <c r="X202" s="471"/>
      <c r="Y202" s="471"/>
      <c r="Z202" s="471"/>
      <c r="AA202" s="471"/>
      <c r="AB202" s="301"/>
      <c r="AC202" s="448"/>
      <c r="AD202" s="448"/>
      <c r="AE202" s="448"/>
      <c r="AF202" s="448"/>
      <c r="AG202" s="448"/>
      <c r="AH202" s="448"/>
      <c r="AI202" s="448"/>
      <c r="AJ202" s="448"/>
      <c r="AK202" s="448"/>
      <c r="AL202" s="448"/>
      <c r="AM202" s="448"/>
      <c r="AN202" s="448"/>
      <c r="AO202" s="448"/>
      <c r="AP202" s="448"/>
      <c r="AQ202" s="448"/>
      <c r="AR202" s="448"/>
      <c r="AS202" s="448"/>
      <c r="AT202" s="448"/>
      <c r="AU202" s="448"/>
      <c r="AV202" s="448"/>
      <c r="AW202" s="448"/>
      <c r="AX202" s="448"/>
      <c r="AY202" s="448"/>
      <c r="AZ202" s="448"/>
      <c r="BA202" s="448"/>
      <c r="BB202" s="448"/>
      <c r="BC202" s="448"/>
      <c r="BD202" s="448"/>
      <c r="BE202" s="448"/>
      <c r="BF202" s="448"/>
      <c r="BG202" s="448"/>
      <c r="BH202" s="448"/>
      <c r="BI202" s="448"/>
      <c r="BJ202" s="448"/>
      <c r="BK202" s="448"/>
      <c r="BL202" s="448"/>
      <c r="BM202" s="448"/>
      <c r="BN202" s="471"/>
      <c r="BO202" s="471"/>
    </row>
    <row r="203" spans="1:67" s="402" customFormat="1" ht="17.25" customHeight="1">
      <c r="A203" s="471"/>
      <c r="B203" s="471"/>
      <c r="C203" s="471"/>
      <c r="D203" s="471"/>
      <c r="E203" s="471"/>
      <c r="F203" s="861" t="s">
        <v>100</v>
      </c>
      <c r="G203" s="861"/>
      <c r="H203" s="861" t="str" cm="1">
        <f t="array" ref="H203">angleDecimal2Txt(O129)</f>
        <v>+00°31.60 (+00.5266) [+00°31'36.00]</v>
      </c>
      <c r="I203" s="861"/>
      <c r="J203" s="861"/>
      <c r="K203" s="861"/>
      <c r="L203" s="861"/>
      <c r="M203" s="471"/>
      <c r="N203" s="471"/>
      <c r="O203" s="471"/>
      <c r="P203" s="471"/>
      <c r="Q203" s="471"/>
      <c r="R203" s="471"/>
      <c r="S203" s="471"/>
      <c r="T203" s="471"/>
      <c r="U203" s="471"/>
      <c r="V203" s="471"/>
      <c r="W203" s="471"/>
      <c r="X203" s="471"/>
      <c r="Y203" s="471"/>
      <c r="Z203" s="471"/>
      <c r="AA203" s="471"/>
      <c r="AB203" s="301"/>
      <c r="AC203" s="448"/>
      <c r="AD203" s="448"/>
      <c r="AE203" s="448"/>
      <c r="AF203" s="448"/>
      <c r="AG203" s="448"/>
      <c r="AH203" s="448"/>
      <c r="AI203" s="448"/>
      <c r="AJ203" s="448"/>
      <c r="AK203" s="448"/>
      <c r="AL203" s="448"/>
      <c r="AM203" s="448"/>
      <c r="AN203" s="448"/>
      <c r="AO203" s="448"/>
      <c r="AP203" s="448"/>
      <c r="AQ203" s="448"/>
      <c r="AR203" s="448"/>
      <c r="AS203" s="448"/>
      <c r="AT203" s="448"/>
      <c r="AU203" s="448"/>
      <c r="AV203" s="448"/>
      <c r="AW203" s="448"/>
      <c r="AX203" s="448"/>
      <c r="AY203" s="448"/>
      <c r="AZ203" s="448"/>
      <c r="BA203" s="448"/>
      <c r="BB203" s="448"/>
      <c r="BC203" s="448"/>
      <c r="BD203" s="448"/>
      <c r="BE203" s="448"/>
      <c r="BF203" s="448"/>
      <c r="BG203" s="448"/>
      <c r="BH203" s="448"/>
      <c r="BI203" s="448"/>
      <c r="BJ203" s="448"/>
      <c r="BK203" s="448"/>
      <c r="BL203" s="448"/>
      <c r="BM203" s="448"/>
      <c r="BN203" s="471"/>
      <c r="BO203" s="471"/>
    </row>
    <row r="204" spans="1:67" s="402" customFormat="1" ht="17.25" customHeight="1">
      <c r="A204" s="471"/>
      <c r="B204" s="471"/>
      <c r="C204" s="471"/>
      <c r="D204" s="471"/>
      <c r="E204" s="471"/>
      <c r="F204" s="861" t="s">
        <v>71</v>
      </c>
      <c r="G204" s="861"/>
      <c r="H204" s="861" t="str" cm="1">
        <f t="array" ref="H204">angleDecimal2Txt(O131)</f>
        <v>+00°15.80 (+00.2633) [+00°15'48.00]</v>
      </c>
      <c r="I204" s="861"/>
      <c r="J204" s="861"/>
      <c r="K204" s="861"/>
      <c r="L204" s="861"/>
      <c r="M204" s="471"/>
      <c r="N204" s="471"/>
      <c r="O204" s="471"/>
      <c r="P204" s="471"/>
      <c r="Q204" s="471"/>
      <c r="R204" s="471"/>
      <c r="S204" s="471"/>
      <c r="T204" s="471"/>
      <c r="U204" s="471"/>
      <c r="V204" s="471"/>
      <c r="W204" s="471"/>
      <c r="X204" s="471"/>
      <c r="Y204" s="471"/>
      <c r="Z204" s="471"/>
      <c r="AA204" s="471"/>
      <c r="AB204" s="301"/>
      <c r="AC204" s="448"/>
      <c r="AD204" s="448"/>
      <c r="AE204" s="448"/>
      <c r="AF204" s="448"/>
      <c r="AG204" s="448"/>
      <c r="AH204" s="448"/>
      <c r="AI204" s="448"/>
      <c r="AJ204" s="448"/>
      <c r="AK204" s="448"/>
      <c r="AL204" s="448"/>
      <c r="AM204" s="448"/>
      <c r="AN204" s="448"/>
      <c r="AO204" s="448"/>
      <c r="AP204" s="448"/>
      <c r="AQ204" s="448"/>
      <c r="AR204" s="448"/>
      <c r="AS204" s="448"/>
      <c r="AT204" s="448"/>
      <c r="AU204" s="448"/>
      <c r="AV204" s="448"/>
      <c r="AW204" s="448"/>
      <c r="AX204" s="448"/>
      <c r="AY204" s="448"/>
      <c r="AZ204" s="448"/>
      <c r="BA204" s="448"/>
      <c r="BB204" s="448"/>
      <c r="BC204" s="448"/>
      <c r="BD204" s="448"/>
      <c r="BE204" s="448"/>
      <c r="BF204" s="448"/>
      <c r="BG204" s="448"/>
      <c r="BH204" s="448"/>
      <c r="BI204" s="448"/>
      <c r="BJ204" s="448"/>
      <c r="BK204" s="448"/>
      <c r="BL204" s="448"/>
      <c r="BM204" s="448"/>
      <c r="BN204" s="471"/>
      <c r="BO204" s="471"/>
    </row>
    <row r="205" spans="1:67" s="402" customFormat="1" ht="17.25" customHeight="1">
      <c r="A205" s="471"/>
      <c r="B205" s="471"/>
      <c r="C205" s="471"/>
      <c r="D205" s="483"/>
      <c r="E205" s="862" t="str" cm="1">
        <f t="array" ref="E205">angleDecimal2Txt(F112)</f>
        <v>+67°08.65 (+67.1442) [+67°08'39.43]</v>
      </c>
      <c r="F205" s="862"/>
      <c r="G205" s="862"/>
      <c r="H205" s="862"/>
      <c r="I205" s="862"/>
      <c r="J205" s="862" t="s">
        <v>467</v>
      </c>
      <c r="K205" s="862"/>
      <c r="L205" s="862"/>
      <c r="M205" s="471"/>
      <c r="N205" s="471"/>
      <c r="O205" s="471"/>
      <c r="P205" s="471"/>
      <c r="Q205" s="471"/>
      <c r="R205" s="471"/>
      <c r="S205" s="471"/>
      <c r="T205" s="471"/>
      <c r="U205" s="471"/>
      <c r="V205" s="471"/>
      <c r="W205" s="471"/>
      <c r="X205" s="471"/>
      <c r="Y205" s="471"/>
      <c r="Z205" s="471"/>
      <c r="AA205" s="471"/>
      <c r="AB205" s="301"/>
      <c r="AC205" s="448"/>
      <c r="AD205" s="448"/>
      <c r="AE205" s="448"/>
      <c r="AF205" s="448"/>
      <c r="AG205" s="448"/>
      <c r="AH205" s="448"/>
      <c r="AI205" s="448"/>
      <c r="AJ205" s="448"/>
      <c r="AK205" s="448"/>
      <c r="AL205" s="448"/>
      <c r="AM205" s="448"/>
      <c r="AN205" s="448"/>
      <c r="AO205" s="448"/>
      <c r="AP205" s="448"/>
      <c r="AQ205" s="448"/>
      <c r="AR205" s="448"/>
      <c r="AS205" s="448"/>
      <c r="AT205" s="448"/>
      <c r="AU205" s="448"/>
      <c r="AV205" s="448"/>
      <c r="AW205" s="448"/>
      <c r="AX205" s="448"/>
      <c r="AY205" s="448"/>
      <c r="AZ205" s="448"/>
      <c r="BA205" s="448"/>
      <c r="BB205" s="448"/>
      <c r="BC205" s="448"/>
      <c r="BD205" s="448"/>
      <c r="BE205" s="448"/>
      <c r="BF205" s="448"/>
      <c r="BG205" s="448"/>
      <c r="BH205" s="448"/>
      <c r="BI205" s="448"/>
      <c r="BJ205" s="448"/>
      <c r="BK205" s="448"/>
      <c r="BL205" s="448"/>
      <c r="BM205" s="448"/>
      <c r="BN205" s="471"/>
      <c r="BO205" s="471"/>
    </row>
    <row r="206" spans="1:67" s="402" customFormat="1" ht="17.25" customHeight="1">
      <c r="A206" s="471"/>
      <c r="B206" s="471"/>
      <c r="C206" s="471"/>
      <c r="D206" s="483"/>
      <c r="E206" s="471"/>
      <c r="F206" s="861" t="str" cm="1">
        <f t="array" ref="F206">angleDecimal2Txt(O122-O127-O117)</f>
        <v>-00°02.84 (-00.0473) [-00°02'50.56]</v>
      </c>
      <c r="G206" s="861"/>
      <c r="H206" s="861"/>
      <c r="I206" s="861"/>
      <c r="J206" s="861"/>
      <c r="K206" s="861" t="s">
        <v>403</v>
      </c>
      <c r="L206" s="861"/>
      <c r="M206" s="861"/>
      <c r="N206" s="917" t="s">
        <v>418</v>
      </c>
      <c r="O206" s="917"/>
      <c r="P206" s="917"/>
      <c r="Q206" s="471"/>
      <c r="R206" s="471"/>
      <c r="S206" s="471"/>
      <c r="T206" s="471"/>
      <c r="U206" s="471"/>
      <c r="V206" s="471"/>
      <c r="W206" s="471"/>
      <c r="X206" s="471"/>
      <c r="Y206" s="471"/>
      <c r="Z206" s="471"/>
      <c r="AA206" s="471"/>
      <c r="AB206" s="301"/>
      <c r="AC206" s="448"/>
      <c r="AD206" s="448"/>
      <c r="AE206" s="448"/>
      <c r="AF206" s="448"/>
      <c r="AG206" s="448"/>
      <c r="AH206" s="448"/>
      <c r="AI206" s="448"/>
      <c r="AJ206" s="448"/>
      <c r="AK206" s="448"/>
      <c r="AL206" s="448"/>
      <c r="AM206" s="448"/>
      <c r="AN206" s="448"/>
      <c r="AO206" s="448"/>
      <c r="AP206" s="448"/>
      <c r="AQ206" s="448"/>
      <c r="AR206" s="448"/>
      <c r="AS206" s="448"/>
      <c r="AT206" s="448"/>
      <c r="AU206" s="448"/>
      <c r="AV206" s="448"/>
      <c r="AW206" s="448"/>
      <c r="AX206" s="448"/>
      <c r="AY206" s="448"/>
      <c r="AZ206" s="448"/>
      <c r="BA206" s="448"/>
      <c r="BB206" s="448"/>
      <c r="BC206" s="448"/>
      <c r="BD206" s="448"/>
      <c r="BE206" s="448"/>
      <c r="BF206" s="448"/>
      <c r="BG206" s="448"/>
      <c r="BH206" s="448"/>
      <c r="BI206" s="448"/>
      <c r="BJ206" s="448"/>
      <c r="BK206" s="448"/>
      <c r="BL206" s="448"/>
      <c r="BM206" s="448"/>
      <c r="BN206" s="471"/>
      <c r="BO206" s="471"/>
    </row>
    <row r="207" spans="1:67" s="402" customFormat="1" ht="17.25" customHeight="1">
      <c r="A207" s="471"/>
      <c r="B207" s="471"/>
      <c r="C207" s="471"/>
      <c r="D207" s="483"/>
      <c r="E207" s="471"/>
      <c r="F207" s="861" t="str" cm="1">
        <f t="array" ref="F207">angleDecimal2Txt(O122-O127-O117+O131)</f>
        <v>+00°12.95 (+00.2159) [+00°12'57.43]</v>
      </c>
      <c r="G207" s="861"/>
      <c r="H207" s="861"/>
      <c r="I207" s="861"/>
      <c r="J207" s="861"/>
      <c r="K207" s="861" t="s">
        <v>399</v>
      </c>
      <c r="L207" s="861"/>
      <c r="M207" s="861"/>
      <c r="N207" s="917"/>
      <c r="O207" s="917"/>
      <c r="P207" s="917"/>
      <c r="Q207" s="471"/>
      <c r="R207" s="471"/>
      <c r="S207" s="471"/>
      <c r="T207" s="471"/>
      <c r="U207" s="471"/>
      <c r="V207" s="471"/>
      <c r="W207" s="471"/>
      <c r="X207" s="471"/>
      <c r="Y207" s="471"/>
      <c r="Z207" s="471"/>
      <c r="AA207" s="471"/>
      <c r="AB207" s="301"/>
      <c r="AC207" s="448"/>
      <c r="AD207" s="448"/>
      <c r="AE207" s="448"/>
      <c r="AF207" s="448"/>
      <c r="AG207" s="448"/>
      <c r="AH207" s="448"/>
      <c r="AI207" s="448"/>
      <c r="AJ207" s="448"/>
      <c r="AK207" s="448"/>
      <c r="AL207" s="448"/>
      <c r="AM207" s="448"/>
      <c r="AN207" s="448"/>
      <c r="AO207" s="448"/>
      <c r="AP207" s="448"/>
      <c r="AQ207" s="448"/>
      <c r="AR207" s="448"/>
      <c r="AS207" s="448"/>
      <c r="AT207" s="448"/>
      <c r="AU207" s="448"/>
      <c r="AV207" s="448"/>
      <c r="AW207" s="448"/>
      <c r="AX207" s="448"/>
      <c r="AY207" s="448"/>
      <c r="AZ207" s="448"/>
      <c r="BA207" s="448"/>
      <c r="BB207" s="448"/>
      <c r="BC207" s="448"/>
      <c r="BD207" s="448"/>
      <c r="BE207" s="448"/>
      <c r="BF207" s="448"/>
      <c r="BG207" s="448"/>
      <c r="BH207" s="448"/>
      <c r="BI207" s="448"/>
      <c r="BJ207" s="448"/>
      <c r="BK207" s="448"/>
      <c r="BL207" s="448"/>
      <c r="BM207" s="448"/>
      <c r="BN207" s="471"/>
      <c r="BO207" s="471"/>
    </row>
    <row r="208" spans="1:67" s="402" customFormat="1" ht="17.25" customHeight="1">
      <c r="A208" s="471"/>
      <c r="B208" s="471"/>
      <c r="C208" s="471"/>
      <c r="D208" s="483"/>
      <c r="E208" s="471"/>
      <c r="F208" s="861" t="str" cm="1">
        <f t="array" ref="F208">angleDecimal2Txt(O122-O127+O131)</f>
        <v>+00°15.44 (+00.2573) [+00°15'26.61]</v>
      </c>
      <c r="G208" s="861"/>
      <c r="H208" s="861"/>
      <c r="I208" s="861"/>
      <c r="J208" s="861"/>
      <c r="K208" s="861" t="s">
        <v>400</v>
      </c>
      <c r="L208" s="861"/>
      <c r="M208" s="861"/>
      <c r="N208" s="917"/>
      <c r="O208" s="917"/>
      <c r="P208" s="917"/>
      <c r="Q208" s="471"/>
      <c r="R208" s="471"/>
      <c r="S208" s="471"/>
      <c r="T208" s="471"/>
      <c r="U208" s="471"/>
      <c r="V208" s="471"/>
      <c r="W208" s="471"/>
      <c r="X208" s="471"/>
      <c r="Y208" s="471"/>
      <c r="Z208" s="471"/>
      <c r="AA208" s="471"/>
      <c r="AB208" s="301"/>
      <c r="AC208" s="448"/>
      <c r="AD208" s="448"/>
      <c r="AE208" s="448"/>
      <c r="AF208" s="448"/>
      <c r="AG208" s="448"/>
      <c r="AH208" s="448"/>
      <c r="AI208" s="448"/>
      <c r="AJ208" s="448"/>
      <c r="AK208" s="448"/>
      <c r="AL208" s="448"/>
      <c r="AM208" s="448"/>
      <c r="AN208" s="448"/>
      <c r="AO208" s="448"/>
      <c r="AP208" s="448"/>
      <c r="AQ208" s="448"/>
      <c r="AR208" s="448"/>
      <c r="AS208" s="448"/>
      <c r="AT208" s="448"/>
      <c r="AU208" s="448"/>
      <c r="AV208" s="448"/>
      <c r="AW208" s="448"/>
      <c r="AX208" s="448"/>
      <c r="AY208" s="448"/>
      <c r="AZ208" s="448"/>
      <c r="BA208" s="448"/>
      <c r="BB208" s="448"/>
      <c r="BC208" s="448"/>
      <c r="BD208" s="448"/>
      <c r="BE208" s="448"/>
      <c r="BF208" s="448"/>
      <c r="BG208" s="448"/>
      <c r="BH208" s="448"/>
      <c r="BI208" s="448"/>
      <c r="BJ208" s="448"/>
      <c r="BK208" s="448"/>
      <c r="BL208" s="448"/>
      <c r="BM208" s="448"/>
      <c r="BN208" s="471"/>
      <c r="BO208" s="471"/>
    </row>
    <row r="209" spans="1:67" s="402" customFormat="1" ht="17.25" customHeight="1">
      <c r="A209" s="471"/>
      <c r="B209" s="471"/>
      <c r="C209" s="471"/>
      <c r="D209" s="471"/>
      <c r="E209" s="471"/>
      <c r="F209" s="471"/>
      <c r="G209" s="471"/>
      <c r="H209" s="471"/>
      <c r="I209" s="471"/>
      <c r="J209" s="471"/>
      <c r="K209" s="471"/>
      <c r="L209" s="471"/>
      <c r="M209" s="471"/>
      <c r="N209" s="471"/>
      <c r="O209" s="471"/>
      <c r="P209" s="471"/>
      <c r="Q209" s="471"/>
      <c r="R209" s="471"/>
      <c r="S209" s="471"/>
      <c r="T209" s="471"/>
      <c r="U209" s="471"/>
      <c r="V209" s="471"/>
      <c r="W209" s="471"/>
      <c r="X209" s="471"/>
      <c r="Y209" s="471"/>
      <c r="Z209" s="471"/>
      <c r="AA209" s="471"/>
      <c r="AB209" s="301"/>
      <c r="AC209" s="448"/>
      <c r="AD209" s="448"/>
      <c r="AE209" s="448"/>
      <c r="AF209" s="448"/>
      <c r="AG209" s="448"/>
      <c r="AH209" s="448"/>
      <c r="AI209" s="448"/>
      <c r="AJ209" s="448"/>
      <c r="AK209" s="448"/>
      <c r="AL209" s="448"/>
      <c r="AM209" s="448"/>
      <c r="AN209" s="448"/>
      <c r="AO209" s="448"/>
      <c r="AP209" s="448"/>
      <c r="AQ209" s="448"/>
      <c r="AR209" s="448"/>
      <c r="AS209" s="448"/>
      <c r="AT209" s="448"/>
      <c r="AU209" s="448"/>
      <c r="AV209" s="448"/>
      <c r="AW209" s="448"/>
      <c r="AX209" s="448"/>
      <c r="AY209" s="448"/>
      <c r="AZ209" s="448"/>
      <c r="BA209" s="448"/>
      <c r="BB209" s="448"/>
      <c r="BC209" s="448"/>
      <c r="BD209" s="448"/>
      <c r="BE209" s="448"/>
      <c r="BF209" s="448"/>
      <c r="BG209" s="448"/>
      <c r="BH209" s="448"/>
      <c r="BI209" s="448"/>
      <c r="BJ209" s="448"/>
      <c r="BK209" s="448"/>
      <c r="BL209" s="448"/>
      <c r="BM209" s="448"/>
      <c r="BN209" s="471"/>
      <c r="BO209" s="471"/>
    </row>
    <row r="210" spans="1:67" s="402" customFormat="1" ht="17.25" customHeight="1">
      <c r="A210" s="471"/>
      <c r="B210" s="471"/>
      <c r="C210" s="471"/>
      <c r="D210" s="471"/>
      <c r="E210" s="471"/>
      <c r="F210" s="471"/>
      <c r="G210" s="471"/>
      <c r="H210" s="471"/>
      <c r="I210" s="471"/>
      <c r="J210" s="471"/>
      <c r="K210" s="471"/>
      <c r="L210" s="471"/>
      <c r="M210" s="471"/>
      <c r="N210" s="471"/>
      <c r="O210" s="471"/>
      <c r="P210" s="471"/>
      <c r="Q210" s="471"/>
      <c r="R210" s="471"/>
      <c r="S210" s="471"/>
      <c r="T210" s="471"/>
      <c r="U210" s="471"/>
      <c r="V210" s="471"/>
      <c r="W210" s="471"/>
      <c r="X210" s="471"/>
      <c r="Y210" s="471"/>
      <c r="Z210" s="471"/>
      <c r="AA210" s="471"/>
      <c r="AB210" s="301"/>
      <c r="AC210" s="448"/>
      <c r="AD210" s="448"/>
      <c r="AE210" s="448"/>
      <c r="AF210" s="448"/>
      <c r="AG210" s="448"/>
      <c r="AH210" s="448"/>
      <c r="AI210" s="448"/>
      <c r="AJ210" s="448"/>
      <c r="AK210" s="448"/>
      <c r="AL210" s="448"/>
      <c r="AM210" s="448"/>
      <c r="AN210" s="448"/>
      <c r="AO210" s="448"/>
      <c r="AP210" s="448"/>
      <c r="AQ210" s="448"/>
      <c r="AR210" s="448"/>
      <c r="AS210" s="448"/>
      <c r="AT210" s="448"/>
      <c r="AU210" s="448"/>
      <c r="AV210" s="448"/>
      <c r="AW210" s="448"/>
      <c r="AX210" s="448"/>
      <c r="AY210" s="448"/>
      <c r="AZ210" s="448"/>
      <c r="BA210" s="448"/>
      <c r="BB210" s="448"/>
      <c r="BC210" s="448"/>
      <c r="BD210" s="448"/>
      <c r="BE210" s="448"/>
      <c r="BF210" s="448"/>
      <c r="BG210" s="448"/>
      <c r="BH210" s="448"/>
      <c r="BI210" s="448"/>
      <c r="BJ210" s="448"/>
      <c r="BK210" s="448"/>
      <c r="BL210" s="448"/>
      <c r="BM210" s="448"/>
      <c r="BN210" s="471"/>
      <c r="BO210" s="471"/>
    </row>
    <row r="211" spans="1:67" s="402" customFormat="1" ht="17.25" customHeight="1" thickBot="1">
      <c r="A211" s="471"/>
      <c r="B211" s="471" t="s">
        <v>503</v>
      </c>
      <c r="C211" s="481"/>
      <c r="D211" s="481"/>
      <c r="E211" s="481"/>
      <c r="F211" s="481"/>
      <c r="G211" s="481"/>
      <c r="H211" s="482"/>
      <c r="I211" s="482"/>
      <c r="J211" s="482"/>
      <c r="K211" s="482"/>
      <c r="L211" s="482"/>
      <c r="M211" s="482"/>
      <c r="N211" s="482"/>
      <c r="O211" s="482"/>
      <c r="P211" s="482"/>
      <c r="Q211" s="482"/>
      <c r="R211" s="471"/>
      <c r="S211" s="471"/>
      <c r="T211" s="471"/>
      <c r="U211" s="471"/>
      <c r="V211" s="471"/>
      <c r="W211" s="471"/>
      <c r="X211" s="471"/>
      <c r="Y211" s="471"/>
      <c r="Z211" s="471"/>
      <c r="AA211" s="471"/>
      <c r="AB211" s="301"/>
      <c r="AC211" s="448"/>
      <c r="AD211" s="448"/>
      <c r="AE211" s="448"/>
      <c r="AF211" s="448"/>
      <c r="AG211" s="448"/>
      <c r="AH211" s="448"/>
      <c r="AI211" s="448"/>
      <c r="AJ211" s="448"/>
      <c r="AK211" s="448"/>
      <c r="AL211" s="448"/>
      <c r="AM211" s="448"/>
      <c r="AN211" s="448"/>
      <c r="AO211" s="448"/>
      <c r="AP211" s="448"/>
      <c r="AQ211" s="448"/>
      <c r="AR211" s="448"/>
      <c r="AS211" s="448"/>
      <c r="AT211" s="448"/>
      <c r="AU211" s="448"/>
      <c r="AV211" s="448"/>
      <c r="AW211" s="448"/>
      <c r="AX211" s="448"/>
      <c r="AY211" s="448"/>
      <c r="AZ211" s="448"/>
      <c r="BA211" s="448"/>
      <c r="BB211" s="448"/>
      <c r="BC211" s="448"/>
      <c r="BD211" s="448"/>
      <c r="BE211" s="448"/>
      <c r="BF211" s="448"/>
      <c r="BG211" s="448"/>
      <c r="BH211" s="448"/>
      <c r="BI211" s="448"/>
      <c r="BJ211" s="448"/>
      <c r="BK211" s="448"/>
      <c r="BL211" s="448"/>
      <c r="BM211" s="448"/>
      <c r="BN211" s="471"/>
      <c r="BO211" s="471"/>
    </row>
    <row r="212" spans="1:67" s="402" customFormat="1" ht="17.25" customHeight="1" thickTop="1">
      <c r="A212" s="471"/>
      <c r="B212" s="1312" t="s">
        <v>504</v>
      </c>
      <c r="C212" s="919" t="s">
        <v>561</v>
      </c>
      <c r="D212" s="919"/>
      <c r="E212" s="919" t="str">
        <f>O11</f>
        <v>N 46°06.00 (N 46.1000) [N 46°06'00.00]</v>
      </c>
      <c r="F212" s="919"/>
      <c r="G212" s="919"/>
      <c r="H212" s="919"/>
      <c r="I212" s="919"/>
      <c r="J212" s="919"/>
      <c r="K212" s="471"/>
      <c r="L212" s="471"/>
      <c r="M212" s="471"/>
      <c r="N212" s="471"/>
      <c r="O212" s="471"/>
      <c r="P212" s="471"/>
      <c r="Q212" s="471"/>
      <c r="R212" s="471"/>
      <c r="S212" s="471"/>
      <c r="T212" s="471"/>
      <c r="U212" s="471"/>
      <c r="V212" s="471"/>
      <c r="W212" s="471"/>
      <c r="X212" s="471"/>
      <c r="Y212" s="471"/>
      <c r="Z212" s="471"/>
      <c r="AA212" s="471"/>
      <c r="AB212" s="301"/>
      <c r="AC212" s="448"/>
      <c r="AD212" s="448"/>
      <c r="AE212" s="448"/>
      <c r="AF212" s="448"/>
      <c r="AG212" s="448"/>
      <c r="AH212" s="448"/>
      <c r="AI212" s="448"/>
      <c r="AJ212" s="448"/>
      <c r="AK212" s="448"/>
      <c r="AL212" s="448"/>
      <c r="AM212" s="448"/>
      <c r="AN212" s="448"/>
      <c r="AO212" s="448"/>
      <c r="AP212" s="448"/>
      <c r="AQ212" s="448"/>
      <c r="AR212" s="448"/>
      <c r="AS212" s="448"/>
      <c r="AT212" s="448"/>
      <c r="AU212" s="448"/>
      <c r="AV212" s="448"/>
      <c r="AW212" s="448"/>
      <c r="AX212" s="448"/>
      <c r="AY212" s="448"/>
      <c r="AZ212" s="448"/>
      <c r="BA212" s="448"/>
      <c r="BB212" s="448"/>
      <c r="BC212" s="448"/>
      <c r="BD212" s="448"/>
      <c r="BE212" s="448"/>
      <c r="BF212" s="448"/>
      <c r="BG212" s="448"/>
      <c r="BH212" s="448"/>
      <c r="BI212" s="448"/>
      <c r="BJ212" s="448"/>
      <c r="BK212" s="448"/>
      <c r="BL212" s="448"/>
      <c r="BM212" s="448"/>
      <c r="BN212" s="471"/>
      <c r="BO212" s="471"/>
    </row>
    <row r="213" spans="1:67" s="402" customFormat="1" ht="17.25" customHeight="1">
      <c r="A213" s="471"/>
      <c r="B213" s="1312"/>
      <c r="C213" s="919" t="s">
        <v>557</v>
      </c>
      <c r="D213" s="919"/>
      <c r="E213" s="919" t="str">
        <f>O13</f>
        <v>W 07°05.00 (W 07.0833) [W 07°05'00.00]</v>
      </c>
      <c r="F213" s="919"/>
      <c r="G213" s="919"/>
      <c r="H213" s="919"/>
      <c r="I213" s="919"/>
      <c r="J213" s="919"/>
      <c r="K213" s="471"/>
      <c r="L213" s="471"/>
      <c r="M213" s="471"/>
      <c r="N213" s="471"/>
      <c r="O213" s="471"/>
      <c r="P213" s="471"/>
      <c r="Q213" s="471"/>
      <c r="R213" s="471"/>
      <c r="S213" s="471"/>
      <c r="T213" s="471"/>
      <c r="U213" s="471"/>
      <c r="V213" s="471"/>
      <c r="W213" s="471"/>
      <c r="X213" s="471"/>
      <c r="Y213" s="471"/>
      <c r="Z213" s="471"/>
      <c r="AA213" s="471"/>
      <c r="AB213" s="301"/>
      <c r="AC213" s="448"/>
      <c r="AD213" s="448"/>
      <c r="AE213" s="448"/>
      <c r="AF213" s="448"/>
      <c r="AG213" s="448"/>
      <c r="AH213" s="448"/>
      <c r="AI213" s="448"/>
      <c r="AJ213" s="448"/>
      <c r="AK213" s="448"/>
      <c r="AL213" s="448"/>
      <c r="AM213" s="448"/>
      <c r="AN213" s="448"/>
      <c r="AO213" s="448"/>
      <c r="AP213" s="448"/>
      <c r="AQ213" s="448"/>
      <c r="AR213" s="448"/>
      <c r="AS213" s="448"/>
      <c r="AT213" s="448"/>
      <c r="AU213" s="448"/>
      <c r="AV213" s="448"/>
      <c r="AW213" s="448"/>
      <c r="AX213" s="448"/>
      <c r="AY213" s="448"/>
      <c r="AZ213" s="448"/>
      <c r="BA213" s="448"/>
      <c r="BB213" s="448"/>
      <c r="BC213" s="448"/>
      <c r="BD213" s="448"/>
      <c r="BE213" s="448"/>
      <c r="BF213" s="448"/>
      <c r="BG213" s="448"/>
      <c r="BH213" s="448"/>
      <c r="BI213" s="448"/>
      <c r="BJ213" s="448"/>
      <c r="BK213" s="448"/>
      <c r="BL213" s="448"/>
      <c r="BM213" s="448"/>
      <c r="BN213" s="471"/>
      <c r="BO213" s="471"/>
    </row>
    <row r="214" spans="1:67" s="402" customFormat="1" ht="17.25" customHeight="1">
      <c r="A214" s="471"/>
      <c r="B214" s="1312"/>
      <c r="C214" s="919" t="s">
        <v>11</v>
      </c>
      <c r="D214" s="919"/>
      <c r="E214" s="919" t="str">
        <f>O9</f>
        <v>10:20:35.00(10.3430)</v>
      </c>
      <c r="F214" s="919"/>
      <c r="G214" s="919"/>
      <c r="H214" s="919"/>
      <c r="I214" s="919"/>
      <c r="J214" s="919"/>
      <c r="K214" s="471"/>
      <c r="L214" s="471"/>
      <c r="M214" s="471"/>
      <c r="N214" s="471"/>
      <c r="O214" s="471"/>
      <c r="P214" s="471"/>
      <c r="Q214" s="471"/>
      <c r="R214" s="471"/>
      <c r="S214" s="471"/>
      <c r="T214" s="471"/>
      <c r="U214" s="471"/>
      <c r="V214" s="471"/>
      <c r="W214" s="471"/>
      <c r="X214" s="471"/>
      <c r="Y214" s="471"/>
      <c r="Z214" s="471"/>
      <c r="AA214" s="471"/>
      <c r="AB214" s="301"/>
      <c r="AC214" s="448"/>
      <c r="AD214" s="448"/>
      <c r="AE214" s="448"/>
      <c r="AF214" s="448"/>
      <c r="AG214" s="448"/>
      <c r="AH214" s="448"/>
      <c r="AI214" s="448"/>
      <c r="AJ214" s="448"/>
      <c r="AK214" s="448"/>
      <c r="AL214" s="448"/>
      <c r="AM214" s="448"/>
      <c r="AN214" s="448"/>
      <c r="AO214" s="448"/>
      <c r="AP214" s="448"/>
      <c r="AQ214" s="448"/>
      <c r="AR214" s="448"/>
      <c r="AS214" s="448"/>
      <c r="AT214" s="448"/>
      <c r="AU214" s="448"/>
      <c r="AV214" s="448"/>
      <c r="AW214" s="448"/>
      <c r="AX214" s="448"/>
      <c r="AY214" s="448"/>
      <c r="AZ214" s="448"/>
      <c r="BA214" s="448"/>
      <c r="BB214" s="448"/>
      <c r="BC214" s="448"/>
      <c r="BD214" s="448"/>
      <c r="BE214" s="448"/>
      <c r="BF214" s="448"/>
      <c r="BG214" s="448"/>
      <c r="BH214" s="448"/>
      <c r="BI214" s="448"/>
      <c r="BJ214" s="448"/>
      <c r="BK214" s="448"/>
      <c r="BL214" s="448"/>
      <c r="BM214" s="448"/>
      <c r="BN214" s="471"/>
      <c r="BO214" s="471"/>
    </row>
    <row r="215" spans="1:67" s="402" customFormat="1" ht="17.25" customHeight="1">
      <c r="A215" s="471"/>
      <c r="B215" s="1312"/>
      <c r="C215" s="919" t="s">
        <v>106</v>
      </c>
      <c r="D215" s="919"/>
      <c r="E215" s="919">
        <f>F17</f>
        <v>260</v>
      </c>
      <c r="F215" s="919"/>
      <c r="G215" s="919"/>
      <c r="H215" s="919"/>
      <c r="I215" s="919"/>
      <c r="J215" s="919"/>
      <c r="K215" s="471"/>
      <c r="L215" s="471"/>
      <c r="M215" s="471"/>
      <c r="N215" s="471"/>
      <c r="O215" s="471"/>
      <c r="P215" s="471"/>
      <c r="Q215" s="471"/>
      <c r="R215" s="471"/>
      <c r="S215" s="471"/>
      <c r="T215" s="471"/>
      <c r="U215" s="471"/>
      <c r="V215" s="471"/>
      <c r="W215" s="471"/>
      <c r="X215" s="471"/>
      <c r="Y215" s="471"/>
      <c r="Z215" s="471"/>
      <c r="AA215" s="471"/>
      <c r="AB215" s="301"/>
      <c r="AC215" s="448"/>
      <c r="AD215" s="448"/>
      <c r="AE215" s="448"/>
      <c r="AF215" s="448"/>
      <c r="AG215" s="448"/>
      <c r="AH215" s="448"/>
      <c r="AI215" s="448"/>
      <c r="AJ215" s="448"/>
      <c r="AK215" s="448"/>
      <c r="AL215" s="448"/>
      <c r="AM215" s="448"/>
      <c r="AN215" s="448"/>
      <c r="AO215" s="448"/>
      <c r="AP215" s="448"/>
      <c r="AQ215" s="448"/>
      <c r="AR215" s="448"/>
      <c r="AS215" s="448"/>
      <c r="AT215" s="448"/>
      <c r="AU215" s="448"/>
      <c r="AV215" s="448"/>
      <c r="AW215" s="448"/>
      <c r="AX215" s="448"/>
      <c r="AY215" s="448"/>
      <c r="AZ215" s="448"/>
      <c r="BA215" s="448"/>
      <c r="BB215" s="448"/>
      <c r="BC215" s="448"/>
      <c r="BD215" s="448"/>
      <c r="BE215" s="448"/>
      <c r="BF215" s="448"/>
      <c r="BG215" s="448"/>
      <c r="BH215" s="448"/>
      <c r="BI215" s="448"/>
      <c r="BJ215" s="448"/>
      <c r="BK215" s="448"/>
      <c r="BL215" s="448"/>
      <c r="BM215" s="448"/>
      <c r="BN215" s="471"/>
      <c r="BO215" s="471"/>
    </row>
    <row r="216" spans="1:67" s="402" customFormat="1" ht="17.25" customHeight="1">
      <c r="A216" s="471"/>
      <c r="B216" s="1312"/>
      <c r="C216" s="919" t="s">
        <v>105</v>
      </c>
      <c r="D216" s="919"/>
      <c r="E216" s="1078">
        <f>E35</f>
        <v>5</v>
      </c>
      <c r="F216" s="1079"/>
      <c r="G216" s="1079"/>
      <c r="H216" s="1079"/>
      <c r="I216" s="1079"/>
      <c r="J216" s="423" t="s">
        <v>507</v>
      </c>
      <c r="K216" s="471"/>
      <c r="L216" s="471"/>
      <c r="M216" s="471"/>
      <c r="N216" s="471"/>
      <c r="O216" s="471"/>
      <c r="P216" s="471"/>
      <c r="Q216" s="471"/>
      <c r="R216" s="471"/>
      <c r="S216" s="471"/>
      <c r="T216" s="471"/>
      <c r="U216" s="471"/>
      <c r="V216" s="471"/>
      <c r="W216" s="471"/>
      <c r="X216" s="471"/>
      <c r="Y216" s="471"/>
      <c r="Z216" s="471"/>
      <c r="AA216" s="471"/>
      <c r="AB216" s="301"/>
      <c r="AC216" s="448"/>
      <c r="AD216" s="448"/>
      <c r="AE216" s="448"/>
      <c r="AF216" s="448"/>
      <c r="AG216" s="448"/>
      <c r="AH216" s="448"/>
      <c r="AI216" s="448"/>
      <c r="AJ216" s="448"/>
      <c r="AK216" s="448"/>
      <c r="AL216" s="448"/>
      <c r="AM216" s="448"/>
      <c r="AN216" s="448"/>
      <c r="AO216" s="448"/>
      <c r="AP216" s="448"/>
      <c r="AQ216" s="448"/>
      <c r="AR216" s="448"/>
      <c r="AS216" s="448"/>
      <c r="AT216" s="448"/>
      <c r="AU216" s="448"/>
      <c r="AV216" s="448"/>
      <c r="AW216" s="448"/>
      <c r="AX216" s="448"/>
      <c r="AY216" s="448"/>
      <c r="AZ216" s="448"/>
      <c r="BA216" s="448"/>
      <c r="BB216" s="448"/>
      <c r="BC216" s="448"/>
      <c r="BD216" s="448"/>
      <c r="BE216" s="448"/>
      <c r="BF216" s="448"/>
      <c r="BG216" s="448"/>
      <c r="BH216" s="448"/>
      <c r="BI216" s="448"/>
      <c r="BJ216" s="448"/>
      <c r="BK216" s="448"/>
      <c r="BL216" s="448"/>
      <c r="BM216" s="448"/>
      <c r="BN216" s="471"/>
      <c r="BO216" s="471"/>
    </row>
    <row r="217" spans="1:67" s="402" customFormat="1" ht="17.25" customHeight="1">
      <c r="A217" s="471"/>
      <c r="B217" s="448"/>
      <c r="C217" s="448"/>
      <c r="D217" s="448"/>
      <c r="E217" s="448"/>
      <c r="F217" s="1286" t="s">
        <v>560</v>
      </c>
      <c r="G217" s="1287"/>
      <c r="H217" s="1283" t="str">
        <f>I26</f>
        <v>N 46°06.00 (N 46.1000) [N 46°06'00.00]</v>
      </c>
      <c r="I217" s="1280"/>
      <c r="J217" s="1280"/>
      <c r="K217" s="1280"/>
      <c r="L217" s="1284"/>
      <c r="M217" s="471"/>
      <c r="N217" s="471"/>
      <c r="O217" s="471"/>
      <c r="P217" s="471"/>
      <c r="Q217" s="471"/>
      <c r="R217" s="471"/>
      <c r="S217" s="471"/>
      <c r="T217" s="471"/>
      <c r="U217" s="471"/>
      <c r="V217" s="471"/>
      <c r="W217" s="471"/>
      <c r="X217" s="471"/>
      <c r="Y217" s="471"/>
      <c r="Z217" s="471"/>
      <c r="AA217" s="471"/>
      <c r="AB217" s="301"/>
      <c r="AC217" s="448"/>
      <c r="AD217" s="448"/>
      <c r="AE217" s="448"/>
      <c r="AF217" s="448"/>
      <c r="AG217" s="448"/>
      <c r="AH217" s="448"/>
      <c r="AI217" s="448"/>
      <c r="AJ217" s="448"/>
      <c r="AK217" s="448"/>
      <c r="AL217" s="448"/>
      <c r="AM217" s="448"/>
      <c r="AN217" s="448"/>
      <c r="AO217" s="448"/>
      <c r="AP217" s="448"/>
      <c r="AQ217" s="448"/>
      <c r="AR217" s="448"/>
      <c r="AS217" s="448"/>
      <c r="AT217" s="448"/>
      <c r="AU217" s="448"/>
      <c r="AV217" s="448"/>
      <c r="AW217" s="448"/>
      <c r="AX217" s="448"/>
      <c r="AY217" s="448"/>
      <c r="AZ217" s="448"/>
      <c r="BA217" s="448"/>
      <c r="BB217" s="448"/>
      <c r="BC217" s="448"/>
      <c r="BD217" s="448"/>
      <c r="BE217" s="448"/>
      <c r="BF217" s="448"/>
      <c r="BG217" s="448"/>
      <c r="BH217" s="448"/>
      <c r="BI217" s="448"/>
      <c r="BJ217" s="448"/>
      <c r="BK217" s="448"/>
      <c r="BL217" s="448"/>
      <c r="BM217" s="448"/>
      <c r="BN217" s="471"/>
      <c r="BO217" s="471"/>
    </row>
    <row r="218" spans="1:67" s="402" customFormat="1" ht="17.25" customHeight="1">
      <c r="A218" s="471"/>
      <c r="B218" s="471"/>
      <c r="C218" s="448"/>
      <c r="D218" s="448"/>
      <c r="E218" s="448"/>
      <c r="F218" s="1288" t="s">
        <v>506</v>
      </c>
      <c r="G218" s="1289"/>
      <c r="H218" s="1292">
        <f>P34</f>
        <v>-4.9240387650610398</v>
      </c>
      <c r="I218" s="1279"/>
      <c r="J218" s="1279"/>
      <c r="K218" s="1279"/>
      <c r="L218" s="424" t="s">
        <v>507</v>
      </c>
      <c r="M218" s="471"/>
      <c r="N218" s="471"/>
      <c r="O218" s="471"/>
      <c r="P218" s="471"/>
      <c r="Q218" s="471"/>
      <c r="R218" s="471"/>
      <c r="S218" s="471"/>
      <c r="T218" s="471"/>
      <c r="U218" s="471"/>
      <c r="V218" s="471"/>
      <c r="W218" s="471"/>
      <c r="X218" s="471"/>
      <c r="Y218" s="471"/>
      <c r="Z218" s="471"/>
      <c r="AA218" s="471"/>
      <c r="AB218" s="301"/>
      <c r="AC218" s="448"/>
      <c r="AD218" s="448"/>
      <c r="AE218" s="448"/>
      <c r="AF218" s="448"/>
      <c r="AG218" s="448"/>
      <c r="AH218" s="448"/>
      <c r="AI218" s="448"/>
      <c r="AJ218" s="448"/>
      <c r="AK218" s="448"/>
      <c r="AL218" s="448"/>
      <c r="AM218" s="448"/>
      <c r="AN218" s="448"/>
      <c r="AO218" s="448"/>
      <c r="AP218" s="448"/>
      <c r="AQ218" s="448"/>
      <c r="AR218" s="448"/>
      <c r="AS218" s="448"/>
      <c r="AT218" s="448"/>
      <c r="AU218" s="448"/>
      <c r="AV218" s="448"/>
      <c r="AW218" s="448"/>
      <c r="AX218" s="448"/>
      <c r="AY218" s="448"/>
      <c r="AZ218" s="448"/>
      <c r="BA218" s="448"/>
      <c r="BB218" s="448"/>
      <c r="BC218" s="448"/>
      <c r="BD218" s="448"/>
      <c r="BE218" s="448"/>
      <c r="BF218" s="448"/>
      <c r="BG218" s="448"/>
      <c r="BH218" s="448"/>
      <c r="BI218" s="448"/>
      <c r="BJ218" s="448"/>
      <c r="BK218" s="448"/>
      <c r="BL218" s="448"/>
      <c r="BM218" s="448"/>
      <c r="BN218" s="471"/>
      <c r="BO218" s="471"/>
    </row>
    <row r="219" spans="1:67" s="402" customFormat="1" ht="17.25" customHeight="1">
      <c r="A219" s="471"/>
      <c r="B219" s="471"/>
      <c r="C219" s="448"/>
      <c r="D219" s="448"/>
      <c r="E219" s="448"/>
      <c r="F219" s="1290"/>
      <c r="G219" s="1291"/>
      <c r="H219" s="1292">
        <f>X39</f>
        <v>0.11835462412189314</v>
      </c>
      <c r="I219" s="1279"/>
      <c r="J219" s="1279"/>
      <c r="K219" s="1279"/>
      <c r="L219" s="425" t="s">
        <v>508</v>
      </c>
      <c r="M219" s="879" t="str">
        <f>P39</f>
        <v>Vers l'Ouest</v>
      </c>
      <c r="N219" s="880"/>
      <c r="O219" s="471"/>
      <c r="P219" s="471"/>
      <c r="Q219" s="471"/>
      <c r="R219" s="471"/>
      <c r="S219" s="471"/>
      <c r="T219" s="471"/>
      <c r="U219" s="471"/>
      <c r="V219" s="471"/>
      <c r="W219" s="471"/>
      <c r="X219" s="471"/>
      <c r="Y219" s="471"/>
      <c r="Z219" s="471"/>
      <c r="AA219" s="471"/>
      <c r="AB219" s="301"/>
      <c r="AC219" s="448"/>
      <c r="AD219" s="448"/>
      <c r="AE219" s="448"/>
      <c r="AF219" s="448"/>
      <c r="AG219" s="448"/>
      <c r="AH219" s="448"/>
      <c r="AI219" s="448"/>
      <c r="AJ219" s="448"/>
      <c r="AK219" s="448"/>
      <c r="AL219" s="448"/>
      <c r="AM219" s="448"/>
      <c r="AN219" s="448"/>
      <c r="AO219" s="448"/>
      <c r="AP219" s="448"/>
      <c r="AQ219" s="448"/>
      <c r="AR219" s="448"/>
      <c r="AS219" s="448"/>
      <c r="AT219" s="448"/>
      <c r="AU219" s="448"/>
      <c r="AV219" s="448"/>
      <c r="AW219" s="448"/>
      <c r="AX219" s="448"/>
      <c r="AY219" s="448"/>
      <c r="AZ219" s="448"/>
      <c r="BA219" s="448"/>
      <c r="BB219" s="448"/>
      <c r="BC219" s="448"/>
      <c r="BD219" s="448"/>
      <c r="BE219" s="448"/>
      <c r="BF219" s="448"/>
      <c r="BG219" s="448"/>
      <c r="BH219" s="448"/>
      <c r="BI219" s="448"/>
      <c r="BJ219" s="448"/>
      <c r="BK219" s="448"/>
      <c r="BL219" s="448"/>
      <c r="BM219" s="448"/>
      <c r="BN219" s="471"/>
      <c r="BO219" s="471"/>
    </row>
    <row r="220" spans="1:67" s="402" customFormat="1" ht="17.25" customHeight="1">
      <c r="A220" s="471"/>
      <c r="B220" s="471"/>
      <c r="C220" s="862" t="s">
        <v>505</v>
      </c>
      <c r="D220" s="862"/>
      <c r="E220" s="862"/>
      <c r="F220" s="862" t="str">
        <f>O21</f>
        <v>12:03:46.00(12.0627)</v>
      </c>
      <c r="G220" s="862"/>
      <c r="H220" s="1285"/>
      <c r="I220" s="1285"/>
      <c r="J220" s="1285"/>
      <c r="K220" s="448"/>
      <c r="L220" s="448"/>
      <c r="M220" s="471"/>
      <c r="N220" s="471"/>
      <c r="O220" s="471"/>
      <c r="P220" s="471"/>
      <c r="Q220" s="471"/>
      <c r="R220" s="471"/>
      <c r="S220" s="471"/>
      <c r="T220" s="471"/>
      <c r="U220" s="471"/>
      <c r="V220" s="471"/>
      <c r="W220" s="471"/>
      <c r="X220" s="471"/>
      <c r="Y220" s="471"/>
      <c r="Z220" s="471"/>
      <c r="AA220" s="471"/>
      <c r="AB220" s="301"/>
      <c r="AC220" s="448"/>
      <c r="AD220" s="448"/>
      <c r="AE220" s="448"/>
      <c r="AF220" s="448"/>
      <c r="AG220" s="448"/>
      <c r="AH220" s="448"/>
      <c r="AI220" s="448"/>
      <c r="AJ220" s="448"/>
      <c r="AK220" s="448"/>
      <c r="AL220" s="448"/>
      <c r="AM220" s="448"/>
      <c r="AN220" s="448"/>
      <c r="AO220" s="448"/>
      <c r="AP220" s="448"/>
      <c r="AQ220" s="448"/>
      <c r="AR220" s="448"/>
      <c r="AS220" s="448"/>
      <c r="AT220" s="448"/>
      <c r="AU220" s="448"/>
      <c r="AV220" s="448"/>
      <c r="AW220" s="448"/>
      <c r="AX220" s="448"/>
      <c r="AY220" s="448"/>
      <c r="AZ220" s="448"/>
      <c r="BA220" s="448"/>
      <c r="BB220" s="448"/>
      <c r="BC220" s="448"/>
      <c r="BD220" s="448"/>
      <c r="BE220" s="448"/>
      <c r="BF220" s="448"/>
      <c r="BG220" s="448"/>
      <c r="BH220" s="448"/>
      <c r="BI220" s="448"/>
      <c r="BJ220" s="448"/>
      <c r="BK220" s="448"/>
      <c r="BL220" s="448"/>
      <c r="BM220" s="448"/>
      <c r="BN220" s="471"/>
      <c r="BO220" s="471"/>
    </row>
    <row r="221" spans="1:67" s="402" customFormat="1" ht="17.25" customHeight="1">
      <c r="A221" s="471"/>
      <c r="B221" s="471"/>
      <c r="C221" s="448"/>
      <c r="D221" s="1281" t="s">
        <v>563</v>
      </c>
      <c r="E221" s="1282"/>
      <c r="F221" s="879" t="s">
        <v>509</v>
      </c>
      <c r="G221" s="879"/>
      <c r="H221" s="878">
        <f>V54</f>
        <v>2.2093113132353905</v>
      </c>
      <c r="I221" s="1279"/>
      <c r="J221" s="1279"/>
      <c r="K221" s="1279"/>
      <c r="L221" s="426" t="s">
        <v>257</v>
      </c>
      <c r="M221" s="471"/>
      <c r="N221" s="471"/>
      <c r="O221" s="471"/>
      <c r="P221" s="471"/>
      <c r="Q221" s="471"/>
      <c r="R221" s="471"/>
      <c r="S221" s="471"/>
      <c r="T221" s="471"/>
      <c r="U221" s="471"/>
      <c r="V221" s="471"/>
      <c r="W221" s="471"/>
      <c r="X221" s="471"/>
      <c r="Y221" s="471"/>
      <c r="Z221" s="471"/>
      <c r="AA221" s="471"/>
      <c r="AB221" s="301"/>
      <c r="AC221" s="448"/>
      <c r="AD221" s="448"/>
      <c r="AE221" s="448"/>
      <c r="AF221" s="448"/>
      <c r="AG221" s="448"/>
      <c r="AH221" s="448"/>
      <c r="AI221" s="448"/>
      <c r="AJ221" s="448"/>
      <c r="AK221" s="448"/>
      <c r="AL221" s="448"/>
      <c r="AM221" s="448"/>
      <c r="AN221" s="448"/>
      <c r="AO221" s="448"/>
      <c r="AP221" s="448"/>
      <c r="AQ221" s="448"/>
      <c r="AR221" s="448"/>
      <c r="AS221" s="448"/>
      <c r="AT221" s="448"/>
      <c r="AU221" s="448"/>
      <c r="AV221" s="448"/>
      <c r="AW221" s="448"/>
      <c r="AX221" s="448"/>
      <c r="AY221" s="448"/>
      <c r="AZ221" s="448"/>
      <c r="BA221" s="448"/>
      <c r="BB221" s="448"/>
      <c r="BC221" s="448"/>
      <c r="BD221" s="448"/>
      <c r="BE221" s="448"/>
      <c r="BF221" s="448"/>
      <c r="BG221" s="448"/>
      <c r="BH221" s="448"/>
      <c r="BI221" s="448"/>
      <c r="BJ221" s="448"/>
      <c r="BK221" s="448"/>
      <c r="BL221" s="448"/>
      <c r="BM221" s="448"/>
      <c r="BN221" s="471"/>
      <c r="BO221" s="471"/>
    </row>
    <row r="222" spans="1:67" s="402" customFormat="1" ht="17.25" customHeight="1">
      <c r="A222" s="471"/>
      <c r="B222" s="471"/>
      <c r="C222" s="448"/>
      <c r="D222" s="1282"/>
      <c r="E222" s="1282"/>
      <c r="F222" s="1975" t="s">
        <v>510</v>
      </c>
      <c r="G222" s="1975"/>
      <c r="H222" s="1976">
        <f>V56</f>
        <v>11.046556566176953</v>
      </c>
      <c r="I222" s="1977"/>
      <c r="J222" s="1977"/>
      <c r="K222" s="1977"/>
      <c r="L222" s="1978" t="s">
        <v>104</v>
      </c>
      <c r="M222" s="471"/>
      <c r="N222" s="471"/>
      <c r="O222" s="471"/>
      <c r="P222" s="471"/>
      <c r="Q222" s="471"/>
      <c r="R222" s="471"/>
      <c r="S222" s="471"/>
      <c r="T222" s="471"/>
      <c r="U222" s="471"/>
      <c r="V222" s="471"/>
      <c r="W222" s="471"/>
      <c r="X222" s="471"/>
      <c r="Y222" s="471"/>
      <c r="Z222" s="471"/>
      <c r="AA222" s="471"/>
      <c r="AB222" s="301"/>
      <c r="AC222" s="448"/>
      <c r="AD222" s="448"/>
      <c r="AE222" s="448"/>
      <c r="AF222" s="448"/>
      <c r="AG222" s="448"/>
      <c r="AH222" s="448"/>
      <c r="AI222" s="448"/>
      <c r="AJ222" s="448"/>
      <c r="AK222" s="448"/>
      <c r="AL222" s="448"/>
      <c r="AM222" s="448"/>
      <c r="AN222" s="448"/>
      <c r="AO222" s="448"/>
      <c r="AP222" s="448"/>
      <c r="AQ222" s="448"/>
      <c r="AR222" s="448"/>
      <c r="AS222" s="448"/>
      <c r="AT222" s="448"/>
      <c r="AU222" s="448"/>
      <c r="AV222" s="448"/>
      <c r="AW222" s="448"/>
      <c r="AX222" s="448"/>
      <c r="AY222" s="448"/>
      <c r="AZ222" s="448"/>
      <c r="BA222" s="448"/>
      <c r="BB222" s="448"/>
      <c r="BC222" s="448"/>
      <c r="BD222" s="448"/>
      <c r="BE222" s="448"/>
      <c r="BF222" s="448"/>
      <c r="BG222" s="448"/>
      <c r="BH222" s="448"/>
      <c r="BI222" s="448"/>
      <c r="BJ222" s="448"/>
      <c r="BK222" s="448"/>
      <c r="BL222" s="448"/>
      <c r="BM222" s="448"/>
      <c r="BN222" s="471"/>
      <c r="BO222" s="471"/>
    </row>
    <row r="223" spans="1:67" s="402" customFormat="1" ht="17.25" customHeight="1">
      <c r="A223" s="471"/>
      <c r="B223" s="471"/>
      <c r="C223" s="448"/>
      <c r="D223" s="1282"/>
      <c r="E223" s="1282"/>
      <c r="F223" s="1280" t="s">
        <v>511</v>
      </c>
      <c r="G223" s="1280"/>
      <c r="H223" s="1283" t="str">
        <f>CONCATENATE(V58, "° (", V58*60,"')")</f>
        <v>-0,261482210046221° (-15,6889326027732')</v>
      </c>
      <c r="I223" s="1280"/>
      <c r="J223" s="1280"/>
      <c r="K223" s="1280"/>
      <c r="L223" s="1284"/>
      <c r="M223" s="471"/>
      <c r="N223" s="471"/>
      <c r="O223" s="471"/>
      <c r="P223" s="471"/>
      <c r="Q223" s="471"/>
      <c r="R223" s="471"/>
      <c r="S223" s="471"/>
      <c r="T223" s="471"/>
      <c r="U223" s="471"/>
      <c r="V223" s="471"/>
      <c r="W223" s="471"/>
      <c r="X223" s="471"/>
      <c r="Y223" s="471"/>
      <c r="Z223" s="471"/>
      <c r="AA223" s="471"/>
      <c r="AB223" s="301"/>
      <c r="AC223" s="448"/>
      <c r="AD223" s="448"/>
      <c r="AE223" s="448"/>
      <c r="AF223" s="448"/>
      <c r="AG223" s="448"/>
      <c r="AH223" s="448"/>
      <c r="AI223" s="448"/>
      <c r="AJ223" s="448"/>
      <c r="AK223" s="448"/>
      <c r="AL223" s="448"/>
      <c r="AM223" s="448"/>
      <c r="AN223" s="448"/>
      <c r="AO223" s="448"/>
      <c r="AP223" s="448"/>
      <c r="AQ223" s="448"/>
      <c r="AR223" s="448"/>
      <c r="AS223" s="448"/>
      <c r="AT223" s="448"/>
      <c r="AU223" s="448"/>
      <c r="AV223" s="448"/>
      <c r="AW223" s="448"/>
      <c r="AX223" s="448"/>
      <c r="AY223" s="448"/>
      <c r="AZ223" s="448"/>
      <c r="BA223" s="448"/>
      <c r="BB223" s="448"/>
      <c r="BC223" s="448"/>
      <c r="BD223" s="448"/>
      <c r="BE223" s="448"/>
      <c r="BF223" s="448"/>
      <c r="BG223" s="448"/>
      <c r="BH223" s="448"/>
      <c r="BI223" s="448"/>
      <c r="BJ223" s="448"/>
      <c r="BK223" s="448"/>
      <c r="BL223" s="448"/>
      <c r="BM223" s="448"/>
      <c r="BN223" s="471"/>
      <c r="BO223" s="471"/>
    </row>
    <row r="224" spans="1:67" s="402" customFormat="1" ht="17.25" customHeight="1">
      <c r="A224" s="471"/>
      <c r="B224" s="471"/>
      <c r="C224" s="448"/>
      <c r="D224" s="1282"/>
      <c r="E224" s="1282"/>
      <c r="F224" s="1293" t="s">
        <v>11</v>
      </c>
      <c r="G224" s="1294"/>
      <c r="H224" s="1297" t="str">
        <f>X62</f>
        <v>12:33:08.52(12.5523)</v>
      </c>
      <c r="I224" s="1297"/>
      <c r="J224" s="1297"/>
      <c r="K224" s="1297"/>
      <c r="L224" s="1297"/>
      <c r="M224" s="471"/>
      <c r="N224" s="471"/>
      <c r="O224" s="471"/>
      <c r="P224" s="471"/>
      <c r="Q224" s="471"/>
      <c r="R224" s="471"/>
      <c r="S224" s="471"/>
      <c r="T224" s="471"/>
      <c r="U224" s="471"/>
      <c r="V224" s="471"/>
      <c r="W224" s="471"/>
      <c r="X224" s="471"/>
      <c r="Y224" s="471"/>
      <c r="Z224" s="471"/>
      <c r="AA224" s="471"/>
      <c r="AB224" s="301"/>
      <c r="AC224" s="448"/>
      <c r="AD224" s="448"/>
      <c r="AE224" s="448"/>
      <c r="AF224" s="448"/>
      <c r="AG224" s="448"/>
      <c r="AH224" s="448"/>
      <c r="AI224" s="448"/>
      <c r="AJ224" s="448"/>
      <c r="AK224" s="448"/>
      <c r="AL224" s="448"/>
      <c r="AM224" s="448"/>
      <c r="AN224" s="448"/>
      <c r="AO224" s="448"/>
      <c r="AP224" s="448"/>
      <c r="AQ224" s="448"/>
      <c r="AR224" s="448"/>
      <c r="AS224" s="448"/>
      <c r="AT224" s="448"/>
      <c r="AU224" s="448"/>
      <c r="AV224" s="448"/>
      <c r="AW224" s="448"/>
      <c r="AX224" s="448"/>
      <c r="AY224" s="448"/>
      <c r="AZ224" s="448"/>
      <c r="BA224" s="448"/>
      <c r="BB224" s="448"/>
      <c r="BC224" s="448"/>
      <c r="BD224" s="448"/>
      <c r="BE224" s="448"/>
      <c r="BF224" s="448"/>
      <c r="BG224" s="448"/>
      <c r="BH224" s="448"/>
      <c r="BI224" s="448"/>
      <c r="BJ224" s="448"/>
      <c r="BK224" s="448"/>
      <c r="BL224" s="448"/>
      <c r="BM224" s="448"/>
      <c r="BN224" s="471"/>
      <c r="BO224" s="471"/>
    </row>
    <row r="225" spans="1:67" s="402" customFormat="1" ht="17.25" customHeight="1">
      <c r="A225" s="471"/>
      <c r="B225" s="471"/>
      <c r="C225" s="448"/>
      <c r="D225" s="1282"/>
      <c r="E225" s="1282"/>
      <c r="F225" s="1295" t="s">
        <v>835</v>
      </c>
      <c r="G225" s="1296"/>
      <c r="H225" s="1296" t="str">
        <f>X60</f>
        <v>W 07°20.68 (W 07.3448) [W 07°20'41.33]</v>
      </c>
      <c r="I225" s="1296"/>
      <c r="J225" s="1296"/>
      <c r="K225" s="1296"/>
      <c r="L225" s="1296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301"/>
      <c r="AC225" s="448"/>
      <c r="AD225" s="448"/>
      <c r="AE225" s="448"/>
      <c r="AF225" s="448"/>
      <c r="AG225" s="448"/>
      <c r="AH225" s="448"/>
      <c r="AI225" s="448"/>
      <c r="AJ225" s="448"/>
      <c r="AK225" s="448"/>
      <c r="AL225" s="448"/>
      <c r="AM225" s="448"/>
      <c r="AN225" s="448"/>
      <c r="AO225" s="448"/>
      <c r="AP225" s="448"/>
      <c r="AQ225" s="448"/>
      <c r="AR225" s="448"/>
      <c r="AS225" s="448"/>
      <c r="AT225" s="448"/>
      <c r="AU225" s="448"/>
      <c r="AV225" s="448"/>
      <c r="AW225" s="448"/>
      <c r="AX225" s="448"/>
      <c r="AY225" s="448"/>
      <c r="AZ225" s="448"/>
      <c r="BA225" s="448"/>
      <c r="BB225" s="448"/>
      <c r="BC225" s="448"/>
      <c r="BD225" s="448"/>
      <c r="BE225" s="448"/>
      <c r="BF225" s="448"/>
      <c r="BG225" s="448"/>
      <c r="BH225" s="448"/>
      <c r="BI225" s="448"/>
      <c r="BJ225" s="448"/>
      <c r="BK225" s="448"/>
      <c r="BL225" s="448"/>
      <c r="BM225" s="448"/>
      <c r="BN225" s="471"/>
      <c r="BO225" s="471"/>
    </row>
    <row r="226" spans="1:67" s="402" customFormat="1" ht="17.25" customHeight="1">
      <c r="A226" s="471"/>
      <c r="B226" s="471"/>
      <c r="C226" s="483"/>
      <c r="D226" s="471"/>
      <c r="E226" s="471"/>
      <c r="F226" s="471"/>
      <c r="G226" s="471"/>
      <c r="H226" s="471"/>
      <c r="I226" s="471"/>
      <c r="J226" s="471"/>
      <c r="K226" s="471"/>
      <c r="L226" s="471"/>
      <c r="M226" s="471"/>
      <c r="N226" s="471"/>
      <c r="O226" s="471"/>
      <c r="P226" s="471"/>
      <c r="Q226" s="471"/>
      <c r="R226" s="471"/>
      <c r="S226" s="471"/>
      <c r="T226" s="471"/>
      <c r="U226" s="471"/>
      <c r="V226" s="471"/>
      <c r="W226" s="471"/>
      <c r="X226" s="471"/>
      <c r="Y226" s="471"/>
      <c r="Z226" s="471"/>
      <c r="AA226" s="471"/>
      <c r="AB226" s="301"/>
      <c r="AC226" s="448"/>
      <c r="AD226" s="448"/>
      <c r="AE226" s="448"/>
      <c r="AF226" s="448"/>
      <c r="AG226" s="448"/>
      <c r="AH226" s="448"/>
      <c r="AI226" s="448"/>
      <c r="AJ226" s="448"/>
      <c r="AK226" s="448"/>
      <c r="AL226" s="448"/>
      <c r="AM226" s="448"/>
      <c r="AN226" s="448"/>
      <c r="AO226" s="448"/>
      <c r="AP226" s="448"/>
      <c r="AQ226" s="448"/>
      <c r="AR226" s="448"/>
      <c r="AS226" s="448"/>
      <c r="AT226" s="448"/>
      <c r="AU226" s="448"/>
      <c r="AV226" s="448"/>
      <c r="AW226" s="448"/>
      <c r="AX226" s="448"/>
      <c r="AY226" s="448"/>
      <c r="AZ226" s="448"/>
      <c r="BA226" s="448"/>
      <c r="BB226" s="448"/>
      <c r="BC226" s="448"/>
      <c r="BD226" s="448"/>
      <c r="BE226" s="448"/>
      <c r="BF226" s="448"/>
      <c r="BG226" s="448"/>
      <c r="BH226" s="448"/>
      <c r="BI226" s="448"/>
      <c r="BJ226" s="448"/>
      <c r="BK226" s="448"/>
      <c r="BL226" s="448"/>
      <c r="BM226" s="448"/>
      <c r="BN226" s="471"/>
      <c r="BO226" s="471"/>
    </row>
    <row r="227" spans="1:67" s="402" customFormat="1" ht="17.25" customHeight="1" thickBot="1">
      <c r="A227" s="471"/>
      <c r="B227" s="482" t="s">
        <v>502</v>
      </c>
      <c r="C227" s="481"/>
      <c r="D227" s="481"/>
      <c r="E227" s="481"/>
      <c r="F227" s="481"/>
      <c r="G227" s="481"/>
      <c r="H227" s="482"/>
      <c r="I227" s="482"/>
      <c r="J227" s="482"/>
      <c r="K227" s="482"/>
      <c r="L227" s="482"/>
      <c r="M227" s="482"/>
      <c r="N227" s="482"/>
      <c r="O227" s="482"/>
      <c r="P227" s="482"/>
      <c r="Q227" s="482"/>
      <c r="R227" s="471"/>
      <c r="S227" s="471"/>
      <c r="T227" s="471"/>
      <c r="U227" s="471"/>
      <c r="V227" s="471"/>
      <c r="W227" s="471"/>
      <c r="X227" s="471"/>
      <c r="Y227" s="471"/>
      <c r="Z227" s="471"/>
      <c r="AA227" s="471"/>
      <c r="AB227" s="301"/>
      <c r="AC227" s="448"/>
      <c r="AD227" s="448"/>
      <c r="AE227" s="448"/>
      <c r="AF227" s="448"/>
      <c r="AG227" s="448"/>
      <c r="AH227" s="448"/>
      <c r="AI227" s="448"/>
      <c r="AJ227" s="448"/>
      <c r="AK227" s="448"/>
      <c r="AL227" s="448"/>
      <c r="AM227" s="448"/>
      <c r="AN227" s="448"/>
      <c r="AO227" s="448"/>
      <c r="AP227" s="448"/>
      <c r="AQ227" s="448"/>
      <c r="AR227" s="448"/>
      <c r="AS227" s="448"/>
      <c r="AT227" s="448"/>
      <c r="AU227" s="448"/>
      <c r="AV227" s="448"/>
      <c r="AW227" s="448"/>
      <c r="AX227" s="448"/>
      <c r="AY227" s="448"/>
      <c r="AZ227" s="448"/>
      <c r="BA227" s="448"/>
      <c r="BB227" s="448"/>
      <c r="BC227" s="448"/>
      <c r="BD227" s="448"/>
      <c r="BE227" s="448"/>
      <c r="BF227" s="448"/>
      <c r="BG227" s="448"/>
      <c r="BH227" s="448"/>
      <c r="BI227" s="448"/>
      <c r="BJ227" s="448"/>
      <c r="BK227" s="448"/>
      <c r="BL227" s="448"/>
      <c r="BM227" s="448"/>
      <c r="BN227" s="471"/>
      <c r="BO227" s="471"/>
    </row>
    <row r="228" spans="1:67" s="402" customFormat="1" ht="17.25" customHeight="1" thickTop="1">
      <c r="A228" s="471"/>
      <c r="B228" s="471"/>
      <c r="C228" s="1316" t="s">
        <v>404</v>
      </c>
      <c r="D228" s="1316"/>
      <c r="E228" s="1316" t="str" cm="1">
        <f t="array" ref="E228">latitudeDecimal2Txt(E70)</f>
        <v>N 46°06.00 (N 46.1000) [N 46°06'00.00]</v>
      </c>
      <c r="F228" s="1316"/>
      <c r="G228" s="1316"/>
      <c r="H228" s="1316"/>
      <c r="I228" s="1316"/>
      <c r="J228" s="1316"/>
      <c r="K228" s="471"/>
      <c r="L228" s="471"/>
      <c r="M228" s="471"/>
      <c r="N228" s="471"/>
      <c r="O228" s="471"/>
      <c r="P228" s="471"/>
      <c r="Q228" s="471"/>
      <c r="R228" s="471"/>
      <c r="S228" s="471"/>
      <c r="T228" s="471"/>
      <c r="U228" s="471"/>
      <c r="V228" s="471"/>
      <c r="W228" s="471"/>
      <c r="X228" s="471"/>
      <c r="Y228" s="471"/>
      <c r="Z228" s="471"/>
      <c r="AA228" s="471"/>
      <c r="AB228" s="301"/>
      <c r="AC228" s="448"/>
      <c r="AD228" s="448"/>
      <c r="AE228" s="448"/>
      <c r="AF228" s="448"/>
      <c r="AG228" s="448"/>
      <c r="AH228" s="448"/>
      <c r="AI228" s="448"/>
      <c r="AJ228" s="448"/>
      <c r="AK228" s="448"/>
      <c r="AL228" s="448"/>
      <c r="AM228" s="448"/>
      <c r="AN228" s="448"/>
      <c r="AO228" s="448"/>
      <c r="AP228" s="448"/>
      <c r="AQ228" s="448"/>
      <c r="AR228" s="448"/>
      <c r="AS228" s="448"/>
      <c r="AT228" s="448"/>
      <c r="AU228" s="448"/>
      <c r="AV228" s="448"/>
      <c r="AW228" s="448"/>
      <c r="AX228" s="448"/>
      <c r="AY228" s="448"/>
      <c r="AZ228" s="448"/>
      <c r="BA228" s="448"/>
      <c r="BB228" s="448"/>
      <c r="BC228" s="448"/>
      <c r="BD228" s="448"/>
      <c r="BE228" s="448"/>
      <c r="BF228" s="448"/>
      <c r="BG228" s="448"/>
      <c r="BH228" s="448"/>
      <c r="BI228" s="448"/>
      <c r="BJ228" s="448"/>
      <c r="BK228" s="448"/>
      <c r="BL228" s="448"/>
      <c r="BM228" s="448"/>
      <c r="BN228" s="471"/>
      <c r="BO228" s="471"/>
    </row>
    <row r="229" spans="1:67" s="402" customFormat="1" ht="17.25" customHeight="1">
      <c r="A229" s="471"/>
      <c r="B229" s="471"/>
      <c r="C229" s="471"/>
      <c r="D229" s="471"/>
      <c r="E229" s="471"/>
      <c r="F229" s="917" t="str">
        <f>CONCATENATE("Déc. - ", G92)</f>
        <v>Déc. - Par vitesse</v>
      </c>
      <c r="G229" s="917"/>
      <c r="H229" s="861" t="str">
        <f>IF($G$92=$AD$92,M96,CONCATENATE("T0:",M104))</f>
        <v>T0:</v>
      </c>
      <c r="I229" s="861"/>
      <c r="J229" s="861" t="str" cm="1">
        <f t="array" ref="J229">IF($G$92=$AD$92,angleDecimal2Txt(AE95,0),CONCATENATE("Pos. à T0:",angleDecimal2Txt(AD103,0)))</f>
        <v>Pos. à T0:+23°10.00</v>
      </c>
      <c r="K229" s="861"/>
      <c r="L229" s="861"/>
      <c r="M229" s="861"/>
      <c r="N229" s="471"/>
      <c r="O229" s="471"/>
      <c r="P229" s="471"/>
      <c r="Q229" s="471"/>
      <c r="R229" s="471"/>
      <c r="S229" s="471"/>
      <c r="T229" s="471"/>
      <c r="U229" s="471"/>
      <c r="V229" s="471"/>
      <c r="W229" s="471"/>
      <c r="X229" s="471"/>
      <c r="Y229" s="471"/>
      <c r="Z229" s="471"/>
      <c r="AA229" s="471"/>
      <c r="AB229" s="301"/>
      <c r="AC229" s="448"/>
      <c r="AD229" s="448"/>
      <c r="AE229" s="448"/>
      <c r="AF229" s="448"/>
      <c r="AG229" s="448"/>
      <c r="AH229" s="448"/>
      <c r="AI229" s="448"/>
      <c r="AJ229" s="448"/>
      <c r="AK229" s="448"/>
      <c r="AL229" s="448"/>
      <c r="AM229" s="448"/>
      <c r="AN229" s="448"/>
      <c r="AO229" s="448"/>
      <c r="AP229" s="448"/>
      <c r="AQ229" s="448"/>
      <c r="AR229" s="448"/>
      <c r="AS229" s="448"/>
      <c r="AT229" s="448"/>
      <c r="AU229" s="448"/>
      <c r="AV229" s="448"/>
      <c r="AW229" s="448"/>
      <c r="AX229" s="448"/>
      <c r="AY229" s="448"/>
      <c r="AZ229" s="448"/>
      <c r="BA229" s="448"/>
      <c r="BB229" s="448"/>
      <c r="BC229" s="448"/>
      <c r="BD229" s="448"/>
      <c r="BE229" s="448"/>
      <c r="BF229" s="448"/>
      <c r="BG229" s="448"/>
      <c r="BH229" s="448"/>
      <c r="BI229" s="448"/>
      <c r="BJ229" s="448"/>
      <c r="BK229" s="448"/>
      <c r="BL229" s="448"/>
      <c r="BM229" s="448"/>
      <c r="BN229" s="471"/>
      <c r="BO229" s="471"/>
    </row>
    <row r="230" spans="1:67" s="402" customFormat="1" ht="17.25" customHeight="1">
      <c r="A230" s="471"/>
      <c r="B230" s="471"/>
      <c r="C230" s="471"/>
      <c r="D230" s="471"/>
      <c r="E230" s="471"/>
      <c r="F230" s="917"/>
      <c r="G230" s="917"/>
      <c r="H230" s="861" t="str" cm="1">
        <f t="array" ref="H230">IF($G$92=$AD$92,M98,CONCATENATE("V:",angleDecimal2Txt(AD105,0)))</f>
        <v>V:-00°00.16</v>
      </c>
      <c r="I230" s="861"/>
      <c r="J230" s="861" t="str" cm="1">
        <f t="array" ref="J230">IF($G$92=$AD$92,angleDecimal2Txt(AE96,0),CONCATENATE("dt:",TEXT((I104-M104),"0.000")," h"))</f>
        <v>dt:0.000 h</v>
      </c>
      <c r="K230" s="861"/>
      <c r="L230" s="861"/>
      <c r="M230" s="861"/>
      <c r="N230" s="471"/>
      <c r="O230" s="471"/>
      <c r="P230" s="471"/>
      <c r="Q230" s="471"/>
      <c r="R230" s="471"/>
      <c r="S230" s="471"/>
      <c r="T230" s="471"/>
      <c r="U230" s="471"/>
      <c r="V230" s="471"/>
      <c r="W230" s="471"/>
      <c r="X230" s="471"/>
      <c r="Y230" s="471"/>
      <c r="Z230" s="471"/>
      <c r="AA230" s="471"/>
      <c r="AB230" s="301"/>
      <c r="AC230" s="448"/>
      <c r="AD230" s="448"/>
      <c r="AE230" s="448"/>
      <c r="AF230" s="448"/>
      <c r="AG230" s="448"/>
      <c r="AH230" s="448"/>
      <c r="AI230" s="448"/>
      <c r="AJ230" s="448"/>
      <c r="AK230" s="448"/>
      <c r="AL230" s="448"/>
      <c r="AM230" s="448"/>
      <c r="AN230" s="448"/>
      <c r="AO230" s="448"/>
      <c r="AP230" s="448"/>
      <c r="AQ230" s="448"/>
      <c r="AR230" s="448"/>
      <c r="AS230" s="448"/>
      <c r="AT230" s="448"/>
      <c r="AU230" s="448"/>
      <c r="AV230" s="448"/>
      <c r="AW230" s="448"/>
      <c r="AX230" s="448"/>
      <c r="AY230" s="448"/>
      <c r="AZ230" s="448"/>
      <c r="BA230" s="448"/>
      <c r="BB230" s="448"/>
      <c r="BC230" s="448"/>
      <c r="BD230" s="448"/>
      <c r="BE230" s="448"/>
      <c r="BF230" s="448"/>
      <c r="BG230" s="448"/>
      <c r="BH230" s="448"/>
      <c r="BI230" s="448"/>
      <c r="BJ230" s="448"/>
      <c r="BK230" s="448"/>
      <c r="BL230" s="448"/>
      <c r="BM230" s="448"/>
      <c r="BN230" s="471"/>
      <c r="BO230" s="471"/>
    </row>
    <row r="231" spans="1:67" s="402" customFormat="1" ht="17.25" customHeight="1">
      <c r="A231" s="471"/>
      <c r="B231" s="471"/>
      <c r="C231" s="1278" t="s">
        <v>9</v>
      </c>
      <c r="D231" s="1278"/>
      <c r="E231" s="1278" t="str" cm="1">
        <f t="array" ref="E231">latitudeDecimal2Txt(F91)</f>
        <v>N 23°07.99 (N 23.1331) [N 23°07'59.49]</v>
      </c>
      <c r="F231" s="1278"/>
      <c r="G231" s="1278"/>
      <c r="H231" s="1278"/>
      <c r="I231" s="1278"/>
      <c r="J231" s="1278"/>
      <c r="K231" s="471"/>
      <c r="L231" s="471"/>
      <c r="M231" s="471"/>
      <c r="N231" s="471"/>
      <c r="O231" s="471"/>
      <c r="P231" s="471"/>
      <c r="Q231" s="471"/>
      <c r="R231" s="471"/>
      <c r="S231" s="471"/>
      <c r="T231" s="471"/>
      <c r="U231" s="471"/>
      <c r="V231" s="471"/>
      <c r="W231" s="471"/>
      <c r="X231" s="471"/>
      <c r="Y231" s="471"/>
      <c r="Z231" s="471"/>
      <c r="AA231" s="471"/>
      <c r="AB231" s="301"/>
      <c r="AC231" s="448"/>
      <c r="AD231" s="448"/>
      <c r="AE231" s="448"/>
      <c r="AF231" s="448"/>
      <c r="AG231" s="448"/>
      <c r="AH231" s="448"/>
      <c r="AI231" s="448"/>
      <c r="AJ231" s="448"/>
      <c r="AK231" s="448"/>
      <c r="AL231" s="448"/>
      <c r="AM231" s="448"/>
      <c r="AN231" s="448"/>
      <c r="AO231" s="448"/>
      <c r="AP231" s="448"/>
      <c r="AQ231" s="448"/>
      <c r="AR231" s="448"/>
      <c r="AS231" s="448"/>
      <c r="AT231" s="448"/>
      <c r="AU231" s="448"/>
      <c r="AV231" s="448"/>
      <c r="AW231" s="448"/>
      <c r="AX231" s="448"/>
      <c r="AY231" s="448"/>
      <c r="AZ231" s="448"/>
      <c r="BA231" s="448"/>
      <c r="BB231" s="448"/>
      <c r="BC231" s="448"/>
      <c r="BD231" s="448"/>
      <c r="BE231" s="448"/>
      <c r="BF231" s="448"/>
      <c r="BG231" s="448"/>
      <c r="BH231" s="448"/>
      <c r="BI231" s="448"/>
      <c r="BJ231" s="448"/>
      <c r="BK231" s="448"/>
      <c r="BL231" s="448"/>
      <c r="BM231" s="448"/>
      <c r="BN231" s="471"/>
      <c r="BO231" s="471"/>
    </row>
    <row r="232" spans="1:67" s="402" customFormat="1" ht="17.25" customHeight="1">
      <c r="A232" s="471"/>
      <c r="B232" s="471"/>
      <c r="C232" s="471"/>
      <c r="D232" s="471"/>
      <c r="E232" s="471"/>
      <c r="F232" s="878" t="s">
        <v>422</v>
      </c>
      <c r="G232" s="879"/>
      <c r="H232" s="879"/>
      <c r="I232" s="879"/>
      <c r="J232" s="879"/>
      <c r="K232" s="879"/>
      <c r="L232" s="879"/>
      <c r="M232" s="880"/>
      <c r="N232" s="471"/>
      <c r="O232" s="471"/>
      <c r="P232" s="471"/>
      <c r="Q232" s="471"/>
      <c r="R232" s="471"/>
      <c r="S232" s="471"/>
      <c r="T232" s="471"/>
      <c r="U232" s="471"/>
      <c r="V232" s="471"/>
      <c r="W232" s="471"/>
      <c r="X232" s="471"/>
      <c r="Y232" s="471"/>
      <c r="Z232" s="471"/>
      <c r="AA232" s="471"/>
      <c r="AB232" s="301"/>
      <c r="AC232" s="448"/>
      <c r="AD232" s="448"/>
      <c r="AE232" s="448"/>
      <c r="AF232" s="448"/>
      <c r="AG232" s="448"/>
      <c r="AH232" s="448"/>
      <c r="AI232" s="448"/>
      <c r="AJ232" s="448"/>
      <c r="AK232" s="448"/>
      <c r="AL232" s="448"/>
      <c r="AM232" s="448"/>
      <c r="AN232" s="448"/>
      <c r="AO232" s="448"/>
      <c r="AP232" s="448"/>
      <c r="AQ232" s="448"/>
      <c r="AR232" s="448"/>
      <c r="AS232" s="448"/>
      <c r="AT232" s="448"/>
      <c r="AU232" s="448"/>
      <c r="AV232" s="448"/>
      <c r="AW232" s="448"/>
      <c r="AX232" s="448"/>
      <c r="AY232" s="448"/>
      <c r="AZ232" s="448"/>
      <c r="BA232" s="448"/>
      <c r="BB232" s="448"/>
      <c r="BC232" s="448"/>
      <c r="BD232" s="448"/>
      <c r="BE232" s="448"/>
      <c r="BF232" s="448"/>
      <c r="BG232" s="448"/>
      <c r="BH232" s="448"/>
      <c r="BI232" s="448"/>
      <c r="BJ232" s="448"/>
      <c r="BK232" s="448"/>
      <c r="BL232" s="448"/>
      <c r="BM232" s="448"/>
      <c r="BN232" s="471"/>
      <c r="BO232" s="471"/>
    </row>
    <row r="233" spans="1:67" s="402" customFormat="1" ht="17.25" customHeight="1">
      <c r="A233" s="471"/>
      <c r="B233" s="471"/>
      <c r="C233" s="471"/>
      <c r="D233" s="471"/>
      <c r="E233" s="471"/>
      <c r="F233" s="861" t="s">
        <v>72</v>
      </c>
      <c r="G233" s="861"/>
      <c r="H233" s="878" t="str" cm="1">
        <f t="array" ref="H233">angleDecimal2Txt(Q155,0)</f>
        <v>+67°08.65</v>
      </c>
      <c r="I233" s="879"/>
      <c r="J233" s="879"/>
      <c r="K233" s="879"/>
      <c r="L233" s="879"/>
      <c r="M233" s="880"/>
      <c r="N233" s="471"/>
      <c r="O233" s="471"/>
      <c r="P233" s="471"/>
      <c r="Q233" s="471"/>
      <c r="R233" s="471"/>
      <c r="S233" s="471"/>
      <c r="T233" s="471"/>
      <c r="U233" s="471"/>
      <c r="V233" s="471"/>
      <c r="W233" s="471"/>
      <c r="X233" s="471"/>
      <c r="Y233" s="471"/>
      <c r="Z233" s="471"/>
      <c r="AA233" s="471"/>
      <c r="AB233" s="301"/>
      <c r="AC233" s="448"/>
      <c r="AD233" s="448"/>
      <c r="AE233" s="448"/>
      <c r="AF233" s="448"/>
      <c r="AG233" s="448"/>
      <c r="AH233" s="448"/>
      <c r="AI233" s="448"/>
      <c r="AJ233" s="448"/>
      <c r="AK233" s="448"/>
      <c r="AL233" s="448"/>
      <c r="AM233" s="448"/>
      <c r="AN233" s="448"/>
      <c r="AO233" s="448"/>
      <c r="AP233" s="448"/>
      <c r="AQ233" s="448"/>
      <c r="AR233" s="448"/>
      <c r="AS233" s="448"/>
      <c r="AT233" s="448"/>
      <c r="AU233" s="448"/>
      <c r="AV233" s="448"/>
      <c r="AW233" s="448"/>
      <c r="AX233" s="448"/>
      <c r="AY233" s="448"/>
      <c r="AZ233" s="448"/>
      <c r="BA233" s="448"/>
      <c r="BB233" s="448"/>
      <c r="BC233" s="448"/>
      <c r="BD233" s="448"/>
      <c r="BE233" s="448"/>
      <c r="BF233" s="448"/>
      <c r="BG233" s="448"/>
      <c r="BH233" s="448"/>
      <c r="BI233" s="448"/>
      <c r="BJ233" s="448"/>
      <c r="BK233" s="448"/>
      <c r="BL233" s="448"/>
      <c r="BM233" s="448"/>
      <c r="BN233" s="471"/>
      <c r="BO233" s="471"/>
    </row>
    <row r="234" spans="1:67" s="402" customFormat="1" ht="17.25" customHeight="1">
      <c r="A234" s="471"/>
      <c r="B234" s="471"/>
      <c r="C234" s="1315" t="s">
        <v>423</v>
      </c>
      <c r="D234" s="1315"/>
      <c r="E234" s="1315" t="str">
        <f>angleDecimal2Txt(I154,1)</f>
        <v>+22°51.34 (+22.8557) [+22°51'20.56]</v>
      </c>
      <c r="F234" s="1315"/>
      <c r="G234" s="1315"/>
      <c r="H234" s="1315"/>
      <c r="I234" s="1315"/>
      <c r="J234" s="1315"/>
      <c r="K234" s="471"/>
      <c r="L234" s="471"/>
      <c r="M234" s="471"/>
      <c r="N234" s="471"/>
      <c r="O234" s="471"/>
      <c r="P234" s="471"/>
      <c r="Q234" s="471"/>
      <c r="R234" s="471"/>
      <c r="S234" s="471"/>
      <c r="T234" s="471"/>
      <c r="U234" s="471"/>
      <c r="V234" s="471"/>
      <c r="W234" s="471"/>
      <c r="X234" s="471"/>
      <c r="Y234" s="471"/>
      <c r="Z234" s="471"/>
      <c r="AA234" s="471"/>
      <c r="AB234" s="301"/>
      <c r="AC234" s="448"/>
      <c r="AD234" s="448"/>
      <c r="AE234" s="448"/>
      <c r="AF234" s="448"/>
      <c r="AG234" s="448"/>
      <c r="AH234" s="448"/>
      <c r="AI234" s="448"/>
      <c r="AJ234" s="448"/>
      <c r="AK234" s="448"/>
      <c r="AL234" s="448"/>
      <c r="AM234" s="448"/>
      <c r="AN234" s="448"/>
      <c r="AO234" s="448"/>
      <c r="AP234" s="448"/>
      <c r="AQ234" s="448"/>
      <c r="AR234" s="448"/>
      <c r="AS234" s="448"/>
      <c r="AT234" s="448"/>
      <c r="AU234" s="448"/>
      <c r="AV234" s="448"/>
      <c r="AW234" s="448"/>
      <c r="AX234" s="448"/>
      <c r="AY234" s="448"/>
      <c r="AZ234" s="448"/>
      <c r="BA234" s="448"/>
      <c r="BB234" s="448"/>
      <c r="BC234" s="448"/>
      <c r="BD234" s="448"/>
      <c r="BE234" s="448"/>
      <c r="BF234" s="448"/>
      <c r="BG234" s="448"/>
      <c r="BH234" s="448"/>
      <c r="BI234" s="448"/>
      <c r="BJ234" s="448"/>
      <c r="BK234" s="448"/>
      <c r="BL234" s="448"/>
      <c r="BM234" s="448"/>
      <c r="BN234" s="471"/>
      <c r="BO234" s="471"/>
    </row>
    <row r="235" spans="1:67" s="360" customFormat="1" ht="17.25" customHeight="1">
      <c r="A235" s="447"/>
      <c r="B235" s="447"/>
      <c r="C235" s="450"/>
      <c r="D235" s="450"/>
      <c r="E235" s="450"/>
      <c r="F235" s="1317" t="s">
        <v>212</v>
      </c>
      <c r="G235" s="1318"/>
      <c r="H235" s="1318"/>
      <c r="I235" s="1318"/>
      <c r="J235" s="1318"/>
      <c r="K235" s="1318"/>
      <c r="L235" s="1318"/>
      <c r="M235" s="1318"/>
      <c r="N235" s="1318"/>
      <c r="O235" s="1318"/>
      <c r="P235" s="1319"/>
      <c r="Q235" s="448"/>
      <c r="R235" s="447"/>
      <c r="S235" s="447"/>
      <c r="T235" s="447"/>
      <c r="U235" s="447"/>
      <c r="V235" s="447"/>
      <c r="W235" s="447"/>
      <c r="X235" s="447"/>
      <c r="Y235" s="447"/>
      <c r="Z235" s="447"/>
      <c r="AA235" s="447"/>
      <c r="AB235" s="301"/>
      <c r="AC235" s="448"/>
      <c r="AD235" s="448"/>
      <c r="AE235" s="448"/>
      <c r="AF235" s="448"/>
      <c r="AG235" s="448"/>
      <c r="AH235" s="448"/>
      <c r="AI235" s="448"/>
      <c r="AJ235" s="448"/>
      <c r="AK235" s="448"/>
      <c r="AL235" s="448"/>
      <c r="AM235" s="448"/>
      <c r="AN235" s="448"/>
      <c r="AO235" s="448"/>
      <c r="AP235" s="448"/>
      <c r="AQ235" s="448"/>
      <c r="AR235" s="448"/>
      <c r="AS235" s="448"/>
      <c r="AT235" s="448"/>
      <c r="AU235" s="448"/>
      <c r="AV235" s="448"/>
      <c r="AW235" s="448"/>
      <c r="AX235" s="448"/>
      <c r="AY235" s="448"/>
      <c r="AZ235" s="448"/>
      <c r="BA235" s="448"/>
      <c r="BB235" s="448"/>
      <c r="BC235" s="448"/>
      <c r="BD235" s="448"/>
      <c r="BE235" s="448"/>
      <c r="BF235" s="448"/>
      <c r="BG235" s="448"/>
      <c r="BH235" s="448"/>
      <c r="BI235" s="448"/>
      <c r="BJ235" s="448"/>
      <c r="BK235" s="448"/>
      <c r="BL235" s="448"/>
      <c r="BM235" s="448"/>
      <c r="BN235" s="449"/>
      <c r="BO235" s="447"/>
    </row>
    <row r="236" spans="1:67" s="360" customFormat="1" ht="17.25" customHeight="1">
      <c r="A236" s="447"/>
      <c r="B236" s="447"/>
      <c r="C236" s="450"/>
      <c r="D236" s="450"/>
      <c r="E236" s="450"/>
      <c r="F236" s="1309"/>
      <c r="G236" s="1309" t="s">
        <v>214</v>
      </c>
      <c r="H236" s="1309"/>
      <c r="I236" s="1309"/>
      <c r="J236" s="1309"/>
      <c r="K236" s="1309"/>
      <c r="L236" s="1306" t="s">
        <v>216</v>
      </c>
      <c r="M236" s="1307"/>
      <c r="N236" s="1307"/>
      <c r="O236" s="1307"/>
      <c r="P236" s="1308"/>
      <c r="Q236" s="448"/>
      <c r="R236" s="447"/>
      <c r="S236" s="447"/>
      <c r="T236" s="447"/>
      <c r="U236" s="447"/>
      <c r="V236" s="447"/>
      <c r="W236" s="447"/>
      <c r="X236" s="447"/>
      <c r="Y236" s="447"/>
      <c r="Z236" s="447"/>
      <c r="AA236" s="447"/>
      <c r="AB236" s="301"/>
      <c r="AC236" s="448"/>
      <c r="AD236" s="448"/>
      <c r="AE236" s="448"/>
      <c r="AF236" s="448"/>
      <c r="AG236" s="448"/>
      <c r="AH236" s="448"/>
      <c r="AI236" s="448"/>
      <c r="AJ236" s="448"/>
      <c r="AK236" s="448"/>
      <c r="AL236" s="448"/>
      <c r="AM236" s="448"/>
      <c r="AN236" s="448"/>
      <c r="AO236" s="448"/>
      <c r="AP236" s="448"/>
      <c r="AQ236" s="448"/>
      <c r="AR236" s="448"/>
      <c r="AS236" s="448"/>
      <c r="AT236" s="448"/>
      <c r="AU236" s="448"/>
      <c r="AV236" s="448"/>
      <c r="AW236" s="448"/>
      <c r="AX236" s="448"/>
      <c r="AY236" s="448"/>
      <c r="AZ236" s="448"/>
      <c r="BA236" s="448"/>
      <c r="BB236" s="448"/>
      <c r="BC236" s="448"/>
      <c r="BD236" s="448"/>
      <c r="BE236" s="448"/>
      <c r="BF236" s="448"/>
      <c r="BG236" s="448"/>
      <c r="BH236" s="448"/>
      <c r="BI236" s="448"/>
      <c r="BJ236" s="448"/>
      <c r="BK236" s="448"/>
      <c r="BL236" s="448"/>
      <c r="BM236" s="448"/>
      <c r="BN236" s="449"/>
      <c r="BO236" s="447"/>
    </row>
    <row r="237" spans="1:67" s="360" customFormat="1" ht="17.25" customHeight="1">
      <c r="A237" s="447"/>
      <c r="B237" s="447"/>
      <c r="C237" s="450"/>
      <c r="D237" s="450"/>
      <c r="E237" s="450"/>
      <c r="F237" s="1309"/>
      <c r="G237" s="1309" t="s">
        <v>215</v>
      </c>
      <c r="H237" s="1309"/>
      <c r="I237" s="1309"/>
      <c r="J237" s="1309"/>
      <c r="K237" s="1309"/>
      <c r="L237" s="1306" t="s">
        <v>217</v>
      </c>
      <c r="M237" s="1307"/>
      <c r="N237" s="1307"/>
      <c r="O237" s="1307"/>
      <c r="P237" s="1308"/>
      <c r="Q237" s="448"/>
      <c r="R237" s="447"/>
      <c r="S237" s="447"/>
      <c r="T237" s="447"/>
      <c r="U237" s="447"/>
      <c r="V237" s="447"/>
      <c r="W237" s="447"/>
      <c r="X237" s="447"/>
      <c r="Y237" s="447"/>
      <c r="Z237" s="447"/>
      <c r="AA237" s="447"/>
      <c r="AB237" s="301"/>
      <c r="AC237" s="448"/>
      <c r="AD237" s="448"/>
      <c r="AE237" s="448"/>
      <c r="AF237" s="448"/>
      <c r="AG237" s="448"/>
      <c r="AH237" s="448"/>
      <c r="AI237" s="448"/>
      <c r="AJ237" s="448"/>
      <c r="AK237" s="448"/>
      <c r="AL237" s="448"/>
      <c r="AM237" s="448"/>
      <c r="AN237" s="448"/>
      <c r="AO237" s="448"/>
      <c r="AP237" s="448"/>
      <c r="AQ237" s="448"/>
      <c r="AR237" s="448"/>
      <c r="AS237" s="448"/>
      <c r="AT237" s="448"/>
      <c r="AU237" s="448"/>
      <c r="AV237" s="448"/>
      <c r="AW237" s="448"/>
      <c r="AX237" s="448"/>
      <c r="AY237" s="448"/>
      <c r="AZ237" s="448"/>
      <c r="BA237" s="448"/>
      <c r="BB237" s="448"/>
      <c r="BC237" s="448"/>
      <c r="BD237" s="448"/>
      <c r="BE237" s="448"/>
      <c r="BF237" s="448"/>
      <c r="BG237" s="448"/>
      <c r="BH237" s="448"/>
      <c r="BI237" s="448"/>
      <c r="BJ237" s="448"/>
      <c r="BK237" s="448"/>
      <c r="BL237" s="448"/>
      <c r="BM237" s="448"/>
      <c r="BN237" s="449"/>
      <c r="BO237" s="447"/>
    </row>
    <row r="238" spans="1:67" s="360" customFormat="1" ht="17.25" customHeight="1">
      <c r="A238" s="447"/>
      <c r="B238" s="447"/>
      <c r="C238" s="450"/>
      <c r="D238" s="450"/>
      <c r="E238" s="450"/>
      <c r="F238" s="1310" t="s">
        <v>213</v>
      </c>
      <c r="G238" s="1310"/>
      <c r="H238" s="1310"/>
      <c r="I238" s="1310"/>
      <c r="J238" s="1310"/>
      <c r="K238" s="1310"/>
      <c r="L238" s="1306" t="s">
        <v>218</v>
      </c>
      <c r="M238" s="1307"/>
      <c r="N238" s="1307"/>
      <c r="O238" s="1307"/>
      <c r="P238" s="1308"/>
      <c r="Q238" s="448"/>
      <c r="R238" s="447"/>
      <c r="S238" s="447"/>
      <c r="T238" s="447"/>
      <c r="U238" s="447"/>
      <c r="V238" s="447"/>
      <c r="W238" s="447"/>
      <c r="X238" s="447"/>
      <c r="Y238" s="447"/>
      <c r="Z238" s="447"/>
      <c r="AA238" s="447"/>
      <c r="AB238" s="301"/>
      <c r="AC238" s="448"/>
      <c r="AD238" s="448"/>
      <c r="AE238" s="448"/>
      <c r="AF238" s="448"/>
      <c r="AG238" s="448"/>
      <c r="AH238" s="448"/>
      <c r="AI238" s="448"/>
      <c r="AJ238" s="448"/>
      <c r="AK238" s="448"/>
      <c r="AL238" s="448"/>
      <c r="AM238" s="448"/>
      <c r="AN238" s="448"/>
      <c r="AO238" s="448"/>
      <c r="AP238" s="448"/>
      <c r="AQ238" s="448"/>
      <c r="AR238" s="448"/>
      <c r="AS238" s="448"/>
      <c r="AT238" s="448"/>
      <c r="AU238" s="448"/>
      <c r="AV238" s="448"/>
      <c r="AW238" s="448"/>
      <c r="AX238" s="448"/>
      <c r="AY238" s="448"/>
      <c r="AZ238" s="448"/>
      <c r="BA238" s="448"/>
      <c r="BB238" s="448"/>
      <c r="BC238" s="448"/>
      <c r="BD238" s="448"/>
      <c r="BE238" s="448"/>
      <c r="BF238" s="448"/>
      <c r="BG238" s="448"/>
      <c r="BH238" s="448"/>
      <c r="BI238" s="448"/>
      <c r="BJ238" s="448"/>
      <c r="BK238" s="448"/>
      <c r="BL238" s="448"/>
      <c r="BM238" s="448"/>
      <c r="BN238" s="449"/>
      <c r="BO238" s="447"/>
    </row>
    <row r="239" spans="1:67" s="360" customFormat="1" ht="17.25" customHeight="1" thickBot="1">
      <c r="A239" s="447"/>
      <c r="B239" s="447"/>
      <c r="C239" s="450"/>
      <c r="D239" s="450"/>
      <c r="E239" s="450"/>
      <c r="F239" s="1296" t="s">
        <v>424</v>
      </c>
      <c r="G239" s="1296"/>
      <c r="H239" s="1313" t="b">
        <f>((E70*F91)&gt;0)</f>
        <v>1</v>
      </c>
      <c r="I239" s="1314"/>
      <c r="J239" s="1314"/>
      <c r="K239" s="1314"/>
      <c r="L239" s="1314"/>
      <c r="M239" s="1295"/>
      <c r="N239" s="447"/>
      <c r="O239" s="447"/>
      <c r="P239" s="447"/>
      <c r="Q239" s="448"/>
      <c r="R239" s="447"/>
      <c r="S239" s="447"/>
      <c r="T239" s="447"/>
      <c r="U239" s="447"/>
      <c r="V239" s="447"/>
      <c r="W239" s="447"/>
      <c r="X239" s="447"/>
      <c r="Y239" s="447"/>
      <c r="Z239" s="447"/>
      <c r="AA239" s="447"/>
      <c r="AB239" s="301"/>
      <c r="AC239" s="448"/>
      <c r="AD239" s="448"/>
      <c r="AE239" s="448"/>
      <c r="AF239" s="448"/>
      <c r="AG239" s="448"/>
      <c r="AH239" s="448"/>
      <c r="AI239" s="448"/>
      <c r="AJ239" s="448"/>
      <c r="AK239" s="448"/>
      <c r="AL239" s="448"/>
      <c r="AM239" s="448"/>
      <c r="AN239" s="448"/>
      <c r="AO239" s="448"/>
      <c r="AP239" s="448"/>
      <c r="AQ239" s="448"/>
      <c r="AR239" s="448"/>
      <c r="AS239" s="448"/>
      <c r="AT239" s="448"/>
      <c r="AU239" s="448"/>
      <c r="AV239" s="448"/>
      <c r="AW239" s="448"/>
      <c r="AX239" s="448"/>
      <c r="AY239" s="448"/>
      <c r="AZ239" s="448"/>
      <c r="BA239" s="448"/>
      <c r="BB239" s="448"/>
      <c r="BC239" s="448"/>
      <c r="BD239" s="448"/>
      <c r="BE239" s="448"/>
      <c r="BF239" s="448"/>
      <c r="BG239" s="448"/>
      <c r="BH239" s="448"/>
      <c r="BI239" s="448"/>
      <c r="BJ239" s="448"/>
      <c r="BK239" s="448"/>
      <c r="BL239" s="448"/>
      <c r="BM239" s="448"/>
      <c r="BN239" s="449"/>
      <c r="BO239" s="447"/>
    </row>
    <row r="240" spans="1:67" s="360" customFormat="1" ht="17.25" customHeight="1" thickTop="1" thickBot="1">
      <c r="A240" s="447"/>
      <c r="B240" s="447"/>
      <c r="C240" s="450"/>
      <c r="D240" s="450"/>
      <c r="E240" s="450"/>
      <c r="F240" s="1296" t="s">
        <v>425</v>
      </c>
      <c r="G240" s="1296"/>
      <c r="H240" s="1313" t="b">
        <f>(E70&gt;F91)</f>
        <v>1</v>
      </c>
      <c r="I240" s="1314"/>
      <c r="J240" s="1314"/>
      <c r="K240" s="1314"/>
      <c r="L240" s="1314"/>
      <c r="M240" s="1295"/>
      <c r="N240" s="466" t="s">
        <v>566</v>
      </c>
      <c r="O240" s="1311" t="str">
        <f>P166</f>
        <v>N 45°59.33 (N 45.9889) [N 45°59'20.05]</v>
      </c>
      <c r="P240" s="1311"/>
      <c r="Q240" s="1311"/>
      <c r="R240" s="1311"/>
      <c r="S240" s="1311"/>
      <c r="T240" s="448"/>
      <c r="U240" s="447"/>
      <c r="V240" s="447"/>
      <c r="W240" s="447"/>
      <c r="X240" s="447"/>
      <c r="Y240" s="447"/>
      <c r="Z240" s="447"/>
      <c r="AA240" s="447"/>
      <c r="AB240" s="301"/>
      <c r="AC240" s="448"/>
      <c r="AD240" s="448"/>
      <c r="AE240" s="448"/>
      <c r="AF240" s="448"/>
      <c r="AG240" s="448"/>
      <c r="AH240" s="448"/>
      <c r="AI240" s="448"/>
      <c r="AJ240" s="448"/>
      <c r="AK240" s="448"/>
      <c r="AL240" s="448"/>
      <c r="AM240" s="448"/>
      <c r="AN240" s="448"/>
      <c r="AO240" s="448"/>
      <c r="AP240" s="448"/>
      <c r="AQ240" s="448"/>
      <c r="AR240" s="448"/>
      <c r="AS240" s="448"/>
      <c r="AT240" s="448"/>
      <c r="AU240" s="448"/>
      <c r="AV240" s="448"/>
      <c r="AW240" s="448"/>
      <c r="AX240" s="448"/>
      <c r="AY240" s="448"/>
      <c r="AZ240" s="448"/>
      <c r="BA240" s="448"/>
      <c r="BB240" s="448"/>
      <c r="BC240" s="448"/>
      <c r="BD240" s="448"/>
      <c r="BE240" s="448"/>
      <c r="BF240" s="448"/>
      <c r="BG240" s="448"/>
      <c r="BH240" s="448"/>
      <c r="BI240" s="448"/>
      <c r="BJ240" s="448"/>
      <c r="BK240" s="448"/>
      <c r="BL240" s="448"/>
      <c r="BM240" s="448"/>
      <c r="BN240" s="449"/>
      <c r="BO240" s="447"/>
    </row>
    <row r="241" spans="1:67" s="360" customFormat="1" ht="17.25" customHeight="1" thickTop="1">
      <c r="A241" s="447"/>
      <c r="B241" s="447"/>
      <c r="C241" s="450"/>
      <c r="D241" s="1298" t="s">
        <v>525</v>
      </c>
      <c r="E241" s="1299"/>
      <c r="F241" s="1300" t="s">
        <v>544</v>
      </c>
      <c r="G241" s="1300"/>
      <c r="H241" s="1304" t="str">
        <f>V159</f>
        <v>Le soleil est au sud, et le nord est dans le dos</v>
      </c>
      <c r="I241" s="1305"/>
      <c r="J241" s="1305"/>
      <c r="K241" s="1305"/>
      <c r="L241" s="1305"/>
      <c r="M241" s="1305"/>
      <c r="N241" s="447"/>
      <c r="O241" s="447"/>
      <c r="P241" s="484"/>
      <c r="Q241" s="484"/>
      <c r="R241" s="447"/>
      <c r="S241" s="447"/>
      <c r="T241" s="447"/>
      <c r="U241" s="447"/>
      <c r="V241" s="447"/>
      <c r="W241" s="447"/>
      <c r="X241" s="447"/>
      <c r="Y241" s="447"/>
      <c r="Z241" s="447"/>
      <c r="AA241" s="447"/>
      <c r="AB241" s="301"/>
      <c r="AC241" s="448"/>
      <c r="AD241" s="448"/>
      <c r="AE241" s="448"/>
      <c r="AF241" s="448"/>
      <c r="AG241" s="448"/>
      <c r="AH241" s="448"/>
      <c r="AI241" s="448"/>
      <c r="AJ241" s="448"/>
      <c r="AK241" s="448"/>
      <c r="AL241" s="448"/>
      <c r="AM241" s="448"/>
      <c r="AN241" s="448"/>
      <c r="AO241" s="448"/>
      <c r="AP241" s="448"/>
      <c r="AQ241" s="448"/>
      <c r="AR241" s="448"/>
      <c r="AS241" s="448"/>
      <c r="AT241" s="448"/>
      <c r="AU241" s="448"/>
      <c r="AV241" s="448"/>
      <c r="AW241" s="448"/>
      <c r="AX241" s="448"/>
      <c r="AY241" s="448"/>
      <c r="AZ241" s="448"/>
      <c r="BA241" s="448"/>
      <c r="BB241" s="448"/>
      <c r="BC241" s="448"/>
      <c r="BD241" s="448"/>
      <c r="BE241" s="448"/>
      <c r="BF241" s="448"/>
      <c r="BG241" s="448"/>
      <c r="BH241" s="448"/>
      <c r="BI241" s="448"/>
      <c r="BJ241" s="448"/>
      <c r="BK241" s="448"/>
      <c r="BL241" s="448"/>
      <c r="BM241" s="448"/>
      <c r="BN241" s="449"/>
      <c r="BO241" s="447"/>
    </row>
    <row r="242" spans="1:67" s="360" customFormat="1" ht="17.25" customHeight="1" thickBot="1">
      <c r="A242" s="447"/>
      <c r="B242" s="447"/>
      <c r="C242" s="450"/>
      <c r="D242" s="1298"/>
      <c r="E242" s="1299"/>
      <c r="F242" s="1301" t="s">
        <v>564</v>
      </c>
      <c r="G242" s="1302"/>
      <c r="H242" s="1304" t="str">
        <f>V160</f>
        <v>Lat et Dec - Meme sens ?: TRUE</v>
      </c>
      <c r="I242" s="1305"/>
      <c r="J242" s="1305"/>
      <c r="K242" s="1305"/>
      <c r="L242" s="1305"/>
      <c r="M242" s="1305"/>
      <c r="N242" s="447"/>
      <c r="O242" s="447"/>
      <c r="P242" s="484"/>
      <c r="Q242" s="484"/>
      <c r="R242" s="447"/>
      <c r="S242" s="447"/>
      <c r="T242" s="447"/>
      <c r="U242" s="447"/>
      <c r="V242" s="447"/>
      <c r="W242" s="447"/>
      <c r="X242" s="447"/>
      <c r="Y242" s="447"/>
      <c r="Z242" s="447"/>
      <c r="AA242" s="447"/>
      <c r="AB242" s="301"/>
      <c r="AC242" s="448"/>
      <c r="AD242" s="448"/>
      <c r="AE242" s="448"/>
      <c r="AF242" s="448"/>
      <c r="AG242" s="448"/>
      <c r="AH242" s="448"/>
      <c r="AI242" s="448"/>
      <c r="AJ242" s="448"/>
      <c r="AK242" s="448"/>
      <c r="AL242" s="448"/>
      <c r="AM242" s="448"/>
      <c r="AN242" s="448"/>
      <c r="AO242" s="448"/>
      <c r="AP242" s="448"/>
      <c r="AQ242" s="448"/>
      <c r="AR242" s="448"/>
      <c r="AS242" s="448"/>
      <c r="AT242" s="448"/>
      <c r="AU242" s="448"/>
      <c r="AV242" s="448"/>
      <c r="AW242" s="448"/>
      <c r="AX242" s="448"/>
      <c r="AY242" s="448"/>
      <c r="AZ242" s="448"/>
      <c r="BA242" s="448"/>
      <c r="BB242" s="448"/>
      <c r="BC242" s="448"/>
      <c r="BD242" s="448"/>
      <c r="BE242" s="448"/>
      <c r="BF242" s="448"/>
      <c r="BG242" s="448"/>
      <c r="BH242" s="448"/>
      <c r="BI242" s="448"/>
      <c r="BJ242" s="448"/>
      <c r="BK242" s="448"/>
      <c r="BL242" s="448"/>
      <c r="BM242" s="448"/>
      <c r="BN242" s="449"/>
      <c r="BO242" s="447"/>
    </row>
    <row r="243" spans="1:67" s="360" customFormat="1" ht="17.25" customHeight="1" thickTop="1" thickBot="1">
      <c r="A243" s="447"/>
      <c r="B243" s="447"/>
      <c r="C243" s="450"/>
      <c r="D243" s="1298"/>
      <c r="E243" s="1299"/>
      <c r="F243" s="1301" t="s">
        <v>565</v>
      </c>
      <c r="G243" s="1303"/>
      <c r="H243" s="1304" t="str">
        <f>V161</f>
        <v>Lat &gt; Dec  ? : TRUE</v>
      </c>
      <c r="I243" s="1305"/>
      <c r="J243" s="1305"/>
      <c r="K243" s="1305"/>
      <c r="L243" s="1305"/>
      <c r="M243" s="1305"/>
      <c r="N243" s="466" t="s">
        <v>566</v>
      </c>
      <c r="O243" s="1311" t="str">
        <f>P165</f>
        <v>N 45°59.33 (N 45.9889) [N 45°59'20.05]</v>
      </c>
      <c r="P243" s="1311"/>
      <c r="Q243" s="1311"/>
      <c r="R243" s="1311"/>
      <c r="S243" s="1311"/>
      <c r="T243" s="448"/>
      <c r="U243" s="447"/>
      <c r="V243" s="447"/>
      <c r="W243" s="447"/>
      <c r="X243" s="447"/>
      <c r="Y243" s="447"/>
      <c r="Z243" s="447"/>
      <c r="AA243" s="447"/>
      <c r="AB243" s="301"/>
      <c r="AC243" s="448"/>
      <c r="AD243" s="448"/>
      <c r="AE243" s="448"/>
      <c r="AF243" s="448"/>
      <c r="AG243" s="448"/>
      <c r="AH243" s="448"/>
      <c r="AI243" s="448"/>
      <c r="AJ243" s="448"/>
      <c r="AK243" s="448"/>
      <c r="AL243" s="448"/>
      <c r="AM243" s="448"/>
      <c r="AN243" s="448"/>
      <c r="AO243" s="448"/>
      <c r="AP243" s="448"/>
      <c r="AQ243" s="448"/>
      <c r="AR243" s="448"/>
      <c r="AS243" s="448"/>
      <c r="AT243" s="448"/>
      <c r="AU243" s="448"/>
      <c r="AV243" s="448"/>
      <c r="AW243" s="448"/>
      <c r="AX243" s="448"/>
      <c r="AY243" s="448"/>
      <c r="AZ243" s="448"/>
      <c r="BA243" s="448"/>
      <c r="BB243" s="448"/>
      <c r="BC243" s="448"/>
      <c r="BD243" s="448"/>
      <c r="BE243" s="448"/>
      <c r="BF243" s="448"/>
      <c r="BG243" s="448"/>
      <c r="BH243" s="448"/>
      <c r="BI243" s="448"/>
      <c r="BJ243" s="448"/>
      <c r="BK243" s="448"/>
      <c r="BL243" s="448"/>
      <c r="BM243" s="448"/>
      <c r="BN243" s="449"/>
      <c r="BO243" s="447"/>
    </row>
    <row r="244" spans="1:67" s="360" customFormat="1" ht="17.25" customHeight="1" thickTop="1">
      <c r="A244" s="447"/>
      <c r="B244" s="1979" t="s">
        <v>211</v>
      </c>
      <c r="C244" s="1980"/>
      <c r="D244" s="1981"/>
      <c r="E244" s="1982" t="str" cm="1">
        <f t="array" ref="E244">latitudeDecimal2Txt(M165)</f>
        <v>N 45°59.33 (N 45.9889) [N 45°59'20.05]</v>
      </c>
      <c r="F244" s="1982"/>
      <c r="G244" s="1982"/>
      <c r="H244" s="1982"/>
      <c r="I244" s="1982"/>
      <c r="J244" s="1982"/>
      <c r="K244" s="447"/>
      <c r="L244" s="447"/>
      <c r="M244" s="447"/>
      <c r="N244" s="484"/>
      <c r="O244" s="484"/>
      <c r="P244" s="484"/>
      <c r="Q244" s="484"/>
      <c r="R244" s="447"/>
      <c r="S244" s="447"/>
      <c r="T244" s="447"/>
      <c r="U244" s="447"/>
      <c r="V244" s="447"/>
      <c r="W244" s="447"/>
      <c r="X244" s="447"/>
      <c r="Y244" s="447"/>
      <c r="Z244" s="447"/>
      <c r="AA244" s="447"/>
      <c r="AB244" s="301"/>
      <c r="AC244" s="448"/>
      <c r="AD244" s="448"/>
      <c r="AE244" s="448"/>
      <c r="AF244" s="448"/>
      <c r="AG244" s="448"/>
      <c r="AH244" s="448"/>
      <c r="AI244" s="448"/>
      <c r="AJ244" s="448"/>
      <c r="AK244" s="448"/>
      <c r="AL244" s="448"/>
      <c r="AM244" s="448"/>
      <c r="AN244" s="448"/>
      <c r="AO244" s="448"/>
      <c r="AP244" s="448"/>
      <c r="AQ244" s="448"/>
      <c r="AR244" s="448"/>
      <c r="AS244" s="448"/>
      <c r="AT244" s="448"/>
      <c r="AU244" s="448"/>
      <c r="AV244" s="448"/>
      <c r="AW244" s="448"/>
      <c r="AX244" s="448"/>
      <c r="AY244" s="448"/>
      <c r="AZ244" s="448"/>
      <c r="BA244" s="448"/>
      <c r="BB244" s="448"/>
      <c r="BC244" s="448"/>
      <c r="BD244" s="448"/>
      <c r="BE244" s="448"/>
      <c r="BF244" s="448"/>
      <c r="BG244" s="448"/>
      <c r="BH244" s="448"/>
      <c r="BI244" s="448"/>
      <c r="BJ244" s="448"/>
      <c r="BK244" s="448"/>
      <c r="BL244" s="448"/>
      <c r="BM244" s="448"/>
      <c r="BN244" s="449"/>
      <c r="BO244" s="447"/>
    </row>
    <row r="245" spans="1:67" s="360" customFormat="1" ht="17.25" customHeight="1">
      <c r="A245" s="447"/>
      <c r="B245" s="862" t="s">
        <v>468</v>
      </c>
      <c r="C245" s="862"/>
      <c r="D245" s="862"/>
      <c r="E245" s="862" t="str">
        <f>longitudeDecimal2Txt(V60)</f>
        <v>W 07°20.68 (W 07.3448) [W 07°20'41.33]</v>
      </c>
      <c r="F245" s="862"/>
      <c r="G245" s="862"/>
      <c r="H245" s="862"/>
      <c r="I245" s="862"/>
      <c r="J245" s="862"/>
      <c r="K245" s="447"/>
      <c r="L245" s="556" t="s">
        <v>842</v>
      </c>
      <c r="M245" s="556"/>
      <c r="N245" s="556"/>
      <c r="O245" s="531" t="s">
        <v>839</v>
      </c>
      <c r="P245" s="532">
        <v>30</v>
      </c>
      <c r="Q245" s="533">
        <v>15</v>
      </c>
      <c r="R245" s="533">
        <v>0</v>
      </c>
      <c r="T245" s="447"/>
      <c r="U245" s="447"/>
      <c r="V245" s="447"/>
      <c r="W245" s="447"/>
      <c r="X245" s="447"/>
      <c r="Y245" s="447"/>
      <c r="Z245" s="447"/>
      <c r="AA245" s="447"/>
      <c r="AB245" s="301"/>
      <c r="AC245" s="448"/>
      <c r="AD245" s="448"/>
      <c r="AE245" s="448"/>
      <c r="AF245" s="448"/>
      <c r="AG245" s="448"/>
      <c r="AH245" s="448"/>
      <c r="AI245" s="448"/>
      <c r="AJ245" s="448"/>
      <c r="AK245" s="448"/>
      <c r="AL245" s="448"/>
      <c r="AM245" s="448"/>
      <c r="AN245" s="448"/>
      <c r="AO245" s="448"/>
      <c r="AP245" s="448"/>
      <c r="AQ245" s="448"/>
      <c r="AR245" s="448"/>
      <c r="AS245" s="448"/>
      <c r="AT245" s="448"/>
      <c r="AU245" s="448"/>
      <c r="AV245" s="448"/>
      <c r="AW245" s="448"/>
      <c r="AX245" s="448"/>
      <c r="AY245" s="448"/>
      <c r="AZ245" s="448"/>
      <c r="BA245" s="448"/>
      <c r="BB245" s="448"/>
      <c r="BC245" s="448"/>
      <c r="BD245" s="448"/>
      <c r="BE245" s="448"/>
      <c r="BF245" s="448"/>
      <c r="BG245" s="448"/>
      <c r="BH245" s="448"/>
      <c r="BI245" s="448"/>
      <c r="BJ245" s="448"/>
      <c r="BK245" s="448"/>
      <c r="BL245" s="448"/>
      <c r="BM245" s="448"/>
      <c r="BN245" s="449"/>
      <c r="BO245" s="447"/>
    </row>
    <row r="246" spans="1:67">
      <c r="L246" s="556"/>
      <c r="M246" s="556"/>
      <c r="N246" s="556"/>
      <c r="O246" s="534" t="s">
        <v>104</v>
      </c>
      <c r="P246" s="535" t="s">
        <v>841</v>
      </c>
      <c r="Q246" s="535" t="s">
        <v>840</v>
      </c>
      <c r="R246" s="535">
        <v>0</v>
      </c>
    </row>
  </sheetData>
  <sheetProtection sheet="1" objects="1" scenarios="1" formatRows="0" insertRows="0" deleteRows="0" autoFilter="0"/>
  <dataConsolidate/>
  <mergeCells count="436">
    <mergeCell ref="F235:P235"/>
    <mergeCell ref="G236:K236"/>
    <mergeCell ref="C212:D212"/>
    <mergeCell ref="U3:AC4"/>
    <mergeCell ref="C106:C110"/>
    <mergeCell ref="D106:H107"/>
    <mergeCell ref="I106:M107"/>
    <mergeCell ref="D108:H109"/>
    <mergeCell ref="I108:I109"/>
    <mergeCell ref="J108:M109"/>
    <mergeCell ref="D110:H110"/>
    <mergeCell ref="H62:U63"/>
    <mergeCell ref="P74:X74"/>
    <mergeCell ref="C75:I75"/>
    <mergeCell ref="S95:W96"/>
    <mergeCell ref="S97:W98"/>
    <mergeCell ref="X62:AC63"/>
    <mergeCell ref="P75:X75"/>
    <mergeCell ref="P78:X78"/>
    <mergeCell ref="M79:O79"/>
    <mergeCell ref="P79:X79"/>
    <mergeCell ref="M77:O77"/>
    <mergeCell ref="J77:L77"/>
    <mergeCell ref="S88:X88"/>
    <mergeCell ref="F236:F237"/>
    <mergeCell ref="O240:S240"/>
    <mergeCell ref="O243:S243"/>
    <mergeCell ref="B212:B216"/>
    <mergeCell ref="L238:P238"/>
    <mergeCell ref="F239:G239"/>
    <mergeCell ref="H239:M239"/>
    <mergeCell ref="F240:G240"/>
    <mergeCell ref="H240:M240"/>
    <mergeCell ref="M219:N219"/>
    <mergeCell ref="C234:D234"/>
    <mergeCell ref="E234:J234"/>
    <mergeCell ref="F233:G233"/>
    <mergeCell ref="F229:G230"/>
    <mergeCell ref="H229:I229"/>
    <mergeCell ref="J229:M229"/>
    <mergeCell ref="H230:I230"/>
    <mergeCell ref="J230:M230"/>
    <mergeCell ref="C231:D231"/>
    <mergeCell ref="E231:J231"/>
    <mergeCell ref="F232:M232"/>
    <mergeCell ref="C228:D228"/>
    <mergeCell ref="E228:J228"/>
    <mergeCell ref="H233:M233"/>
    <mergeCell ref="H218:K218"/>
    <mergeCell ref="H219:K219"/>
    <mergeCell ref="F221:G221"/>
    <mergeCell ref="E205:I205"/>
    <mergeCell ref="J205:L205"/>
    <mergeCell ref="F206:J206"/>
    <mergeCell ref="K206:M206"/>
    <mergeCell ref="K208:M208"/>
    <mergeCell ref="E244:J244"/>
    <mergeCell ref="F224:G224"/>
    <mergeCell ref="F225:G225"/>
    <mergeCell ref="H224:L224"/>
    <mergeCell ref="H225:L225"/>
    <mergeCell ref="D241:E243"/>
    <mergeCell ref="F241:G241"/>
    <mergeCell ref="F242:G242"/>
    <mergeCell ref="F243:G243"/>
    <mergeCell ref="H241:M241"/>
    <mergeCell ref="H242:M242"/>
    <mergeCell ref="H243:M243"/>
    <mergeCell ref="L236:P236"/>
    <mergeCell ref="G237:K237"/>
    <mergeCell ref="L237:P237"/>
    <mergeCell ref="F238:K238"/>
    <mergeCell ref="N206:P208"/>
    <mergeCell ref="F207:J207"/>
    <mergeCell ref="K207:M207"/>
    <mergeCell ref="F208:J208"/>
    <mergeCell ref="H221:K221"/>
    <mergeCell ref="F222:G222"/>
    <mergeCell ref="H222:K222"/>
    <mergeCell ref="D221:E225"/>
    <mergeCell ref="F223:G223"/>
    <mergeCell ref="H223:L223"/>
    <mergeCell ref="C213:D213"/>
    <mergeCell ref="E213:J213"/>
    <mergeCell ref="C214:D214"/>
    <mergeCell ref="C215:D215"/>
    <mergeCell ref="E214:J214"/>
    <mergeCell ref="F220:J220"/>
    <mergeCell ref="C220:E220"/>
    <mergeCell ref="E215:J215"/>
    <mergeCell ref="C216:D216"/>
    <mergeCell ref="E216:I216"/>
    <mergeCell ref="F217:G217"/>
    <mergeCell ref="H217:L217"/>
    <mergeCell ref="F218:G219"/>
    <mergeCell ref="E212:J212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F204:G204"/>
    <mergeCell ref="H204:L204"/>
    <mergeCell ref="C197:D197"/>
    <mergeCell ref="E197:I197"/>
    <mergeCell ref="C198:D198"/>
    <mergeCell ref="E198:I198"/>
    <mergeCell ref="E199:I199"/>
    <mergeCell ref="J199:L199"/>
    <mergeCell ref="D192:G192"/>
    <mergeCell ref="N93:R94"/>
    <mergeCell ref="N95:N96"/>
    <mergeCell ref="O95:R96"/>
    <mergeCell ref="N97:N98"/>
    <mergeCell ref="O97:R98"/>
    <mergeCell ref="C100:C104"/>
    <mergeCell ref="D100:H101"/>
    <mergeCell ref="I100:J101"/>
    <mergeCell ref="K100:M101"/>
    <mergeCell ref="N100:R101"/>
    <mergeCell ref="C196:D196"/>
    <mergeCell ref="E196:I196"/>
    <mergeCell ref="D191:G191"/>
    <mergeCell ref="I191:L191"/>
    <mergeCell ref="H115:N115"/>
    <mergeCell ref="O115:R115"/>
    <mergeCell ref="O136:R137"/>
    <mergeCell ref="B192:C192"/>
    <mergeCell ref="C195:D195"/>
    <mergeCell ref="E195:I195"/>
    <mergeCell ref="C73:I73"/>
    <mergeCell ref="J73:O73"/>
    <mergeCell ref="C74:I74"/>
    <mergeCell ref="J74:L74"/>
    <mergeCell ref="M74:O74"/>
    <mergeCell ref="C67:D67"/>
    <mergeCell ref="E67:G67"/>
    <mergeCell ref="C78:I78"/>
    <mergeCell ref="J78:L78"/>
    <mergeCell ref="C77:I77"/>
    <mergeCell ref="J75:L75"/>
    <mergeCell ref="M75:O75"/>
    <mergeCell ref="B191:C191"/>
    <mergeCell ref="E69:G69"/>
    <mergeCell ref="E70:G70"/>
    <mergeCell ref="H70:M70"/>
    <mergeCell ref="H69:M69"/>
    <mergeCell ref="C93:C98"/>
    <mergeCell ref="D93:H94"/>
    <mergeCell ref="C79:I79"/>
    <mergeCell ref="J79:L79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F28:H29"/>
    <mergeCell ref="C76:I76"/>
    <mergeCell ref="J76:L76"/>
    <mergeCell ref="M76:O76"/>
    <mergeCell ref="P76:X76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C33:R33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N34:O35"/>
    <mergeCell ref="P34:Q35"/>
    <mergeCell ref="R34:R35"/>
    <mergeCell ref="V112:Z112"/>
    <mergeCell ref="C113:F113"/>
    <mergeCell ref="G113:I113"/>
    <mergeCell ref="H58:U59"/>
    <mergeCell ref="C80:I80"/>
    <mergeCell ref="J80:L80"/>
    <mergeCell ref="M80:O80"/>
    <mergeCell ref="C81:I81"/>
    <mergeCell ref="J81:L81"/>
    <mergeCell ref="M81:O81"/>
    <mergeCell ref="M78:O78"/>
    <mergeCell ref="P82:R83"/>
    <mergeCell ref="D83:I85"/>
    <mergeCell ref="P84:R84"/>
    <mergeCell ref="C82:D82"/>
    <mergeCell ref="S84:X84"/>
    <mergeCell ref="P85:X85"/>
    <mergeCell ref="M86:O89"/>
    <mergeCell ref="P89:X89"/>
    <mergeCell ref="C86:I89"/>
    <mergeCell ref="J86:L89"/>
    <mergeCell ref="AC113:AC115"/>
    <mergeCell ref="S104:W104"/>
    <mergeCell ref="P86:R87"/>
    <mergeCell ref="P88:R88"/>
    <mergeCell ref="J82:L85"/>
    <mergeCell ref="M82:O85"/>
    <mergeCell ref="F91:H91"/>
    <mergeCell ref="C92:F92"/>
    <mergeCell ref="G92:I92"/>
    <mergeCell ref="AC92:AC93"/>
    <mergeCell ref="S100:W101"/>
    <mergeCell ref="D102:H103"/>
    <mergeCell ref="I93:J94"/>
    <mergeCell ref="K93:M94"/>
    <mergeCell ref="D95:H97"/>
    <mergeCell ref="I95:J98"/>
    <mergeCell ref="Z96:Z97"/>
    <mergeCell ref="AA96:AA97"/>
    <mergeCell ref="F114:I114"/>
    <mergeCell ref="J114:L114"/>
    <mergeCell ref="D112:E112"/>
    <mergeCell ref="F112:H112"/>
    <mergeCell ref="M112:N112"/>
    <mergeCell ref="S112:U112"/>
    <mergeCell ref="H117:N117"/>
    <mergeCell ref="O117:R117"/>
    <mergeCell ref="U117:Z117"/>
    <mergeCell ref="M118:P118"/>
    <mergeCell ref="H119:N119"/>
    <mergeCell ref="O119:P119"/>
    <mergeCell ref="R119:S119"/>
    <mergeCell ref="U119:Z119"/>
    <mergeCell ref="K95:M96"/>
    <mergeCell ref="K97:M98"/>
    <mergeCell ref="D98:H98"/>
    <mergeCell ref="N102:N103"/>
    <mergeCell ref="U115:Z115"/>
    <mergeCell ref="H116:N116"/>
    <mergeCell ref="O116:R116"/>
    <mergeCell ref="U116:Z116"/>
    <mergeCell ref="I102:J104"/>
    <mergeCell ref="K102:M103"/>
    <mergeCell ref="O102:R103"/>
    <mergeCell ref="S102:S103"/>
    <mergeCell ref="T102:W103"/>
    <mergeCell ref="D104:H104"/>
    <mergeCell ref="K104:M104"/>
    <mergeCell ref="N104:R104"/>
    <mergeCell ref="J142:L142"/>
    <mergeCell ref="S124:U124"/>
    <mergeCell ref="H125:N125"/>
    <mergeCell ref="O125:R125"/>
    <mergeCell ref="S125:U125"/>
    <mergeCell ref="H126:N126"/>
    <mergeCell ref="O126:R126"/>
    <mergeCell ref="S126:U126"/>
    <mergeCell ref="U121:Z121"/>
    <mergeCell ref="H122:N122"/>
    <mergeCell ref="O122:R122"/>
    <mergeCell ref="U122:Z122"/>
    <mergeCell ref="H121:N121"/>
    <mergeCell ref="O121:R121"/>
    <mergeCell ref="H127:N127"/>
    <mergeCell ref="O127:R127"/>
    <mergeCell ref="U127:Z127"/>
    <mergeCell ref="H129:N129"/>
    <mergeCell ref="E162:J162"/>
    <mergeCell ref="K162:O162"/>
    <mergeCell ref="O129:R129"/>
    <mergeCell ref="AD132:AE132"/>
    <mergeCell ref="AD130:AE130"/>
    <mergeCell ref="O131:R131"/>
    <mergeCell ref="U131:Z131"/>
    <mergeCell ref="AD131:AE131"/>
    <mergeCell ref="G133:S133"/>
    <mergeCell ref="G134:H135"/>
    <mergeCell ref="I134:N134"/>
    <mergeCell ref="O134:R135"/>
    <mergeCell ref="S134:S135"/>
    <mergeCell ref="H131:N131"/>
    <mergeCell ref="H130:N130"/>
    <mergeCell ref="O130:R130"/>
    <mergeCell ref="U146:V146"/>
    <mergeCell ref="L147:M147"/>
    <mergeCell ref="O147:P147"/>
    <mergeCell ref="L148:M148"/>
    <mergeCell ref="O148:P148"/>
    <mergeCell ref="H150:N150"/>
    <mergeCell ref="O150:R150"/>
    <mergeCell ref="F142:I142"/>
    <mergeCell ref="E160:E161"/>
    <mergeCell ref="F160:J160"/>
    <mergeCell ref="K160:O160"/>
    <mergeCell ref="F161:J161"/>
    <mergeCell ref="K161:O161"/>
    <mergeCell ref="O154:T154"/>
    <mergeCell ref="T160:U160"/>
    <mergeCell ref="I156:M156"/>
    <mergeCell ref="E154:H156"/>
    <mergeCell ref="I154:M155"/>
    <mergeCell ref="O155:P155"/>
    <mergeCell ref="Q155:S155"/>
    <mergeCell ref="T161:U161"/>
    <mergeCell ref="AE184:AF185"/>
    <mergeCell ref="W148:AA148"/>
    <mergeCell ref="I138:N138"/>
    <mergeCell ref="I137:N137"/>
    <mergeCell ref="I136:N136"/>
    <mergeCell ref="I135:N135"/>
    <mergeCell ref="U182:Z182"/>
    <mergeCell ref="U181:Z181"/>
    <mergeCell ref="U172:Z172"/>
    <mergeCell ref="U150:Z150"/>
    <mergeCell ref="P165:U165"/>
    <mergeCell ref="O156:P156"/>
    <mergeCell ref="Q156:S156"/>
    <mergeCell ref="I172:J172"/>
    <mergeCell ref="H171:J171"/>
    <mergeCell ref="L171:N171"/>
    <mergeCell ref="Q171:T171"/>
    <mergeCell ref="M172:N172"/>
    <mergeCell ref="S172:T172"/>
    <mergeCell ref="G182:L182"/>
    <mergeCell ref="S182:T182"/>
    <mergeCell ref="Q174:S174"/>
    <mergeCell ref="R175:S175"/>
    <mergeCell ref="G181:L181"/>
    <mergeCell ref="E245:J245"/>
    <mergeCell ref="B245:D245"/>
    <mergeCell ref="H60:U61"/>
    <mergeCell ref="V60:W61"/>
    <mergeCell ref="X60:AC61"/>
    <mergeCell ref="M165:N165"/>
    <mergeCell ref="E172:F172"/>
    <mergeCell ref="B244:D244"/>
    <mergeCell ref="C171:F171"/>
    <mergeCell ref="D185:E185"/>
    <mergeCell ref="C184:E184"/>
    <mergeCell ref="E182:F182"/>
    <mergeCell ref="C180:F180"/>
    <mergeCell ref="E181:F181"/>
    <mergeCell ref="S181:T181"/>
    <mergeCell ref="K146:K147"/>
    <mergeCell ref="N146:N147"/>
    <mergeCell ref="Q146:Q147"/>
    <mergeCell ref="H165:L165"/>
    <mergeCell ref="B152:AA152"/>
    <mergeCell ref="L245:N246"/>
    <mergeCell ref="X96:X97"/>
    <mergeCell ref="Y96:Y97"/>
    <mergeCell ref="E159:O159"/>
    <mergeCell ref="I28:J29"/>
    <mergeCell ref="C26:E27"/>
    <mergeCell ref="C28:E29"/>
    <mergeCell ref="E68:G68"/>
    <mergeCell ref="H68:M68"/>
    <mergeCell ref="C68:D68"/>
    <mergeCell ref="AD60:AF61"/>
    <mergeCell ref="M166:N166"/>
    <mergeCell ref="P166:U166"/>
    <mergeCell ref="AE140:AE141"/>
    <mergeCell ref="T159:U159"/>
    <mergeCell ref="Q159:S159"/>
    <mergeCell ref="Q160:S160"/>
    <mergeCell ref="Q161:S161"/>
    <mergeCell ref="V159:AA159"/>
    <mergeCell ref="V160:AA160"/>
    <mergeCell ref="V161:AA161"/>
    <mergeCell ref="U145:V145"/>
    <mergeCell ref="U144:V144"/>
    <mergeCell ref="S136:S137"/>
    <mergeCell ref="O138:R138"/>
    <mergeCell ref="H140:N140"/>
    <mergeCell ref="O140:R140"/>
    <mergeCell ref="U140:Z140"/>
  </mergeCells>
  <dataValidations count="6">
    <dataValidation type="list" allowBlank="1" showInputMessage="1" showErrorMessage="1" sqref="J73:O73" xr:uid="{085B4DBA-5CF9-4829-A498-52FBF4F06D5F}">
      <formula1>$AC$73:$AD$73</formula1>
    </dataValidation>
    <dataValidation type="list" allowBlank="1" showInputMessage="1" showErrorMessage="1" sqref="G113:I113" xr:uid="{26C2D47B-39F4-43F1-9FDB-BE88B518D5AB}">
      <formula1>$AD$113:$AD$115</formula1>
    </dataValidation>
    <dataValidation type="list" allowBlank="1" showInputMessage="1" showErrorMessage="1" sqref="M81:O81" xr:uid="{46D9BFFB-766A-491E-8840-FABD452081F7}">
      <formula1>$AD$85:$AF$85</formula1>
    </dataValidation>
    <dataValidation type="list" allowBlank="1" showInputMessage="1" showErrorMessage="1" sqref="AE142:AE150" xr:uid="{F6F606DE-A8ED-4CAB-84C8-120A9529682B}">
      <formula1>$AC$158:$AC$159</formula1>
    </dataValidation>
    <dataValidation type="list" allowBlank="1" showInputMessage="1" showErrorMessage="1" sqref="C26" xr:uid="{F3AE8F1F-8B9D-4A5F-A016-15EAD0C8CA53}">
      <formula1>$AC$27:$AC$28</formula1>
    </dataValidation>
    <dataValidation type="list" allowBlank="1" showInputMessage="1" showErrorMessage="1" sqref="G92:I92" xr:uid="{654B0F37-7757-4BAF-A715-26A97F5ECD99}">
      <formula1>$AD$91:$AD$93</formula1>
    </dataValidation>
  </dataValidations>
  <pageMargins left="0.45" right="0.7" top="0.5" bottom="0.5" header="0.3" footer="0.3"/>
  <pageSetup paperSize="9"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187</xdr:row>
                    <xdr:rowOff>38100</xdr:rowOff>
                  </from>
                  <to>
                    <xdr:col>10</xdr:col>
                    <xdr:colOff>9525</xdr:colOff>
                    <xdr:row>188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N95:N98 N102:N103 S102:S103 I108:I109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87" zoomScaleNormal="100" workbookViewId="0">
      <selection activeCell="O153" sqref="O153:R153"/>
    </sheetView>
  </sheetViews>
  <sheetFormatPr defaultColWidth="6" defaultRowHeight="15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290" customWidth="1"/>
    <col min="29" max="30" width="16.140625" style="12" customWidth="1"/>
    <col min="31" max="31" width="9.5703125" style="12" bestFit="1" customWidth="1"/>
    <col min="32" max="32" width="6.5703125" style="12" bestFit="1" customWidth="1"/>
    <col min="33" max="33" width="9.5703125" style="12" bestFit="1" customWidth="1"/>
    <col min="34" max="34" width="8.5703125" bestFit="1" customWidth="1"/>
  </cols>
  <sheetData>
    <row r="1" spans="1:66" s="14" customFormat="1" ht="17.25" customHeight="1">
      <c r="C1" s="1469" t="s">
        <v>132</v>
      </c>
      <c r="D1" s="1469"/>
      <c r="E1" s="1469"/>
      <c r="F1" s="1469"/>
      <c r="G1" s="1470" t="s">
        <v>133</v>
      </c>
      <c r="H1" s="1470"/>
      <c r="I1" s="1470"/>
      <c r="J1" s="1470"/>
      <c r="K1" s="1470"/>
      <c r="L1" s="1470"/>
      <c r="M1" s="1470"/>
      <c r="N1" s="1470"/>
      <c r="O1" s="1470"/>
      <c r="P1" s="1470"/>
      <c r="Q1" s="1470"/>
      <c r="R1" s="1470"/>
      <c r="S1" s="1470"/>
      <c r="T1" s="1470"/>
      <c r="U1" s="1470"/>
      <c r="V1" s="1470"/>
      <c r="W1" s="1470"/>
      <c r="X1" s="1470"/>
      <c r="Y1" s="1470"/>
      <c r="AB1" s="286"/>
      <c r="AC1" s="12"/>
      <c r="AD1" s="12"/>
      <c r="AE1" s="12"/>
      <c r="AF1" s="12"/>
      <c r="AG1" s="12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2"/>
    </row>
    <row r="2" spans="1:66" s="14" customFormat="1" ht="17.25" customHeight="1">
      <c r="C2" s="1469"/>
      <c r="D2" s="1469"/>
      <c r="E2" s="1469"/>
      <c r="F2" s="1469"/>
      <c r="G2" s="1470"/>
      <c r="H2" s="1470"/>
      <c r="I2" s="1470"/>
      <c r="J2" s="1470"/>
      <c r="K2" s="1470"/>
      <c r="L2" s="1470"/>
      <c r="M2" s="1470"/>
      <c r="N2" s="1470"/>
      <c r="O2" s="1470"/>
      <c r="P2" s="1470"/>
      <c r="Q2" s="1470"/>
      <c r="R2" s="1470"/>
      <c r="S2" s="1470"/>
      <c r="T2" s="1470"/>
      <c r="U2" s="1470"/>
      <c r="V2" s="1470"/>
      <c r="W2" s="1470"/>
      <c r="X2" s="1470"/>
      <c r="Y2" s="1470"/>
      <c r="AB2" s="286"/>
      <c r="AC2" s="12"/>
      <c r="AD2" s="12"/>
      <c r="AE2" s="12"/>
      <c r="AF2" s="12"/>
      <c r="AG2" s="1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2"/>
    </row>
    <row r="3" spans="1:66" s="14" customFormat="1" ht="17.25" customHeight="1">
      <c r="C3" s="1469"/>
      <c r="D3" s="1469"/>
      <c r="E3" s="1469"/>
      <c r="F3" s="1469"/>
      <c r="G3" s="670" t="s">
        <v>137</v>
      </c>
      <c r="H3" s="670"/>
      <c r="I3" s="670"/>
      <c r="J3" s="671" t="s">
        <v>136</v>
      </c>
      <c r="K3" s="671"/>
      <c r="L3" s="671"/>
      <c r="N3" s="1471" t="s">
        <v>226</v>
      </c>
      <c r="O3" s="1471"/>
      <c r="P3" s="1471"/>
      <c r="Q3" s="1472" t="s">
        <v>192</v>
      </c>
      <c r="R3" s="1472"/>
      <c r="S3" s="1472"/>
      <c r="U3" s="922" t="s">
        <v>830</v>
      </c>
      <c r="V3" s="922"/>
      <c r="W3" s="922"/>
      <c r="X3" s="922"/>
      <c r="Y3" s="922"/>
      <c r="Z3" s="922"/>
      <c r="AA3" s="922"/>
      <c r="AB3" s="922"/>
      <c r="AC3" s="922"/>
      <c r="AD3" s="12"/>
      <c r="AE3" s="12"/>
      <c r="AF3" s="12"/>
      <c r="AG3" s="12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2"/>
    </row>
    <row r="4" spans="1:66" s="14" customFormat="1" ht="27" customHeight="1">
      <c r="C4" s="1469"/>
      <c r="D4" s="1469"/>
      <c r="E4" s="1469"/>
      <c r="F4" s="1469"/>
      <c r="G4" s="629"/>
      <c r="H4" s="629"/>
      <c r="I4" s="629"/>
      <c r="J4" s="672"/>
      <c r="K4" s="672"/>
      <c r="L4" s="672"/>
      <c r="N4" s="1471"/>
      <c r="O4" s="1471"/>
      <c r="P4" s="1471"/>
      <c r="Q4" s="1472"/>
      <c r="R4" s="1472"/>
      <c r="S4" s="1472"/>
      <c r="U4" s="922"/>
      <c r="V4" s="922"/>
      <c r="W4" s="922"/>
      <c r="X4" s="922"/>
      <c r="Y4" s="922"/>
      <c r="Z4" s="922"/>
      <c r="AA4" s="922"/>
      <c r="AB4" s="922"/>
      <c r="AC4" s="922"/>
      <c r="AD4" s="12"/>
      <c r="AE4" s="12"/>
      <c r="AF4" s="12"/>
      <c r="AG4" s="12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2"/>
    </row>
    <row r="5" spans="1:66" s="14" customFormat="1" ht="17.25" customHeight="1" thickBot="1">
      <c r="C5" s="57"/>
      <c r="D5" s="57"/>
      <c r="E5" s="57"/>
      <c r="F5" s="57"/>
      <c r="G5" s="57"/>
      <c r="AB5" s="286"/>
      <c r="AC5" s="12"/>
      <c r="AD5" s="12"/>
      <c r="AE5" s="12"/>
      <c r="AF5" s="12"/>
      <c r="AG5" s="12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2"/>
    </row>
    <row r="6" spans="1:66" s="14" customFormat="1" ht="17.25" customHeight="1" thickBot="1">
      <c r="B6" s="220" t="s">
        <v>258</v>
      </c>
      <c r="C6" s="221"/>
      <c r="D6" s="221"/>
      <c r="E6" s="221"/>
      <c r="F6" s="221"/>
      <c r="G6" s="221"/>
      <c r="H6" s="221"/>
      <c r="I6" s="221"/>
      <c r="J6" s="221"/>
      <c r="K6" s="221"/>
      <c r="L6" s="92" t="str">
        <f>dateDecimale2txt(dateConvert2Decimal(F7),0)</f>
        <v>2025/06/30</v>
      </c>
      <c r="M6" s="272"/>
      <c r="N6" s="24" t="s">
        <v>315</v>
      </c>
      <c r="O6" s="24"/>
      <c r="P6" s="24"/>
      <c r="Q6" s="24"/>
      <c r="R6" s="24"/>
      <c r="S6" s="24" t="s">
        <v>316</v>
      </c>
      <c r="T6" s="1474">
        <f>dateConvert2Decimal(F7)</f>
        <v>1751241600</v>
      </c>
      <c r="U6" s="1474"/>
      <c r="V6" s="1474"/>
      <c r="W6" s="24" t="s">
        <v>317</v>
      </c>
      <c r="X6" s="1475">
        <f>(T6/86400)+DATE(1970,1,1)</f>
        <v>45838</v>
      </c>
      <c r="Y6" s="1475"/>
      <c r="Z6" s="24" t="s">
        <v>318</v>
      </c>
      <c r="AA6" s="219">
        <f>INT(MONTH(X6))</f>
        <v>6</v>
      </c>
      <c r="AB6" s="287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2"/>
    </row>
    <row r="7" spans="1:66" s="14" customFormat="1" ht="17.25" customHeight="1" thickBot="1">
      <c r="C7" s="1053" t="s">
        <v>1</v>
      </c>
      <c r="D7" s="1054"/>
      <c r="E7" s="1054"/>
      <c r="F7" s="650" t="s">
        <v>227</v>
      </c>
      <c r="G7" s="651"/>
      <c r="H7" s="651"/>
      <c r="L7"/>
      <c r="M7"/>
      <c r="N7"/>
      <c r="O7"/>
      <c r="AB7" s="288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2"/>
    </row>
    <row r="8" spans="1:66" s="14" customFormat="1" ht="12" customHeight="1" thickTop="1" thickBot="1">
      <c r="C8" s="1033" t="s">
        <v>250</v>
      </c>
      <c r="D8" s="1034"/>
      <c r="E8" s="1035"/>
      <c r="F8" s="729">
        <f>heureConvert2Decimal(I8)</f>
        <v>10.343055555555557</v>
      </c>
      <c r="G8" s="730"/>
      <c r="H8" s="730"/>
      <c r="I8" s="604" t="s">
        <v>496</v>
      </c>
      <c r="J8" s="575"/>
      <c r="K8" s="575"/>
      <c r="L8" s="575"/>
      <c r="M8" s="575"/>
      <c r="N8" s="575"/>
      <c r="O8" s="591" t="str">
        <f>heureDecimal2Txt(F8)</f>
        <v>10:20:35.00(10.3430)</v>
      </c>
      <c r="P8" s="591"/>
      <c r="Q8" s="591"/>
      <c r="R8" s="591"/>
      <c r="S8" s="591"/>
      <c r="T8" s="591"/>
      <c r="U8" s="591"/>
      <c r="V8" s="591"/>
      <c r="W8" s="591"/>
      <c r="X8" s="591"/>
      <c r="Y8" s="12"/>
      <c r="Z8" s="12"/>
      <c r="AB8" s="286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2"/>
    </row>
    <row r="9" spans="1:66" s="14" customFormat="1" ht="12" customHeight="1" thickTop="1" thickBot="1">
      <c r="C9" s="1036"/>
      <c r="D9" s="1037"/>
      <c r="E9" s="1038"/>
      <c r="F9" s="730"/>
      <c r="G9" s="730"/>
      <c r="H9" s="730"/>
      <c r="I9" s="575"/>
      <c r="J9" s="575"/>
      <c r="K9" s="575"/>
      <c r="L9" s="575"/>
      <c r="M9" s="575"/>
      <c r="N9" s="575"/>
      <c r="O9" s="591"/>
      <c r="P9" s="591"/>
      <c r="Q9" s="591"/>
      <c r="R9" s="591"/>
      <c r="S9" s="591"/>
      <c r="T9" s="591"/>
      <c r="U9" s="591"/>
      <c r="V9" s="591"/>
      <c r="W9" s="591"/>
      <c r="X9" s="591"/>
      <c r="Y9" s="12"/>
      <c r="Z9" s="12"/>
      <c r="AB9" s="286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2"/>
    </row>
    <row r="10" spans="1:66" s="14" customFormat="1" ht="12" customHeight="1" thickTop="1" thickBot="1">
      <c r="A10"/>
      <c r="B10"/>
      <c r="C10" s="1043" t="s">
        <v>7</v>
      </c>
      <c r="D10" s="927"/>
      <c r="E10" s="1044"/>
      <c r="F10" s="729">
        <f>AD11</f>
        <v>46.1</v>
      </c>
      <c r="G10" s="730"/>
      <c r="H10" s="730"/>
      <c r="I10" s="575" t="s">
        <v>3</v>
      </c>
      <c r="J10" s="604" t="s">
        <v>268</v>
      </c>
      <c r="K10" s="575"/>
      <c r="L10" s="575"/>
      <c r="M10" s="575"/>
      <c r="N10" s="575"/>
      <c r="O10" s="591" t="str" cm="1">
        <f t="array" ref="O10">latitudeDecimal2Txt(F10)</f>
        <v>N 46°06.00 (N 46.1000) [N 46°06'00.00]</v>
      </c>
      <c r="P10" s="591"/>
      <c r="Q10" s="591"/>
      <c r="R10" s="591"/>
      <c r="S10" s="591"/>
      <c r="T10" s="591"/>
      <c r="U10" s="591"/>
      <c r="V10" s="591"/>
      <c r="W10" s="591"/>
      <c r="X10" s="591"/>
      <c r="AB10" s="288"/>
      <c r="AC10" s="114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9"/>
    </row>
    <row r="11" spans="1:66" s="14" customFormat="1" ht="12" customHeight="1" thickTop="1" thickBot="1">
      <c r="C11" s="1045"/>
      <c r="D11" s="1046"/>
      <c r="E11" s="1047"/>
      <c r="F11" s="730"/>
      <c r="G11" s="730"/>
      <c r="H11" s="730"/>
      <c r="I11" s="575"/>
      <c r="J11" s="575"/>
      <c r="K11" s="575"/>
      <c r="L11" s="575"/>
      <c r="M11" s="575"/>
      <c r="N11" s="575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AB11" s="288"/>
      <c r="AC11" s="114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9"/>
    </row>
    <row r="12" spans="1:66" s="14" customFormat="1" ht="12" customHeight="1" thickTop="1" thickBot="1">
      <c r="C12" s="1033" t="s">
        <v>8</v>
      </c>
      <c r="D12" s="1034"/>
      <c r="E12" s="1035"/>
      <c r="F12" s="729">
        <f>AD13</f>
        <v>-5</v>
      </c>
      <c r="G12" s="730"/>
      <c r="H12" s="730"/>
      <c r="I12" s="575" t="s">
        <v>6</v>
      </c>
      <c r="J12" s="604">
        <v>5</v>
      </c>
      <c r="K12" s="575"/>
      <c r="L12" s="575"/>
      <c r="M12" s="575"/>
      <c r="N12" s="575"/>
      <c r="O12" s="591" t="str" cm="1">
        <f t="array" ref="O12">longitudeDecimal2Txt(F12)</f>
        <v>W 05°00.00 (W 05.0000) [W 05°00'00.00]</v>
      </c>
      <c r="P12" s="591"/>
      <c r="Q12" s="591"/>
      <c r="R12" s="591"/>
      <c r="S12" s="591"/>
      <c r="T12" s="591"/>
      <c r="U12" s="591"/>
      <c r="V12" s="591"/>
      <c r="W12" s="591"/>
      <c r="X12" s="591"/>
      <c r="AB12" s="286"/>
      <c r="AC12" s="114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9"/>
    </row>
    <row r="13" spans="1:66" s="14" customFormat="1" ht="12" customHeight="1" thickTop="1" thickBot="1">
      <c r="A13"/>
      <c r="B13"/>
      <c r="C13" s="1036"/>
      <c r="D13" s="1037"/>
      <c r="E13" s="1038"/>
      <c r="F13" s="730"/>
      <c r="G13" s="730"/>
      <c r="H13" s="730"/>
      <c r="I13" s="575"/>
      <c r="J13" s="575"/>
      <c r="K13" s="575"/>
      <c r="L13" s="575"/>
      <c r="M13" s="575"/>
      <c r="N13" s="575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AB13" s="286"/>
      <c r="AC13" s="114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9"/>
    </row>
    <row r="14" spans="1:66" s="14" customFormat="1" ht="12" customHeight="1" thickTop="1" thickBot="1">
      <c r="C14" s="12"/>
      <c r="D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AB14" s="286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9"/>
    </row>
    <row r="15" spans="1:66" s="14" customFormat="1" ht="17.25" customHeight="1" thickBot="1">
      <c r="B15" s="23" t="s">
        <v>259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83"/>
      <c r="AB15" s="287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ht="12.75" customHeight="1" thickBot="1">
      <c r="C16" s="1039" t="s">
        <v>579</v>
      </c>
      <c r="D16" s="1040"/>
      <c r="E16" s="1040"/>
      <c r="F16" s="1041" cm="1">
        <f t="array" ref="F16">angleConvert2Decimal(I16)</f>
        <v>21</v>
      </c>
      <c r="G16" s="1042"/>
      <c r="H16" s="1042"/>
      <c r="I16" s="604">
        <v>21</v>
      </c>
      <c r="J16" s="575"/>
      <c r="K16" s="575"/>
      <c r="L16" s="575"/>
      <c r="M16" s="575"/>
      <c r="N16" s="575"/>
      <c r="O16" s="1002" t="str" cm="1">
        <f t="array" ref="O16">angleDecimal2Txt(F16)</f>
        <v>+21°00.00 (+21.0000) [+21°00'00.00]</v>
      </c>
      <c r="P16" s="1002"/>
      <c r="Q16" s="1002"/>
      <c r="R16" s="1002"/>
      <c r="S16" s="1002"/>
      <c r="T16" s="1002"/>
      <c r="U16" s="1002"/>
      <c r="V16" s="1002"/>
      <c r="W16" s="1002"/>
      <c r="X16" s="1002"/>
      <c r="AB16" s="289"/>
      <c r="AC16"/>
      <c r="AD16"/>
      <c r="AE16"/>
      <c r="AF16"/>
      <c r="AG16"/>
    </row>
    <row r="17" spans="2:33" ht="12.75" customHeight="1" thickTop="1" thickBot="1">
      <c r="C17" s="634"/>
      <c r="D17" s="634"/>
      <c r="E17" s="634"/>
      <c r="F17" s="1003"/>
      <c r="G17" s="1003"/>
      <c r="H17" s="1003"/>
      <c r="I17" s="575"/>
      <c r="J17" s="575"/>
      <c r="K17" s="575"/>
      <c r="L17" s="575"/>
      <c r="M17" s="575"/>
      <c r="N17" s="575"/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AB17" s="289"/>
      <c r="AC17"/>
      <c r="AD17"/>
      <c r="AE17"/>
      <c r="AF17"/>
      <c r="AG17"/>
    </row>
    <row r="18" spans="2:33" ht="12.75" customHeight="1" thickTop="1" thickBot="1">
      <c r="C18" s="929" t="s">
        <v>580</v>
      </c>
      <c r="D18" s="634"/>
      <c r="E18" s="634"/>
      <c r="F18" s="596">
        <f>I18</f>
        <v>5</v>
      </c>
      <c r="G18" s="1003"/>
      <c r="H18" s="1003"/>
      <c r="I18" s="604">
        <v>5</v>
      </c>
      <c r="J18" s="575"/>
      <c r="K18" s="575"/>
      <c r="L18" s="575"/>
      <c r="M18" s="575"/>
      <c r="N18" s="575"/>
      <c r="O18" s="590"/>
      <c r="P18" s="590"/>
      <c r="Q18" s="590"/>
      <c r="R18" s="590"/>
      <c r="S18" s="590"/>
      <c r="T18" s="590"/>
      <c r="U18" s="590"/>
      <c r="V18" s="590"/>
      <c r="W18" s="590"/>
      <c r="X18" s="590"/>
      <c r="AB18" s="289"/>
      <c r="AC18"/>
      <c r="AD18"/>
      <c r="AE18"/>
      <c r="AF18"/>
      <c r="AG18"/>
    </row>
    <row r="19" spans="2:33" ht="12.75" customHeight="1" thickTop="1" thickBot="1">
      <c r="C19" s="634"/>
      <c r="D19" s="634"/>
      <c r="E19" s="634"/>
      <c r="F19" s="1003"/>
      <c r="G19" s="1003"/>
      <c r="H19" s="1003"/>
      <c r="I19" s="575"/>
      <c r="J19" s="575"/>
      <c r="K19" s="575"/>
      <c r="L19" s="575"/>
      <c r="M19" s="575"/>
      <c r="N19" s="575"/>
      <c r="O19" s="590"/>
      <c r="P19" s="590"/>
      <c r="Q19" s="590"/>
      <c r="R19" s="590"/>
      <c r="S19" s="590"/>
      <c r="T19" s="590"/>
      <c r="U19" s="590"/>
      <c r="V19" s="590"/>
      <c r="W19" s="590"/>
      <c r="X19" s="590"/>
      <c r="AB19" s="289"/>
      <c r="AC19"/>
      <c r="AD19"/>
      <c r="AE19"/>
      <c r="AF19"/>
      <c r="AG19"/>
    </row>
    <row r="20" spans="2:33" ht="12.75" customHeight="1" thickTop="1" thickBot="1">
      <c r="C20" s="1049" t="s">
        <v>581</v>
      </c>
      <c r="D20" s="1050"/>
      <c r="E20" s="1050"/>
      <c r="F20" s="1051">
        <f>heureConvert2Decimal(I20)</f>
        <v>12.062777777777779</v>
      </c>
      <c r="G20" s="730"/>
      <c r="H20" s="730"/>
      <c r="I20" s="604" t="s">
        <v>501</v>
      </c>
      <c r="J20" s="575"/>
      <c r="K20" s="575"/>
      <c r="L20" s="575"/>
      <c r="M20" s="575"/>
      <c r="N20" s="575"/>
      <c r="O20" s="591" t="str">
        <f>heureDecimal2Txt(F20)</f>
        <v>12:03:46.00(12.0627)</v>
      </c>
      <c r="P20" s="591"/>
      <c r="Q20" s="591"/>
      <c r="R20" s="591"/>
      <c r="S20" s="591"/>
      <c r="T20" s="591"/>
      <c r="U20" s="591"/>
      <c r="V20" s="591"/>
      <c r="W20" s="591"/>
      <c r="X20" s="591"/>
      <c r="AB20" s="289"/>
      <c r="AC20"/>
      <c r="AD20"/>
      <c r="AE20"/>
      <c r="AF20"/>
      <c r="AG20"/>
    </row>
    <row r="21" spans="2:33" ht="12.75" customHeight="1" thickTop="1" thickBot="1">
      <c r="C21" s="1050"/>
      <c r="D21" s="1050"/>
      <c r="E21" s="1050"/>
      <c r="F21" s="1052"/>
      <c r="G21" s="730"/>
      <c r="H21" s="730"/>
      <c r="I21" s="575"/>
      <c r="J21" s="575"/>
      <c r="K21" s="575"/>
      <c r="L21" s="575"/>
      <c r="M21" s="575"/>
      <c r="N21" s="575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AB21" s="289"/>
      <c r="AC21"/>
      <c r="AD21"/>
      <c r="AE21"/>
      <c r="AF21"/>
      <c r="AG21"/>
    </row>
    <row r="22" spans="2:33" ht="12.75" customHeight="1" thickTop="1">
      <c r="AB22" s="289"/>
      <c r="AC22"/>
      <c r="AD22"/>
      <c r="AE22"/>
      <c r="AF22"/>
      <c r="AG22"/>
    </row>
    <row r="23" spans="2:33" ht="12.75" customHeight="1">
      <c r="C23" s="1007" t="s">
        <v>420</v>
      </c>
      <c r="D23" s="1008"/>
      <c r="E23" s="1008"/>
      <c r="F23" s="1008"/>
      <c r="G23" s="1008"/>
      <c r="H23" s="1008"/>
      <c r="I23" s="1008"/>
      <c r="J23" s="1008"/>
      <c r="K23" s="1009"/>
      <c r="AB23" s="289"/>
      <c r="AC23"/>
      <c r="AD23"/>
      <c r="AE23"/>
      <c r="AF23"/>
      <c r="AG23"/>
    </row>
    <row r="24" spans="2:33" ht="12.75" customHeight="1" thickBot="1">
      <c r="C24" s="1010"/>
      <c r="D24" s="1011"/>
      <c r="E24" s="1011"/>
      <c r="F24" s="1011"/>
      <c r="G24" s="1011"/>
      <c r="H24" s="1011"/>
      <c r="I24" s="1011"/>
      <c r="J24" s="1011"/>
      <c r="K24" s="1012"/>
      <c r="AB24" s="289"/>
      <c r="AC24"/>
      <c r="AD24"/>
      <c r="AE24"/>
      <c r="AF24"/>
      <c r="AG24"/>
    </row>
    <row r="25" spans="2:33" ht="12.75" customHeight="1" thickTop="1" thickBot="1">
      <c r="C25" s="123"/>
      <c r="D25" s="123"/>
      <c r="E25" s="123"/>
      <c r="F25" s="1518">
        <f>IF(C26=AC26,F10,(F10+F27)/2)</f>
        <v>46.138899184437385</v>
      </c>
      <c r="G25" s="1014"/>
      <c r="H25" s="1014"/>
      <c r="I25" s="1017" t="str" cm="1">
        <f t="array" ref="I25">latitudeDecimal2Txt(F25)</f>
        <v>N 46°08.33 (N 46.1388) [N 46°08'20.03]</v>
      </c>
      <c r="J25" s="1017"/>
      <c r="K25" s="1017"/>
      <c r="L25" s="1017"/>
      <c r="M25" s="1017"/>
      <c r="N25" s="1017"/>
      <c r="O25" s="1017"/>
      <c r="P25" s="1017"/>
      <c r="Q25" s="1017"/>
      <c r="R25" s="1017"/>
      <c r="AB25" s="289"/>
      <c r="AC25"/>
      <c r="AD25"/>
      <c r="AE25"/>
      <c r="AF25"/>
      <c r="AG25"/>
    </row>
    <row r="26" spans="2:33" ht="12.75" customHeight="1" thickTop="1" thickBot="1">
      <c r="C26" s="604" t="s">
        <v>559</v>
      </c>
      <c r="D26" s="604"/>
      <c r="E26" s="604"/>
      <c r="F26" s="1015"/>
      <c r="G26" s="1016"/>
      <c r="H26" s="1016"/>
      <c r="I26" s="1017"/>
      <c r="J26" s="1017"/>
      <c r="K26" s="1017"/>
      <c r="L26" s="1017"/>
      <c r="M26" s="1017"/>
      <c r="N26" s="1017"/>
      <c r="O26" s="1017"/>
      <c r="P26" s="1017"/>
      <c r="Q26" s="1017"/>
      <c r="R26" s="1017"/>
      <c r="AB26" s="289"/>
      <c r="AC26" s="266" t="s">
        <v>548</v>
      </c>
      <c r="AD26"/>
      <c r="AE26"/>
      <c r="AF26"/>
      <c r="AG26"/>
    </row>
    <row r="27" spans="2:33" ht="12.75" customHeight="1" thickTop="1">
      <c r="C27" s="604"/>
      <c r="D27" s="604"/>
      <c r="E27" s="604"/>
      <c r="F27" s="1519">
        <f>F10+SIN((90-F16)*Outils!$F$4)*F18/60</f>
        <v>46.177798368874768</v>
      </c>
      <c r="G27" s="951"/>
      <c r="H27" s="951"/>
      <c r="T27" s="11"/>
      <c r="AB27" s="289"/>
      <c r="AC27" s="266" t="s">
        <v>558</v>
      </c>
      <c r="AD27"/>
      <c r="AE27"/>
      <c r="AF27"/>
      <c r="AG27"/>
    </row>
    <row r="28" spans="2:33" s="123" customFormat="1" ht="12.75" customHeight="1">
      <c r="F28" s="951"/>
      <c r="G28" s="951"/>
      <c r="H28" s="951"/>
      <c r="I28"/>
      <c r="J28"/>
      <c r="K28"/>
      <c r="L28"/>
      <c r="M28"/>
      <c r="N28"/>
      <c r="T28" s="280"/>
      <c r="U28" s="280"/>
      <c r="AB28" s="290"/>
      <c r="AD28"/>
      <c r="AE28" s="12"/>
      <c r="AF28" s="12"/>
      <c r="AG28" s="12"/>
    </row>
    <row r="29" spans="2:33" s="123" customFormat="1" ht="12.75" customHeight="1" thickBot="1">
      <c r="I29"/>
      <c r="J29"/>
      <c r="K29"/>
      <c r="L29"/>
      <c r="M29"/>
      <c r="N29"/>
      <c r="AB29" s="290"/>
      <c r="AD29"/>
      <c r="AE29" s="12"/>
      <c r="AF29" s="12"/>
      <c r="AG29" s="12"/>
    </row>
    <row r="30" spans="2:33" ht="15.75" thickBot="1">
      <c r="B30" s="1520" t="s">
        <v>582</v>
      </c>
      <c r="C30" s="1521"/>
      <c r="D30" s="1521"/>
      <c r="E30" s="1521"/>
      <c r="F30" s="1521"/>
      <c r="G30" s="1521"/>
      <c r="H30" s="1521"/>
      <c r="I30" s="1521"/>
      <c r="J30" s="1521"/>
      <c r="K30" s="1521"/>
      <c r="L30" s="1521"/>
      <c r="M30" s="1521"/>
      <c r="N30" s="1521"/>
      <c r="O30" s="1521"/>
      <c r="P30" s="1521"/>
      <c r="Q30" s="1521"/>
      <c r="R30" s="1521"/>
      <c r="S30" s="1521"/>
      <c r="T30" s="1521"/>
      <c r="U30" s="1521"/>
      <c r="V30" s="1521"/>
      <c r="W30" s="1521"/>
      <c r="X30" s="1521"/>
      <c r="Y30" s="1521"/>
      <c r="Z30" s="1521"/>
      <c r="AA30" s="1521"/>
      <c r="AB30" s="287"/>
      <c r="AC30"/>
      <c r="AD30"/>
      <c r="AE30"/>
      <c r="AF30"/>
      <c r="AG30"/>
    </row>
    <row r="31" spans="2:33">
      <c r="AB31" s="289"/>
      <c r="AC31"/>
      <c r="AD31"/>
      <c r="AE31"/>
      <c r="AF31"/>
      <c r="AG31"/>
    </row>
    <row r="32" spans="2:33">
      <c r="C32" s="976" t="s">
        <v>260</v>
      </c>
      <c r="D32" s="977"/>
      <c r="E32" s="977"/>
      <c r="F32" s="977"/>
      <c r="G32" s="977"/>
      <c r="H32" s="977"/>
      <c r="I32" s="977"/>
      <c r="J32" s="977"/>
      <c r="K32" s="977"/>
      <c r="L32" s="977"/>
      <c r="M32" s="977"/>
      <c r="N32" s="977"/>
      <c r="O32" s="977"/>
      <c r="P32" s="977"/>
      <c r="Q32" s="977"/>
      <c r="R32" s="1006"/>
      <c r="AB32" s="289"/>
      <c r="AC32"/>
      <c r="AD32"/>
      <c r="AE32"/>
      <c r="AF32"/>
      <c r="AG32"/>
    </row>
    <row r="33" spans="3:28" customFormat="1">
      <c r="C33" s="980" t="s">
        <v>106</v>
      </c>
      <c r="D33" s="980"/>
      <c r="E33" s="980">
        <f>F16</f>
        <v>21</v>
      </c>
      <c r="F33" s="980"/>
      <c r="G33" s="980"/>
      <c r="I33" s="1522" t="s">
        <v>261</v>
      </c>
      <c r="J33" s="1522"/>
      <c r="K33" s="1524" t="b">
        <f>IF(E33&lt;180,TRUE,FALSE)</f>
        <v>1</v>
      </c>
      <c r="L33" s="1524"/>
      <c r="N33" s="1526" t="s">
        <v>246</v>
      </c>
      <c r="O33" s="1526"/>
      <c r="P33" s="964">
        <f>E34*ABS(SIN(Outils!$F$4*E33))*(IF(K33,1,-1))</f>
        <v>1.7918397477265013</v>
      </c>
      <c r="Q33" s="965"/>
      <c r="R33" s="1530" t="s">
        <v>245</v>
      </c>
      <c r="AB33" s="289"/>
    </row>
    <row r="34" spans="3:28" customFormat="1">
      <c r="C34" s="688" t="s">
        <v>105</v>
      </c>
      <c r="D34" s="688"/>
      <c r="E34" s="688">
        <f>F18</f>
        <v>5</v>
      </c>
      <c r="F34" s="688"/>
      <c r="G34" s="688"/>
      <c r="I34" s="1523"/>
      <c r="J34" s="1523"/>
      <c r="K34" s="1525"/>
      <c r="L34" s="1525"/>
      <c r="N34" s="1527"/>
      <c r="O34" s="1527"/>
      <c r="P34" s="1528"/>
      <c r="Q34" s="1529"/>
      <c r="R34" s="1531"/>
      <c r="AB34" s="289"/>
    </row>
    <row r="35" spans="3:28" customFormat="1">
      <c r="AB35" s="289"/>
    </row>
    <row r="36" spans="3:28" customFormat="1">
      <c r="AB36" s="289"/>
    </row>
    <row r="37" spans="3:28" customFormat="1">
      <c r="C37" s="976" t="s">
        <v>248</v>
      </c>
      <c r="D37" s="977"/>
      <c r="E37" s="977"/>
      <c r="F37" s="977"/>
      <c r="G37" s="977"/>
      <c r="H37" s="977"/>
      <c r="I37" s="977"/>
      <c r="J37" s="977"/>
      <c r="K37" s="978"/>
      <c r="L37" s="978"/>
      <c r="M37" s="978"/>
      <c r="N37" s="978"/>
      <c r="O37" s="979"/>
      <c r="AB37" s="289"/>
    </row>
    <row r="38" spans="3:28" customFormat="1">
      <c r="C38" s="980" t="s">
        <v>238</v>
      </c>
      <c r="D38" s="980"/>
      <c r="E38" s="980">
        <f>F25</f>
        <v>46.138899184437385</v>
      </c>
      <c r="F38" s="980"/>
      <c r="G38" s="980"/>
      <c r="I38" s="1473" t="s">
        <v>247</v>
      </c>
      <c r="J38" s="1473"/>
      <c r="K38" s="982" t="s">
        <v>74</v>
      </c>
      <c r="L38" s="983">
        <f>$P$33/(60 * COS($E$38*Outils!$F$4))</f>
        <v>4.3099232541779581E-2</v>
      </c>
      <c r="M38" s="983"/>
      <c r="N38" s="983"/>
      <c r="O38" s="984" t="s">
        <v>249</v>
      </c>
      <c r="P38" s="1527" t="str">
        <f>IF(K33,"Vers l'Est","Vers l'Ouest")</f>
        <v>Vers l'Est</v>
      </c>
      <c r="Q38" s="1527"/>
      <c r="R38" s="1527"/>
      <c r="U38" s="1546" t="s">
        <v>263</v>
      </c>
      <c r="V38" s="1547"/>
      <c r="W38" s="1548"/>
      <c r="X38" s="992">
        <f>IF(K33,-1*ABS(L38),ABS(L38))</f>
        <v>-4.3099232541779581E-2</v>
      </c>
      <c r="Y38" s="993"/>
      <c r="Z38" s="993"/>
      <c r="AA38" s="954" t="s">
        <v>249</v>
      </c>
      <c r="AB38" s="289"/>
    </row>
    <row r="39" spans="3:28" customFormat="1">
      <c r="C39" s="688" t="str">
        <f>N33</f>
        <v>VLong.</v>
      </c>
      <c r="D39" s="688"/>
      <c r="E39" s="688">
        <f>P33</f>
        <v>1.7918397477265013</v>
      </c>
      <c r="F39" s="688"/>
      <c r="G39" s="688"/>
      <c r="I39" s="1473"/>
      <c r="J39" s="1473"/>
      <c r="K39" s="982"/>
      <c r="L39" s="983"/>
      <c r="M39" s="983"/>
      <c r="N39" s="983"/>
      <c r="O39" s="984"/>
      <c r="P39" s="1527"/>
      <c r="Q39" s="1527"/>
      <c r="R39" s="1527"/>
      <c r="U39" s="1549"/>
      <c r="V39" s="1550"/>
      <c r="W39" s="1551"/>
      <c r="X39" s="994"/>
      <c r="Y39" s="995"/>
      <c r="Z39" s="995"/>
      <c r="AA39" s="955"/>
      <c r="AB39" s="289"/>
    </row>
    <row r="40" spans="3:28" customFormat="1">
      <c r="AB40" s="289"/>
    </row>
    <row r="41" spans="3:28" customFormat="1">
      <c r="AB41" s="289"/>
    </row>
    <row r="42" spans="3:28" customFormat="1" ht="18.75" customHeight="1">
      <c r="C42" s="1020" t="s">
        <v>562</v>
      </c>
      <c r="D42" s="1021"/>
      <c r="E42" s="1021"/>
      <c r="F42" s="1021"/>
      <c r="G42" s="1021"/>
      <c r="H42" s="1021"/>
      <c r="I42" s="1021"/>
      <c r="J42" s="1021"/>
      <c r="K42" s="1021"/>
      <c r="L42" s="1021"/>
      <c r="M42" s="1021"/>
      <c r="N42" s="1021"/>
      <c r="O42" s="1022"/>
      <c r="AB42" s="289"/>
    </row>
    <row r="43" spans="3:28" customFormat="1" ht="15" customHeight="1">
      <c r="C43" s="980" t="s">
        <v>171</v>
      </c>
      <c r="D43" s="980"/>
      <c r="E43" s="980">
        <f>F12</f>
        <v>-5</v>
      </c>
      <c r="F43" s="980"/>
      <c r="G43" s="980"/>
      <c r="I43" s="1532" t="s">
        <v>251</v>
      </c>
      <c r="J43" s="1533"/>
      <c r="K43" s="973">
        <f>longitude2LongitudeHoraire(E43)</f>
        <v>5</v>
      </c>
      <c r="L43" s="973"/>
      <c r="M43" s="973"/>
      <c r="N43" s="973"/>
      <c r="O43" s="112" t="s">
        <v>28</v>
      </c>
      <c r="P43" s="1534" t="str">
        <f>longitudeDecimal2Txt(E43)</f>
        <v>W 05°00.00 (W 05.0000) [W 05°00'00.00]</v>
      </c>
      <c r="Q43" s="1535"/>
      <c r="R43" s="1535"/>
      <c r="S43" s="1535"/>
      <c r="T43" s="1535"/>
      <c r="U43" s="1535"/>
      <c r="AB43" s="289"/>
    </row>
    <row r="44" spans="3:28" customFormat="1">
      <c r="AB44" s="289"/>
    </row>
    <row r="45" spans="3:28" customFormat="1">
      <c r="AB45" s="289"/>
    </row>
    <row r="46" spans="3:28" customFormat="1">
      <c r="C46" s="948" t="s">
        <v>252</v>
      </c>
      <c r="D46" s="948"/>
      <c r="E46" s="948"/>
      <c r="F46" s="948"/>
      <c r="G46" s="948"/>
      <c r="H46" s="948"/>
      <c r="I46" s="948"/>
      <c r="J46" s="948"/>
      <c r="K46" s="948"/>
      <c r="L46" s="948"/>
      <c r="M46" s="948"/>
      <c r="N46" s="948"/>
      <c r="O46" s="948"/>
      <c r="AB46" s="289"/>
    </row>
    <row r="47" spans="3:28" customFormat="1" ht="15" customHeight="1" thickBot="1">
      <c r="C47" s="949" t="s">
        <v>262</v>
      </c>
      <c r="D47" s="949"/>
      <c r="E47" s="949"/>
      <c r="F47" s="949"/>
      <c r="G47" s="949"/>
      <c r="H47" s="949"/>
      <c r="I47" s="949"/>
      <c r="J47" s="949"/>
      <c r="K47" s="949"/>
      <c r="L47" s="949"/>
      <c r="M47" s="949"/>
      <c r="N47" s="949"/>
      <c r="O47" s="949"/>
      <c r="P47" s="222" t="s">
        <v>265</v>
      </c>
      <c r="Q47" s="950" t="s">
        <v>264</v>
      </c>
      <c r="R47" s="950"/>
      <c r="S47" s="950"/>
      <c r="T47" s="950"/>
      <c r="U47" s="950"/>
      <c r="V47" s="444">
        <v>15.002000000000001</v>
      </c>
      <c r="W47" s="113" t="s">
        <v>249</v>
      </c>
      <c r="AB47" s="289"/>
    </row>
    <row r="48" spans="3:28" customFormat="1" ht="15.75" thickTop="1">
      <c r="C48" s="949"/>
      <c r="D48" s="949"/>
      <c r="E48" s="949"/>
      <c r="F48" s="949"/>
      <c r="G48" s="949"/>
      <c r="H48" s="949"/>
      <c r="I48" s="949"/>
      <c r="J48" s="949"/>
      <c r="K48" s="949"/>
      <c r="L48" s="949"/>
      <c r="M48" s="949"/>
      <c r="N48" s="949"/>
      <c r="O48" s="949"/>
      <c r="AB48" s="289"/>
    </row>
    <row r="49" spans="3:33">
      <c r="C49" s="949"/>
      <c r="D49" s="949"/>
      <c r="E49" s="949"/>
      <c r="F49" s="949"/>
      <c r="G49" s="949"/>
      <c r="H49" s="949"/>
      <c r="I49" s="949"/>
      <c r="J49" s="949"/>
      <c r="K49" s="949"/>
      <c r="L49" s="949"/>
      <c r="M49" s="949"/>
      <c r="N49" s="949"/>
      <c r="O49" s="949"/>
      <c r="AB49" s="289"/>
      <c r="AC49"/>
      <c r="AD49"/>
      <c r="AE49"/>
      <c r="AF49"/>
      <c r="AG49"/>
    </row>
    <row r="50" spans="3:33">
      <c r="AB50" s="289"/>
      <c r="AC50"/>
      <c r="AD50"/>
      <c r="AE50"/>
      <c r="AF50"/>
      <c r="AG50"/>
    </row>
    <row r="51" spans="3:33">
      <c r="AB51" s="289"/>
      <c r="AC51"/>
      <c r="AD51"/>
      <c r="AE51"/>
      <c r="AF51"/>
      <c r="AG51"/>
    </row>
    <row r="52" spans="3:33">
      <c r="AB52" s="289"/>
      <c r="AC52" s="3" t="s">
        <v>592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951" t="str">
        <f>CONCATENATE("T = Temps pour que le soleil passe a la meridienne locale: ",P43)</f>
        <v>T = Temps pour que le soleil passe a la meridienne locale: W 05°00.00 (W 05.0000) [W 05°00'00.00]</v>
      </c>
      <c r="I53" s="951"/>
      <c r="J53" s="951"/>
      <c r="K53" s="951"/>
      <c r="L53" s="951"/>
      <c r="M53" s="951"/>
      <c r="N53" s="951"/>
      <c r="O53" s="951"/>
      <c r="P53" s="951"/>
      <c r="Q53" s="951"/>
      <c r="R53" s="951"/>
      <c r="S53" s="951"/>
      <c r="T53" s="951"/>
      <c r="U53" s="951"/>
      <c r="V53" s="952">
        <f>AD58</f>
        <v>2.0471299193002674</v>
      </c>
      <c r="W53" s="952"/>
      <c r="X53" s="952" t="s">
        <v>257</v>
      </c>
      <c r="AB53" s="289"/>
      <c r="AC53" s="3" t="s">
        <v>593</v>
      </c>
      <c r="AD53" s="5">
        <f>F8</f>
        <v>10.343055555555557</v>
      </c>
      <c r="AE53" t="s">
        <v>257</v>
      </c>
      <c r="AF53"/>
      <c r="AG53"/>
    </row>
    <row r="54" spans="3:33">
      <c r="H54" s="951"/>
      <c r="I54" s="951"/>
      <c r="J54" s="951"/>
      <c r="K54" s="951"/>
      <c r="L54" s="951"/>
      <c r="M54" s="951"/>
      <c r="N54" s="951"/>
      <c r="O54" s="951"/>
      <c r="P54" s="951"/>
      <c r="Q54" s="951"/>
      <c r="R54" s="951"/>
      <c r="S54" s="951"/>
      <c r="T54" s="951"/>
      <c r="U54" s="951"/>
      <c r="V54" s="952"/>
      <c r="W54" s="952"/>
      <c r="X54" s="953"/>
      <c r="AB54" s="289"/>
      <c r="AC54" s="3" t="s">
        <v>594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40" t="s">
        <v>269</v>
      </c>
      <c r="I55" s="940"/>
      <c r="J55" s="940"/>
      <c r="K55" s="940"/>
      <c r="L55" s="940"/>
      <c r="M55" s="940"/>
      <c r="N55" s="940"/>
      <c r="O55" s="940"/>
      <c r="P55" s="940"/>
      <c r="Q55" s="940"/>
      <c r="R55" s="940"/>
      <c r="S55" s="940"/>
      <c r="T55" s="940"/>
      <c r="U55" s="940"/>
      <c r="V55" s="941">
        <f>AD58*E34</f>
        <v>10.235649596501338</v>
      </c>
      <c r="W55" s="942"/>
      <c r="X55" s="943" t="s">
        <v>104</v>
      </c>
      <c r="AB55" s="289"/>
      <c r="AC55" s="3" t="s">
        <v>597</v>
      </c>
      <c r="AD55" s="3">
        <f>(-1)*V47</f>
        <v>-15.002000000000001</v>
      </c>
      <c r="AE55" t="s">
        <v>508</v>
      </c>
      <c r="AF55"/>
      <c r="AG55"/>
    </row>
    <row r="56" spans="3:33">
      <c r="H56" s="940"/>
      <c r="I56" s="940"/>
      <c r="J56" s="940"/>
      <c r="K56" s="940"/>
      <c r="L56" s="940"/>
      <c r="M56" s="940"/>
      <c r="N56" s="940"/>
      <c r="O56" s="940"/>
      <c r="P56" s="940"/>
      <c r="Q56" s="940"/>
      <c r="R56" s="940"/>
      <c r="S56" s="940"/>
      <c r="T56" s="940"/>
      <c r="U56" s="940"/>
      <c r="V56" s="942"/>
      <c r="W56" s="942"/>
      <c r="X56" s="944"/>
      <c r="AB56" s="289"/>
      <c r="AC56" s="3" t="s">
        <v>595</v>
      </c>
      <c r="AD56" s="5">
        <f>E43</f>
        <v>-5</v>
      </c>
      <c r="AE56" t="s">
        <v>28</v>
      </c>
      <c r="AF56"/>
      <c r="AG56"/>
    </row>
    <row r="57" spans="3:33">
      <c r="H57" s="940" t="s">
        <v>470</v>
      </c>
      <c r="I57" s="940"/>
      <c r="J57" s="940"/>
      <c r="K57" s="940"/>
      <c r="L57" s="940"/>
      <c r="M57" s="940"/>
      <c r="N57" s="940"/>
      <c r="O57" s="940"/>
      <c r="P57" s="940"/>
      <c r="Q57" s="940"/>
      <c r="R57" s="940"/>
      <c r="S57" s="940"/>
      <c r="T57" s="940"/>
      <c r="U57" s="940"/>
      <c r="V57" s="941">
        <f>AD58*L38</f>
        <v>8.8229728435156696E-2</v>
      </c>
      <c r="W57" s="945"/>
      <c r="X57" s="946" t="s">
        <v>28</v>
      </c>
      <c r="AB57" s="289"/>
      <c r="AC57" s="3" t="s">
        <v>596</v>
      </c>
      <c r="AD57" s="3">
        <f>L38</f>
        <v>4.3099232541779581E-2</v>
      </c>
      <c r="AE57" t="s">
        <v>508</v>
      </c>
      <c r="AF57"/>
      <c r="AG57"/>
    </row>
    <row r="58" spans="3:33">
      <c r="H58" s="940"/>
      <c r="I58" s="940"/>
      <c r="J58" s="940"/>
      <c r="K58" s="940"/>
      <c r="L58" s="940"/>
      <c r="M58" s="940"/>
      <c r="N58" s="940"/>
      <c r="O58" s="940"/>
      <c r="P58" s="940"/>
      <c r="Q58" s="940"/>
      <c r="R58" s="940"/>
      <c r="S58" s="940"/>
      <c r="T58" s="940"/>
      <c r="U58" s="940"/>
      <c r="V58" s="942"/>
      <c r="W58" s="945"/>
      <c r="X58" s="947"/>
      <c r="AB58" s="289"/>
      <c r="AC58" s="3" t="s">
        <v>591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940" t="s">
        <v>469</v>
      </c>
      <c r="I59" s="940"/>
      <c r="J59" s="940"/>
      <c r="K59" s="940"/>
      <c r="L59" s="940"/>
      <c r="M59" s="940"/>
      <c r="N59" s="940"/>
      <c r="O59" s="940"/>
      <c r="P59" s="940"/>
      <c r="Q59" s="940"/>
      <c r="R59" s="940"/>
      <c r="S59" s="940"/>
      <c r="T59" s="940"/>
      <c r="U59" s="940"/>
      <c r="V59" s="1023">
        <f>E43+AD58*L38</f>
        <v>-4.9117702715648432</v>
      </c>
      <c r="W59" s="1024"/>
      <c r="X59" s="931" t="str">
        <f>longitudeDecimal2Txt(V59)</f>
        <v>W 04°54.70 (W 04.9117) [W 04°54'42.37]</v>
      </c>
      <c r="Y59" s="931"/>
      <c r="Z59" s="931"/>
      <c r="AA59" s="931"/>
      <c r="AB59" s="931"/>
      <c r="AC59" s="931"/>
      <c r="AD59" s="1337" t="str" cm="1">
        <f t="array" ref="AD59">CONCATENATE("Memo depart: ", longitudeDecimal2Txt(E43))</f>
        <v>Memo depart: W 05°00.00 (W 05.0000) [W 05°00'00.00]</v>
      </c>
      <c r="AE59" s="1338"/>
      <c r="AF59" s="1338"/>
      <c r="AG59" s="1338"/>
    </row>
    <row r="60" spans="3:33">
      <c r="H60" s="940"/>
      <c r="I60" s="940"/>
      <c r="J60" s="940"/>
      <c r="K60" s="940"/>
      <c r="L60" s="940"/>
      <c r="M60" s="940"/>
      <c r="N60" s="940"/>
      <c r="O60" s="940"/>
      <c r="P60" s="940"/>
      <c r="Q60" s="940"/>
      <c r="R60" s="940"/>
      <c r="S60" s="940"/>
      <c r="T60" s="940"/>
      <c r="U60" s="940"/>
      <c r="V60" s="1025"/>
      <c r="W60" s="1026"/>
      <c r="X60" s="931"/>
      <c r="Y60" s="931"/>
      <c r="Z60" s="931"/>
      <c r="AA60" s="931"/>
      <c r="AB60" s="931"/>
      <c r="AC60" s="931"/>
      <c r="AD60" s="1337"/>
      <c r="AE60" s="1338"/>
      <c r="AF60" s="1338"/>
      <c r="AG60" s="1338"/>
    </row>
    <row r="61" spans="3:33">
      <c r="H61" s="934" t="s">
        <v>266</v>
      </c>
      <c r="I61" s="934"/>
      <c r="J61" s="934"/>
      <c r="K61" s="934"/>
      <c r="L61" s="934"/>
      <c r="M61" s="934"/>
      <c r="N61" s="934"/>
      <c r="O61" s="934"/>
      <c r="P61" s="934"/>
      <c r="Q61" s="934"/>
      <c r="R61" s="934"/>
      <c r="S61" s="934"/>
      <c r="T61" s="934"/>
      <c r="U61" s="934"/>
      <c r="V61" s="935">
        <f>AD53+AD58</f>
        <v>12.390185474855825</v>
      </c>
      <c r="W61" s="936"/>
      <c r="X61" s="938" t="str">
        <f>heureDecimal2Txt(V61)</f>
        <v>12:23:24.66(12.3901)</v>
      </c>
      <c r="Y61" s="938"/>
      <c r="Z61" s="938"/>
      <c r="AA61" s="938"/>
      <c r="AB61" s="938"/>
      <c r="AC61" s="938"/>
      <c r="AD61"/>
      <c r="AE61"/>
      <c r="AF61"/>
      <c r="AG61"/>
    </row>
    <row r="62" spans="3:33">
      <c r="H62" s="934"/>
      <c r="I62" s="934"/>
      <c r="J62" s="934"/>
      <c r="K62" s="934"/>
      <c r="L62" s="934"/>
      <c r="M62" s="934"/>
      <c r="N62" s="934"/>
      <c r="O62" s="934"/>
      <c r="P62" s="934"/>
      <c r="Q62" s="934"/>
      <c r="R62" s="934"/>
      <c r="S62" s="934"/>
      <c r="T62" s="934"/>
      <c r="U62" s="934"/>
      <c r="V62" s="937"/>
      <c r="W62" s="936"/>
      <c r="X62" s="938"/>
      <c r="Y62" s="938"/>
      <c r="Z62" s="938"/>
      <c r="AA62" s="938"/>
      <c r="AB62" s="938"/>
      <c r="AC62" s="938"/>
      <c r="AD62"/>
      <c r="AE62"/>
      <c r="AF62"/>
      <c r="AG62"/>
    </row>
    <row r="63" spans="3:33">
      <c r="AB63" s="289"/>
      <c r="AC63"/>
      <c r="AD63"/>
      <c r="AE63"/>
      <c r="AF63"/>
      <c r="AG63"/>
    </row>
    <row r="64" spans="3:33" ht="15.75" thickBot="1">
      <c r="AB64" s="289"/>
      <c r="AC64"/>
      <c r="AD64"/>
      <c r="AE64"/>
      <c r="AF64"/>
      <c r="AG64"/>
    </row>
    <row r="65" spans="1:74" s="14" customFormat="1" ht="17.25" customHeight="1" thickBot="1">
      <c r="B65" s="276" t="s">
        <v>583</v>
      </c>
      <c r="C65" s="279"/>
      <c r="D65" s="279"/>
      <c r="E65" s="279"/>
      <c r="F65" s="279"/>
      <c r="G65" s="279"/>
      <c r="H65" s="277"/>
      <c r="I65" s="92" t="str">
        <f>L6</f>
        <v>2025/06/30</v>
      </c>
      <c r="J65" s="92"/>
      <c r="K65" s="93"/>
      <c r="L65" s="94"/>
      <c r="M65" s="92" t="str">
        <f>heureDecimal2Txt(E67)</f>
        <v>12:23:24.66(12.3901)</v>
      </c>
      <c r="N65" s="92"/>
      <c r="O65" s="92"/>
      <c r="P65" s="277"/>
      <c r="Q65" s="277"/>
      <c r="R65" s="277"/>
      <c r="S65" s="277"/>
      <c r="T65" s="277"/>
      <c r="U65" s="277"/>
      <c r="V65" s="278"/>
      <c r="W65" s="277"/>
      <c r="X65" s="277"/>
      <c r="Y65" s="277"/>
      <c r="Z65" s="277"/>
      <c r="AA65" s="278"/>
      <c r="AB65" s="291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1:74" s="14" customFormat="1" ht="17.25" customHeight="1" thickBot="1">
      <c r="C66" s="966" t="s">
        <v>1</v>
      </c>
      <c r="D66" s="967"/>
      <c r="E66" s="968" t="s">
        <v>227</v>
      </c>
      <c r="F66" s="969"/>
      <c r="G66" s="970"/>
      <c r="H66" s="57"/>
      <c r="AB66" s="288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2"/>
    </row>
    <row r="67" spans="1:74" s="14" customFormat="1" ht="17.25" customHeight="1" thickTop="1" thickBot="1">
      <c r="C67" s="274" t="s">
        <v>584</v>
      </c>
      <c r="D67" s="274"/>
      <c r="E67" s="996">
        <f>V61</f>
        <v>12.390185474855825</v>
      </c>
      <c r="F67" s="997"/>
      <c r="G67" s="998"/>
      <c r="H67" s="749" t="str" cm="1">
        <f t="array" ref="H67">heureDecimal2Txt(E67)</f>
        <v>12:23:24.66(12.3901)</v>
      </c>
      <c r="I67" s="750"/>
      <c r="J67" s="750"/>
      <c r="K67" s="750"/>
      <c r="L67" s="750"/>
      <c r="M67" s="751"/>
      <c r="N67"/>
      <c r="O67"/>
      <c r="P67"/>
      <c r="Q67"/>
      <c r="R67"/>
      <c r="S67"/>
      <c r="T67"/>
      <c r="U67"/>
      <c r="V67"/>
      <c r="W67"/>
      <c r="X67"/>
      <c r="Y67"/>
      <c r="AB67" s="292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2"/>
    </row>
    <row r="68" spans="1:74" s="14" customFormat="1" ht="17.25" customHeight="1" thickTop="1" thickBot="1">
      <c r="C68" s="274" t="s">
        <v>7</v>
      </c>
      <c r="D68" s="274"/>
      <c r="E68" s="999">
        <f>F25</f>
        <v>46.138899184437385</v>
      </c>
      <c r="F68" s="1000"/>
      <c r="G68" s="1001"/>
      <c r="H68" s="749" t="str" cm="1">
        <f t="array" ref="H68">latitudeDecimal2Txt(E68)</f>
        <v>N 46°08.33 (N 46.1388) [N 46°08'20.03]</v>
      </c>
      <c r="I68" s="750"/>
      <c r="J68" s="750"/>
      <c r="K68" s="750"/>
      <c r="L68" s="750"/>
      <c r="M68" s="751"/>
      <c r="N68"/>
      <c r="O68"/>
      <c r="P68"/>
      <c r="Q68"/>
      <c r="R68"/>
      <c r="S68"/>
      <c r="T68"/>
      <c r="U68"/>
      <c r="V68"/>
      <c r="W68"/>
      <c r="X68"/>
      <c r="Y68"/>
      <c r="AB68" s="29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1:74" ht="15.75" thickTop="1"/>
    <row r="70" spans="1:74" ht="15.75" thickBot="1"/>
    <row r="71" spans="1:74" s="14" customFormat="1" ht="17.25" customHeight="1" thickBot="1">
      <c r="B71" s="129" t="s">
        <v>280</v>
      </c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28"/>
      <c r="V71" s="128"/>
      <c r="W71" s="128"/>
      <c r="X71" s="128"/>
      <c r="Y71" s="128"/>
      <c r="Z71" s="128"/>
      <c r="AA71" s="128"/>
      <c r="AB71" s="293"/>
      <c r="AC71" s="12"/>
      <c r="AD71" s="12"/>
      <c r="AE71" s="12"/>
      <c r="AF71" s="12"/>
      <c r="AG71" s="12"/>
      <c r="AH71"/>
      <c r="AI71"/>
      <c r="AJ71"/>
      <c r="AK71"/>
      <c r="AL71"/>
      <c r="AM71"/>
      <c r="AN71"/>
      <c r="AO71"/>
      <c r="AP71"/>
      <c r="AQ71"/>
      <c r="AR71"/>
      <c r="AS71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  <c r="BM71" s="82"/>
      <c r="BN71" s="82"/>
      <c r="BO71" s="82"/>
      <c r="BP71" s="82"/>
      <c r="BQ71" s="82"/>
      <c r="BR71" s="82"/>
      <c r="BS71" s="82"/>
    </row>
    <row r="72" spans="1:74" s="14" customFormat="1" ht="17.25" customHeight="1">
      <c r="C72" s="84"/>
      <c r="D72" s="85"/>
      <c r="E72" s="1407" t="s">
        <v>60</v>
      </c>
      <c r="F72" s="1408"/>
      <c r="G72" s="1542" t="s">
        <v>2</v>
      </c>
      <c r="H72" s="1543"/>
      <c r="I72" s="1543"/>
      <c r="J72" s="649" t="s">
        <v>228</v>
      </c>
      <c r="K72" s="649"/>
      <c r="L72" s="649"/>
      <c r="M72" s="1390" t="s">
        <v>282</v>
      </c>
      <c r="N72" s="1391"/>
      <c r="O72" s="1391"/>
      <c r="P72" s="1392"/>
      <c r="Q72" s="1390" t="s">
        <v>281</v>
      </c>
      <c r="R72" s="1391"/>
      <c r="S72" s="1391"/>
      <c r="T72" s="1392"/>
      <c r="U72" s="1396" t="s">
        <v>122</v>
      </c>
      <c r="V72" s="1396"/>
      <c r="W72" s="1396"/>
      <c r="X72" s="1539" t="s">
        <v>283</v>
      </c>
      <c r="Y72" s="1540"/>
      <c r="Z72" s="1540"/>
      <c r="AA72" s="1541"/>
      <c r="AB72" s="294"/>
      <c r="AC72" s="12"/>
      <c r="AD72" s="12"/>
      <c r="AE72" s="12"/>
      <c r="AF72" s="12"/>
      <c r="AG72" s="12"/>
      <c r="AH72"/>
      <c r="AI72"/>
      <c r="AJ72"/>
      <c r="AK72"/>
      <c r="AL72"/>
      <c r="AM72"/>
      <c r="AN72"/>
      <c r="AO72"/>
      <c r="AP72"/>
      <c r="AQ72"/>
      <c r="AR72"/>
      <c r="AS72"/>
      <c r="AT72" s="82"/>
      <c r="AU72" s="82"/>
      <c r="AV72" s="82"/>
      <c r="AW72" s="82"/>
      <c r="AX72" s="82"/>
      <c r="AY72" s="82"/>
      <c r="AZ72" s="82"/>
      <c r="BA72" s="82"/>
      <c r="BB72" s="82"/>
      <c r="BC72" s="82"/>
      <c r="BD72" s="82"/>
      <c r="BE72" s="82"/>
      <c r="BF72" s="82"/>
      <c r="BG72" s="82"/>
      <c r="BH72" s="82"/>
      <c r="BI72" s="82"/>
      <c r="BJ72" s="82"/>
      <c r="BK72" s="82"/>
      <c r="BL72" s="82"/>
      <c r="BM72" s="82"/>
      <c r="BN72" s="82"/>
      <c r="BO72" s="82"/>
      <c r="BP72" s="82"/>
      <c r="BQ72" s="82"/>
      <c r="BR72" s="82"/>
      <c r="BS72" s="82"/>
    </row>
    <row r="73" spans="1:74" s="14" customFormat="1" ht="17.25" customHeight="1" thickBot="1">
      <c r="C73" s="86"/>
      <c r="D73" s="87"/>
      <c r="E73" s="580"/>
      <c r="F73" s="582"/>
      <c r="G73" s="1544"/>
      <c r="H73" s="1545"/>
      <c r="I73" s="1545"/>
      <c r="J73" s="649"/>
      <c r="K73" s="649"/>
      <c r="L73" s="649"/>
      <c r="M73" s="1393"/>
      <c r="N73" s="1394"/>
      <c r="O73" s="1394"/>
      <c r="P73" s="1395"/>
      <c r="Q73" s="1393"/>
      <c r="R73" s="1394"/>
      <c r="S73" s="1394"/>
      <c r="T73" s="1395"/>
      <c r="U73" s="1396"/>
      <c r="V73" s="1396"/>
      <c r="W73" s="1396"/>
      <c r="X73" s="1393"/>
      <c r="Y73" s="1394"/>
      <c r="Z73" s="1394"/>
      <c r="AA73" s="1395"/>
      <c r="AB73" s="294"/>
      <c r="AC73" s="281" t="s">
        <v>586</v>
      </c>
      <c r="AD73" s="1343" t="s">
        <v>587</v>
      </c>
      <c r="AE73" s="1343"/>
      <c r="AF73" s="1343"/>
      <c r="AG73" s="1343"/>
      <c r="AH73" s="1332" t="s">
        <v>588</v>
      </c>
      <c r="AI73" s="1332"/>
      <c r="AJ73" s="1332"/>
      <c r="AK73"/>
      <c r="AL73"/>
      <c r="AM73"/>
      <c r="AN73"/>
      <c r="AO73"/>
      <c r="AP73"/>
      <c r="AQ73"/>
      <c r="AR73"/>
      <c r="AS73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</row>
    <row r="74" spans="1:74" s="82" customFormat="1" ht="17.25" customHeight="1" thickTop="1" thickBot="1">
      <c r="A74" s="14"/>
      <c r="B74" s="14"/>
      <c r="C74" s="133" t="s">
        <v>199</v>
      </c>
      <c r="D74" s="134"/>
      <c r="E74" s="585" t="s">
        <v>209</v>
      </c>
      <c r="F74" s="585"/>
      <c r="G74" s="1468" t="str">
        <f>heureDecimal2Txt(AC74)</f>
        <v>10:30:50.00(10.5138)</v>
      </c>
      <c r="H74" s="1402"/>
      <c r="I74" s="1403"/>
      <c r="J74" s="1398" t="s">
        <v>219</v>
      </c>
      <c r="K74" s="1397"/>
      <c r="L74" s="1397"/>
      <c r="M74" s="1397">
        <v>0</v>
      </c>
      <c r="N74" s="1397"/>
      <c r="O74" s="1397"/>
      <c r="P74" s="1397"/>
      <c r="Q74" s="1342">
        <v>2</v>
      </c>
      <c r="R74" s="1342"/>
      <c r="S74" s="1342"/>
      <c r="T74" s="1342"/>
      <c r="U74" s="584" t="s">
        <v>284</v>
      </c>
      <c r="V74" s="585"/>
      <c r="W74" s="585"/>
      <c r="X74" s="1414" t="str">
        <f>heureDecimal2Txt(AH74)</f>
        <v>01:52:34.66(01.8762)</v>
      </c>
      <c r="Y74" s="1414"/>
      <c r="Z74" s="1414"/>
      <c r="AA74" s="1414"/>
      <c r="AB74" s="520"/>
      <c r="AC74" s="282">
        <f>AD74+(AE74+AF74+AG74)/3600</f>
        <v>10.513888888888889</v>
      </c>
      <c r="AD74" s="283">
        <f>heureConvert2Decimal(J74)</f>
        <v>10.340277777777779</v>
      </c>
      <c r="AE74" s="284">
        <f>M74*3600</f>
        <v>0</v>
      </c>
      <c r="AF74" s="285">
        <f>Q74</f>
        <v>2</v>
      </c>
      <c r="AG74" s="283">
        <f>heureConvert2Decimal(U74)*60</f>
        <v>623</v>
      </c>
      <c r="AH74" s="1333">
        <f>$E$67-AC74</f>
        <v>1.8762965859669354</v>
      </c>
      <c r="AI74" s="1333"/>
      <c r="AJ74" s="1333"/>
      <c r="AK74"/>
      <c r="AL74"/>
      <c r="AM74"/>
      <c r="AN74"/>
      <c r="AO74"/>
      <c r="AP74"/>
      <c r="AQ74"/>
      <c r="AR74"/>
      <c r="AS74"/>
      <c r="BU74" s="14"/>
      <c r="BV74" s="14"/>
    </row>
    <row r="75" spans="1:74" s="82" customFormat="1" ht="17.25" customHeight="1" thickTop="1" thickBot="1">
      <c r="C75" s="131" t="s">
        <v>201</v>
      </c>
      <c r="D75" s="132"/>
      <c r="E75" s="585" t="s">
        <v>293</v>
      </c>
      <c r="F75" s="585"/>
      <c r="G75" s="1468" t="str">
        <f>heureDecimal2Txt(AC75)</f>
        <v>10:45:50.00(10.7638)</v>
      </c>
      <c r="H75" s="1402"/>
      <c r="I75" s="1403"/>
      <c r="J75" s="1398" t="s">
        <v>287</v>
      </c>
      <c r="K75" s="1397"/>
      <c r="L75" s="1397"/>
      <c r="M75" s="1397">
        <v>0</v>
      </c>
      <c r="N75" s="1397"/>
      <c r="O75" s="1397"/>
      <c r="P75" s="1397"/>
      <c r="Q75" s="1342">
        <v>2</v>
      </c>
      <c r="R75" s="1342"/>
      <c r="S75" s="1342"/>
      <c r="T75" s="1342"/>
      <c r="U75" s="584" t="s">
        <v>284</v>
      </c>
      <c r="V75" s="585"/>
      <c r="W75" s="585"/>
      <c r="X75" s="1414" t="str">
        <f>heureDecimal2Txt(AH75)</f>
        <v>01:37:34.66(01.6262)</v>
      </c>
      <c r="Y75" s="1414"/>
      <c r="Z75" s="1414"/>
      <c r="AA75" s="1414"/>
      <c r="AB75" s="520"/>
      <c r="AC75" s="282">
        <f>AD75+(AE75+AF75+AG75)/3600</f>
        <v>10.763888888888889</v>
      </c>
      <c r="AD75" s="283">
        <f>heureConvert2Decimal(J75)</f>
        <v>10.590277777777779</v>
      </c>
      <c r="AE75" s="284">
        <f>M75*3600</f>
        <v>0</v>
      </c>
      <c r="AF75" s="285">
        <f>Q75</f>
        <v>2</v>
      </c>
      <c r="AG75" s="283">
        <f>heureConvert2Decimal(U75)*60</f>
        <v>623</v>
      </c>
      <c r="AH75" s="1333">
        <f>$E$67-AC75</f>
        <v>1.6262965859669354</v>
      </c>
      <c r="AI75" s="1333"/>
      <c r="AJ75" s="1333"/>
      <c r="AK75"/>
      <c r="AL75"/>
      <c r="AM75"/>
      <c r="AN75"/>
      <c r="AO75"/>
      <c r="AP75"/>
      <c r="AQ75"/>
      <c r="AR75"/>
      <c r="AS75"/>
    </row>
    <row r="76" spans="1:74" s="82" customFormat="1" ht="17.25" customHeight="1" thickTop="1" thickBot="1">
      <c r="C76" s="131" t="s">
        <v>203</v>
      </c>
      <c r="D76" s="132"/>
      <c r="E76" s="585" t="s">
        <v>294</v>
      </c>
      <c r="F76" s="585"/>
      <c r="G76" s="1468" t="str">
        <f>heureDecimal2Txt(AC76)</f>
        <v>11:04:50.00(11.0805)</v>
      </c>
      <c r="H76" s="1402"/>
      <c r="I76" s="1403"/>
      <c r="J76" s="1398" t="s">
        <v>288</v>
      </c>
      <c r="K76" s="1397"/>
      <c r="L76" s="1397"/>
      <c r="M76" s="1397">
        <v>0</v>
      </c>
      <c r="N76" s="1397"/>
      <c r="O76" s="1397"/>
      <c r="P76" s="1397"/>
      <c r="Q76" s="1342">
        <v>2</v>
      </c>
      <c r="R76" s="1342"/>
      <c r="S76" s="1342"/>
      <c r="T76" s="1342"/>
      <c r="U76" s="584" t="s">
        <v>284</v>
      </c>
      <c r="V76" s="585"/>
      <c r="W76" s="585"/>
      <c r="X76" s="1414" t="str">
        <f>heureDecimal2Txt(AH76)</f>
        <v>01:18:34.66(01.3096)</v>
      </c>
      <c r="Y76" s="1414"/>
      <c r="Z76" s="1414"/>
      <c r="AA76" s="1414"/>
      <c r="AB76" s="520"/>
      <c r="AC76" s="282">
        <f>AD76+(AE76+AF76+AG76)/3600</f>
        <v>11.080555555555556</v>
      </c>
      <c r="AD76" s="283">
        <f>heureConvert2Decimal(J76)</f>
        <v>10.906944444444445</v>
      </c>
      <c r="AE76" s="284">
        <f>M76*3600</f>
        <v>0</v>
      </c>
      <c r="AF76" s="285">
        <f>Q76</f>
        <v>2</v>
      </c>
      <c r="AG76" s="283">
        <f>heureConvert2Decimal(U76)*60</f>
        <v>623</v>
      </c>
      <c r="AH76" s="1333">
        <f>$E$67-AC76</f>
        <v>1.309629919300269</v>
      </c>
      <c r="AI76" s="1333"/>
      <c r="AJ76" s="1333"/>
      <c r="AK76"/>
      <c r="AL76"/>
      <c r="AM76"/>
      <c r="AN76"/>
      <c r="AO76"/>
      <c r="AP76"/>
      <c r="AQ76"/>
      <c r="AR76"/>
      <c r="AS76"/>
    </row>
    <row r="77" spans="1:74" s="82" customFormat="1" ht="17.25" customHeight="1" thickTop="1" thickBot="1">
      <c r="C77" s="131" t="s">
        <v>205</v>
      </c>
      <c r="D77" s="132"/>
      <c r="E77" s="585" t="s">
        <v>295</v>
      </c>
      <c r="F77" s="585"/>
      <c r="G77" s="1468" t="str">
        <f>heureDecimal2Txt(AC77)</f>
        <v>11:20:50.00(11.3472)</v>
      </c>
      <c r="H77" s="1402"/>
      <c r="I77" s="1403"/>
      <c r="J77" s="1398" t="s">
        <v>289</v>
      </c>
      <c r="K77" s="1397"/>
      <c r="L77" s="1397"/>
      <c r="M77" s="1397">
        <v>0</v>
      </c>
      <c r="N77" s="1397"/>
      <c r="O77" s="1397"/>
      <c r="P77" s="1397"/>
      <c r="Q77" s="1342">
        <v>2</v>
      </c>
      <c r="R77" s="1342"/>
      <c r="S77" s="1342"/>
      <c r="T77" s="1342"/>
      <c r="U77" s="584" t="s">
        <v>284</v>
      </c>
      <c r="V77" s="585"/>
      <c r="W77" s="585"/>
      <c r="X77" s="1414" t="str">
        <f>heureDecimal2Txt(AH77)</f>
        <v>01:02:34.66(01.0429)</v>
      </c>
      <c r="Y77" s="1414"/>
      <c r="Z77" s="1414"/>
      <c r="AA77" s="1414"/>
      <c r="AB77" s="520"/>
      <c r="AC77" s="282">
        <f>AD77+(AE77+AF77+AG77)/3600</f>
        <v>11.347222222222221</v>
      </c>
      <c r="AD77" s="283">
        <f>heureConvert2Decimal(J77)</f>
        <v>11.173611111111111</v>
      </c>
      <c r="AE77" s="284">
        <f>M77*3600</f>
        <v>0</v>
      </c>
      <c r="AF77" s="285">
        <f>Q77</f>
        <v>2</v>
      </c>
      <c r="AG77" s="283">
        <f>heureConvert2Decimal(U77)*60</f>
        <v>623</v>
      </c>
      <c r="AH77" s="1333">
        <f>$E$67-AC77</f>
        <v>1.0429632526336032</v>
      </c>
      <c r="AI77" s="1333"/>
      <c r="AJ77" s="1333"/>
      <c r="AK77"/>
      <c r="AL77"/>
      <c r="AM77"/>
      <c r="AN77"/>
      <c r="AO77"/>
      <c r="AP77"/>
      <c r="AQ77"/>
      <c r="AR77"/>
      <c r="AS77"/>
    </row>
    <row r="78" spans="1:74" s="82" customFormat="1" ht="17.25" customHeight="1" thickTop="1">
      <c r="C78" s="135" t="s">
        <v>207</v>
      </c>
      <c r="D78" s="136"/>
      <c r="E78" s="585" t="s">
        <v>296</v>
      </c>
      <c r="F78" s="585"/>
      <c r="G78" s="1536" t="str">
        <f>heureDecimal2Txt(AC78)</f>
        <v>12:20:50.00(12.3472)</v>
      </c>
      <c r="H78" s="1537"/>
      <c r="I78" s="1538"/>
      <c r="J78" s="1398" t="s">
        <v>290</v>
      </c>
      <c r="K78" s="1397"/>
      <c r="L78" s="1397"/>
      <c r="M78" s="1397">
        <v>0</v>
      </c>
      <c r="N78" s="1397"/>
      <c r="O78" s="1397"/>
      <c r="P78" s="1397"/>
      <c r="Q78" s="1342">
        <v>2</v>
      </c>
      <c r="R78" s="1342"/>
      <c r="S78" s="1342"/>
      <c r="T78" s="1342"/>
      <c r="U78" s="584" t="s">
        <v>284</v>
      </c>
      <c r="V78" s="585"/>
      <c r="W78" s="585"/>
      <c r="X78" s="1461" t="str">
        <f>heureDecimal2Txt(AH78)</f>
        <v>00:02:34.66(00.0429)</v>
      </c>
      <c r="Y78" s="1461"/>
      <c r="Z78" s="1461"/>
      <c r="AA78" s="1461"/>
      <c r="AB78" s="520"/>
      <c r="AC78" s="282">
        <f>AD78+(AE78+AF78+AG78)/3600</f>
        <v>12.347222222222221</v>
      </c>
      <c r="AD78" s="283">
        <f>heureConvert2Decimal(J78)</f>
        <v>12.173611111111111</v>
      </c>
      <c r="AE78" s="284">
        <f>M78*3600</f>
        <v>0</v>
      </c>
      <c r="AF78" s="285">
        <f>Q78</f>
        <v>2</v>
      </c>
      <c r="AG78" s="283">
        <f>heureConvert2Decimal(U78)*60</f>
        <v>623</v>
      </c>
      <c r="AH78" s="1333">
        <f>$E$67-AC78</f>
        <v>4.2963252633603233E-2</v>
      </c>
      <c r="AI78" s="1333"/>
      <c r="AJ78" s="1333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476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477"/>
      <c r="D79" s="1477"/>
      <c r="E79" s="1477"/>
      <c r="F79" s="1477"/>
      <c r="G79" s="1477"/>
      <c r="H79" s="1477"/>
      <c r="I79" s="1477"/>
      <c r="J79" s="1477"/>
      <c r="K79" s="1477"/>
      <c r="L79" s="1477"/>
      <c r="M79" s="1477"/>
      <c r="N79" s="1477"/>
      <c r="O79" s="1477"/>
      <c r="P79" s="1477"/>
      <c r="Q79" s="1477"/>
      <c r="R79" s="1477"/>
      <c r="S79" s="1477"/>
      <c r="T79" s="1477"/>
      <c r="U79" s="1477"/>
      <c r="V79" s="1477"/>
      <c r="W79" s="1477"/>
      <c r="X79" s="1477"/>
      <c r="Y79" s="1477"/>
      <c r="Z79" s="1477"/>
      <c r="AA79" s="1478"/>
      <c r="AB79" s="295"/>
      <c r="AC79"/>
      <c r="AD79"/>
      <c r="AE79"/>
      <c r="AF79"/>
      <c r="AG79"/>
      <c r="AH79"/>
      <c r="AI79"/>
      <c r="AJ79"/>
    </row>
    <row r="80" spans="1:74" s="8" customFormat="1" ht="15.75" customHeight="1">
      <c r="B80" s="1479"/>
      <c r="C80" s="1480"/>
      <c r="D80" s="1480"/>
      <c r="E80" s="1480"/>
      <c r="F80" s="1480"/>
      <c r="G80" s="1480"/>
      <c r="H80" s="1480"/>
      <c r="I80" s="1480"/>
      <c r="J80" s="1480"/>
      <c r="K80" s="1480"/>
      <c r="L80" s="1480"/>
      <c r="M80" s="1480"/>
      <c r="N80" s="1480"/>
      <c r="O80" s="1480"/>
      <c r="P80" s="1480"/>
      <c r="Q80" s="1480"/>
      <c r="R80" s="1480"/>
      <c r="S80" s="1480"/>
      <c r="T80" s="1480"/>
      <c r="U80" s="1480"/>
      <c r="V80" s="1480"/>
      <c r="W80" s="1480"/>
      <c r="X80" s="1480"/>
      <c r="Y80" s="1480"/>
      <c r="Z80" s="1480"/>
      <c r="AA80" s="1481"/>
      <c r="AB80" s="295"/>
      <c r="AC80"/>
      <c r="AD80"/>
      <c r="AE80"/>
      <c r="AF80"/>
      <c r="AG80"/>
      <c r="AH80"/>
      <c r="AI80"/>
      <c r="AJ80"/>
    </row>
    <row r="81" spans="2:48" s="82" customFormat="1" ht="18" customHeight="1">
      <c r="C81" s="84"/>
      <c r="D81" s="85"/>
      <c r="E81" s="1466" t="s">
        <v>285</v>
      </c>
      <c r="F81" s="1466"/>
      <c r="G81" s="1415" t="s">
        <v>286</v>
      </c>
      <c r="H81" s="1415"/>
      <c r="I81" s="1415"/>
      <c r="J81" s="1463" t="s">
        <v>307</v>
      </c>
      <c r="K81" s="1464"/>
      <c r="L81" s="1464"/>
      <c r="M81" s="1464"/>
      <c r="N81" s="1464"/>
      <c r="O81" s="1464"/>
      <c r="P81" s="1464"/>
      <c r="Q81" s="1464"/>
      <c r="R81" s="1464"/>
      <c r="S81" s="1464"/>
      <c r="T81" s="1464"/>
      <c r="U81" s="1464"/>
      <c r="V81" s="1464"/>
      <c r="W81" s="1464"/>
      <c r="X81" s="1464"/>
      <c r="Y81" s="1464"/>
      <c r="Z81" s="1465"/>
      <c r="AA81" s="1459" t="s">
        <v>291</v>
      </c>
      <c r="AB81" s="296"/>
      <c r="AC81" s="298" t="s">
        <v>292</v>
      </c>
      <c r="AD81" s="298" t="s">
        <v>3</v>
      </c>
      <c r="AE81" s="298" t="s">
        <v>306</v>
      </c>
      <c r="AF81" s="12"/>
      <c r="AG81" s="12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2" customFormat="1" ht="24" customHeight="1">
      <c r="C82" s="86"/>
      <c r="D82" s="87"/>
      <c r="E82" s="1467"/>
      <c r="F82" s="1467"/>
      <c r="G82" s="1416"/>
      <c r="H82" s="1416"/>
      <c r="I82" s="1416"/>
      <c r="J82" s="1455" t="s">
        <v>297</v>
      </c>
      <c r="K82" s="1455"/>
      <c r="L82" s="1455"/>
      <c r="M82" s="1462" t="s">
        <v>228</v>
      </c>
      <c r="N82" s="1462"/>
      <c r="O82" s="1462"/>
      <c r="P82" s="1399" t="s">
        <v>282</v>
      </c>
      <c r="Q82" s="1399"/>
      <c r="R82" s="1399"/>
      <c r="S82" s="1399"/>
      <c r="T82" s="1399" t="s">
        <v>281</v>
      </c>
      <c r="U82" s="1399"/>
      <c r="V82" s="1399"/>
      <c r="W82" s="1399"/>
      <c r="X82" s="1399" t="s">
        <v>122</v>
      </c>
      <c r="Y82" s="1399"/>
      <c r="Z82" s="1399"/>
      <c r="AA82" s="1460"/>
      <c r="AB82" s="297"/>
      <c r="AC82" s="281" t="s">
        <v>589</v>
      </c>
      <c r="AD82" s="1334" t="s">
        <v>590</v>
      </c>
      <c r="AE82" s="1335"/>
      <c r="AF82" s="1335"/>
      <c r="AG82" s="1335"/>
      <c r="AH82" s="1336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2" customFormat="1" ht="17.25" customHeight="1" thickBot="1">
      <c r="C83" s="790" t="s">
        <v>208</v>
      </c>
      <c r="D83" s="790"/>
      <c r="E83" s="1400" t="str">
        <f>E78</f>
        <v>6°54</v>
      </c>
      <c r="F83" s="1401"/>
      <c r="G83" s="1389" t="str">
        <f>heureDecimal2Txt(AC83)</f>
        <v>12:25:59.33(12.4331)</v>
      </c>
      <c r="H83" s="1389"/>
      <c r="I83" s="1389"/>
      <c r="J83" s="1404" t="str">
        <f>heureDecimal2Txt(AD83)</f>
        <v>12:53:25.00(12.8902)</v>
      </c>
      <c r="K83" s="1404"/>
      <c r="L83" s="1405"/>
      <c r="M83" s="1398" t="s">
        <v>585</v>
      </c>
      <c r="N83" s="1397"/>
      <c r="O83" s="1397"/>
      <c r="P83" s="1397">
        <v>0</v>
      </c>
      <c r="Q83" s="1397"/>
      <c r="R83" s="1397"/>
      <c r="S83" s="1397"/>
      <c r="T83" s="1342">
        <v>2</v>
      </c>
      <c r="U83" s="1342"/>
      <c r="V83" s="1342"/>
      <c r="W83" s="1342"/>
      <c r="X83" s="584" t="s">
        <v>284</v>
      </c>
      <c r="Y83" s="585"/>
      <c r="Z83" s="585"/>
      <c r="AA83" s="521" t="s">
        <v>292</v>
      </c>
      <c r="AB83" s="521"/>
      <c r="AC83" s="281">
        <f>AC78+2*AH78</f>
        <v>12.433148727489428</v>
      </c>
      <c r="AD83" s="282">
        <f>AE83+(AF83+AG83+AH83)/3600</f>
        <v>12.890277777777778</v>
      </c>
      <c r="AE83" s="283">
        <f>heureConvert2Decimal(M83)</f>
        <v>12.716666666666667</v>
      </c>
      <c r="AF83" s="284">
        <f>P83*3600</f>
        <v>0</v>
      </c>
      <c r="AG83" s="285">
        <f>T83</f>
        <v>2</v>
      </c>
      <c r="AH83" s="283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2" customFormat="1" ht="17.25" customHeight="1" thickTop="1" thickBot="1">
      <c r="C84" s="790" t="s">
        <v>206</v>
      </c>
      <c r="D84" s="790"/>
      <c r="E84" s="1400" t="str">
        <f>E77</f>
        <v>5°54</v>
      </c>
      <c r="F84" s="1401"/>
      <c r="G84" s="1389" t="str">
        <f>heureDecimal2Txt(AC84)</f>
        <v>13:25:59.33(13.4331)</v>
      </c>
      <c r="H84" s="1389"/>
      <c r="I84" s="1389"/>
      <c r="J84" s="1402" t="str">
        <f>heureDecimal2Txt(AD84)</f>
        <v>13:50:25.00(13.8402)</v>
      </c>
      <c r="K84" s="1402"/>
      <c r="L84" s="1403"/>
      <c r="M84" s="1398" t="s">
        <v>304</v>
      </c>
      <c r="N84" s="1397"/>
      <c r="O84" s="1397"/>
      <c r="P84" s="1397">
        <v>0</v>
      </c>
      <c r="Q84" s="1397"/>
      <c r="R84" s="1397"/>
      <c r="S84" s="1397"/>
      <c r="T84" s="1342">
        <v>2</v>
      </c>
      <c r="U84" s="1342"/>
      <c r="V84" s="1342"/>
      <c r="W84" s="1342"/>
      <c r="X84" s="584" t="s">
        <v>284</v>
      </c>
      <c r="Y84" s="585"/>
      <c r="Z84" s="585"/>
      <c r="AA84" s="521" t="s">
        <v>306</v>
      </c>
      <c r="AB84" s="521"/>
      <c r="AC84" s="281">
        <f>AC77+2*AH77</f>
        <v>13.433148727489428</v>
      </c>
      <c r="AD84" s="282">
        <f>AE84+(AF84+AG84+AH84)/3600</f>
        <v>13.840277777777777</v>
      </c>
      <c r="AE84" s="283">
        <f>heureConvert2Decimal(M84)</f>
        <v>13.666666666666666</v>
      </c>
      <c r="AF84" s="284">
        <f>P84*3600</f>
        <v>0</v>
      </c>
      <c r="AG84" s="285">
        <f>T84</f>
        <v>2</v>
      </c>
      <c r="AH84" s="283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2" customFormat="1" ht="17.25" customHeight="1" thickTop="1" thickBot="1">
      <c r="C85" s="790" t="s">
        <v>204</v>
      </c>
      <c r="D85" s="790"/>
      <c r="E85" s="1400" t="str">
        <f>E76</f>
        <v>4°54</v>
      </c>
      <c r="F85" s="1401"/>
      <c r="G85" s="1389" t="str">
        <f>heureDecimal2Txt(AC85)</f>
        <v>13:41:59.33(13.6998)</v>
      </c>
      <c r="H85" s="1389"/>
      <c r="I85" s="1389"/>
      <c r="J85" s="1402" t="str">
        <f>heureDecimal2Txt(AD85)</f>
        <v>13:52:02.00(13.8672)</v>
      </c>
      <c r="K85" s="1402"/>
      <c r="L85" s="1403"/>
      <c r="M85" s="1398" t="s">
        <v>303</v>
      </c>
      <c r="N85" s="1397"/>
      <c r="O85" s="1397"/>
      <c r="P85" s="1397">
        <v>0</v>
      </c>
      <c r="Q85" s="1397"/>
      <c r="R85" s="1397"/>
      <c r="S85" s="1397"/>
      <c r="T85" s="1342">
        <v>2</v>
      </c>
      <c r="U85" s="1342"/>
      <c r="V85" s="1342"/>
      <c r="W85" s="1342"/>
      <c r="X85" s="584" t="s">
        <v>121</v>
      </c>
      <c r="Y85" s="585"/>
      <c r="Z85" s="585"/>
      <c r="AA85" s="521" t="s">
        <v>306</v>
      </c>
      <c r="AB85" s="520"/>
      <c r="AC85" s="281">
        <f>AC76+2*AH76</f>
        <v>13.699815394156094</v>
      </c>
      <c r="AD85" s="282">
        <f>AE85+(AF85+AG85+AH85)/3600</f>
        <v>13.867222222222223</v>
      </c>
      <c r="AE85" s="283">
        <f>heureConvert2Decimal(M85)</f>
        <v>13.866666666666667</v>
      </c>
      <c r="AF85" s="284">
        <f>P85*3600</f>
        <v>0</v>
      </c>
      <c r="AG85" s="285">
        <f>T85</f>
        <v>2</v>
      </c>
      <c r="AH85" s="283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2" customFormat="1" ht="17.25" customHeight="1" thickTop="1" thickBot="1">
      <c r="C86" s="790" t="s">
        <v>202</v>
      </c>
      <c r="D86" s="790"/>
      <c r="E86" s="1400" t="str">
        <f>E75</f>
        <v>3°54</v>
      </c>
      <c r="F86" s="1401"/>
      <c r="G86" s="1389" t="str">
        <f>heureDecimal2Txt(AC86)</f>
        <v>14:00:59.33(14.0164)</v>
      </c>
      <c r="H86" s="1389"/>
      <c r="I86" s="1389"/>
      <c r="J86" s="1402" t="str">
        <f>heureDecimal2Txt(AD86)</f>
        <v>14:10:02.00(14.1672)</v>
      </c>
      <c r="K86" s="1402"/>
      <c r="L86" s="1403"/>
      <c r="M86" s="1398" t="s">
        <v>302</v>
      </c>
      <c r="N86" s="1397"/>
      <c r="O86" s="1397"/>
      <c r="P86" s="1397">
        <v>0</v>
      </c>
      <c r="Q86" s="1397"/>
      <c r="R86" s="1397"/>
      <c r="S86" s="1397"/>
      <c r="T86" s="1342">
        <v>2</v>
      </c>
      <c r="U86" s="1342"/>
      <c r="V86" s="1342"/>
      <c r="W86" s="1342"/>
      <c r="X86" s="584" t="s">
        <v>121</v>
      </c>
      <c r="Y86" s="585"/>
      <c r="Z86" s="585"/>
      <c r="AA86" s="521" t="s">
        <v>306</v>
      </c>
      <c r="AB86" s="520"/>
      <c r="AC86" s="281">
        <f>AC75+2*AH75</f>
        <v>14.01648206082276</v>
      </c>
      <c r="AD86" s="282">
        <f>AE86+(AF86+AG86+AH86)/3600</f>
        <v>14.167222222222222</v>
      </c>
      <c r="AE86" s="283">
        <f>heureConvert2Decimal(M86)</f>
        <v>14.166666666666666</v>
      </c>
      <c r="AF86" s="284">
        <f>P86*3600</f>
        <v>0</v>
      </c>
      <c r="AG86" s="285">
        <f>T86</f>
        <v>2</v>
      </c>
      <c r="AH86" s="283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2" customFormat="1" ht="17.25" customHeight="1" thickTop="1" thickBot="1">
      <c r="C87" s="790" t="s">
        <v>200</v>
      </c>
      <c r="D87" s="790"/>
      <c r="E87" s="1400" t="str">
        <f>E74</f>
        <v>2°54</v>
      </c>
      <c r="F87" s="1401"/>
      <c r="G87" s="1389" t="str">
        <f>heureDecimal2Txt(AC87)</f>
        <v>14:15:59.33(14.2664)</v>
      </c>
      <c r="H87" s="1389"/>
      <c r="I87" s="1389"/>
      <c r="J87" s="1402" t="str">
        <f>heureDecimal2Txt(AD87)</f>
        <v>14:32:03.00(14.5341)</v>
      </c>
      <c r="K87" s="1402"/>
      <c r="L87" s="1403"/>
      <c r="M87" s="1398" t="s">
        <v>300</v>
      </c>
      <c r="N87" s="1397"/>
      <c r="O87" s="1397"/>
      <c r="P87" s="1397">
        <v>0</v>
      </c>
      <c r="Q87" s="1397"/>
      <c r="R87" s="1397"/>
      <c r="S87" s="1397"/>
      <c r="T87" s="1342">
        <v>2</v>
      </c>
      <c r="U87" s="1342"/>
      <c r="V87" s="1342"/>
      <c r="W87" s="1342"/>
      <c r="X87" s="584" t="s">
        <v>121</v>
      </c>
      <c r="Y87" s="585"/>
      <c r="Z87" s="585"/>
      <c r="AA87" s="521" t="s">
        <v>306</v>
      </c>
      <c r="AB87" s="520"/>
      <c r="AC87" s="281">
        <f>AC74+2*AH74</f>
        <v>14.26648206082276</v>
      </c>
      <c r="AD87" s="282">
        <f>AE87+(AF87+AG87+AH87)/3600</f>
        <v>14.534166666666666</v>
      </c>
      <c r="AE87" s="283">
        <f>heureConvert2Decimal(M87)</f>
        <v>14.53361111111111</v>
      </c>
      <c r="AF87" s="284">
        <f>P87*3600</f>
        <v>0</v>
      </c>
      <c r="AG87" s="285">
        <f>T87</f>
        <v>2</v>
      </c>
      <c r="AH87" s="283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29" t="s">
        <v>298</v>
      </c>
      <c r="C90" s="130"/>
      <c r="D90" s="130"/>
      <c r="E90" s="128"/>
      <c r="F90" s="128"/>
      <c r="G90" s="128"/>
      <c r="H90" s="128"/>
      <c r="I90" s="128"/>
      <c r="J90" s="128"/>
      <c r="K90" s="128"/>
      <c r="L90" s="130"/>
      <c r="M90" s="130"/>
      <c r="N90" s="130"/>
      <c r="O90" s="130"/>
      <c r="P90" s="130"/>
      <c r="Q90" s="130"/>
      <c r="R90" s="130"/>
      <c r="S90" s="130"/>
      <c r="T90" s="130"/>
      <c r="U90" s="128"/>
      <c r="V90" s="128"/>
      <c r="W90" s="128"/>
      <c r="X90" s="128"/>
      <c r="Y90" s="128"/>
      <c r="Z90" s="128"/>
      <c r="AA90" s="128"/>
    </row>
    <row r="91" spans="2:48">
      <c r="B91" s="14"/>
      <c r="E91" s="1332" t="s">
        <v>299</v>
      </c>
      <c r="F91" s="1332"/>
      <c r="G91" s="1332" t="s">
        <v>11</v>
      </c>
      <c r="H91" s="1332"/>
      <c r="I91" s="1332"/>
      <c r="J91" s="1332"/>
      <c r="K91" s="1332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</row>
    <row r="92" spans="2:48">
      <c r="B92" s="14"/>
      <c r="C92" s="133" t="s">
        <v>199</v>
      </c>
      <c r="D92" s="175"/>
      <c r="E92" s="1332" t="b">
        <f>(AA87="O")</f>
        <v>0</v>
      </c>
      <c r="F92" s="1332"/>
      <c r="G92" s="1332">
        <f>IF(E92,(AD87+AC74)/2,0)</f>
        <v>0</v>
      </c>
      <c r="H92" s="1332"/>
      <c r="I92" s="89" t="str">
        <f>heureDecimal2Txt(G92)</f>
        <v>00:00:00.00(00.0000)</v>
      </c>
      <c r="J92" s="89"/>
      <c r="K92" s="89"/>
      <c r="Z92" s="14"/>
      <c r="AA92" s="14"/>
      <c r="AC92" s="12" t="s">
        <v>308</v>
      </c>
      <c r="AD92" s="12">
        <f>IF(G92&gt;0,1,0)</f>
        <v>0</v>
      </c>
    </row>
    <row r="93" spans="2:48">
      <c r="B93" s="14"/>
      <c r="C93" s="131" t="s">
        <v>201</v>
      </c>
      <c r="D93" s="176"/>
      <c r="E93" s="1332" t="b">
        <f>(AA86="O")</f>
        <v>0</v>
      </c>
      <c r="F93" s="1332"/>
      <c r="G93" s="1332">
        <f>IF(E93,(AD86+AC75)/2,0)</f>
        <v>0</v>
      </c>
      <c r="H93" s="1332"/>
      <c r="I93" s="89" t="str">
        <f t="shared" ref="I93:I98" si="0">heureDecimal2Txt(G93)</f>
        <v>00:00:00.00(00.0000)</v>
      </c>
      <c r="J93" s="89"/>
      <c r="K93" s="89"/>
      <c r="Z93" s="14"/>
      <c r="AA93" s="14"/>
      <c r="AC93" s="12" t="s">
        <v>308</v>
      </c>
      <c r="AD93" s="12">
        <f>IF(G93&gt;0,1,0)</f>
        <v>0</v>
      </c>
    </row>
    <row r="94" spans="2:48">
      <c r="B94" s="14"/>
      <c r="C94" s="131" t="s">
        <v>203</v>
      </c>
      <c r="D94" s="176"/>
      <c r="E94" s="1332" t="b">
        <f>(AA85="O")</f>
        <v>0</v>
      </c>
      <c r="F94" s="1332"/>
      <c r="G94" s="1332">
        <f>IF(E94,(AD85+AC76)/2,0)</f>
        <v>0</v>
      </c>
      <c r="H94" s="1332"/>
      <c r="I94" s="89" t="str">
        <f t="shared" si="0"/>
        <v>00:00:00.00(00.0000)</v>
      </c>
      <c r="J94" s="89"/>
      <c r="K94" s="89"/>
      <c r="Z94" s="14"/>
      <c r="AA94" s="14"/>
      <c r="AC94" s="12" t="s">
        <v>308</v>
      </c>
      <c r="AD94" s="12">
        <f>IF(G94&gt;0,1,0)</f>
        <v>0</v>
      </c>
    </row>
    <row r="95" spans="2:48">
      <c r="C95" s="131" t="s">
        <v>205</v>
      </c>
      <c r="D95" s="176"/>
      <c r="E95" s="1332" t="b">
        <f>(AA84="O")</f>
        <v>0</v>
      </c>
      <c r="F95" s="1332"/>
      <c r="G95" s="1332">
        <f>IF(E95,(AD84+AC77)/2,0)</f>
        <v>0</v>
      </c>
      <c r="H95" s="1332"/>
      <c r="I95" s="89" t="str">
        <f t="shared" si="0"/>
        <v>00:00:00.00(00.0000)</v>
      </c>
      <c r="J95" s="89"/>
      <c r="K95" s="89"/>
      <c r="AC95" s="12" t="s">
        <v>308</v>
      </c>
      <c r="AD95" s="12">
        <f>IF(G95&gt;0,1,0)</f>
        <v>0</v>
      </c>
    </row>
    <row r="96" spans="2:48">
      <c r="C96" s="135" t="s">
        <v>207</v>
      </c>
      <c r="D96" s="177"/>
      <c r="E96" s="1332" t="b">
        <f>(AA83="O")</f>
        <v>1</v>
      </c>
      <c r="F96" s="1332"/>
      <c r="G96" s="1332">
        <f>IF(E96,(AD83+AC78)/2,0)</f>
        <v>12.618749999999999</v>
      </c>
      <c r="H96" s="1332"/>
      <c r="I96" s="89" t="str">
        <f t="shared" si="0"/>
        <v>12:37:07.49(12.6187)</v>
      </c>
      <c r="J96" s="89"/>
      <c r="K96" s="89"/>
      <c r="AC96" s="12" t="s">
        <v>308</v>
      </c>
      <c r="AD96" s="12">
        <f>IF(G96&gt;0,1,0)</f>
        <v>1</v>
      </c>
    </row>
    <row r="98" spans="2:66">
      <c r="E98" t="s">
        <v>301</v>
      </c>
      <c r="G98" s="1384">
        <f>SUM(G92:G96)/SUM(AD92:AD96)</f>
        <v>12.618749999999999</v>
      </c>
      <c r="H98" s="1384"/>
      <c r="I98" t="str">
        <f t="shared" si="0"/>
        <v>12:37:07.49(12.6187)</v>
      </c>
      <c r="N98" s="1340" t="s">
        <v>305</v>
      </c>
      <c r="O98" s="1340"/>
      <c r="P98" s="1340"/>
      <c r="Q98" s="1340">
        <f>G98</f>
        <v>12.618749999999999</v>
      </c>
      <c r="R98" s="1340"/>
      <c r="S98" s="1341" t="str">
        <f>heureDecimal2Txt(Q98)</f>
        <v>12:37:07.49(12.6187)</v>
      </c>
      <c r="T98" s="1341"/>
      <c r="U98" s="1341"/>
      <c r="V98" s="1341"/>
      <c r="W98" s="1341"/>
      <c r="X98" s="1341"/>
      <c r="Y98" s="1341"/>
    </row>
    <row r="99" spans="2:66">
      <c r="N99" s="1340"/>
      <c r="O99" s="1340"/>
      <c r="P99" s="1340"/>
      <c r="Q99" s="1340"/>
      <c r="R99" s="1340"/>
      <c r="S99" s="1341"/>
      <c r="T99" s="1341"/>
      <c r="U99" s="1341"/>
      <c r="V99" s="1341"/>
      <c r="W99" s="1341"/>
      <c r="X99" s="1341"/>
      <c r="Y99" s="1341"/>
    </row>
    <row r="100" spans="2:66">
      <c r="N100" s="1340" t="s">
        <v>171</v>
      </c>
      <c r="O100" s="1340"/>
      <c r="P100" s="1340"/>
      <c r="Q100" s="1339">
        <f>(F20-Q98)*V47</f>
        <v>-8.3406952777777423</v>
      </c>
      <c r="R100" s="1340"/>
      <c r="S100" s="1341" t="str">
        <f>longitudeDecimal2Txt(Q100)</f>
        <v>W 08°20.44 (W 08.3406) [W 08°20'26.50]</v>
      </c>
      <c r="T100" s="1341"/>
      <c r="U100" s="1341"/>
      <c r="V100" s="1341"/>
      <c r="W100" s="1341"/>
      <c r="X100" s="1341"/>
      <c r="Y100" s="1341"/>
    </row>
    <row r="101" spans="2:66">
      <c r="N101" s="1340"/>
      <c r="O101" s="1340"/>
      <c r="P101" s="1340"/>
      <c r="Q101" s="1340"/>
      <c r="R101" s="1340"/>
      <c r="S101" s="1341"/>
      <c r="T101" s="1341"/>
      <c r="U101" s="1341"/>
      <c r="V101" s="1341"/>
      <c r="W101" s="1341"/>
      <c r="X101" s="1341"/>
      <c r="Y101" s="1341"/>
    </row>
    <row r="102" spans="2:66" ht="15.75" thickBot="1"/>
    <row r="103" spans="2:66" s="14" customFormat="1" ht="17.25" customHeight="1" thickBot="1">
      <c r="B103" s="23" t="s">
        <v>18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87"/>
      <c r="AC103" s="12"/>
      <c r="AD103" s="12"/>
      <c r="AE103" s="12"/>
      <c r="AF103" s="12"/>
      <c r="AG103" s="12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2"/>
    </row>
    <row r="104" spans="2:66" s="14" customFormat="1" ht="18" customHeight="1" thickBot="1">
      <c r="B104"/>
      <c r="C104" s="761" t="s">
        <v>165</v>
      </c>
      <c r="D104" s="762"/>
      <c r="E104" s="762"/>
      <c r="F104" s="762"/>
      <c r="G104" s="762"/>
      <c r="H104" s="762"/>
      <c r="I104" s="763"/>
      <c r="J104" s="594" t="s">
        <v>167</v>
      </c>
      <c r="K104" s="594"/>
      <c r="L104" s="594"/>
      <c r="M104" s="594"/>
      <c r="N104" s="594"/>
      <c r="O104" s="594"/>
      <c r="P104"/>
      <c r="Q104"/>
      <c r="R104"/>
      <c r="S104"/>
      <c r="T104"/>
      <c r="U104"/>
      <c r="V104"/>
      <c r="W104"/>
      <c r="X104"/>
      <c r="Y104"/>
      <c r="Z104"/>
      <c r="AA104"/>
      <c r="AB104" s="286"/>
      <c r="AC104" s="255" t="s">
        <v>166</v>
      </c>
      <c r="AD104" s="256" t="s">
        <v>167</v>
      </c>
      <c r="AE104" s="12"/>
      <c r="AF104" s="12"/>
      <c r="AG104" s="12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2"/>
    </row>
    <row r="105" spans="2:66" s="14" customFormat="1" ht="18" customHeight="1" thickTop="1" thickBot="1">
      <c r="B105" s="12"/>
      <c r="C105" s="761" t="s">
        <v>128</v>
      </c>
      <c r="D105" s="762"/>
      <c r="E105" s="762"/>
      <c r="F105" s="762"/>
      <c r="G105" s="762"/>
      <c r="H105" s="762"/>
      <c r="I105" s="763"/>
      <c r="J105" s="1456" cm="1">
        <f t="array" ref="J105">angleConvert2Decimal(M105)</f>
        <v>0.9</v>
      </c>
      <c r="K105" s="1457"/>
      <c r="L105" s="1458"/>
      <c r="M105" s="571" t="s">
        <v>99</v>
      </c>
      <c r="N105" s="571"/>
      <c r="O105" s="571"/>
      <c r="P105" s="708" t="str" cm="1">
        <f t="array" ref="P105">angleDecimal2Txt(J105)</f>
        <v>+00°54.00 (+00.9000) [+00°54'00.00]</v>
      </c>
      <c r="Q105" s="709"/>
      <c r="R105" s="709"/>
      <c r="S105" s="709"/>
      <c r="T105" s="709"/>
      <c r="U105" s="709"/>
      <c r="V105" s="709"/>
      <c r="W105" s="709"/>
      <c r="X105" s="570"/>
      <c r="Y105" s="12"/>
      <c r="AB105" s="286"/>
      <c r="AC105" s="12"/>
      <c r="AD105" s="12"/>
      <c r="AE105" s="12"/>
      <c r="AF105" s="12"/>
      <c r="AG105" s="12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2"/>
    </row>
    <row r="106" spans="2:66" s="14" customFormat="1" ht="18" customHeight="1" thickTop="1" thickBot="1">
      <c r="C106" s="602" t="s">
        <v>127</v>
      </c>
      <c r="D106" s="602"/>
      <c r="E106" s="602"/>
      <c r="F106" s="602"/>
      <c r="G106" s="602"/>
      <c r="H106" s="602"/>
      <c r="I106" s="602"/>
      <c r="J106" s="597" cm="1">
        <f t="array" ref="J106">angleConvert2Decimal(M106)</f>
        <v>33.4</v>
      </c>
      <c r="K106" s="760"/>
      <c r="L106" s="598"/>
      <c r="M106" s="571" t="s">
        <v>210</v>
      </c>
      <c r="N106" s="594"/>
      <c r="O106" s="594"/>
      <c r="P106" s="567" t="str" cm="1">
        <f t="array" ref="P106">angleDecimal2Txt(J106)</f>
        <v>+33°24.00 (+33.3999) [+33°24'00.00]</v>
      </c>
      <c r="Q106" s="567"/>
      <c r="R106" s="567"/>
      <c r="S106" s="567"/>
      <c r="T106" s="567"/>
      <c r="U106" s="567"/>
      <c r="V106" s="567"/>
      <c r="W106" s="567"/>
      <c r="X106" s="567"/>
      <c r="Y106" s="12"/>
      <c r="AB106" s="286"/>
      <c r="AC106" s="12"/>
      <c r="AD106" s="12"/>
      <c r="AE106" s="12"/>
      <c r="AF106" s="12"/>
      <c r="AG106" s="12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2"/>
    </row>
    <row r="107" spans="2:66" s="14" customFormat="1" ht="18" customHeight="1" thickTop="1" thickBot="1">
      <c r="C107" s="602" t="s">
        <v>135</v>
      </c>
      <c r="D107" s="602"/>
      <c r="E107" s="602"/>
      <c r="F107" s="602"/>
      <c r="G107" s="602"/>
      <c r="H107" s="602"/>
      <c r="I107" s="602"/>
      <c r="J107" s="597" cm="1">
        <f t="array" ref="J107">angleConvert2Decimal(M107)</f>
        <v>16.25</v>
      </c>
      <c r="K107" s="760"/>
      <c r="L107" s="598"/>
      <c r="M107" s="571">
        <f>(J106-J105)/2</f>
        <v>16.25</v>
      </c>
      <c r="N107" s="594"/>
      <c r="O107" s="594"/>
      <c r="P107" s="567" t="str" cm="1">
        <f t="array" ref="P107">angleDecimal2Txt(J107)</f>
        <v>+16°15.00 (+16.2500) [+16°15'00.00]</v>
      </c>
      <c r="Q107" s="567"/>
      <c r="R107" s="567"/>
      <c r="S107" s="567"/>
      <c r="T107" s="567"/>
      <c r="U107" s="567"/>
      <c r="V107" s="567"/>
      <c r="W107" s="567"/>
      <c r="X107" s="567"/>
      <c r="Y107" s="12"/>
      <c r="AB107" s="286"/>
      <c r="AC107" s="12"/>
      <c r="AD107" s="12"/>
      <c r="AE107" s="12"/>
      <c r="AF107" s="12"/>
      <c r="AG107" s="12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2"/>
    </row>
    <row r="108" spans="2:66" s="14" customFormat="1" ht="18" customHeight="1" thickTop="1" thickBot="1">
      <c r="C108" s="764" t="s">
        <v>19</v>
      </c>
      <c r="D108" s="764"/>
      <c r="E108" s="764"/>
      <c r="F108" s="764"/>
      <c r="G108" s="764"/>
      <c r="H108" s="764"/>
      <c r="I108" s="764"/>
      <c r="J108" s="755">
        <f>M108</f>
        <v>2</v>
      </c>
      <c r="K108" s="756"/>
      <c r="L108" s="757"/>
      <c r="M108" s="594">
        <v>2</v>
      </c>
      <c r="N108" s="594"/>
      <c r="O108" s="59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AB108" s="286"/>
      <c r="AC108" s="12"/>
      <c r="AD108" s="12"/>
      <c r="AE108" s="12"/>
      <c r="AF108" s="12"/>
      <c r="AG108" s="12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2"/>
    </row>
    <row r="109" spans="2:66" s="14" customFormat="1" ht="18" customHeight="1" thickTop="1" thickBot="1">
      <c r="B109" s="12"/>
      <c r="C109" s="765" t="s">
        <v>20</v>
      </c>
      <c r="D109" s="766"/>
      <c r="E109" s="766"/>
      <c r="F109" s="766"/>
      <c r="G109" s="766"/>
      <c r="H109" s="766"/>
      <c r="I109" s="767"/>
      <c r="J109" s="597" cm="1">
        <f t="array" ref="J109">angleConvert2Decimal(M109)</f>
        <v>2.1666666666666667E-2</v>
      </c>
      <c r="K109" s="760"/>
      <c r="L109" s="598"/>
      <c r="M109" s="571" t="s">
        <v>244</v>
      </c>
      <c r="N109" s="594"/>
      <c r="O109" s="594"/>
      <c r="P109" s="567" t="str" cm="1">
        <f t="array" ref="P109">angleDecimal2Txt(J109)</f>
        <v>+00°01.30 (+00.0216) [+00°01'18.00]</v>
      </c>
      <c r="Q109" s="567"/>
      <c r="R109" s="567"/>
      <c r="S109" s="567"/>
      <c r="T109" s="567"/>
      <c r="U109" s="567"/>
      <c r="V109" s="567"/>
      <c r="W109" s="567"/>
      <c r="X109" s="567"/>
      <c r="Y109" s="12"/>
      <c r="AB109" s="286"/>
      <c r="AC109" s="12"/>
      <c r="AD109" s="12"/>
      <c r="AE109" s="12"/>
      <c r="AF109" s="12"/>
      <c r="AG109" s="12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2"/>
    </row>
    <row r="110" spans="2:66" s="14" customFormat="1" ht="18" customHeight="1" thickTop="1" thickBot="1">
      <c r="C110" s="608" t="s">
        <v>26</v>
      </c>
      <c r="D110" s="608"/>
      <c r="E110" s="608"/>
      <c r="F110" s="608"/>
      <c r="G110" s="608"/>
      <c r="H110" s="608"/>
      <c r="I110" s="608"/>
      <c r="J110" s="1437" cm="1">
        <f t="array" ref="J110">IF(J104=AC104,J107,angleConvert2Decimal(M110))</f>
        <v>66.95</v>
      </c>
      <c r="K110" s="1438"/>
      <c r="L110" s="1439"/>
      <c r="M110" s="571" t="s">
        <v>253</v>
      </c>
      <c r="N110" s="594"/>
      <c r="O110" s="594"/>
      <c r="P110" s="567" t="str" cm="1">
        <f t="array" ref="P110">angleDecimal2Txt(J110)</f>
        <v>+66°57.00 (+66.9500) [+66°57'00.00]</v>
      </c>
      <c r="Q110" s="567"/>
      <c r="R110" s="567"/>
      <c r="S110" s="567"/>
      <c r="T110" s="567"/>
      <c r="U110" s="567"/>
      <c r="V110" s="567"/>
      <c r="W110" s="567"/>
      <c r="X110" s="567"/>
      <c r="Y110" s="12"/>
      <c r="AB110" s="286"/>
      <c r="AC110" s="12"/>
      <c r="AD110" s="12"/>
      <c r="AE110" s="12"/>
      <c r="AF110" s="12"/>
      <c r="AG110" s="12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2"/>
    </row>
    <row r="111" spans="2:66" s="14" customFormat="1" ht="18" customHeight="1" thickTop="1">
      <c r="C111" s="720" t="s">
        <v>30</v>
      </c>
      <c r="D111" s="720"/>
      <c r="E111" s="720"/>
      <c r="F111" s="720"/>
      <c r="G111" s="720"/>
      <c r="H111" s="720"/>
      <c r="I111" s="720"/>
      <c r="J111" s="685" t="str">
        <f>M111</f>
        <v>Soleil</v>
      </c>
      <c r="K111" s="686"/>
      <c r="L111" s="687"/>
      <c r="M111" s="594" t="s">
        <v>31</v>
      </c>
      <c r="N111" s="594"/>
      <c r="O111" s="59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AB111" s="286"/>
      <c r="AC111" s="12"/>
      <c r="AD111" s="12"/>
      <c r="AE111" s="12"/>
      <c r="AF111" s="12"/>
      <c r="AG111" s="260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2"/>
    </row>
    <row r="112" spans="2:66" s="14" customFormat="1" ht="18" customHeight="1">
      <c r="C112" s="720" t="s">
        <v>56</v>
      </c>
      <c r="D112" s="720"/>
      <c r="E112" s="720"/>
      <c r="F112" s="720"/>
      <c r="G112" s="720"/>
      <c r="H112" s="720"/>
      <c r="I112" s="720"/>
      <c r="J112" s="685" t="str">
        <f>M112</f>
        <v>BordSup</v>
      </c>
      <c r="K112" s="686"/>
      <c r="L112" s="687"/>
      <c r="M112" s="594" t="s">
        <v>188</v>
      </c>
      <c r="N112" s="594"/>
      <c r="O112" s="59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AB112" s="286"/>
      <c r="AC112"/>
      <c r="AD112"/>
      <c r="AE112"/>
      <c r="AF112"/>
      <c r="AG112" s="260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2"/>
    </row>
    <row r="113" spans="1:66" s="14" customFormat="1" ht="17.25" customHeight="1">
      <c r="C113" s="731" t="s">
        <v>151</v>
      </c>
      <c r="D113" s="732"/>
      <c r="E113" s="25"/>
      <c r="F113" s="25"/>
      <c r="G113" s="25"/>
      <c r="H113" s="25"/>
      <c r="I113" s="26"/>
      <c r="J113" s="625" cm="1">
        <f t="array" ref="J113">angleConvert2Decimal(M113)</f>
        <v>2.8833333333333302E-3</v>
      </c>
      <c r="K113" s="626"/>
      <c r="L113" s="627"/>
      <c r="M113" s="737">
        <f>P115</f>
        <v>2.8833333333333302E-3</v>
      </c>
      <c r="N113" s="737"/>
      <c r="O113" s="737"/>
      <c r="P113" s="1454" t="s">
        <v>97</v>
      </c>
      <c r="Q113" s="1454"/>
      <c r="R113" s="1454"/>
      <c r="S113" s="12"/>
      <c r="T113" s="12"/>
      <c r="U113" s="12"/>
      <c r="V113" s="12"/>
      <c r="W113" s="12"/>
      <c r="X113" s="12"/>
      <c r="Y113" s="12"/>
      <c r="AB113" s="286"/>
      <c r="AC113"/>
      <c r="AD113"/>
      <c r="AE113"/>
      <c r="AF113"/>
      <c r="AG113" s="260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2"/>
    </row>
    <row r="114" spans="1:66" s="14" customFormat="1" ht="17.25" customHeight="1" thickBot="1">
      <c r="C114" s="27"/>
      <c r="D114" s="1485" t="s">
        <v>152</v>
      </c>
      <c r="E114" s="1485"/>
      <c r="F114" s="1485"/>
      <c r="G114" s="1485"/>
      <c r="H114" s="1485"/>
      <c r="I114" s="1486"/>
      <c r="J114" s="628"/>
      <c r="K114" s="629"/>
      <c r="L114" s="630"/>
      <c r="M114" s="737"/>
      <c r="N114" s="737"/>
      <c r="O114" s="737"/>
      <c r="P114" s="1454"/>
      <c r="Q114" s="1454"/>
      <c r="R114" s="1454"/>
      <c r="S114" s="12"/>
      <c r="T114" s="12"/>
      <c r="U114" s="12"/>
      <c r="V114" s="12"/>
      <c r="W114" s="12"/>
      <c r="X114" s="12"/>
      <c r="Y114" s="12"/>
      <c r="AB114" s="286"/>
      <c r="AC114"/>
      <c r="AD114"/>
      <c r="AE114"/>
      <c r="AF114"/>
      <c r="AG114" s="260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2"/>
    </row>
    <row r="115" spans="1:66" s="14" customFormat="1" ht="17.25" customHeight="1" thickTop="1" thickBot="1">
      <c r="C115" s="27"/>
      <c r="D115" s="1485"/>
      <c r="E115" s="1485"/>
      <c r="F115" s="1485"/>
      <c r="G115" s="1485"/>
      <c r="H115" s="1485"/>
      <c r="I115" s="1486"/>
      <c r="J115" s="628"/>
      <c r="K115" s="629"/>
      <c r="L115" s="630"/>
      <c r="M115" s="737"/>
      <c r="N115" s="737"/>
      <c r="O115" s="737"/>
      <c r="P115" s="747" cm="1">
        <f t="array" ref="P115">astroHPSoleilEnDegre()</f>
        <v>2.8833333333333302E-3</v>
      </c>
      <c r="Q115" s="747"/>
      <c r="R115" s="747"/>
      <c r="S115" s="680" t="str" cm="1">
        <f t="array" ref="S115">angleDecimal2Txt(angleConvert2Decimal(P115))</f>
        <v>+00°00.17 (+00.0028) [+00°00'10.37]</v>
      </c>
      <c r="T115" s="680"/>
      <c r="U115" s="680"/>
      <c r="V115" s="680"/>
      <c r="W115" s="680"/>
      <c r="X115" s="681"/>
      <c r="Y115" s="12"/>
      <c r="AB115" s="286"/>
      <c r="AC115" s="12"/>
      <c r="AD115" s="12"/>
      <c r="AE115" s="12"/>
      <c r="AF115" s="12"/>
      <c r="AG115" s="12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2"/>
    </row>
    <row r="116" spans="1:66" s="14" customFormat="1" ht="17.25" customHeight="1" thickTop="1" thickBot="1">
      <c r="C116" s="28"/>
      <c r="D116" s="1487"/>
      <c r="E116" s="1487"/>
      <c r="F116" s="1487"/>
      <c r="G116" s="1487"/>
      <c r="H116" s="1487"/>
      <c r="I116" s="1488"/>
      <c r="J116" s="1482"/>
      <c r="K116" s="1483"/>
      <c r="L116" s="1484"/>
      <c r="M116" s="737"/>
      <c r="N116" s="737"/>
      <c r="O116" s="737"/>
      <c r="P116" s="593" t="str" cm="1">
        <f t="array" ref="P116">angleDecimal2Txt(J113)</f>
        <v>+00°00.17 (+00.0028) [+00°00'10.37]</v>
      </c>
      <c r="Q116" s="593"/>
      <c r="R116" s="593"/>
      <c r="S116" s="567"/>
      <c r="T116" s="567"/>
      <c r="U116" s="567"/>
      <c r="V116" s="567"/>
      <c r="W116" s="567"/>
      <c r="X116" s="567"/>
      <c r="Y116" s="12"/>
      <c r="AB116" s="286"/>
      <c r="AC116" s="257" t="s">
        <v>98</v>
      </c>
      <c r="AD116" s="258" t="s">
        <v>57</v>
      </c>
      <c r="AE116" s="258" t="s">
        <v>188</v>
      </c>
      <c r="AF116" s="258" t="s">
        <v>58</v>
      </c>
      <c r="AG116" s="12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2"/>
    </row>
    <row r="117" spans="1:66" s="14" customFormat="1" ht="17.25" customHeight="1" thickTop="1">
      <c r="C117" s="1446" t="s">
        <v>100</v>
      </c>
      <c r="D117" s="1447"/>
      <c r="E117" s="1447"/>
      <c r="F117" s="1447"/>
      <c r="G117" s="1447"/>
      <c r="H117" s="1447"/>
      <c r="I117" s="1448"/>
      <c r="J117" s="625" cm="1">
        <f t="array" ref="J117">angleConvert2Decimal(M117)</f>
        <v>0.52666666699999998</v>
      </c>
      <c r="K117" s="626"/>
      <c r="L117" s="627"/>
      <c r="M117" s="737">
        <f>P119</f>
        <v>0.52666666699999998</v>
      </c>
      <c r="N117" s="737"/>
      <c r="O117" s="737"/>
      <c r="P117" s="1454" t="s">
        <v>97</v>
      </c>
      <c r="Q117" s="1454"/>
      <c r="R117" s="1454"/>
      <c r="S117" s="12"/>
      <c r="T117" s="12"/>
      <c r="U117" s="12"/>
      <c r="V117" s="12"/>
      <c r="W117" s="12"/>
      <c r="X117" s="12"/>
      <c r="Y117" s="12"/>
      <c r="AB117" s="286"/>
      <c r="AC117"/>
      <c r="AD117"/>
      <c r="AE117"/>
      <c r="AF117"/>
      <c r="AG117" s="12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2"/>
    </row>
    <row r="118" spans="1:66" s="14" customFormat="1" ht="17.25" customHeight="1" thickBot="1">
      <c r="C118" s="1449"/>
      <c r="D118" s="601"/>
      <c r="E118" s="601"/>
      <c r="F118" s="601"/>
      <c r="G118" s="601"/>
      <c r="H118" s="601"/>
      <c r="I118" s="1450"/>
      <c r="J118" s="628"/>
      <c r="K118" s="629"/>
      <c r="L118" s="630"/>
      <c r="M118" s="737"/>
      <c r="N118" s="737"/>
      <c r="O118" s="737"/>
      <c r="P118" s="1454"/>
      <c r="Q118" s="1454"/>
      <c r="R118" s="1454"/>
      <c r="S118" s="12"/>
      <c r="T118" s="12"/>
      <c r="U118" s="12"/>
      <c r="V118" s="12"/>
      <c r="W118" s="12"/>
      <c r="X118" s="12"/>
      <c r="Y118" s="12"/>
      <c r="AB118" s="286"/>
      <c r="AC118" s="12"/>
      <c r="AD118" s="12"/>
      <c r="AE118" s="12"/>
      <c r="AF118" s="12"/>
      <c r="AG118" s="12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2"/>
    </row>
    <row r="119" spans="1:66" s="14" customFormat="1" ht="17.25" customHeight="1" thickTop="1" thickBot="1">
      <c r="C119" s="1449"/>
      <c r="D119" s="601"/>
      <c r="E119" s="601"/>
      <c r="F119" s="601"/>
      <c r="G119" s="601"/>
      <c r="H119" s="601"/>
      <c r="I119" s="1450"/>
      <c r="J119" s="628"/>
      <c r="K119" s="629"/>
      <c r="L119" s="630"/>
      <c r="M119" s="737"/>
      <c r="N119" s="737"/>
      <c r="O119" s="737"/>
      <c r="P119" s="747" cm="1">
        <f t="array" ref="P119">astroDiametreSoleilEnDegre(AA6)</f>
        <v>0.52666666699999998</v>
      </c>
      <c r="Q119" s="747"/>
      <c r="R119" s="747"/>
      <c r="S119" s="680" t="str" cm="1">
        <f t="array" ref="S119">angleDecimal2Txt(angleConvert2Decimal(P119))</f>
        <v>+00°31.60 (+00.5266) [+00°31'36.00]</v>
      </c>
      <c r="T119" s="680"/>
      <c r="U119" s="680"/>
      <c r="V119" s="680"/>
      <c r="W119" s="680"/>
      <c r="X119" s="681"/>
      <c r="Y119" s="12"/>
      <c r="AB119" s="286"/>
      <c r="AC119" s="12"/>
      <c r="AD119" s="12"/>
      <c r="AE119" s="12"/>
      <c r="AF119" s="12"/>
      <c r="AG119" s="12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2"/>
    </row>
    <row r="120" spans="1:66" s="14" customFormat="1" ht="17.25" customHeight="1" thickTop="1" thickBot="1">
      <c r="C120" s="1451"/>
      <c r="D120" s="1452"/>
      <c r="E120" s="1452"/>
      <c r="F120" s="1452"/>
      <c r="G120" s="1452"/>
      <c r="H120" s="1452"/>
      <c r="I120" s="1453"/>
      <c r="J120" s="631"/>
      <c r="K120" s="632"/>
      <c r="L120" s="633"/>
      <c r="M120" s="737"/>
      <c r="N120" s="737"/>
      <c r="O120" s="737"/>
      <c r="P120" s="593" t="str" cm="1">
        <f t="array" ref="P120">angleDecimal2Txt(J117)</f>
        <v>+00°31.60 (+00.5266) [+00°31'36.00]</v>
      </c>
      <c r="Q120" s="593"/>
      <c r="R120" s="593"/>
      <c r="S120" s="567"/>
      <c r="T120" s="567"/>
      <c r="U120" s="567"/>
      <c r="V120" s="567"/>
      <c r="W120" s="567"/>
      <c r="X120" s="567"/>
      <c r="Y120" s="12"/>
      <c r="AB120" s="286"/>
      <c r="AC120" s="12"/>
      <c r="AD120" s="12"/>
      <c r="AE120" s="12"/>
      <c r="AF120" s="12"/>
      <c r="AG120" s="12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2"/>
    </row>
    <row r="121" spans="1:66" s="14" customFormat="1" ht="17.25" customHeight="1" thickTop="1" thickBot="1"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AB121" s="286"/>
      <c r="AC121" s="12"/>
      <c r="AD121" s="12"/>
      <c r="AE121" s="12"/>
      <c r="AF121" s="12"/>
      <c r="AG121" s="12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2"/>
    </row>
    <row r="122" spans="1:66" s="14" customFormat="1" ht="17.25" customHeight="1" thickBot="1">
      <c r="B122" s="23" t="s">
        <v>9</v>
      </c>
      <c r="C122" s="24"/>
      <c r="D122" s="24"/>
      <c r="E122" s="24"/>
      <c r="F122" s="612">
        <f>IF(G123=AD123,D126,IF(G123=AD124,D133,D139))</f>
        <v>-14.728333333333333</v>
      </c>
      <c r="G122" s="612"/>
      <c r="H122" s="612"/>
      <c r="I122" s="24"/>
      <c r="J122" s="24"/>
      <c r="K122" s="24" t="str" cm="1">
        <f t="array" ref="K122">latitudeDecimal2Txt(F122)</f>
        <v>S 14°43.70 (S 14.7283) [S 14°43'42.00]</v>
      </c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304"/>
      <c r="AC122"/>
      <c r="AD122" s="66" t="s">
        <v>512</v>
      </c>
      <c r="AF122" s="12"/>
      <c r="AG122" s="1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2"/>
    </row>
    <row r="123" spans="1:66" s="14" customFormat="1" ht="17.25" customHeight="1">
      <c r="A123" s="31"/>
      <c r="B123" s="31"/>
      <c r="C123" s="675" t="s">
        <v>35</v>
      </c>
      <c r="D123" s="675"/>
      <c r="E123" s="675"/>
      <c r="F123" s="675"/>
      <c r="G123" s="678" t="s">
        <v>512</v>
      </c>
      <c r="H123" s="678"/>
      <c r="I123" s="678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05"/>
      <c r="AC123" s="1330" t="s">
        <v>36</v>
      </c>
      <c r="AD123" s="66" t="s">
        <v>10</v>
      </c>
      <c r="AE123"/>
      <c r="AF123" s="12"/>
      <c r="AG123" s="12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2"/>
    </row>
    <row r="124" spans="1:66" s="14" customFormat="1" ht="17.25" customHeight="1">
      <c r="C124" s="1331" t="s">
        <v>10</v>
      </c>
      <c r="D124" s="926" t="s">
        <v>9</v>
      </c>
      <c r="E124" s="634"/>
      <c r="F124" s="634"/>
      <c r="G124" s="634"/>
      <c r="H124" s="634"/>
      <c r="I124" s="577" t="s">
        <v>575</v>
      </c>
      <c r="J124" s="665"/>
      <c r="K124" s="577" t="s">
        <v>13</v>
      </c>
      <c r="L124" s="578"/>
      <c r="M124" s="579"/>
      <c r="N124" s="583" t="s">
        <v>15</v>
      </c>
      <c r="O124" s="583"/>
      <c r="P124" s="583"/>
      <c r="Q124" s="583"/>
      <c r="R124" s="583"/>
      <c r="S124" s="12"/>
      <c r="AB124" s="301"/>
      <c r="AC124" s="1330"/>
      <c r="AD124" s="66" t="s">
        <v>14</v>
      </c>
      <c r="AE124"/>
      <c r="AF124" s="12"/>
      <c r="AG124" s="12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2"/>
    </row>
    <row r="125" spans="1:66" s="14" customFormat="1" ht="17.25" customHeight="1" thickBot="1">
      <c r="C125" s="1331"/>
      <c r="D125" s="926"/>
      <c r="E125" s="634"/>
      <c r="F125" s="634"/>
      <c r="G125" s="634"/>
      <c r="H125" s="634"/>
      <c r="I125" s="668"/>
      <c r="J125" s="669"/>
      <c r="K125" s="580"/>
      <c r="L125" s="581"/>
      <c r="M125" s="582"/>
      <c r="N125" s="583"/>
      <c r="O125" s="583"/>
      <c r="P125" s="583"/>
      <c r="Q125" s="583"/>
      <c r="R125" s="583"/>
      <c r="S125" s="12"/>
      <c r="AB125" s="301"/>
      <c r="AC125"/>
      <c r="AD125" s="69" t="s">
        <v>73</v>
      </c>
      <c r="AE125" s="3" t="s">
        <v>180</v>
      </c>
      <c r="AF125" s="12"/>
      <c r="AG125" s="12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9"/>
    </row>
    <row r="126" spans="1:66" s="14" customFormat="1" ht="17.25" customHeight="1" thickTop="1" thickBot="1">
      <c r="C126" s="1331"/>
      <c r="D126" s="626" t="str">
        <f>IF(G123=AD123,AD131,"---")</f>
        <v>---</v>
      </c>
      <c r="E126" s="626"/>
      <c r="F126" s="626"/>
      <c r="G126" s="626"/>
      <c r="H126" s="627"/>
      <c r="I126" s="704" t="b">
        <f>E95</f>
        <v>0</v>
      </c>
      <c r="J126" s="705"/>
      <c r="K126" s="604">
        <v>10</v>
      </c>
      <c r="L126" s="604"/>
      <c r="M126" s="604"/>
      <c r="N126" s="575" t="s">
        <v>3</v>
      </c>
      <c r="O126" s="584" t="s">
        <v>497</v>
      </c>
      <c r="P126" s="585"/>
      <c r="Q126" s="585"/>
      <c r="R126" s="585"/>
      <c r="S126" s="591" t="str" cm="1">
        <f t="array" ref="S126">angleDecimal2Txt(AE126)</f>
        <v>+23°08.50 (+23.1416) [+23°08'30.00]</v>
      </c>
      <c r="T126" s="592"/>
      <c r="U126" s="592"/>
      <c r="V126" s="592"/>
      <c r="W126" s="592"/>
      <c r="AB126" s="30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2"/>
      <c r="AG126" s="12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9"/>
    </row>
    <row r="127" spans="1:66" s="14" customFormat="1" ht="17.25" customHeight="1" thickTop="1" thickBot="1">
      <c r="C127" s="1331"/>
      <c r="D127" s="629"/>
      <c r="E127" s="629"/>
      <c r="F127" s="629"/>
      <c r="G127" s="629"/>
      <c r="H127" s="630"/>
      <c r="I127" s="809"/>
      <c r="J127" s="925"/>
      <c r="K127" s="604"/>
      <c r="L127" s="604"/>
      <c r="M127" s="604"/>
      <c r="N127" s="575"/>
      <c r="O127" s="585"/>
      <c r="P127" s="585"/>
      <c r="Q127" s="585"/>
      <c r="R127" s="585"/>
      <c r="S127" s="592"/>
      <c r="T127" s="592"/>
      <c r="U127" s="592"/>
      <c r="V127" s="592"/>
      <c r="W127" s="592"/>
      <c r="AB127" s="30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2"/>
      <c r="AG127" s="12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9"/>
    </row>
    <row r="128" spans="1:66" s="14" customFormat="1" ht="17.25" customHeight="1" thickTop="1" thickBot="1">
      <c r="C128" s="1331"/>
      <c r="D128" s="629"/>
      <c r="E128" s="629"/>
      <c r="F128" s="629"/>
      <c r="G128" s="629"/>
      <c r="H128" s="630"/>
      <c r="I128" s="809"/>
      <c r="J128" s="925"/>
      <c r="K128" s="604">
        <v>11</v>
      </c>
      <c r="L128" s="604"/>
      <c r="M128" s="604"/>
      <c r="N128" s="575" t="s">
        <v>3</v>
      </c>
      <c r="O128" s="584" t="s">
        <v>498</v>
      </c>
      <c r="P128" s="585"/>
      <c r="Q128" s="585"/>
      <c r="R128" s="585"/>
      <c r="S128" s="591" t="str" cm="1">
        <f t="array" ref="S128">angleDecimal2Txt((AE127))</f>
        <v>+23°08.30 (+23.1383) [+23°08'18.00]</v>
      </c>
      <c r="T128" s="592"/>
      <c r="U128" s="592"/>
      <c r="V128" s="592"/>
      <c r="W128" s="592"/>
      <c r="AB128" s="301"/>
      <c r="AC128" s="3" t="s">
        <v>38</v>
      </c>
      <c r="AD128" s="5">
        <f>AE127-AE126</f>
        <v>-3.3333333333338544E-3</v>
      </c>
      <c r="AE128"/>
      <c r="AF128" s="12"/>
      <c r="AG128" s="12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2"/>
    </row>
    <row r="129" spans="1:66" s="14" customFormat="1" ht="17.25" customHeight="1" thickTop="1" thickBot="1">
      <c r="C129" s="1331"/>
      <c r="D129" s="636" t="e" cm="1">
        <f t="array" ref="D129">latitudeDecimal2Txt(D126)</f>
        <v>#VALUE!</v>
      </c>
      <c r="E129" s="565"/>
      <c r="F129" s="565"/>
      <c r="G129" s="565"/>
      <c r="H129" s="565"/>
      <c r="I129" s="706"/>
      <c r="J129" s="707"/>
      <c r="K129" s="604"/>
      <c r="L129" s="604"/>
      <c r="M129" s="604"/>
      <c r="N129" s="575"/>
      <c r="O129" s="585"/>
      <c r="P129" s="585"/>
      <c r="Q129" s="585"/>
      <c r="R129" s="585"/>
      <c r="S129" s="592"/>
      <c r="T129" s="592"/>
      <c r="U129" s="592"/>
      <c r="V129" s="592"/>
      <c r="W129" s="592"/>
      <c r="AB129" s="301"/>
      <c r="AC129" s="3" t="s">
        <v>174</v>
      </c>
      <c r="AD129" s="5">
        <f>K128-K126</f>
        <v>1</v>
      </c>
      <c r="AF129" s="12"/>
      <c r="AG129" s="12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2"/>
    </row>
    <row r="130" spans="1:66" s="31" customFormat="1" ht="17.25" customHeight="1" thickTop="1">
      <c r="A130" s="14"/>
      <c r="B130" s="14"/>
      <c r="C130" s="57"/>
      <c r="D130" s="57"/>
      <c r="E130" s="57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301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4" customFormat="1" ht="17.25" customHeight="1">
      <c r="C131" s="1445" t="s">
        <v>14</v>
      </c>
      <c r="D131" s="634" t="s">
        <v>9</v>
      </c>
      <c r="E131" s="634"/>
      <c r="F131" s="634"/>
      <c r="G131" s="634"/>
      <c r="H131" s="634"/>
      <c r="I131" s="577" t="s">
        <v>575</v>
      </c>
      <c r="J131" s="665"/>
      <c r="K131" s="577" t="s">
        <v>569</v>
      </c>
      <c r="L131" s="578"/>
      <c r="M131" s="579"/>
      <c r="N131" s="583" t="s">
        <v>16</v>
      </c>
      <c r="O131" s="583"/>
      <c r="P131" s="583"/>
      <c r="Q131" s="583"/>
      <c r="R131" s="583"/>
      <c r="S131" s="583" t="s">
        <v>131</v>
      </c>
      <c r="T131" s="583"/>
      <c r="U131" s="583"/>
      <c r="V131" s="583"/>
      <c r="W131" s="583"/>
      <c r="AA131" s="12"/>
      <c r="AB131" s="301"/>
      <c r="AC131" s="3" t="s">
        <v>37</v>
      </c>
      <c r="AD131" s="3">
        <f>AE126+(AD128/AD129)*AD130</f>
        <v>23.175000000000004</v>
      </c>
      <c r="AE131"/>
      <c r="AF131" s="260"/>
      <c r="AG131" s="260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2"/>
    </row>
    <row r="132" spans="1:66" s="14" customFormat="1" ht="17.25" customHeight="1">
      <c r="C132" s="1445"/>
      <c r="D132" s="634"/>
      <c r="E132" s="634"/>
      <c r="F132" s="634"/>
      <c r="G132" s="634"/>
      <c r="H132" s="634"/>
      <c r="I132" s="668"/>
      <c r="J132" s="669"/>
      <c r="K132" s="580"/>
      <c r="L132" s="581"/>
      <c r="M132" s="582"/>
      <c r="N132" s="583"/>
      <c r="O132" s="583"/>
      <c r="P132" s="583"/>
      <c r="Q132" s="583"/>
      <c r="R132" s="583"/>
      <c r="S132" s="583"/>
      <c r="T132" s="583"/>
      <c r="U132" s="583"/>
      <c r="V132" s="583"/>
      <c r="W132" s="583"/>
      <c r="AA132" s="12"/>
      <c r="AB132" s="301"/>
      <c r="AC132"/>
      <c r="AD132"/>
      <c r="AE132"/>
      <c r="AF132" s="12"/>
      <c r="AG132" s="1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2"/>
    </row>
    <row r="133" spans="1:66" s="14" customFormat="1" ht="17.25" customHeight="1">
      <c r="C133" s="1445"/>
      <c r="D133" s="626" t="str">
        <f>IF(G123=AD124,AD137,"---")</f>
        <v>---</v>
      </c>
      <c r="E133" s="626"/>
      <c r="F133" s="626"/>
      <c r="G133" s="626"/>
      <c r="H133" s="626"/>
      <c r="I133" s="586" t="b">
        <f>E95</f>
        <v>0</v>
      </c>
      <c r="J133" s="586"/>
      <c r="K133" s="575">
        <v>0</v>
      </c>
      <c r="L133" s="575"/>
      <c r="M133" s="575"/>
      <c r="N133" s="575" t="s">
        <v>3</v>
      </c>
      <c r="O133" s="604" t="s">
        <v>568</v>
      </c>
      <c r="P133" s="575"/>
      <c r="Q133" s="575"/>
      <c r="R133" s="575"/>
      <c r="S133" s="575" t="s">
        <v>3</v>
      </c>
      <c r="T133" s="604">
        <f>0.2/60</f>
        <v>3.3333333333333335E-3</v>
      </c>
      <c r="U133" s="575"/>
      <c r="V133" s="575"/>
      <c r="W133" s="575"/>
      <c r="AA133" s="12"/>
      <c r="AB133" s="301"/>
      <c r="AC133" s="3" t="s">
        <v>175</v>
      </c>
      <c r="AD133" s="3">
        <f>VLOOKUP(N133,Outils!$C$9:$E$10,3)</f>
        <v>1</v>
      </c>
      <c r="AE133"/>
      <c r="AF133" s="12"/>
      <c r="AG133" s="12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2"/>
    </row>
    <row r="134" spans="1:66" s="14" customFormat="1" ht="17.25" customHeight="1" thickBot="1">
      <c r="C134" s="1445"/>
      <c r="D134" s="629"/>
      <c r="E134" s="629"/>
      <c r="F134" s="629"/>
      <c r="G134" s="629"/>
      <c r="H134" s="629"/>
      <c r="I134" s="586"/>
      <c r="J134" s="586"/>
      <c r="K134" s="575"/>
      <c r="L134" s="575"/>
      <c r="M134" s="575"/>
      <c r="N134" s="575"/>
      <c r="O134" s="575"/>
      <c r="P134" s="575"/>
      <c r="Q134" s="575"/>
      <c r="R134" s="575"/>
      <c r="S134" s="575"/>
      <c r="T134" s="575"/>
      <c r="U134" s="575"/>
      <c r="V134" s="575"/>
      <c r="W134" s="575"/>
      <c r="Z134" s="12"/>
      <c r="AA134" s="12"/>
      <c r="AB134" s="301"/>
      <c r="AC134" s="3" t="s">
        <v>176</v>
      </c>
      <c r="AD134" s="3" cm="1">
        <f t="array" ref="AD134">angleConvert2Decimal(O133)*AD133</f>
        <v>23.176666666666666</v>
      </c>
      <c r="AE134"/>
      <c r="AF134" s="12"/>
      <c r="AG134" s="12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2"/>
    </row>
    <row r="135" spans="1:66" s="14" customFormat="1" ht="17.25" customHeight="1" thickTop="1" thickBot="1">
      <c r="C135" s="1445"/>
      <c r="D135" s="636" t="e" cm="1">
        <f t="array" ref="D135">latitudeDecimal2Txt(D133)</f>
        <v>#VALUE!</v>
      </c>
      <c r="E135" s="565"/>
      <c r="F135" s="565"/>
      <c r="G135" s="565"/>
      <c r="H135" s="739"/>
      <c r="I135" s="586"/>
      <c r="J135" s="586"/>
      <c r="K135" s="635" t="str" cm="1">
        <f t="array" ref="K135">heureDecimal2Txt(K133)</f>
        <v>00:00:00.00(00.0000)</v>
      </c>
      <c r="L135" s="635"/>
      <c r="M135" s="636"/>
      <c r="N135" s="567" t="str" cm="1">
        <f t="array" ref="N135">angleDecimal2Txt(AD134)</f>
        <v>+23°10.59 (+23.1766) [+23°10'36.00]</v>
      </c>
      <c r="O135" s="567"/>
      <c r="P135" s="567"/>
      <c r="Q135" s="567"/>
      <c r="R135" s="567"/>
      <c r="S135" s="567" t="str" cm="1">
        <f t="array" ref="S135">angleDecimal2Txt(AD136)</f>
        <v>+00°00.19 (+00.0033) [+00°00'11.99]</v>
      </c>
      <c r="T135" s="791"/>
      <c r="U135" s="791"/>
      <c r="V135" s="791"/>
      <c r="W135" s="791"/>
      <c r="Z135" s="12"/>
      <c r="AB135" s="301"/>
      <c r="AC135" s="3" t="s">
        <v>177</v>
      </c>
      <c r="AD135" s="3">
        <f>VLOOKUP(S133,Outils!$C$9:$E$10,3)</f>
        <v>1</v>
      </c>
      <c r="AE135"/>
      <c r="AF135" s="12"/>
      <c r="AG135" s="12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2"/>
    </row>
    <row r="136" spans="1:66" s="14" customFormat="1" ht="17.25" customHeight="1" thickTop="1">
      <c r="A136" s="32" t="s">
        <v>495</v>
      </c>
      <c r="C136" s="57"/>
      <c r="D136" s="57"/>
      <c r="E136" s="57"/>
      <c r="I136"/>
      <c r="Z136" s="12"/>
      <c r="AB136" s="301"/>
      <c r="AC136" s="3" t="s">
        <v>178</v>
      </c>
      <c r="AD136" s="3" cm="1">
        <f t="array" ref="AD136">angleConvert2Decimal(T133)*AD135</f>
        <v>3.3333333333333301E-3</v>
      </c>
      <c r="AE136"/>
      <c r="AF136" s="260"/>
      <c r="AG136" s="260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2"/>
    </row>
    <row r="137" spans="1:66" s="14" customFormat="1" ht="17.25" customHeight="1">
      <c r="C137" s="1445" t="s">
        <v>576</v>
      </c>
      <c r="D137" s="634" t="s">
        <v>9</v>
      </c>
      <c r="E137" s="634"/>
      <c r="F137" s="634"/>
      <c r="G137" s="634"/>
      <c r="H137" s="634"/>
      <c r="I137" s="652" t="s">
        <v>514</v>
      </c>
      <c r="J137" s="653"/>
      <c r="K137" s="653"/>
      <c r="L137" s="653"/>
      <c r="M137" s="654"/>
      <c r="AB137" s="301"/>
      <c r="AC137" s="3" t="s">
        <v>179</v>
      </c>
      <c r="AD137" s="3">
        <f>AD134+AD136*(I133-K133)</f>
        <v>23.176666666666666</v>
      </c>
      <c r="AE137"/>
      <c r="AF137" s="12"/>
      <c r="AG137" s="12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2"/>
    </row>
    <row r="138" spans="1:66" s="14" customFormat="1" ht="17.25" customHeight="1">
      <c r="C138" s="1445"/>
      <c r="D138" s="634"/>
      <c r="E138" s="634"/>
      <c r="F138" s="634"/>
      <c r="G138" s="634"/>
      <c r="H138" s="634"/>
      <c r="I138" s="655"/>
      <c r="J138" s="656"/>
      <c r="K138" s="656"/>
      <c r="L138" s="656"/>
      <c r="M138" s="657"/>
      <c r="S138"/>
      <c r="T138"/>
      <c r="U138"/>
      <c r="V138"/>
      <c r="W138"/>
      <c r="X138"/>
      <c r="Y138"/>
      <c r="AB138" s="301"/>
      <c r="AC138" s="3"/>
      <c r="AD138" s="3"/>
      <c r="AE138"/>
      <c r="AF138" s="12"/>
      <c r="AG138" s="12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2"/>
    </row>
    <row r="139" spans="1:66" s="14" customFormat="1" ht="17.25" customHeight="1">
      <c r="C139" s="1445"/>
      <c r="D139" s="628">
        <f>IF(G123=AD122,AD140,"---")</f>
        <v>-14.728333333333333</v>
      </c>
      <c r="E139" s="629"/>
      <c r="F139" s="629"/>
      <c r="G139" s="629"/>
      <c r="H139" s="629"/>
      <c r="I139" s="575" t="s">
        <v>4</v>
      </c>
      <c r="J139" s="604" t="s">
        <v>574</v>
      </c>
      <c r="K139" s="604"/>
      <c r="L139" s="604"/>
      <c r="M139" s="604"/>
      <c r="U139"/>
      <c r="V139"/>
      <c r="W139"/>
      <c r="X139"/>
      <c r="Y139"/>
      <c r="AB139" s="301"/>
      <c r="AC139" s="3" t="s">
        <v>175</v>
      </c>
      <c r="AD139" s="3">
        <f>VLOOKUP(I139,Outils!$C$9:$E$10,3)</f>
        <v>-1</v>
      </c>
      <c r="AE139"/>
      <c r="AF139" s="12"/>
      <c r="AG139" s="12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2"/>
    </row>
    <row r="140" spans="1:66" s="14" customFormat="1" ht="17.25" customHeight="1" thickBot="1">
      <c r="C140" s="1445"/>
      <c r="D140" s="727"/>
      <c r="E140" s="728"/>
      <c r="F140" s="728"/>
      <c r="G140" s="728"/>
      <c r="H140" s="728"/>
      <c r="I140" s="575"/>
      <c r="J140" s="604"/>
      <c r="K140" s="604"/>
      <c r="L140" s="604"/>
      <c r="M140" s="604"/>
      <c r="U140"/>
      <c r="V140"/>
      <c r="W140"/>
      <c r="X140"/>
      <c r="Y140"/>
      <c r="AB140" s="301"/>
      <c r="AC140" s="3" t="s">
        <v>176</v>
      </c>
      <c r="AD140" s="3" cm="1">
        <f t="array" ref="AD140">angleConvert2Decimal(J139)*AD139</f>
        <v>-14.728333333333333</v>
      </c>
      <c r="AE140"/>
      <c r="AF140" s="12"/>
      <c r="AG140" s="12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2"/>
    </row>
    <row r="141" spans="1:66" s="14" customFormat="1" ht="17.25" customHeight="1" thickTop="1" thickBot="1">
      <c r="C141" s="1445"/>
      <c r="D141" s="565" t="str" cm="1">
        <f t="array" ref="D141">latitudeDecimal2Txt(AD140)</f>
        <v>S 14°43.70 (S 14.7283) [S 14°43'42.00]</v>
      </c>
      <c r="E141" s="565"/>
      <c r="F141" s="565"/>
      <c r="G141" s="565"/>
      <c r="H141" s="565"/>
      <c r="I141"/>
      <c r="J141"/>
      <c r="K141"/>
      <c r="L141"/>
      <c r="N141"/>
      <c r="O141"/>
      <c r="U141"/>
      <c r="V141"/>
      <c r="W141"/>
      <c r="X141"/>
      <c r="Y141"/>
      <c r="AB141" s="301"/>
      <c r="AC141"/>
      <c r="AD141"/>
      <c r="AE141"/>
      <c r="AF141" s="12"/>
      <c r="AG141" s="12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2"/>
    </row>
    <row r="142" spans="1:66" s="14" customFormat="1" ht="17.25" customHeight="1" thickTop="1" thickBot="1">
      <c r="C142" s="57"/>
      <c r="D142" s="57"/>
      <c r="E142" s="57"/>
      <c r="F142" s="57"/>
      <c r="G142" s="57"/>
      <c r="S142" s="12"/>
      <c r="T142" s="12"/>
      <c r="U142" s="12"/>
      <c r="V142" s="12"/>
      <c r="W142" s="12"/>
      <c r="X142" s="12"/>
      <c r="AB142" s="286"/>
      <c r="AC142" s="12"/>
      <c r="AD142" s="12"/>
      <c r="AE142" s="12"/>
      <c r="AF142" s="12"/>
      <c r="AG142" s="1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2"/>
    </row>
    <row r="143" spans="1:66" s="14" customFormat="1" ht="17.25" customHeight="1" thickBot="1">
      <c r="B143" s="23" t="s">
        <v>23</v>
      </c>
      <c r="C143" s="24"/>
      <c r="D143" s="1440" t="s">
        <v>72</v>
      </c>
      <c r="E143" s="1441"/>
      <c r="F143" s="612">
        <f>IF(G144=AD144,O181,O171)</f>
        <v>66.61762218419355</v>
      </c>
      <c r="G143" s="612"/>
      <c r="H143" s="612"/>
      <c r="I143" s="24"/>
      <c r="J143" s="24"/>
      <c r="K143" s="24"/>
      <c r="L143" s="24" t="s">
        <v>60</v>
      </c>
      <c r="M143" s="1440">
        <f>O146</f>
        <v>66.95</v>
      </c>
      <c r="N143" s="1440"/>
      <c r="O143" s="24"/>
      <c r="P143" s="58"/>
      <c r="Q143" s="24" t="s">
        <v>95</v>
      </c>
      <c r="R143" s="24"/>
      <c r="S143" s="855">
        <f>-O158+O153+O162</f>
        <v>-0.26927469176226565</v>
      </c>
      <c r="T143" s="856"/>
      <c r="U143" s="857"/>
      <c r="V143" s="1442" t="str" cm="1">
        <f t="array" ref="V143">angleDecimal2Txt(S143)</f>
        <v>-00°16.15 (-00.2692) [-00°16'09.38]</v>
      </c>
      <c r="W143" s="1443"/>
      <c r="X143" s="1443"/>
      <c r="Y143" s="1443"/>
      <c r="Z143" s="1444"/>
      <c r="AA143" s="24"/>
      <c r="AB143" s="287"/>
      <c r="AC143" s="12"/>
      <c r="AD143" s="12"/>
      <c r="AE143" s="12"/>
      <c r="AF143" s="12"/>
      <c r="AG143" s="12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2"/>
    </row>
    <row r="144" spans="1:66" s="14" customFormat="1" ht="17.25" customHeight="1">
      <c r="C144" s="601" t="s">
        <v>35</v>
      </c>
      <c r="D144" s="601"/>
      <c r="E144" s="601"/>
      <c r="F144" s="601"/>
      <c r="G144" s="678" t="s">
        <v>51</v>
      </c>
      <c r="H144" s="678"/>
      <c r="I144" s="678"/>
      <c r="P144" s="14" t="s">
        <v>69</v>
      </c>
      <c r="V144" s="12"/>
      <c r="W144" s="12"/>
      <c r="X144" s="12"/>
      <c r="Y144" s="12"/>
      <c r="Z144" s="12"/>
      <c r="AB144" s="286"/>
      <c r="AC144" s="1435" t="s">
        <v>36</v>
      </c>
      <c r="AD144" s="256" t="s">
        <v>50</v>
      </c>
      <c r="AE144" s="12"/>
      <c r="AF144" s="12"/>
      <c r="AG144" s="12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2"/>
    </row>
    <row r="145" spans="1:67" s="14" customFormat="1" ht="17.25" customHeight="1" thickBot="1">
      <c r="C145" s="31"/>
      <c r="D145" s="31"/>
      <c r="E145" s="31"/>
      <c r="F145" s="1385" t="s">
        <v>62</v>
      </c>
      <c r="G145" s="1385"/>
      <c r="H145" s="1436"/>
      <c r="I145" s="1436"/>
      <c r="J145" s="1437">
        <f>IF(G144=AD144,"---",O171)</f>
        <v>66.61762218419355</v>
      </c>
      <c r="K145" s="1438"/>
      <c r="L145" s="1439"/>
      <c r="M145" s="95"/>
      <c r="N145" s="95"/>
      <c r="O145" s="95"/>
      <c r="P145" s="95"/>
      <c r="Q145" s="95"/>
      <c r="R145" s="95"/>
      <c r="S145" s="95"/>
      <c r="T145" s="95"/>
      <c r="U145" s="95"/>
      <c r="V145" s="96"/>
      <c r="W145" s="96"/>
      <c r="X145" s="96"/>
      <c r="Y145" s="96"/>
      <c r="Z145" s="96"/>
      <c r="AB145" s="286"/>
      <c r="AC145" s="1435"/>
      <c r="AD145" s="256" t="s">
        <v>51</v>
      </c>
      <c r="AE145" s="12"/>
      <c r="AF145" s="12"/>
      <c r="AG145" s="12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2"/>
    </row>
    <row r="146" spans="1:67" s="14" customFormat="1" ht="17.25" customHeight="1" thickTop="1" thickBot="1">
      <c r="H146" s="605" t="s">
        <v>47</v>
      </c>
      <c r="I146" s="606"/>
      <c r="J146" s="606"/>
      <c r="K146" s="606"/>
      <c r="L146" s="606"/>
      <c r="M146" s="606"/>
      <c r="N146" s="607"/>
      <c r="O146" s="688">
        <f>J110</f>
        <v>66.95</v>
      </c>
      <c r="P146" s="688"/>
      <c r="Q146" s="688"/>
      <c r="R146" s="688"/>
      <c r="S146" s="14" t="s">
        <v>54</v>
      </c>
      <c r="U146" s="708" t="str" cm="1">
        <f t="array" ref="U146">angleDecimal2Txt(O146)</f>
        <v>+66°57.00 (+66.9500) [+66°57'00.00]</v>
      </c>
      <c r="V146" s="709"/>
      <c r="W146" s="709"/>
      <c r="X146" s="709"/>
      <c r="Y146" s="709"/>
      <c r="Z146" s="570"/>
      <c r="AB146" s="286"/>
      <c r="AC146" s="12"/>
      <c r="AD146" s="12"/>
      <c r="AE146" s="12"/>
      <c r="AF146" s="12"/>
      <c r="AG146" s="12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2"/>
    </row>
    <row r="147" spans="1:67" s="14" customFormat="1" ht="17.25" customHeight="1" thickTop="1" thickBot="1">
      <c r="H147" s="605" t="s">
        <v>24</v>
      </c>
      <c r="I147" s="606"/>
      <c r="J147" s="606"/>
      <c r="K147" s="606"/>
      <c r="L147" s="606"/>
      <c r="M147" s="606"/>
      <c r="N147" s="607"/>
      <c r="O147" s="688">
        <f>J109</f>
        <v>2.1666666666666667E-2</v>
      </c>
      <c r="P147" s="688"/>
      <c r="Q147" s="688"/>
      <c r="R147" s="688"/>
      <c r="S147" s="14" t="s">
        <v>54</v>
      </c>
      <c r="U147" s="708" t="str" cm="1">
        <f t="array" ref="U147">angleDecimal2Txt(O147)</f>
        <v>+00°01.30 (+00.0216) [+00°01'18.00]</v>
      </c>
      <c r="V147" s="709"/>
      <c r="W147" s="709"/>
      <c r="X147" s="709"/>
      <c r="Y147" s="709"/>
      <c r="Z147" s="570"/>
      <c r="AB147" s="286"/>
      <c r="AC147" s="253" t="s">
        <v>59</v>
      </c>
      <c r="AD147" s="20">
        <f>O147</f>
        <v>2.1666666666666667E-2</v>
      </c>
      <c r="AE147" s="12"/>
      <c r="AF147" s="12"/>
      <c r="AG147" s="12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2"/>
    </row>
    <row r="148" spans="1:67" s="14" customFormat="1" ht="17.25" customHeight="1" thickTop="1" thickBot="1">
      <c r="C148" s="57"/>
      <c r="D148" s="57"/>
      <c r="E148" s="57"/>
      <c r="F148" s="57"/>
      <c r="H148" s="605" t="s">
        <v>68</v>
      </c>
      <c r="I148" s="606"/>
      <c r="J148" s="606"/>
      <c r="K148" s="606"/>
      <c r="L148" s="606"/>
      <c r="M148" s="606"/>
      <c r="N148" s="607"/>
      <c r="O148" s="595">
        <f>AD149</f>
        <v>4.1436457377531689E-2</v>
      </c>
      <c r="P148" s="595"/>
      <c r="Q148" s="595"/>
      <c r="R148" s="595"/>
      <c r="S148" s="14" t="s">
        <v>54</v>
      </c>
      <c r="U148" s="708" t="str" cm="1">
        <f t="array" ref="U148">angleDecimal2Txt(O148)</f>
        <v>+00°02.48 (+00.0414) [+00°02'29.17]</v>
      </c>
      <c r="V148" s="709"/>
      <c r="W148" s="709"/>
      <c r="X148" s="709"/>
      <c r="Y148" s="709"/>
      <c r="Z148" s="570"/>
      <c r="AB148" s="286"/>
      <c r="AC148" s="253" t="s">
        <v>46</v>
      </c>
      <c r="AD148" s="254">
        <f>J108</f>
        <v>2</v>
      </c>
      <c r="AE148" s="12"/>
      <c r="AF148" s="12"/>
      <c r="AG148" s="12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2"/>
    </row>
    <row r="149" spans="1:67" s="14" customFormat="1" ht="17.25" customHeight="1" thickTop="1" thickBot="1">
      <c r="C149" s="57"/>
      <c r="D149" s="57"/>
      <c r="E149" s="57"/>
      <c r="F149" s="57"/>
      <c r="G149" s="57"/>
      <c r="K149" s="12"/>
      <c r="L149" s="12"/>
      <c r="M149" s="1434" t="s">
        <v>113</v>
      </c>
      <c r="N149" s="1434"/>
      <c r="O149" s="1434"/>
      <c r="P149" s="1434"/>
      <c r="Q149" s="12"/>
      <c r="R149" s="12"/>
      <c r="U149" s="12"/>
      <c r="V149" s="12"/>
      <c r="W149" s="12"/>
      <c r="X149" s="12"/>
      <c r="Y149" s="12"/>
      <c r="Z149" s="12"/>
      <c r="AB149" s="286"/>
      <c r="AC149" s="259" t="s">
        <v>67</v>
      </c>
      <c r="AD149" s="254">
        <f>0.0293 * SQRT(AD148)</f>
        <v>4.1436457377531689E-2</v>
      </c>
      <c r="AE149" s="12"/>
      <c r="AF149" s="12"/>
      <c r="AG149" s="12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2"/>
    </row>
    <row r="150" spans="1:67" s="14" customFormat="1" ht="17.25" customHeight="1" thickTop="1" thickBot="1">
      <c r="C150" s="57"/>
      <c r="D150" s="57"/>
      <c r="E150" s="57"/>
      <c r="F150" s="57"/>
      <c r="H150" s="695" t="s">
        <v>48</v>
      </c>
      <c r="I150" s="659"/>
      <c r="J150" s="659"/>
      <c r="K150" s="659"/>
      <c r="L150" s="659"/>
      <c r="M150" s="659"/>
      <c r="N150" s="660"/>
      <c r="O150" s="597">
        <f>O146-O147-O148</f>
        <v>66.886896875955813</v>
      </c>
      <c r="P150" s="598"/>
      <c r="Q150" s="14" t="s">
        <v>54</v>
      </c>
      <c r="R150" s="859">
        <f>O150*Outils!F4</f>
        <v>1.1673965769273382</v>
      </c>
      <c r="S150" s="859"/>
      <c r="T150" s="35" t="s">
        <v>64</v>
      </c>
      <c r="U150" s="708" t="str" cm="1">
        <f t="array" ref="U150">angleDecimal2Txt(O150)</f>
        <v>+66°53.21 (+66.8868) [+66°53'12.82]</v>
      </c>
      <c r="V150" s="709"/>
      <c r="W150" s="709"/>
      <c r="X150" s="709"/>
      <c r="Y150" s="709"/>
      <c r="Z150" s="570"/>
      <c r="AB150" s="286"/>
      <c r="AC150" s="12"/>
      <c r="AD150" s="12"/>
      <c r="AE150" s="12"/>
      <c r="AF150" s="12"/>
      <c r="AG150" s="12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2"/>
    </row>
    <row r="151" spans="1:67" s="14" customFormat="1" ht="17.25" customHeight="1" thickTop="1" thickBot="1"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U151" s="12"/>
      <c r="V151" s="12"/>
      <c r="W151" s="12"/>
      <c r="X151" s="12"/>
      <c r="Y151" s="12"/>
      <c r="Z151" s="12"/>
      <c r="AB151" s="286"/>
      <c r="AC151" s="12"/>
      <c r="AD151" s="12"/>
      <c r="AE151" s="12"/>
      <c r="AF151" s="12"/>
      <c r="AG151" s="12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2"/>
    </row>
    <row r="152" spans="1:67" ht="17.25" customHeight="1" thickTop="1" thickBot="1">
      <c r="A152" s="12"/>
      <c r="B152" s="12"/>
      <c r="C152" s="12"/>
      <c r="D152" s="12"/>
      <c r="E152" s="12"/>
      <c r="F152" s="14"/>
      <c r="G152" s="14"/>
      <c r="H152" s="685" t="s">
        <v>52</v>
      </c>
      <c r="I152" s="686"/>
      <c r="J152" s="686"/>
      <c r="K152" s="686"/>
      <c r="L152" s="686"/>
      <c r="M152" s="686"/>
      <c r="N152" s="687"/>
      <c r="O152" s="599">
        <f>J113</f>
        <v>2.8833333333333302E-3</v>
      </c>
      <c r="P152" s="600"/>
      <c r="Q152" s="600"/>
      <c r="R152" s="600"/>
      <c r="S152" s="14" t="s">
        <v>54</v>
      </c>
      <c r="T152" s="14"/>
      <c r="U152" s="708" t="str" cm="1">
        <f t="array" ref="U152">angleDecimal2Txt(O152)</f>
        <v>+00°00.17 (+00.0028) [+00°00'10.37]</v>
      </c>
      <c r="V152" s="709"/>
      <c r="W152" s="709"/>
      <c r="X152" s="709"/>
      <c r="Y152" s="709"/>
      <c r="Z152" s="570"/>
      <c r="AA152" s="14"/>
      <c r="AB152" s="286"/>
      <c r="AC152" s="253" t="s">
        <v>183</v>
      </c>
      <c r="AD152" s="254">
        <f>O152*COS(R150)</f>
        <v>1.1318451843031951E-3</v>
      </c>
      <c r="BN152" s="22"/>
      <c r="BO152" s="14"/>
    </row>
    <row r="153" spans="1:67" ht="17.25" customHeight="1" thickTop="1" thickBot="1">
      <c r="A153" s="12"/>
      <c r="B153" s="12"/>
      <c r="C153" s="12"/>
      <c r="D153" s="12"/>
      <c r="E153" s="12"/>
      <c r="F153" s="14"/>
      <c r="G153" s="14"/>
      <c r="H153" s="658" t="s">
        <v>140</v>
      </c>
      <c r="I153" s="659"/>
      <c r="J153" s="659"/>
      <c r="K153" s="659"/>
      <c r="L153" s="659"/>
      <c r="M153" s="659"/>
      <c r="N153" s="660"/>
      <c r="O153" s="572">
        <f>AD152</f>
        <v>1.1318451843031951E-3</v>
      </c>
      <c r="P153" s="572"/>
      <c r="Q153" s="572"/>
      <c r="R153" s="572"/>
      <c r="S153" s="14" t="s">
        <v>54</v>
      </c>
      <c r="T153" s="14"/>
      <c r="U153" s="708" t="str" cm="1">
        <f t="array" ref="U153">angleDecimal2Txt(O153)</f>
        <v>+00°00.06 (+00.0011) [+00°00'04.07]</v>
      </c>
      <c r="V153" s="709"/>
      <c r="W153" s="709"/>
      <c r="X153" s="709"/>
      <c r="Y153" s="709"/>
      <c r="Z153" s="570"/>
      <c r="AA153" s="14"/>
      <c r="AB153" s="286"/>
      <c r="BN153" s="22"/>
      <c r="BO153" s="14"/>
    </row>
    <row r="154" spans="1:67" ht="17.25" customHeight="1" thickTop="1">
      <c r="A154" s="12"/>
      <c r="B154" s="12"/>
      <c r="C154" s="12"/>
      <c r="D154" s="12"/>
      <c r="E154" s="12"/>
      <c r="F154" s="14"/>
      <c r="G154" s="14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4"/>
      <c r="AB154" s="286"/>
      <c r="BN154" s="22"/>
      <c r="BO154" s="14"/>
    </row>
    <row r="155" spans="1:67" ht="17.25" customHeight="1">
      <c r="A155" s="12"/>
      <c r="B155" s="12"/>
      <c r="C155" s="12"/>
      <c r="D155" s="12"/>
      <c r="E155" s="57"/>
      <c r="F155" s="14"/>
      <c r="G155" s="14"/>
      <c r="H155" s="12"/>
      <c r="I155" s="12"/>
      <c r="J155" s="12"/>
      <c r="K155" s="12"/>
      <c r="L155" s="12"/>
      <c r="M155" s="12"/>
      <c r="N155" s="12"/>
      <c r="O155" s="12"/>
      <c r="P155" s="14"/>
      <c r="Q155" s="14"/>
      <c r="R155" s="14"/>
      <c r="S155" s="622" t="s">
        <v>126</v>
      </c>
      <c r="T155" s="623"/>
      <c r="U155" s="624"/>
      <c r="V155" s="14"/>
      <c r="W155" s="14"/>
      <c r="X155" s="14"/>
      <c r="Y155" s="12"/>
      <c r="Z155" s="12"/>
      <c r="AA155" s="14"/>
      <c r="AB155" s="286"/>
      <c r="AC155" s="253" t="s">
        <v>49</v>
      </c>
      <c r="AD155" s="254" t="s">
        <v>185</v>
      </c>
      <c r="BN155" s="22"/>
      <c r="BO155" s="14"/>
    </row>
    <row r="156" spans="1:67" ht="17.25" customHeight="1">
      <c r="A156" s="12"/>
      <c r="B156" s="12"/>
      <c r="C156" s="12"/>
      <c r="D156" s="12"/>
      <c r="E156" s="57"/>
      <c r="F156" s="14"/>
      <c r="G156" s="14"/>
      <c r="H156" s="685" t="s">
        <v>65</v>
      </c>
      <c r="I156" s="686"/>
      <c r="J156" s="686"/>
      <c r="K156" s="686"/>
      <c r="L156" s="686"/>
      <c r="M156" s="686"/>
      <c r="N156" s="687"/>
      <c r="O156" s="702">
        <v>10</v>
      </c>
      <c r="P156" s="703"/>
      <c r="Q156" s="703"/>
      <c r="R156" s="703"/>
      <c r="S156" s="780">
        <v>10</v>
      </c>
      <c r="T156" s="781"/>
      <c r="U156" s="782"/>
      <c r="V156" s="14"/>
      <c r="W156" s="14"/>
      <c r="X156" s="14"/>
      <c r="Y156" s="12"/>
      <c r="Z156" s="12"/>
      <c r="AA156" s="14"/>
      <c r="AB156" s="286"/>
      <c r="AC156" s="253" t="s">
        <v>186</v>
      </c>
      <c r="AD156" s="254">
        <f>1/TAN((O150 + 7.31 / (O150 + 4.4)) * Outils!F4)</f>
        <v>0.4246923427253872</v>
      </c>
      <c r="BN156" s="22"/>
      <c r="BO156" s="14"/>
    </row>
    <row r="157" spans="1:67" ht="17.25" customHeight="1" thickBot="1">
      <c r="A157" s="12"/>
      <c r="B157" s="12"/>
      <c r="C157" s="12"/>
      <c r="D157" s="12"/>
      <c r="E157" s="12"/>
      <c r="F157" s="14"/>
      <c r="G157" s="14"/>
      <c r="H157" s="685" t="s">
        <v>66</v>
      </c>
      <c r="I157" s="686"/>
      <c r="J157" s="686"/>
      <c r="K157" s="686"/>
      <c r="L157" s="686"/>
      <c r="M157" s="686"/>
      <c r="N157" s="687"/>
      <c r="O157" s="702">
        <f>S157</f>
        <v>1010</v>
      </c>
      <c r="P157" s="703"/>
      <c r="Q157" s="703"/>
      <c r="R157" s="703"/>
      <c r="S157" s="780">
        <v>1010</v>
      </c>
      <c r="T157" s="781"/>
      <c r="U157" s="782"/>
      <c r="V157" s="14"/>
      <c r="W157" s="14"/>
      <c r="X157" s="14"/>
      <c r="Y157" s="12"/>
      <c r="Z157" s="12"/>
      <c r="AA157" s="14"/>
      <c r="AB157" s="286"/>
      <c r="AC157" s="253" t="s">
        <v>187</v>
      </c>
      <c r="AD157" s="254">
        <f>AD156/60</f>
        <v>7.0782057120897862E-3</v>
      </c>
      <c r="BN157" s="22"/>
      <c r="BO157" s="14"/>
    </row>
    <row r="158" spans="1:67" ht="17.25" customHeight="1" thickTop="1" thickBot="1">
      <c r="A158" s="12"/>
      <c r="B158" s="12"/>
      <c r="C158" s="12"/>
      <c r="D158" s="12"/>
      <c r="E158" s="12"/>
      <c r="F158" s="14"/>
      <c r="G158" s="14"/>
      <c r="H158" s="658" t="s">
        <v>141</v>
      </c>
      <c r="I158" s="659"/>
      <c r="J158" s="659"/>
      <c r="K158" s="659"/>
      <c r="L158" s="659"/>
      <c r="M158" s="659"/>
      <c r="N158" s="660"/>
      <c r="O158" s="572">
        <f>AD159</f>
        <v>7.0732034465688749E-3</v>
      </c>
      <c r="P158" s="572"/>
      <c r="Q158" s="572"/>
      <c r="R158" s="572"/>
      <c r="S158" s="14" t="s">
        <v>54</v>
      </c>
      <c r="T158" s="14"/>
      <c r="U158" s="708" t="str" cm="1">
        <f t="array" ref="U158">angleDecimal2Txt(O158)</f>
        <v>+00°00.42 (+00.0070) [+00°00'25.46]</v>
      </c>
      <c r="V158" s="709"/>
      <c r="W158" s="709"/>
      <c r="X158" s="709"/>
      <c r="Y158" s="709"/>
      <c r="Z158" s="570"/>
      <c r="AA158" s="14"/>
      <c r="AB158" s="286"/>
      <c r="AC158" s="253" t="s">
        <v>96</v>
      </c>
      <c r="AD158" s="254">
        <f xml:space="preserve"> 0.28 * O157 / (273 + O156)</f>
        <v>0.99929328621908131</v>
      </c>
      <c r="BN158" s="22"/>
      <c r="BO158" s="14"/>
    </row>
    <row r="159" spans="1:67" ht="17.25" customHeight="1" thickTop="1">
      <c r="A159" s="12"/>
      <c r="B159" s="12"/>
      <c r="C159" s="12"/>
      <c r="D159" s="12"/>
      <c r="E159" s="12"/>
      <c r="F159" s="14"/>
      <c r="G159" s="14"/>
      <c r="H159" s="12"/>
      <c r="I159" s="12"/>
      <c r="J159" s="12"/>
      <c r="K159" s="12"/>
      <c r="L159" s="12"/>
      <c r="M159" s="12"/>
      <c r="N159" s="12"/>
      <c r="O159" s="12"/>
      <c r="P159" s="14"/>
      <c r="Q159" s="14"/>
      <c r="R159" s="14"/>
      <c r="S159" s="14"/>
      <c r="T159" s="14"/>
      <c r="U159" s="14"/>
      <c r="V159" s="14"/>
      <c r="W159" s="14"/>
      <c r="X159" s="14"/>
      <c r="Y159" s="12"/>
      <c r="Z159" s="12"/>
      <c r="AA159" s="14"/>
      <c r="AB159" s="286"/>
      <c r="AC159" s="253" t="s">
        <v>184</v>
      </c>
      <c r="AD159" s="254">
        <f>AD158*AD157</f>
        <v>7.0732034465688749E-3</v>
      </c>
      <c r="BN159" s="22"/>
      <c r="BO159" s="14"/>
    </row>
    <row r="160" spans="1:67" ht="17.25" customHeight="1">
      <c r="A160" s="12"/>
      <c r="B160" s="12"/>
      <c r="C160" s="12"/>
      <c r="D160" s="12"/>
      <c r="E160" s="12"/>
      <c r="F160" s="14"/>
      <c r="G160" s="14"/>
      <c r="H160" s="685" t="s">
        <v>100</v>
      </c>
      <c r="I160" s="686"/>
      <c r="J160" s="686"/>
      <c r="K160" s="686"/>
      <c r="L160" s="686"/>
      <c r="M160" s="686"/>
      <c r="N160" s="687"/>
      <c r="O160" s="711">
        <f>J117</f>
        <v>0.52666666699999998</v>
      </c>
      <c r="P160" s="711"/>
      <c r="Q160" s="711"/>
      <c r="R160" s="711"/>
      <c r="S160" s="14"/>
      <c r="T160" s="14"/>
      <c r="U160" s="14"/>
      <c r="V160" s="14"/>
      <c r="W160" s="14"/>
      <c r="X160" s="14"/>
      <c r="Y160" s="14"/>
      <c r="Z160" s="14"/>
      <c r="AA160" s="14"/>
      <c r="AB160" s="286"/>
      <c r="BN160" s="22"/>
      <c r="BO160" s="14"/>
    </row>
    <row r="161" spans="1:67" ht="17.25" customHeight="1" thickBot="1">
      <c r="A161" s="14"/>
      <c r="B161" s="12"/>
      <c r="C161" s="12"/>
      <c r="D161" s="12"/>
      <c r="E161" s="57"/>
      <c r="F161" s="57"/>
      <c r="G161" s="57"/>
      <c r="H161" s="685" t="s">
        <v>70</v>
      </c>
      <c r="I161" s="686"/>
      <c r="J161" s="686"/>
      <c r="K161" s="686"/>
      <c r="L161" s="686"/>
      <c r="M161" s="686"/>
      <c r="N161" s="687"/>
      <c r="O161" s="711" t="str">
        <f>J112</f>
        <v>BordSup</v>
      </c>
      <c r="P161" s="711"/>
      <c r="Q161" s="711"/>
      <c r="R161" s="711"/>
      <c r="S161" s="14"/>
      <c r="T161" s="14"/>
      <c r="U161" s="14"/>
      <c r="V161" s="14"/>
      <c r="W161" s="14"/>
      <c r="X161" s="14"/>
      <c r="Y161" s="14"/>
      <c r="Z161" s="14"/>
      <c r="AA161" s="14"/>
      <c r="AB161" s="286"/>
      <c r="AC161" s="254" t="s">
        <v>30</v>
      </c>
      <c r="AD161" s="572" t="str">
        <f>J111</f>
        <v>Soleil</v>
      </c>
      <c r="AE161" s="572"/>
      <c r="BN161" s="22"/>
      <c r="BO161" s="14"/>
    </row>
    <row r="162" spans="1:67" ht="17.25" customHeight="1" thickTop="1" thickBot="1">
      <c r="A162" s="14"/>
      <c r="B162" s="14"/>
      <c r="C162" s="57"/>
      <c r="D162" s="57"/>
      <c r="E162" s="57"/>
      <c r="F162" s="57"/>
      <c r="G162" s="57"/>
      <c r="H162" s="658" t="s">
        <v>71</v>
      </c>
      <c r="I162" s="659"/>
      <c r="J162" s="659"/>
      <c r="K162" s="659"/>
      <c r="L162" s="659"/>
      <c r="M162" s="659"/>
      <c r="N162" s="660"/>
      <c r="O162" s="555">
        <f>AD165</f>
        <v>-0.26333333349999999</v>
      </c>
      <c r="P162" s="555"/>
      <c r="Q162" s="555"/>
      <c r="R162" s="555"/>
      <c r="S162" s="14" t="s">
        <v>54</v>
      </c>
      <c r="T162" s="14"/>
      <c r="U162" s="708" t="str" cm="1">
        <f t="array" ref="U162">angleDecimal2Txt(O162)</f>
        <v>-00°15.80 (-00.2633) [-00°15'48.00]</v>
      </c>
      <c r="V162" s="709"/>
      <c r="W162" s="709"/>
      <c r="X162" s="709"/>
      <c r="Y162" s="709"/>
      <c r="Z162" s="570"/>
      <c r="AA162" s="14"/>
      <c r="AB162" s="286"/>
      <c r="AC162" s="254" t="s">
        <v>190</v>
      </c>
      <c r="AD162" s="572" t="str">
        <f>O161</f>
        <v>BordSup</v>
      </c>
      <c r="AE162" s="572"/>
      <c r="BN162" s="22"/>
      <c r="BO162" s="14"/>
    </row>
    <row r="163" spans="1:67" ht="17.25" customHeight="1" thickTop="1">
      <c r="A163" s="14"/>
      <c r="B163" s="14"/>
      <c r="C163" s="57"/>
      <c r="D163" s="57"/>
      <c r="E163" s="57"/>
      <c r="F163" s="57"/>
      <c r="G163" s="57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4"/>
      <c r="AB163" s="286"/>
      <c r="AC163" s="254" t="s">
        <v>191</v>
      </c>
      <c r="AD163" s="573">
        <f>HLOOKUP(AD162,AD116:AF117,2)</f>
        <v>0</v>
      </c>
      <c r="AE163" s="573"/>
      <c r="BN163" s="22"/>
      <c r="BO163" s="14"/>
    </row>
    <row r="164" spans="1:67" ht="17.25" customHeight="1">
      <c r="A164" s="14"/>
      <c r="B164" s="14"/>
      <c r="C164" s="57"/>
      <c r="D164" s="57"/>
      <c r="E164" s="57"/>
      <c r="F164" s="57"/>
      <c r="G164" s="716" t="s">
        <v>107</v>
      </c>
      <c r="H164" s="717"/>
      <c r="I164" s="717"/>
      <c r="J164" s="717"/>
      <c r="K164" s="717"/>
      <c r="L164" s="717"/>
      <c r="M164" s="717"/>
      <c r="N164" s="717"/>
      <c r="O164" s="717"/>
      <c r="P164" s="717"/>
      <c r="Q164" s="717"/>
      <c r="R164" s="717"/>
      <c r="S164" s="718"/>
      <c r="T164" s="12"/>
      <c r="U164" s="12"/>
      <c r="V164" s="12"/>
      <c r="W164" s="12"/>
      <c r="X164" s="12"/>
      <c r="Y164" s="12"/>
      <c r="Z164" s="12"/>
      <c r="AA164" s="14"/>
      <c r="AB164" s="286"/>
      <c r="AC164" s="254" t="s">
        <v>100</v>
      </c>
      <c r="AD164" s="254" cm="1">
        <f t="array" ref="AD164">astroDiametreSoleilEnDegre($AA$6)</f>
        <v>0.52666666699999998</v>
      </c>
      <c r="AE164" s="254" cm="1">
        <f t="array" ref="AE164">angleConvert2Decimal(AD164)</f>
        <v>0.52666666699999998</v>
      </c>
      <c r="BN164" s="22"/>
      <c r="BO164" s="14"/>
    </row>
    <row r="165" spans="1:67" ht="17.25" customHeight="1">
      <c r="A165" s="14"/>
      <c r="B165" s="14"/>
      <c r="C165" s="57"/>
      <c r="D165" s="57"/>
      <c r="E165" s="57"/>
      <c r="F165" s="57"/>
      <c r="G165" s="704" t="s">
        <v>115</v>
      </c>
      <c r="H165" s="705"/>
      <c r="I165" s="824" t="s">
        <v>110</v>
      </c>
      <c r="J165" s="825"/>
      <c r="K165" s="825"/>
      <c r="L165" s="825"/>
      <c r="M165" s="825"/>
      <c r="N165" s="826"/>
      <c r="O165" s="829">
        <f>(O153-O158-O148+O160/2) * 60</f>
        <v>12.957331071612156</v>
      </c>
      <c r="P165" s="822"/>
      <c r="Q165" s="822"/>
      <c r="R165" s="822"/>
      <c r="S165" s="827" t="s">
        <v>108</v>
      </c>
      <c r="T165" s="12"/>
      <c r="U165" s="12"/>
      <c r="V165" s="12"/>
      <c r="W165" s="12"/>
      <c r="X165" s="12"/>
      <c r="Y165" s="12"/>
      <c r="Z165" s="12"/>
      <c r="AA165" s="14"/>
      <c r="AB165" s="286"/>
      <c r="AC165" s="254" t="s">
        <v>191</v>
      </c>
      <c r="AD165" s="573" cm="1">
        <f t="array" ref="AD165">astroDiametreSoleilEnDegre($AA$6,AD162)</f>
        <v>-0.26333333349999999</v>
      </c>
      <c r="AE165" s="573"/>
      <c r="BN165" s="22"/>
      <c r="BO165" s="14"/>
    </row>
    <row r="166" spans="1:67" ht="17.25" customHeight="1">
      <c r="A166" s="14"/>
      <c r="B166" s="14"/>
      <c r="C166" s="57"/>
      <c r="D166" s="57"/>
      <c r="E166" s="57"/>
      <c r="F166" s="57"/>
      <c r="G166" s="706"/>
      <c r="H166" s="707"/>
      <c r="I166" s="713" t="s">
        <v>114</v>
      </c>
      <c r="J166" s="714"/>
      <c r="K166" s="714"/>
      <c r="L166" s="714"/>
      <c r="M166" s="714"/>
      <c r="N166" s="715"/>
      <c r="O166" s="830"/>
      <c r="P166" s="823"/>
      <c r="Q166" s="823"/>
      <c r="R166" s="823"/>
      <c r="S166" s="828"/>
      <c r="T166" s="12"/>
      <c r="U166" s="12"/>
      <c r="V166" s="12"/>
      <c r="W166" s="12"/>
      <c r="X166" s="12"/>
      <c r="Y166" s="12"/>
      <c r="Z166" s="12"/>
      <c r="AA166" s="14"/>
      <c r="AB166" s="286"/>
      <c r="BN166" s="22"/>
      <c r="BO166" s="14"/>
    </row>
    <row r="167" spans="1:67" ht="17.25" customHeight="1">
      <c r="A167" s="14"/>
      <c r="B167" s="14"/>
      <c r="C167" s="57"/>
      <c r="D167" s="57"/>
      <c r="E167" s="57"/>
      <c r="F167" s="57"/>
      <c r="G167" s="57"/>
      <c r="H167" s="12"/>
      <c r="I167" s="824" t="s">
        <v>111</v>
      </c>
      <c r="J167" s="825"/>
      <c r="K167" s="825"/>
      <c r="L167" s="825"/>
      <c r="M167" s="825"/>
      <c r="N167" s="826"/>
      <c r="O167" s="822">
        <f>(O153-O158+O160/2)*60</f>
        <v>15.44351851426406</v>
      </c>
      <c r="P167" s="822"/>
      <c r="Q167" s="822"/>
      <c r="R167" s="822"/>
      <c r="S167" s="827" t="s">
        <v>108</v>
      </c>
      <c r="T167" s="12"/>
      <c r="U167" s="12"/>
      <c r="V167" s="12"/>
      <c r="W167" s="12"/>
      <c r="X167" s="12"/>
      <c r="Y167" s="12"/>
      <c r="Z167" s="12"/>
      <c r="AA167" s="14"/>
      <c r="AB167" s="286"/>
      <c r="BN167" s="22"/>
      <c r="BO167" s="14"/>
    </row>
    <row r="168" spans="1:67" ht="17.25" customHeight="1">
      <c r="A168" s="14"/>
      <c r="B168" s="14"/>
      <c r="C168" s="57"/>
      <c r="D168" s="57"/>
      <c r="E168" s="57"/>
      <c r="F168" s="57"/>
      <c r="G168" s="57"/>
      <c r="H168" s="12"/>
      <c r="I168" s="713" t="s">
        <v>112</v>
      </c>
      <c r="J168" s="714"/>
      <c r="K168" s="714"/>
      <c r="L168" s="714"/>
      <c r="M168" s="714"/>
      <c r="N168" s="715"/>
      <c r="O168" s="823"/>
      <c r="P168" s="823"/>
      <c r="Q168" s="823"/>
      <c r="R168" s="823"/>
      <c r="S168" s="828"/>
      <c r="T168" s="12"/>
      <c r="U168" s="12"/>
      <c r="V168" s="12"/>
      <c r="W168" s="12"/>
      <c r="X168" s="12"/>
      <c r="Y168" s="12"/>
      <c r="Z168" s="12"/>
      <c r="AA168" s="14"/>
      <c r="AB168" s="286"/>
      <c r="BN168" s="22"/>
      <c r="BO168" s="14"/>
    </row>
    <row r="169" spans="1:67" ht="17.25" customHeight="1">
      <c r="A169" s="14"/>
      <c r="B169" s="14"/>
      <c r="C169" s="57"/>
      <c r="D169" s="57"/>
      <c r="E169" s="57"/>
      <c r="F169" s="57"/>
      <c r="G169" s="57"/>
      <c r="H169" s="12"/>
      <c r="I169" s="696" t="s">
        <v>71</v>
      </c>
      <c r="J169" s="697"/>
      <c r="K169" s="697"/>
      <c r="L169" s="697"/>
      <c r="M169" s="697"/>
      <c r="N169" s="698"/>
      <c r="O169" s="818">
        <f>O162*60</f>
        <v>-15.80000001</v>
      </c>
      <c r="P169" s="819"/>
      <c r="Q169" s="819"/>
      <c r="R169" s="819"/>
      <c r="S169" s="71" t="s">
        <v>108</v>
      </c>
      <c r="T169" s="12"/>
      <c r="U169" s="12"/>
      <c r="V169" s="12"/>
      <c r="W169" s="12"/>
      <c r="X169" s="12"/>
      <c r="Y169" s="12"/>
      <c r="Z169" s="12"/>
      <c r="AA169" s="14"/>
      <c r="AB169" s="286"/>
      <c r="BN169" s="22"/>
      <c r="BO169" s="14"/>
    </row>
    <row r="170" spans="1:67" ht="17.25" customHeight="1" thickBot="1">
      <c r="A170" s="14"/>
      <c r="B170" s="14"/>
      <c r="C170" s="57"/>
      <c r="D170" s="57"/>
      <c r="E170" s="57"/>
      <c r="F170" s="57"/>
      <c r="G170" s="57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4"/>
      <c r="T170" s="14"/>
      <c r="U170" s="14"/>
      <c r="V170" s="14"/>
      <c r="W170" s="14"/>
      <c r="X170" s="14"/>
      <c r="Y170" s="14"/>
      <c r="Z170" s="14"/>
      <c r="AA170" s="14"/>
      <c r="AB170" s="286"/>
      <c r="BN170" s="22"/>
      <c r="BO170" s="14"/>
    </row>
    <row r="171" spans="1:67" ht="17.25" customHeight="1" thickTop="1" thickBot="1">
      <c r="A171" s="14"/>
      <c r="B171" s="14"/>
      <c r="C171" s="57"/>
      <c r="D171" s="57"/>
      <c r="E171" s="57"/>
      <c r="F171" s="57"/>
      <c r="G171" s="57"/>
      <c r="H171" s="1352" t="s">
        <v>142</v>
      </c>
      <c r="I171" s="1353"/>
      <c r="J171" s="1353"/>
      <c r="K171" s="1353"/>
      <c r="L171" s="1353"/>
      <c r="M171" s="1353"/>
      <c r="N171" s="1354"/>
      <c r="O171" s="598">
        <f>O150-O158+O153+O162</f>
        <v>66.61762218419355</v>
      </c>
      <c r="P171" s="572"/>
      <c r="Q171" s="572"/>
      <c r="R171" s="572"/>
      <c r="S171" s="14" t="s">
        <v>54</v>
      </c>
      <c r="T171" s="14"/>
      <c r="U171" s="708" t="str" cm="1">
        <f t="array" ref="U171">angleDecimal2Txt(O171)</f>
        <v>+66°37.05 (+66.6176) [+66°37'03.43]</v>
      </c>
      <c r="V171" s="709"/>
      <c r="W171" s="709"/>
      <c r="X171" s="709"/>
      <c r="Y171" s="709"/>
      <c r="Z171" s="570"/>
      <c r="AA171" s="14"/>
      <c r="AB171" s="286"/>
      <c r="BN171" s="22"/>
      <c r="BO171" s="14"/>
    </row>
    <row r="172" spans="1:67" ht="17.25" customHeight="1" thickTop="1">
      <c r="A172" s="14"/>
      <c r="B172" s="14"/>
      <c r="C172" s="57"/>
      <c r="D172" s="57"/>
      <c r="E172" s="57"/>
      <c r="F172" s="57"/>
      <c r="G172" s="57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286"/>
      <c r="BN172" s="22"/>
      <c r="BO172" s="14"/>
    </row>
    <row r="173" spans="1:67" ht="17.25" customHeight="1">
      <c r="A173" s="14"/>
      <c r="B173" s="14"/>
      <c r="C173" s="57"/>
      <c r="D173" s="57"/>
      <c r="E173" s="57"/>
      <c r="F173" s="1385" t="s">
        <v>63</v>
      </c>
      <c r="G173" s="1385"/>
      <c r="H173" s="1385"/>
      <c r="I173" s="1385"/>
      <c r="J173" s="597" t="str">
        <f>IF(G144=AD144,O181,"---")</f>
        <v>---</v>
      </c>
      <c r="K173" s="760"/>
      <c r="L173" s="598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14"/>
      <c r="AB173" s="286"/>
      <c r="BN173" s="22"/>
      <c r="BO173" s="14"/>
    </row>
    <row r="174" spans="1:67" ht="17.25" customHeight="1">
      <c r="A174" s="14"/>
      <c r="B174" s="14"/>
      <c r="C174" s="57"/>
      <c r="D174" s="57"/>
      <c r="E174" s="57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286"/>
      <c r="BN174" s="22"/>
      <c r="BO174" s="14"/>
    </row>
    <row r="175" spans="1:67" ht="17.25" customHeight="1">
      <c r="A175" s="14"/>
      <c r="B175" s="14"/>
      <c r="C175" s="57"/>
      <c r="D175" s="57"/>
      <c r="E175" s="57"/>
      <c r="M175" s="14"/>
      <c r="N175" s="14"/>
      <c r="O175" s="14"/>
      <c r="P175" s="14"/>
      <c r="Q175" s="14"/>
      <c r="R175" s="14"/>
      <c r="S175" s="14"/>
      <c r="T175" s="98" t="s">
        <v>82</v>
      </c>
      <c r="U175" s="1425" t="s">
        <v>33</v>
      </c>
      <c r="V175" s="1425"/>
      <c r="W175" s="14"/>
      <c r="X175" s="14"/>
      <c r="Y175" s="14"/>
      <c r="Z175" s="14"/>
      <c r="AA175" s="14"/>
      <c r="AB175" s="286"/>
      <c r="BN175" s="22"/>
      <c r="BO175" s="14"/>
    </row>
    <row r="176" spans="1:67" ht="17.25" customHeight="1">
      <c r="A176" s="14"/>
      <c r="B176" s="14"/>
      <c r="C176" s="57"/>
      <c r="D176" s="57"/>
      <c r="E176" s="57"/>
      <c r="F176" s="57"/>
      <c r="G176" s="57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99" t="s">
        <v>78</v>
      </c>
      <c r="U176" s="1425" t="s">
        <v>80</v>
      </c>
      <c r="V176" s="1425"/>
      <c r="W176" s="14"/>
      <c r="X176" s="14"/>
      <c r="Y176" s="14"/>
      <c r="Z176" s="14"/>
      <c r="AA176" s="14"/>
      <c r="AB176" s="286"/>
      <c r="BN176" s="22"/>
      <c r="BO176" s="14"/>
    </row>
    <row r="177" spans="1:67" ht="17.25" customHeight="1">
      <c r="A177" s="14"/>
      <c r="B177" s="14"/>
      <c r="C177" s="57"/>
      <c r="D177" s="57"/>
      <c r="E177" s="57"/>
      <c r="F177" s="57"/>
      <c r="G177" s="57"/>
      <c r="H177" s="14" t="s">
        <v>72</v>
      </c>
      <c r="I177" s="38" t="s">
        <v>74</v>
      </c>
      <c r="J177" s="14" t="s">
        <v>60</v>
      </c>
      <c r="K177" s="1426" t="s">
        <v>75</v>
      </c>
      <c r="L177" s="14" t="s">
        <v>59</v>
      </c>
      <c r="M177" s="14"/>
      <c r="N177" s="1426" t="s">
        <v>77</v>
      </c>
      <c r="O177" s="38" t="s">
        <v>230</v>
      </c>
      <c r="P177" s="14"/>
      <c r="Q177" s="1426" t="s">
        <v>77</v>
      </c>
      <c r="R177" s="14" t="s">
        <v>231</v>
      </c>
      <c r="S177" s="14"/>
      <c r="T177" s="97" t="s">
        <v>79</v>
      </c>
      <c r="U177" s="1427" t="s">
        <v>81</v>
      </c>
      <c r="V177" s="1427"/>
      <c r="W177" s="14"/>
      <c r="X177" s="14"/>
      <c r="Y177" s="14"/>
      <c r="AB177" s="286"/>
      <c r="BN177" s="22"/>
      <c r="BO177" s="14"/>
    </row>
    <row r="178" spans="1:67" ht="17.25" customHeight="1" thickBot="1">
      <c r="A178" s="14"/>
      <c r="B178" s="14"/>
      <c r="C178" s="57"/>
      <c r="D178" s="57"/>
      <c r="E178" s="57"/>
      <c r="F178" s="57"/>
      <c r="G178" s="57"/>
      <c r="H178" s="14"/>
      <c r="I178" s="38"/>
      <c r="J178" s="40">
        <f>O146</f>
        <v>66.95</v>
      </c>
      <c r="K178" s="1426"/>
      <c r="L178" s="810">
        <f>O147</f>
        <v>2.1666666666666667E-2</v>
      </c>
      <c r="M178" s="811"/>
      <c r="N178" s="1426"/>
      <c r="O178" s="821" t="s">
        <v>146</v>
      </c>
      <c r="P178" s="821"/>
      <c r="Q178" s="1426"/>
      <c r="R178" s="485" t="s">
        <v>79</v>
      </c>
      <c r="S178" s="14"/>
      <c r="T178" s="14"/>
      <c r="U178" s="14"/>
      <c r="AB178" s="286"/>
      <c r="BN178" s="22"/>
      <c r="BO178" s="14"/>
    </row>
    <row r="179" spans="1:67" ht="17.25" customHeight="1" thickTop="1" thickBot="1">
      <c r="A179" s="14"/>
      <c r="B179" s="14"/>
      <c r="C179" s="57"/>
      <c r="D179" s="57"/>
      <c r="E179" s="57"/>
      <c r="F179" s="57"/>
      <c r="G179" s="57"/>
      <c r="H179" s="14"/>
      <c r="I179" s="38"/>
      <c r="K179" s="38" t="s">
        <v>229</v>
      </c>
      <c r="L179" s="812" cm="1">
        <f t="array" ref="L179">angleConvert2Decimal(L178)</f>
        <v>2.1666666666666699E-2</v>
      </c>
      <c r="M179" s="813"/>
      <c r="N179" s="14"/>
      <c r="O179" s="816" cm="1">
        <f t="array" ref="O179">angleConvert2Decimal(O178)</f>
        <v>0.17166666666666669</v>
      </c>
      <c r="P179" s="817"/>
      <c r="Q179" s="11"/>
      <c r="R179" s="91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708" t="str" cm="1">
        <f t="array" ref="W179">angleDecimal2Txt(V179)</f>
        <v>-00°21.69 (-00.3616) [-00°21'42.00]</v>
      </c>
      <c r="X179" s="709"/>
      <c r="Y179" s="709"/>
      <c r="Z179" s="709"/>
      <c r="AA179" s="570"/>
      <c r="AB179" s="286"/>
      <c r="BN179" s="22"/>
      <c r="BO179" s="14"/>
    </row>
    <row r="180" spans="1:67" ht="17.25" customHeight="1" thickTop="1" thickBot="1">
      <c r="A180" s="14"/>
      <c r="B180" s="14"/>
      <c r="C180" s="57"/>
      <c r="D180" s="57"/>
      <c r="E180" s="57"/>
      <c r="F180" s="57"/>
      <c r="G180" s="57"/>
      <c r="H180" s="14"/>
      <c r="I180" s="38"/>
      <c r="J180" s="14"/>
      <c r="K180" s="38"/>
      <c r="L180" s="14"/>
      <c r="M180" s="14"/>
      <c r="N180" s="38"/>
      <c r="O180" s="14"/>
      <c r="P180" s="14"/>
      <c r="Q180" s="38"/>
      <c r="R180" s="43"/>
      <c r="S180" s="14"/>
      <c r="T180" s="14"/>
      <c r="U180" s="14"/>
      <c r="V180" s="14"/>
      <c r="W180" s="14"/>
      <c r="X180" s="14"/>
      <c r="Y180" s="14"/>
      <c r="Z180" s="14"/>
      <c r="AA180" s="14"/>
      <c r="AB180" s="286"/>
      <c r="BN180" s="22"/>
      <c r="BO180" s="14"/>
    </row>
    <row r="181" spans="1:67" ht="17.25" customHeight="1" thickTop="1" thickBot="1">
      <c r="A181" s="14"/>
      <c r="B181" s="14"/>
      <c r="C181" s="57"/>
      <c r="D181" s="57"/>
      <c r="E181" s="57"/>
      <c r="F181" s="57"/>
      <c r="G181" s="57"/>
      <c r="H181" s="1352" t="s">
        <v>145</v>
      </c>
      <c r="I181" s="1353"/>
      <c r="J181" s="1353"/>
      <c r="K181" s="1353"/>
      <c r="L181" s="1353"/>
      <c r="M181" s="1353"/>
      <c r="N181" s="1354"/>
      <c r="O181" s="598">
        <f>J178-L179+O179+R179</f>
        <v>66.566666666666677</v>
      </c>
      <c r="P181" s="572"/>
      <c r="Q181" s="572"/>
      <c r="R181" s="572"/>
      <c r="S181" s="14" t="s">
        <v>54</v>
      </c>
      <c r="T181" s="14"/>
      <c r="U181" s="708" t="str" cm="1">
        <f t="array" ref="U181">angleDecimal2Txt(O181)</f>
        <v>+66°34.00 (+66.5666) [+66°34'00.00]</v>
      </c>
      <c r="V181" s="709"/>
      <c r="W181" s="709"/>
      <c r="X181" s="709"/>
      <c r="Y181" s="709"/>
      <c r="Z181" s="570"/>
      <c r="AA181" s="14"/>
      <c r="AB181" s="286"/>
      <c r="BN181" s="22"/>
      <c r="BO181" s="14"/>
    </row>
    <row r="182" spans="1:67" ht="17.25" customHeight="1" thickTop="1" thickBot="1">
      <c r="A182" s="14"/>
      <c r="B182" s="14"/>
      <c r="C182" s="57"/>
      <c r="D182" s="44"/>
      <c r="E182" s="57"/>
      <c r="F182" s="57"/>
      <c r="G182" s="57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286"/>
      <c r="BN182" s="22"/>
      <c r="BO182" s="14"/>
    </row>
    <row r="183" spans="1:67" ht="17.25" customHeight="1" thickBot="1">
      <c r="A183" s="14"/>
      <c r="B183" s="1428" t="s">
        <v>254</v>
      </c>
      <c r="C183" s="1429"/>
      <c r="D183" s="1429"/>
      <c r="E183" s="1429"/>
      <c r="F183" s="1429"/>
      <c r="G183" s="1429"/>
      <c r="H183" s="1429"/>
      <c r="I183" s="1429"/>
      <c r="J183" s="1429"/>
      <c r="K183" s="1429"/>
      <c r="L183" s="1429"/>
      <c r="M183" s="1429"/>
      <c r="N183" s="1429"/>
      <c r="O183" s="1429"/>
      <c r="P183" s="1429"/>
      <c r="Q183" s="1429"/>
      <c r="R183" s="1429"/>
      <c r="S183" s="1429"/>
      <c r="T183" s="1429"/>
      <c r="U183" s="1429"/>
      <c r="V183" s="1429"/>
      <c r="W183" s="1429"/>
      <c r="X183" s="1429"/>
      <c r="Y183" s="1429"/>
      <c r="Z183" s="1429"/>
      <c r="AA183" s="1429"/>
      <c r="AB183" s="287"/>
      <c r="BN183" s="22"/>
      <c r="BO183" s="14"/>
    </row>
    <row r="184" spans="1:67" ht="17.2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286"/>
      <c r="BN184" s="22"/>
      <c r="BO184" s="14"/>
    </row>
    <row r="185" spans="1:67" ht="17.25" customHeight="1">
      <c r="A185" s="14"/>
      <c r="B185" s="14"/>
      <c r="C185" s="12"/>
      <c r="D185" s="12"/>
      <c r="E185" s="689" t="s">
        <v>256</v>
      </c>
      <c r="F185" s="690"/>
      <c r="G185" s="690"/>
      <c r="H185" s="690"/>
      <c r="I185" s="625">
        <f>90-Q186</f>
        <v>23.38237781580645</v>
      </c>
      <c r="J185" s="626"/>
      <c r="K185" s="626"/>
      <c r="L185" s="626"/>
      <c r="M185" s="627"/>
      <c r="N185" s="14"/>
      <c r="O185" s="1430" t="s">
        <v>255</v>
      </c>
      <c r="P185" s="1431"/>
      <c r="Q185" s="1432"/>
      <c r="R185" s="1432"/>
      <c r="S185" s="1432"/>
      <c r="T185" s="1433"/>
      <c r="AB185" s="286"/>
      <c r="BN185" s="22"/>
      <c r="BO185" s="14"/>
    </row>
    <row r="186" spans="1:67" ht="17.25" customHeight="1" thickBot="1">
      <c r="A186" s="14"/>
      <c r="B186" s="14"/>
      <c r="C186" s="12"/>
      <c r="D186" s="12"/>
      <c r="E186" s="691"/>
      <c r="F186" s="692"/>
      <c r="G186" s="692"/>
      <c r="H186" s="692"/>
      <c r="I186" s="727"/>
      <c r="J186" s="728"/>
      <c r="K186" s="728"/>
      <c r="L186" s="728"/>
      <c r="M186" s="814"/>
      <c r="N186" s="46" t="s">
        <v>116</v>
      </c>
      <c r="O186" s="980" t="s">
        <v>72</v>
      </c>
      <c r="P186" s="1345"/>
      <c r="Q186" s="587">
        <f>F143</f>
        <v>66.61762218419355</v>
      </c>
      <c r="R186" s="588"/>
      <c r="S186" s="588"/>
      <c r="T186" s="111" t="s">
        <v>54</v>
      </c>
      <c r="Y186" s="14"/>
      <c r="Z186" s="14"/>
      <c r="AA186" s="14"/>
      <c r="AB186" s="286"/>
      <c r="BN186" s="22"/>
      <c r="BO186" s="14"/>
    </row>
    <row r="187" spans="1:67" ht="17.25" customHeight="1" thickTop="1" thickBot="1">
      <c r="A187" s="14"/>
      <c r="B187" s="14"/>
      <c r="C187" s="12"/>
      <c r="D187" s="12"/>
      <c r="E187" s="693"/>
      <c r="F187" s="694"/>
      <c r="G187" s="694"/>
      <c r="H187" s="694"/>
      <c r="I187" s="708" t="str" cm="1">
        <f t="array" ref="I187">angleDecimal2Txt(I185)</f>
        <v>+23°22.94 (+23.3823) [+23°22'56.56]</v>
      </c>
      <c r="J187" s="709"/>
      <c r="K187" s="709"/>
      <c r="L187" s="709"/>
      <c r="M187" s="570"/>
      <c r="N187" s="14"/>
      <c r="O187" s="980" t="s">
        <v>84</v>
      </c>
      <c r="P187" s="1345"/>
      <c r="Q187" s="587">
        <f>F129</f>
        <v>0</v>
      </c>
      <c r="R187" s="588"/>
      <c r="S187" s="588"/>
      <c r="T187" s="111" t="s">
        <v>54</v>
      </c>
      <c r="Y187" s="14"/>
      <c r="Z187" s="14"/>
      <c r="AA187" s="14"/>
      <c r="AB187" s="286"/>
      <c r="BN187" s="22"/>
      <c r="BO187" s="14"/>
    </row>
    <row r="188" spans="1:67" ht="17.25" customHeight="1" thickTop="1">
      <c r="A188" s="14"/>
      <c r="B188" s="14"/>
      <c r="C188" s="12"/>
      <c r="D188" s="12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AA188" s="14"/>
      <c r="AB188" s="286"/>
      <c r="BN188" s="22"/>
      <c r="BO188" s="14"/>
    </row>
    <row r="189" spans="1:67" ht="17.25" customHeight="1">
      <c r="A189" s="14"/>
      <c r="B189" s="14"/>
      <c r="C189" s="12"/>
      <c r="D189" s="12"/>
      <c r="AB189" s="286"/>
      <c r="AC189" s="12" t="s">
        <v>542</v>
      </c>
      <c r="AD189" s="12">
        <v>-1</v>
      </c>
      <c r="BN189" s="22"/>
      <c r="BO189" s="14"/>
    </row>
    <row r="190" spans="1:67" ht="17.25" customHeight="1">
      <c r="A190" s="14"/>
      <c r="B190" s="14"/>
      <c r="C190" s="12"/>
      <c r="D190" s="12"/>
      <c r="E190" s="1386" t="s">
        <v>212</v>
      </c>
      <c r="F190" s="1387"/>
      <c r="G190" s="1387"/>
      <c r="H190" s="1387"/>
      <c r="I190" s="1387"/>
      <c r="J190" s="1387"/>
      <c r="K190" s="1387"/>
      <c r="L190" s="1387"/>
      <c r="M190" s="1387"/>
      <c r="N190" s="1387"/>
      <c r="O190" s="1388"/>
      <c r="Q190" s="688" t="s">
        <v>544</v>
      </c>
      <c r="R190" s="688"/>
      <c r="S190" s="688"/>
      <c r="T190" s="1344" t="str">
        <f>IF(T191&gt;T192,AC189,AC190)</f>
        <v>Soleil au Nord</v>
      </c>
      <c r="U190" s="1344"/>
      <c r="V190" s="1347" t="str">
        <f>IF(VLOOKUP(T190,AC189:AD190,2,FALSE)&lt;0,"Le soleil est au sud, et le nord est dans le dos","Le soleil est au nord, et le sud est dans le dos")</f>
        <v>Le soleil est au nord, et le sud est dans le dos</v>
      </c>
      <c r="W190" s="1347"/>
      <c r="X190" s="1347"/>
      <c r="Y190" s="1347"/>
      <c r="Z190" s="1347"/>
      <c r="AA190" s="1347"/>
      <c r="AB190" s="286"/>
      <c r="AC190" s="12" t="s">
        <v>541</v>
      </c>
      <c r="AD190" s="12">
        <v>1</v>
      </c>
      <c r="BN190" s="22"/>
      <c r="BO190" s="14"/>
    </row>
    <row r="191" spans="1:67" ht="17.25" customHeight="1">
      <c r="A191" s="14"/>
      <c r="B191" s="14"/>
      <c r="C191" s="12"/>
      <c r="D191" s="12"/>
      <c r="E191" s="647"/>
      <c r="F191" s="647" t="s">
        <v>214</v>
      </c>
      <c r="G191" s="647"/>
      <c r="H191" s="647"/>
      <c r="I191" s="647"/>
      <c r="J191" s="647"/>
      <c r="K191" s="912" t="s">
        <v>216</v>
      </c>
      <c r="L191" s="1346"/>
      <c r="M191" s="1346"/>
      <c r="N191" s="1346"/>
      <c r="O191" s="913"/>
      <c r="Q191" s="688" t="s">
        <v>85</v>
      </c>
      <c r="R191" s="688"/>
      <c r="S191" s="688"/>
      <c r="T191" s="1344">
        <f>F125</f>
        <v>0</v>
      </c>
      <c r="U191" s="1344"/>
      <c r="V191" s="1347" t="str">
        <f>CONCATENATE("Lat et Dec - Meme sens ?: ",AC191)</f>
        <v>Lat et Dec - Meme sens ?: FALSE</v>
      </c>
      <c r="W191" s="1347"/>
      <c r="X191" s="1347"/>
      <c r="Y191" s="1347"/>
      <c r="Z191" s="1347"/>
      <c r="AA191" s="1347"/>
      <c r="AB191" s="286"/>
      <c r="AC191" s="12" t="b">
        <f>IF(T191*T192&gt;0,TRUE,FALSE)</f>
        <v>0</v>
      </c>
      <c r="BN191" s="22"/>
      <c r="BO191" s="14"/>
    </row>
    <row r="192" spans="1:67" ht="17.25" customHeight="1">
      <c r="A192" s="14"/>
      <c r="B192" s="14"/>
      <c r="C192" s="12"/>
      <c r="D192" s="12"/>
      <c r="E192" s="647"/>
      <c r="F192" s="647" t="s">
        <v>215</v>
      </c>
      <c r="G192" s="647"/>
      <c r="H192" s="647"/>
      <c r="I192" s="647"/>
      <c r="J192" s="647"/>
      <c r="K192" s="912" t="s">
        <v>217</v>
      </c>
      <c r="L192" s="1346"/>
      <c r="M192" s="1346"/>
      <c r="N192" s="1346"/>
      <c r="O192" s="913"/>
      <c r="Q192" s="688" t="s">
        <v>84</v>
      </c>
      <c r="R192" s="688"/>
      <c r="S192" s="688"/>
      <c r="T192" s="1344">
        <f>Q187</f>
        <v>0</v>
      </c>
      <c r="U192" s="1344"/>
      <c r="V192" s="1347" t="str">
        <f>CONCATENATE("Lat &gt; Dec  ? : ",AC192)</f>
        <v>Lat &gt; Dec  ? : FALSE</v>
      </c>
      <c r="W192" s="1347"/>
      <c r="X192" s="1347"/>
      <c r="Y192" s="1347"/>
      <c r="Z192" s="1347"/>
      <c r="AA192" s="1347"/>
      <c r="AB192" s="286"/>
      <c r="AC192" s="12" t="b">
        <f>IF(ABS(T191)&gt;ABS(T192),TRUE, FALSE)</f>
        <v>0</v>
      </c>
      <c r="BN192" s="22"/>
      <c r="BO192" s="14"/>
    </row>
    <row r="193" spans="1:67" ht="17.25" customHeight="1">
      <c r="A193" s="14"/>
      <c r="B193" s="14"/>
      <c r="C193" s="14"/>
      <c r="D193" s="14"/>
      <c r="E193" s="1410" t="s">
        <v>213</v>
      </c>
      <c r="F193" s="1410"/>
      <c r="G193" s="1410"/>
      <c r="H193" s="1410"/>
      <c r="I193" s="1410"/>
      <c r="J193" s="1410"/>
      <c r="K193" s="912" t="s">
        <v>218</v>
      </c>
      <c r="L193" s="1346"/>
      <c r="M193" s="1346"/>
      <c r="N193" s="1346"/>
      <c r="O193" s="913"/>
      <c r="AB193" s="286"/>
      <c r="AD193" s="260"/>
      <c r="BN193" s="22"/>
      <c r="BO193" s="14"/>
    </row>
    <row r="194" spans="1:67" ht="17.25" customHeight="1">
      <c r="A194" s="14"/>
      <c r="B194" s="14"/>
      <c r="C194" s="57"/>
      <c r="D194" s="57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AB194" s="286"/>
      <c r="AD194" s="260"/>
      <c r="BN194" s="22"/>
      <c r="BO194" s="14"/>
    </row>
    <row r="195" spans="1:67" ht="17.25" customHeight="1" thickBot="1">
      <c r="A195" s="14"/>
      <c r="B195" s="14"/>
      <c r="C195" s="57"/>
      <c r="D195" s="57"/>
      <c r="E195" s="57"/>
      <c r="F195" s="57"/>
      <c r="G195" s="57"/>
      <c r="H195" s="14"/>
      <c r="I195" s="14"/>
      <c r="J195" s="14"/>
      <c r="K195" s="14"/>
      <c r="L195" s="14"/>
      <c r="AB195" s="286"/>
      <c r="AD195" s="260"/>
      <c r="BN195" s="22"/>
      <c r="BO195" s="14"/>
    </row>
    <row r="196" spans="1:67" ht="17.25" customHeight="1" thickTop="1">
      <c r="A196" s="14"/>
      <c r="B196" s="14"/>
      <c r="C196" s="57"/>
      <c r="D196" s="57"/>
      <c r="E196" s="57"/>
      <c r="F196" s="57"/>
      <c r="G196" s="57"/>
      <c r="H196" s="1411" t="s">
        <v>211</v>
      </c>
      <c r="I196" s="1412"/>
      <c r="J196" s="1412"/>
      <c r="K196" s="1412"/>
      <c r="L196" s="1413"/>
      <c r="M196" s="1417" cm="1">
        <f t="array" ref="M196">astroCalculLatitude(VLOOKUP(T190,AC189:AD190,2,FALSE),T192,Q186)</f>
        <v>-23.38237781580645</v>
      </c>
      <c r="N196" s="1418"/>
      <c r="O196" s="188" t="s">
        <v>28</v>
      </c>
      <c r="P196" s="1419" t="str">
        <f>latitudeDecimal2Txt(M196)</f>
        <v>S 23°22.94 (S 23.3823) [S 23°22'56.56]</v>
      </c>
      <c r="Q196" s="1420"/>
      <c r="R196" s="1420"/>
      <c r="S196" s="1420"/>
      <c r="T196" s="1420"/>
      <c r="U196" s="1420"/>
      <c r="V196" t="s">
        <v>547</v>
      </c>
      <c r="AB196" s="286"/>
      <c r="BN196" s="22"/>
      <c r="BO196" s="14"/>
    </row>
    <row r="197" spans="1:67" ht="17.25" customHeight="1">
      <c r="A197" s="12"/>
      <c r="B197" s="12"/>
      <c r="C197" s="12"/>
      <c r="D197" s="12"/>
      <c r="M197" s="1348">
        <f>IF(AC191,IF(AC192,I185+T192,T192-I185),I185-T192)</f>
        <v>23.38237781580645</v>
      </c>
      <c r="N197" s="1349"/>
      <c r="O197" s="252" t="s">
        <v>28</v>
      </c>
      <c r="P197" s="1350" t="str">
        <f>latitudeDecimal2Txt(M197)</f>
        <v>N 23°22.94 (N 23.3823) [N 23°22'56.56]</v>
      </c>
      <c r="Q197" s="1351"/>
      <c r="R197" s="1351"/>
      <c r="S197" s="1351"/>
      <c r="T197" s="1351"/>
      <c r="U197" s="1351"/>
      <c r="V197" s="14" t="s">
        <v>546</v>
      </c>
      <c r="W197" s="14"/>
      <c r="X197" s="14"/>
      <c r="Y197" s="14"/>
      <c r="Z197" s="14"/>
      <c r="AA197" s="14"/>
      <c r="AB197" s="286"/>
      <c r="BN197" s="22"/>
      <c r="BO197" s="14"/>
    </row>
    <row r="198" spans="1:67" s="14" customFormat="1" ht="17.25" customHeight="1" thickBot="1">
      <c r="C198" s="57"/>
      <c r="D198" s="57"/>
      <c r="E198" s="57"/>
      <c r="F198" s="57"/>
      <c r="G198" s="57"/>
      <c r="H198" s="1411" t="s">
        <v>171</v>
      </c>
      <c r="I198" s="1412"/>
      <c r="J198" s="1412"/>
      <c r="K198" s="1412"/>
      <c r="L198" s="1413"/>
      <c r="M198" s="1422">
        <f>Q100</f>
        <v>-8.3406952777777423</v>
      </c>
      <c r="N198" s="1423"/>
      <c r="O198" s="251" t="s">
        <v>28</v>
      </c>
      <c r="P198" s="1424" t="str">
        <f>longitudeDecimal2Txt(M198)</f>
        <v>W 08°20.44 (W 08.3406) [W 08°20'26.50]</v>
      </c>
      <c r="Q198" s="593"/>
      <c r="R198" s="593"/>
      <c r="S198" s="593"/>
      <c r="T198" s="593"/>
      <c r="U198" s="593"/>
      <c r="AB198" s="286"/>
      <c r="AC198" s="12"/>
      <c r="AD198" s="12"/>
      <c r="AE198" s="12"/>
      <c r="AF198" s="12"/>
      <c r="AG198" s="12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2"/>
    </row>
    <row r="199" spans="1:67" ht="17.25" customHeight="1" thickTop="1" thickBot="1">
      <c r="A199" s="14"/>
      <c r="B199" s="14"/>
      <c r="C199" s="57"/>
      <c r="D199" s="57"/>
      <c r="E199" s="57"/>
      <c r="F199" s="57"/>
      <c r="G199" s="57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286"/>
      <c r="BN199" s="22"/>
      <c r="BO199" s="14"/>
    </row>
    <row r="200" spans="1:67" ht="17.25" customHeight="1" thickBot="1">
      <c r="A200" s="14"/>
      <c r="B200" s="23" t="s">
        <v>232</v>
      </c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87"/>
      <c r="BN200" s="22"/>
      <c r="BO200" s="14"/>
    </row>
    <row r="201" spans="1:67" s="14" customFormat="1" ht="17.25" customHeight="1">
      <c r="C201" s="57"/>
      <c r="D201" s="57"/>
      <c r="E201" s="57"/>
      <c r="F201" s="57"/>
      <c r="G201" s="57"/>
      <c r="AB201" s="286"/>
      <c r="AC201" s="12"/>
      <c r="AD201" s="12"/>
      <c r="AE201" s="12"/>
      <c r="AF201" s="12"/>
      <c r="AG201" s="12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2"/>
    </row>
    <row r="202" spans="1:67" ht="17.25" customHeight="1" thickBot="1">
      <c r="A202" s="14"/>
      <c r="B202" s="14"/>
      <c r="C202" s="641" t="s">
        <v>233</v>
      </c>
      <c r="D202" s="641"/>
      <c r="E202" s="641"/>
      <c r="F202" s="641"/>
      <c r="G202" s="101"/>
      <c r="H202" s="641" t="s">
        <v>234</v>
      </c>
      <c r="I202" s="641"/>
      <c r="J202" s="641"/>
      <c r="K202" s="14"/>
      <c r="L202" s="1421" t="s">
        <v>223</v>
      </c>
      <c r="M202" s="1421"/>
      <c r="N202" s="1421"/>
      <c r="O202" s="14"/>
      <c r="P202" s="14"/>
      <c r="Q202" s="1409" t="s">
        <v>235</v>
      </c>
      <c r="R202" s="1409"/>
      <c r="S202" s="1409"/>
      <c r="T202" s="1409"/>
      <c r="U202" s="88"/>
      <c r="V202" s="14"/>
      <c r="W202" s="14"/>
      <c r="X202" s="14"/>
      <c r="Y202" s="14"/>
      <c r="Z202" s="14"/>
      <c r="AA202" s="14"/>
      <c r="AB202" s="286"/>
      <c r="AD202" s="260"/>
      <c r="BN202" s="22"/>
      <c r="BO202" s="14"/>
    </row>
    <row r="203" spans="1:67" ht="17.25" customHeight="1" thickTop="1" thickBot="1">
      <c r="A203" s="14"/>
      <c r="B203" s="14"/>
      <c r="C203" s="57"/>
      <c r="D203" s="124" t="s">
        <v>41</v>
      </c>
      <c r="E203" s="647">
        <f>M196</f>
        <v>-23.38237781580645</v>
      </c>
      <c r="F203" s="647"/>
      <c r="G203" s="57"/>
      <c r="H203" s="14"/>
      <c r="I203" s="647" t="str">
        <f>V190</f>
        <v>Le soleil est au nord, et le sud est dans le dos</v>
      </c>
      <c r="J203" s="647"/>
      <c r="K203" s="14" t="s">
        <v>104</v>
      </c>
      <c r="L203" s="14"/>
      <c r="M203" s="647">
        <v>180</v>
      </c>
      <c r="N203" s="647"/>
      <c r="O203" s="14"/>
      <c r="P203" s="14"/>
      <c r="Q203" s="14"/>
      <c r="R203" s="125" t="s">
        <v>41</v>
      </c>
      <c r="S203" s="564">
        <f>E203</f>
        <v>-23.38237781580645</v>
      </c>
      <c r="T203" s="564"/>
      <c r="U203" s="739" t="str" cm="1">
        <f t="array" ref="U203">latitudeDecimal2Txt(S203)</f>
        <v>S 23°22.94 (S 23.3823) [S 23°22'56.56]</v>
      </c>
      <c r="V203" s="635"/>
      <c r="W203" s="635"/>
      <c r="X203" s="635"/>
      <c r="Y203" s="635"/>
      <c r="Z203" s="636"/>
      <c r="AA203" s="14"/>
      <c r="AB203" s="286"/>
      <c r="AD203" s="260"/>
      <c r="BN203" s="22"/>
      <c r="BO203" s="14"/>
    </row>
    <row r="204" spans="1:67" ht="17.25" customHeight="1" thickTop="1">
      <c r="A204" s="14"/>
      <c r="B204" s="14"/>
      <c r="C204" s="57"/>
      <c r="D204" s="124" t="s">
        <v>42</v>
      </c>
      <c r="E204" s="647">
        <f>M198</f>
        <v>-8.3406952777777423</v>
      </c>
      <c r="F204" s="647"/>
      <c r="G204" s="57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286"/>
      <c r="BN204" s="22"/>
      <c r="BO204" s="14"/>
    </row>
    <row r="205" spans="1:67" ht="17.25" customHeight="1">
      <c r="A205" s="14"/>
      <c r="B205" s="14"/>
      <c r="F205" s="57"/>
      <c r="G205" s="57"/>
      <c r="H205" s="14"/>
      <c r="I205" s="14"/>
      <c r="J205" s="14"/>
      <c r="K205" s="14"/>
      <c r="L205" s="14"/>
      <c r="M205" s="14"/>
      <c r="N205" s="14"/>
      <c r="O205" s="14"/>
      <c r="P205" s="14"/>
      <c r="Q205" s="1409" t="s">
        <v>236</v>
      </c>
      <c r="R205" s="1409"/>
      <c r="S205" s="1409"/>
      <c r="T205" s="14"/>
      <c r="U205" s="14"/>
      <c r="V205" s="14"/>
      <c r="W205" s="14"/>
      <c r="X205" s="14"/>
      <c r="Y205" s="14"/>
      <c r="Z205" s="14"/>
      <c r="AA205" s="14"/>
      <c r="AB205" s="286"/>
      <c r="BN205" s="22"/>
      <c r="BO205" s="14"/>
    </row>
    <row r="206" spans="1:67" ht="17.25" customHeight="1">
      <c r="A206" s="14"/>
      <c r="B206" s="14"/>
      <c r="C206" s="57"/>
      <c r="D206" s="57"/>
      <c r="E206" s="57"/>
      <c r="F206" s="57"/>
      <c r="G206" s="57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564">
        <f>M203-90</f>
        <v>90</v>
      </c>
      <c r="S206" s="564"/>
      <c r="T206" s="48" t="s">
        <v>28</v>
      </c>
      <c r="U206" s="14"/>
      <c r="V206" s="14"/>
      <c r="W206" s="14"/>
      <c r="X206" s="14"/>
      <c r="Y206" s="14"/>
      <c r="Z206" s="14"/>
      <c r="AA206" s="14"/>
      <c r="AB206" s="286"/>
      <c r="BN206" s="22"/>
      <c r="BO206" s="14"/>
    </row>
    <row r="207" spans="1:67" ht="17.25" customHeight="1"/>
    <row r="208" spans="1:67" ht="17.25" customHeight="1" thickBot="1"/>
    <row r="209" spans="2:33" ht="17.25" customHeight="1" thickBot="1">
      <c r="B209" s="107" t="s">
        <v>240</v>
      </c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</row>
    <row r="210" spans="2:33" ht="17.25" customHeight="1">
      <c r="AD210" s="260"/>
    </row>
    <row r="211" spans="2:33" ht="17.25" customHeight="1" thickBot="1">
      <c r="C211" s="639" t="s">
        <v>235</v>
      </c>
      <c r="D211" s="639"/>
      <c r="E211" s="639"/>
      <c r="F211" s="639"/>
      <c r="G211" s="88"/>
      <c r="H211" s="14"/>
      <c r="I211" s="14"/>
      <c r="J211" s="14"/>
      <c r="K211" s="14"/>
      <c r="L211" s="14"/>
      <c r="Q211" s="102" t="s">
        <v>241</v>
      </c>
      <c r="R211" s="102"/>
      <c r="S211" s="102"/>
      <c r="T211" s="102"/>
      <c r="U211" s="102"/>
      <c r="V211" s="102"/>
      <c r="W211" s="102"/>
    </row>
    <row r="212" spans="2:33" ht="17.25" customHeight="1" thickTop="1" thickBot="1">
      <c r="D212" s="126" t="s">
        <v>41</v>
      </c>
      <c r="E212" s="640">
        <f>I221</f>
        <v>0</v>
      </c>
      <c r="F212" s="640"/>
      <c r="G212" s="565" t="str" cm="1">
        <f t="array" ref="G212">latitudeDecimal2Txt(E212)</f>
        <v>N 00°00.00 (N 00.0000) [N 00°00'00.00]</v>
      </c>
      <c r="H212" s="565"/>
      <c r="I212" s="565"/>
      <c r="J212" s="565"/>
      <c r="K212" s="565"/>
      <c r="L212" s="565"/>
      <c r="R212" s="125" t="s">
        <v>41</v>
      </c>
      <c r="S212" s="564">
        <f>AG215</f>
        <v>-23.38237781580645</v>
      </c>
      <c r="T212" s="564"/>
      <c r="U212" s="565" t="str" cm="1">
        <f t="array" ref="U212">latitudeDecimal2Txt(S212)</f>
        <v>S 23°22.94 (S 23.3823) [S 23°22'56.56]</v>
      </c>
      <c r="V212" s="565"/>
      <c r="W212" s="565"/>
      <c r="X212" s="565"/>
      <c r="Y212" s="565"/>
      <c r="Z212" s="565"/>
      <c r="AC212" s="261" t="s">
        <v>271</v>
      </c>
      <c r="AD212" s="262">
        <f>D216</f>
        <v>30</v>
      </c>
    </row>
    <row r="213" spans="2:33" ht="17.25" customHeight="1" thickTop="1" thickBot="1">
      <c r="D213" s="126" t="s">
        <v>42</v>
      </c>
      <c r="E213" s="640">
        <v>-7</v>
      </c>
      <c r="F213" s="640"/>
      <c r="G213" s="565" t="str" cm="1">
        <f t="array" ref="G213">longitudeDecimal2Txt(E213)</f>
        <v>W 07°00.00 (W 07.0000) [W 07°00'00.00]</v>
      </c>
      <c r="H213" s="565"/>
      <c r="I213" s="565"/>
      <c r="J213" s="565"/>
      <c r="K213" s="565"/>
      <c r="L213" s="565"/>
      <c r="R213" s="125" t="s">
        <v>42</v>
      </c>
      <c r="S213" s="564">
        <f>AG216</f>
        <v>-20.499822126249384</v>
      </c>
      <c r="T213" s="564"/>
      <c r="U213" s="565" t="str" cm="1">
        <f t="array" ref="U213">longitudeDecimal2Txt(S213)</f>
        <v>W 20°29.98 (W 20.4998) [W 20°29'59.35]</v>
      </c>
      <c r="V213" s="565"/>
      <c r="W213" s="565"/>
      <c r="X213" s="565"/>
      <c r="Y213" s="565"/>
      <c r="Z213" s="565"/>
      <c r="AC213" s="261" t="s">
        <v>550</v>
      </c>
      <c r="AD213" s="262">
        <f>E212</f>
        <v>0</v>
      </c>
    </row>
    <row r="214" spans="2:33" ht="17.25" customHeight="1" thickTop="1"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AC214" s="261" t="s">
        <v>549</v>
      </c>
      <c r="AD214" s="262">
        <f>E213</f>
        <v>-7</v>
      </c>
    </row>
    <row r="215" spans="2:33" ht="17.25" customHeight="1">
      <c r="C215" s="639" t="s">
        <v>236</v>
      </c>
      <c r="D215" s="639"/>
      <c r="E215" s="639"/>
      <c r="F215" s="106"/>
      <c r="G215" s="14"/>
      <c r="H215" s="14"/>
      <c r="I215" s="14"/>
      <c r="J215" s="14"/>
      <c r="K215" s="14"/>
      <c r="L215" s="14"/>
      <c r="AC215" s="261" t="s">
        <v>242</v>
      </c>
      <c r="AD215" s="261">
        <f>TAN(AD212*Outils!F37) * (1 / COS(AD213*Outils!F37))</f>
        <v>0</v>
      </c>
      <c r="AE215" s="1406" t="s">
        <v>277</v>
      </c>
      <c r="AF215" s="1406"/>
      <c r="AG215" s="263">
        <f>S203</f>
        <v>-23.38237781580645</v>
      </c>
    </row>
    <row r="216" spans="2:33" ht="17.25" customHeight="1">
      <c r="D216" s="640">
        <v>30</v>
      </c>
      <c r="E216" s="640"/>
      <c r="F216" s="127" t="s">
        <v>28</v>
      </c>
      <c r="G216" s="14"/>
      <c r="H216" s="14"/>
      <c r="I216" s="14"/>
      <c r="J216" s="14"/>
      <c r="K216" s="14"/>
      <c r="L216" s="14"/>
      <c r="AC216" s="261" t="s">
        <v>243</v>
      </c>
      <c r="AD216" s="261">
        <f>AD214-AD213*AD215</f>
        <v>-7</v>
      </c>
      <c r="AE216" s="1406"/>
      <c r="AF216" s="1406"/>
      <c r="AG216" s="264">
        <f>E213+(S203-E212)*TAN(D216*Outils!F4)/COS(Outils!F4*E212)</f>
        <v>-20.499822126249384</v>
      </c>
    </row>
    <row r="218" spans="2:33">
      <c r="S218" s="14"/>
      <c r="T218" s="14"/>
    </row>
    <row r="220" spans="2:33" ht="17.25" customHeight="1">
      <c r="G220" s="11"/>
      <c r="P220" s="14"/>
      <c r="Q220" s="14"/>
    </row>
    <row r="221" spans="2:33" ht="17.25" customHeight="1" thickBot="1">
      <c r="G221" s="11"/>
    </row>
    <row r="222" spans="2:33" ht="15.75" thickBot="1">
      <c r="B222" s="107" t="s">
        <v>493</v>
      </c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9"/>
      <c r="AB222" s="289"/>
    </row>
    <row r="223" spans="2:33">
      <c r="K223" s="90"/>
      <c r="L223" s="90"/>
      <c r="AB223" s="289"/>
    </row>
    <row r="224" spans="2:33">
      <c r="B224" s="1379" t="s">
        <v>1</v>
      </c>
      <c r="C224" s="1379"/>
      <c r="D224" s="1379" t="e">
        <f>#REF!</f>
        <v>#REF!</v>
      </c>
      <c r="E224" s="1379"/>
      <c r="F224" s="1379"/>
      <c r="G224" s="1379"/>
      <c r="H224" s="206" t="s">
        <v>2</v>
      </c>
      <c r="I224" s="1379" t="e">
        <f>#REF!</f>
        <v>#REF!</v>
      </c>
      <c r="J224" s="1379"/>
      <c r="K224" s="1379"/>
      <c r="L224" s="1379"/>
      <c r="AB224" s="289"/>
    </row>
    <row r="225" spans="2:65">
      <c r="B225" s="1381" t="s">
        <v>30</v>
      </c>
      <c r="C225" s="1381"/>
      <c r="D225" s="1382" t="s">
        <v>421</v>
      </c>
      <c r="E225" s="1382"/>
      <c r="F225" s="1382"/>
      <c r="G225" s="1382"/>
      <c r="H225" s="200"/>
      <c r="I225" s="200"/>
      <c r="J225" s="200"/>
      <c r="K225" s="200"/>
      <c r="L225" s="200"/>
      <c r="AA225" s="197"/>
      <c r="AB225" s="289"/>
    </row>
    <row r="226" spans="2:65">
      <c r="B226" s="196"/>
      <c r="C226" s="196"/>
      <c r="D226" s="199"/>
      <c r="E226" s="196"/>
      <c r="AA226" s="197"/>
      <c r="AB226" s="289"/>
    </row>
    <row r="227" spans="2:65" s="90" customFormat="1" ht="17.25" customHeight="1" thickBot="1">
      <c r="B227" s="203" t="s">
        <v>391</v>
      </c>
      <c r="C227" s="203"/>
      <c r="D227" s="203"/>
      <c r="E227" s="203"/>
      <c r="F227" s="202"/>
      <c r="G227" s="202"/>
      <c r="H227" s="201"/>
      <c r="I227" s="201"/>
      <c r="J227" s="201"/>
      <c r="K227" s="201"/>
      <c r="L227" s="201"/>
      <c r="M227" s="201"/>
      <c r="N227" s="201"/>
      <c r="O227" s="201"/>
      <c r="P227" s="201"/>
      <c r="Q227" s="201"/>
      <c r="AB227" s="288"/>
      <c r="AC227" s="12"/>
      <c r="AD227" s="12"/>
      <c r="AE227" s="12"/>
      <c r="AF227" s="12"/>
      <c r="AG227" s="12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0" customFormat="1" ht="17.25" customHeight="1" thickTop="1">
      <c r="C228" s="1383" t="s">
        <v>465</v>
      </c>
      <c r="D228" s="1383"/>
      <c r="E228" s="1373" t="str">
        <f>P110</f>
        <v>+66°57.00 (+66.9500) [+66°57'00.00]</v>
      </c>
      <c r="F228" s="1383"/>
      <c r="G228" s="1383"/>
      <c r="H228" s="1383"/>
      <c r="I228" s="1383"/>
      <c r="AB228" s="288"/>
      <c r="AC228" s="12"/>
      <c r="AD228" s="12"/>
      <c r="AE228" s="12"/>
      <c r="AF228" s="12"/>
      <c r="AG228" s="12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0" customFormat="1" ht="17.25" customHeight="1">
      <c r="C229" s="1357" t="s">
        <v>70</v>
      </c>
      <c r="D229" s="1357"/>
      <c r="E229" s="1357" t="str">
        <f>M112</f>
        <v>BordSup</v>
      </c>
      <c r="F229" s="1357"/>
      <c r="G229" s="1357"/>
      <c r="H229" s="1357"/>
      <c r="I229" s="1357"/>
      <c r="AB229" s="288"/>
      <c r="AC229" s="12"/>
      <c r="AD229" s="12"/>
      <c r="AE229" s="12"/>
      <c r="AF229" s="12"/>
      <c r="AG229" s="12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0" customFormat="1" ht="17.25" customHeight="1">
      <c r="C230" s="1377" t="s">
        <v>393</v>
      </c>
      <c r="D230" s="1377"/>
      <c r="E230" s="1357" t="str">
        <f>P109</f>
        <v>+00°01.30 (+00.0216) [+00°01'18.00]</v>
      </c>
      <c r="F230" s="1378"/>
      <c r="G230" s="1378"/>
      <c r="H230" s="1378"/>
      <c r="I230" s="1378"/>
      <c r="AB230" s="288"/>
      <c r="AC230" s="12"/>
      <c r="AD230" s="12"/>
      <c r="AE230" s="12"/>
      <c r="AF230" s="12"/>
      <c r="AG230" s="12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0" customFormat="1" ht="17.25" customHeight="1">
      <c r="C231" s="1379" t="s">
        <v>394</v>
      </c>
      <c r="D231" s="1379"/>
      <c r="E231" s="1380" t="str">
        <f>CONCATENATE(M108, " m")</f>
        <v>2 m</v>
      </c>
      <c r="F231" s="1380"/>
      <c r="G231" s="1380"/>
      <c r="H231" s="1380"/>
      <c r="I231" s="1380"/>
      <c r="AB231" s="288"/>
      <c r="AC231" s="12"/>
      <c r="AD231" s="12"/>
      <c r="AE231" s="12"/>
      <c r="AF231" s="12"/>
      <c r="AG231" s="12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0" customFormat="1" ht="17.25" customHeight="1">
      <c r="E232" s="1376" t="str">
        <f>U150</f>
        <v>+66°53.21 (+66.8868) [+66°53'12.82]</v>
      </c>
      <c r="F232" s="1376"/>
      <c r="G232" s="1376"/>
      <c r="H232" s="1376"/>
      <c r="I232" s="1376"/>
      <c r="J232" s="1376" t="s">
        <v>466</v>
      </c>
      <c r="K232" s="1376"/>
      <c r="L232" s="1376"/>
      <c r="AB232" s="288"/>
      <c r="AC232" s="12"/>
      <c r="AD232" s="12"/>
      <c r="AE232" s="12"/>
      <c r="AF232" s="12"/>
      <c r="AG232" s="1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0" customFormat="1" ht="17.25" customHeight="1">
      <c r="E233" s="204"/>
      <c r="F233" s="1361" t="s">
        <v>394</v>
      </c>
      <c r="G233" s="1356"/>
      <c r="H233" s="1374" t="str">
        <f>U148</f>
        <v>+00°02.48 (+00.0414) [+00°02'29.17]</v>
      </c>
      <c r="I233" s="1375"/>
      <c r="J233" s="1375"/>
      <c r="K233" s="1375"/>
      <c r="L233" s="1375"/>
      <c r="AB233" s="288"/>
      <c r="AC233" s="12"/>
      <c r="AD233" s="12"/>
      <c r="AE233" s="12"/>
      <c r="AF233" s="12"/>
      <c r="AG233" s="12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0" customFormat="1" ht="17.25" customHeight="1">
      <c r="F234" s="1371" t="s">
        <v>401</v>
      </c>
      <c r="G234" s="1371"/>
      <c r="H234" s="1374" t="str">
        <f>U158</f>
        <v>+00°00.42 (+00.0070) [+00°00'25.46]</v>
      </c>
      <c r="I234" s="1375"/>
      <c r="J234" s="1375"/>
      <c r="K234" s="1375"/>
      <c r="L234" s="1375"/>
      <c r="AB234" s="288"/>
      <c r="AC234" s="12"/>
      <c r="AD234" s="12"/>
      <c r="AE234" s="12"/>
      <c r="AF234" s="12"/>
      <c r="AG234" s="12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0" customFormat="1" ht="17.25" customHeight="1">
      <c r="F235" s="1371" t="s">
        <v>402</v>
      </c>
      <c r="G235" s="1371"/>
      <c r="H235" s="1371" t="str">
        <f>U153</f>
        <v>+00°00.06 (+00.0011) [+00°00'04.07]</v>
      </c>
      <c r="I235" s="1371"/>
      <c r="J235" s="1371"/>
      <c r="K235" s="1371"/>
      <c r="L235" s="1371"/>
      <c r="AB235" s="288"/>
      <c r="AC235" s="12"/>
      <c r="AD235" s="12"/>
      <c r="AE235" s="12"/>
      <c r="AF235" s="12"/>
      <c r="AG235" s="12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0" customFormat="1" ht="17.25" customHeight="1">
      <c r="F236" s="1371" t="s">
        <v>100</v>
      </c>
      <c r="G236" s="1371"/>
      <c r="H236" s="1371" t="str" cm="1">
        <f t="array" ref="H236">angleDecimal2Txt(O160)</f>
        <v>+00°31.60 (+00.5266) [+00°31'36.00]</v>
      </c>
      <c r="I236" s="1371"/>
      <c r="J236" s="1371"/>
      <c r="K236" s="1371"/>
      <c r="L236" s="1371"/>
      <c r="AB236" s="288"/>
      <c r="AC236" s="12"/>
      <c r="AD236" s="12"/>
      <c r="AE236" s="12"/>
      <c r="AF236" s="12"/>
      <c r="AG236" s="12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0" customFormat="1" ht="17.25" customHeight="1">
      <c r="F237" s="1371" t="s">
        <v>71</v>
      </c>
      <c r="G237" s="1371"/>
      <c r="H237" s="1371" t="str">
        <f>U162</f>
        <v>-00°15.80 (-00.2633) [-00°15'48.00]</v>
      </c>
      <c r="I237" s="1371"/>
      <c r="J237" s="1371"/>
      <c r="K237" s="1371"/>
      <c r="L237" s="1371"/>
      <c r="AB237" s="288"/>
      <c r="AC237" s="12"/>
      <c r="AD237" s="12"/>
      <c r="AE237" s="12"/>
      <c r="AF237" s="12"/>
      <c r="AG237" s="12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0" customFormat="1" ht="17.25" customHeight="1">
      <c r="D238" s="198"/>
      <c r="E238" s="1376" t="str" cm="1">
        <f t="array" ref="E238">angleDecimal2Txt(F143)</f>
        <v>+66°37.05 (+66.6176) [+66°37'03.43]</v>
      </c>
      <c r="F238" s="1376"/>
      <c r="G238" s="1376"/>
      <c r="H238" s="1376"/>
      <c r="I238" s="1376"/>
      <c r="J238" s="1376" t="s">
        <v>467</v>
      </c>
      <c r="K238" s="1376"/>
      <c r="L238" s="1376"/>
      <c r="AB238" s="288"/>
      <c r="AC238" s="12"/>
      <c r="AD238" s="12"/>
      <c r="AE238" s="12"/>
      <c r="AF238" s="12"/>
      <c r="AG238" s="12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0" customFormat="1" ht="17.25" customHeight="1">
      <c r="D239" s="198"/>
      <c r="F239" s="1371" t="str" cm="1">
        <f t="array" ref="F239">angleDecimal2Txt(O153-O158-O148)</f>
        <v>-00°02.84 (-00.0473) [-00°02'50.56]</v>
      </c>
      <c r="G239" s="1371"/>
      <c r="H239" s="1371"/>
      <c r="I239" s="1371"/>
      <c r="J239" s="1371"/>
      <c r="K239" s="1371" t="s">
        <v>403</v>
      </c>
      <c r="L239" s="1371"/>
      <c r="M239" s="1371"/>
      <c r="N239" s="1372" t="s">
        <v>418</v>
      </c>
      <c r="O239" s="1372"/>
      <c r="P239" s="1372"/>
      <c r="AB239" s="288"/>
      <c r="AC239" s="12"/>
      <c r="AD239" s="12"/>
      <c r="AE239" s="12"/>
      <c r="AF239" s="12"/>
      <c r="AG239" s="12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0" customFormat="1" ht="17.25" customHeight="1">
      <c r="D240" s="198"/>
      <c r="F240" s="1371" t="str" cm="1">
        <f t="array" ref="F240">angleDecimal2Txt(O153-O158-O148+O162)</f>
        <v>-00°18.64 (-00.3107) [-00°18'38.56]</v>
      </c>
      <c r="G240" s="1371"/>
      <c r="H240" s="1371"/>
      <c r="I240" s="1371"/>
      <c r="J240" s="1371"/>
      <c r="K240" s="1371" t="s">
        <v>399</v>
      </c>
      <c r="L240" s="1371"/>
      <c r="M240" s="1371"/>
      <c r="N240" s="1372"/>
      <c r="O240" s="1372"/>
      <c r="P240" s="1372"/>
      <c r="AB240" s="288"/>
      <c r="AC240" s="12"/>
      <c r="AD240" s="12"/>
      <c r="AE240" s="12"/>
      <c r="AF240" s="12"/>
      <c r="AG240" s="12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0" customFormat="1" ht="17.25" customHeight="1">
      <c r="D241" s="198"/>
      <c r="F241" s="1371" t="str" cm="1">
        <f t="array" ref="F241">angleDecimal2Txt(O153-O158+O162)</f>
        <v>-00°16.15 (-00.2692) [-00°16'09.38]</v>
      </c>
      <c r="G241" s="1371"/>
      <c r="H241" s="1371"/>
      <c r="I241" s="1371"/>
      <c r="J241" s="1371"/>
      <c r="K241" s="1371" t="s">
        <v>400</v>
      </c>
      <c r="L241" s="1371"/>
      <c r="M241" s="1371"/>
      <c r="N241" s="1372"/>
      <c r="O241" s="1372"/>
      <c r="P241" s="1372"/>
      <c r="AB241" s="288"/>
      <c r="AC241" s="12"/>
      <c r="AD241" s="12"/>
      <c r="AE241" s="12"/>
      <c r="AF241" s="12"/>
      <c r="AG241" s="12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0" customFormat="1" ht="17.25" customHeight="1">
      <c r="AB242" s="288"/>
      <c r="AC242" s="12"/>
      <c r="AD242" s="12"/>
      <c r="AE242" s="12"/>
      <c r="AF242" s="12"/>
      <c r="AG242" s="1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0" customFormat="1" ht="17.25" customHeight="1">
      <c r="C243" s="198"/>
      <c r="AB243" s="288"/>
      <c r="AC243" s="12"/>
      <c r="AD243" s="12"/>
      <c r="AE243" s="12"/>
      <c r="AF243" s="12"/>
      <c r="AG243" s="12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0" customFormat="1" ht="17.25" customHeight="1" thickBot="1">
      <c r="B244" s="90" t="s">
        <v>503</v>
      </c>
      <c r="C244" s="202"/>
      <c r="D244" s="202"/>
      <c r="E244" s="202"/>
      <c r="F244" s="202"/>
      <c r="G244" s="202"/>
      <c r="H244" s="201"/>
      <c r="I244" s="201"/>
      <c r="J244" s="201"/>
      <c r="K244" s="201"/>
      <c r="L244" s="201"/>
      <c r="M244" s="201"/>
      <c r="N244" s="201"/>
      <c r="O244" s="201"/>
      <c r="P244" s="201"/>
      <c r="Q244" s="201"/>
      <c r="AB244" s="288"/>
      <c r="AC244" s="12"/>
      <c r="AD244" s="12"/>
      <c r="AE244" s="12"/>
      <c r="AF244" s="12"/>
      <c r="AG244" s="12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1489" t="s">
        <v>504</v>
      </c>
      <c r="C245" s="1373" t="s">
        <v>561</v>
      </c>
      <c r="D245" s="1373"/>
      <c r="E245" s="1373" t="str">
        <f>O10</f>
        <v>N 46°06.00 (N 46.1000) [N 46°06'00.00]</v>
      </c>
      <c r="F245" s="1373"/>
      <c r="G245" s="1373"/>
      <c r="H245" s="1373"/>
      <c r="I245" s="1373"/>
      <c r="J245" s="1373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AC245"/>
      <c r="AD245"/>
      <c r="AE245"/>
      <c r="AF245"/>
      <c r="AG245"/>
    </row>
    <row r="246" spans="2:65" ht="17.25" customHeight="1">
      <c r="B246" s="1489"/>
      <c r="C246" s="1373" t="s">
        <v>557</v>
      </c>
      <c r="D246" s="1373"/>
      <c r="E246" s="1373" t="str">
        <f>O12</f>
        <v>W 05°00.00 (W 05.0000) [W 05°00'00.00]</v>
      </c>
      <c r="F246" s="1373"/>
      <c r="G246" s="1373"/>
      <c r="H246" s="1373"/>
      <c r="I246" s="1373"/>
      <c r="J246" s="1373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AC246"/>
      <c r="AD246"/>
      <c r="AE246"/>
      <c r="AF246"/>
      <c r="AG246"/>
    </row>
    <row r="247" spans="2:65" ht="17.25" customHeight="1">
      <c r="B247" s="1489"/>
      <c r="C247" s="1373" t="s">
        <v>11</v>
      </c>
      <c r="D247" s="1373"/>
      <c r="E247" s="1373" t="str">
        <f>O8</f>
        <v>10:20:35.00(10.3430)</v>
      </c>
      <c r="F247" s="1373"/>
      <c r="G247" s="1373"/>
      <c r="H247" s="1373"/>
      <c r="I247" s="1373"/>
      <c r="J247" s="1373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AC247"/>
      <c r="AD247"/>
      <c r="AE247"/>
      <c r="AF247"/>
      <c r="AG247"/>
    </row>
    <row r="248" spans="2:65" ht="17.25" customHeight="1">
      <c r="B248" s="1489"/>
      <c r="C248" s="1373" t="s">
        <v>106</v>
      </c>
      <c r="D248" s="1373"/>
      <c r="E248" s="1373" t="str">
        <f>O16</f>
        <v>+21°00.00 (+21.0000) [+21°00'00.00]</v>
      </c>
      <c r="F248" s="1373"/>
      <c r="G248" s="1373"/>
      <c r="H248" s="1373"/>
      <c r="I248" s="1373"/>
      <c r="J248" s="1373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AC248"/>
      <c r="AD248"/>
      <c r="AE248"/>
      <c r="AF248"/>
      <c r="AG248"/>
    </row>
    <row r="249" spans="2:65" ht="17.25" customHeight="1">
      <c r="B249" s="1489"/>
      <c r="C249" s="1373" t="s">
        <v>105</v>
      </c>
      <c r="D249" s="1373"/>
      <c r="E249" s="1490">
        <f>I18</f>
        <v>5</v>
      </c>
      <c r="F249" s="1491"/>
      <c r="G249" s="1491"/>
      <c r="H249" s="1491"/>
      <c r="I249" s="1491"/>
      <c r="J249" s="265" t="s">
        <v>507</v>
      </c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AC249"/>
      <c r="AD249"/>
      <c r="AE249"/>
      <c r="AF249"/>
      <c r="AG249"/>
    </row>
    <row r="250" spans="2:65" ht="17.25" customHeight="1">
      <c r="F250" s="1497" t="s">
        <v>560</v>
      </c>
      <c r="G250" s="1498"/>
      <c r="H250" s="1364">
        <f>F25</f>
        <v>46.138899184437385</v>
      </c>
      <c r="I250" s="1363"/>
      <c r="J250" s="1363"/>
      <c r="K250" s="1363"/>
      <c r="L250" s="1365"/>
      <c r="M250" s="90"/>
      <c r="N250" s="90"/>
      <c r="O250" s="90"/>
      <c r="P250" s="90"/>
      <c r="Q250" s="90"/>
      <c r="R250" s="90"/>
      <c r="S250" s="90"/>
      <c r="T250" s="90"/>
      <c r="AC250"/>
      <c r="AD250"/>
      <c r="AE250"/>
      <c r="AF250"/>
      <c r="AG250"/>
    </row>
    <row r="251" spans="2:65" ht="17.25" customHeight="1">
      <c r="B251" s="90"/>
      <c r="F251" s="1492" t="s">
        <v>506</v>
      </c>
      <c r="G251" s="1493"/>
      <c r="H251" s="1496">
        <f>P33</f>
        <v>1.7918397477265013</v>
      </c>
      <c r="I251" s="1362"/>
      <c r="J251" s="1362"/>
      <c r="K251" s="1362"/>
      <c r="L251" s="248" t="s">
        <v>507</v>
      </c>
      <c r="M251" s="90"/>
      <c r="N251" s="90"/>
      <c r="O251" s="90"/>
      <c r="P251" s="90"/>
      <c r="Q251" s="90"/>
      <c r="R251" s="90"/>
      <c r="S251" s="90"/>
      <c r="T251" s="90"/>
      <c r="AC251"/>
      <c r="AD251"/>
      <c r="AE251"/>
      <c r="AF251"/>
      <c r="AG251"/>
    </row>
    <row r="252" spans="2:65" ht="17.25" customHeight="1">
      <c r="B252" s="90"/>
      <c r="F252" s="1494"/>
      <c r="G252" s="1495"/>
      <c r="H252" s="1496">
        <f>L38</f>
        <v>4.3099232541779581E-2</v>
      </c>
      <c r="I252" s="1362"/>
      <c r="J252" s="1362"/>
      <c r="K252" s="1362"/>
      <c r="L252" s="267" t="s">
        <v>508</v>
      </c>
      <c r="M252" s="1355" t="str">
        <f>P38</f>
        <v>Vers l'Est</v>
      </c>
      <c r="N252" s="1356"/>
      <c r="O252" s="90"/>
      <c r="P252" s="90"/>
      <c r="Q252" s="90"/>
      <c r="R252" s="90"/>
      <c r="S252" s="90"/>
      <c r="T252" s="90"/>
      <c r="AC252"/>
      <c r="AD252"/>
      <c r="AE252"/>
      <c r="AF252"/>
      <c r="AG252"/>
    </row>
    <row r="253" spans="2:65" ht="17.25" customHeight="1">
      <c r="B253" s="90"/>
      <c r="C253" s="1357" t="s">
        <v>505</v>
      </c>
      <c r="D253" s="1357"/>
      <c r="E253" s="1357"/>
      <c r="F253" s="1357" t="str">
        <f>O20</f>
        <v>12:03:46.00(12.0627)</v>
      </c>
      <c r="G253" s="1357"/>
      <c r="H253" s="1358"/>
      <c r="I253" s="1358"/>
      <c r="J253" s="1358"/>
      <c r="M253" s="90"/>
      <c r="N253" s="90"/>
      <c r="O253" s="90"/>
      <c r="P253" s="90"/>
      <c r="Q253" s="90"/>
      <c r="R253" s="90"/>
      <c r="S253" s="90"/>
      <c r="T253" s="90"/>
      <c r="AC253"/>
      <c r="AD253"/>
      <c r="AE253"/>
      <c r="AF253"/>
      <c r="AG253"/>
    </row>
    <row r="254" spans="2:65" ht="17.25" customHeight="1">
      <c r="B254" s="90"/>
      <c r="D254" s="1359" t="s">
        <v>563</v>
      </c>
      <c r="E254" s="1360"/>
      <c r="F254" s="1355" t="s">
        <v>509</v>
      </c>
      <c r="G254" s="1355"/>
      <c r="H254" s="1361">
        <f>V53</f>
        <v>2.0471299193002674</v>
      </c>
      <c r="I254" s="1362"/>
      <c r="J254" s="1362"/>
      <c r="K254" s="1362"/>
      <c r="L254" s="249" t="s">
        <v>257</v>
      </c>
      <c r="M254" s="90"/>
      <c r="N254" s="90"/>
      <c r="O254" s="90"/>
      <c r="P254" s="90"/>
      <c r="Q254" s="90"/>
      <c r="R254" s="90"/>
      <c r="S254" s="90"/>
      <c r="T254" s="90"/>
      <c r="AC254"/>
      <c r="AD254"/>
      <c r="AE254"/>
      <c r="AF254"/>
      <c r="AG254"/>
    </row>
    <row r="255" spans="2:65" ht="17.25" customHeight="1">
      <c r="B255" s="90"/>
      <c r="D255" s="1360"/>
      <c r="E255" s="1360"/>
      <c r="F255" s="1363" t="s">
        <v>510</v>
      </c>
      <c r="G255" s="1363"/>
      <c r="H255" s="1361">
        <f>V55</f>
        <v>10.235649596501338</v>
      </c>
      <c r="I255" s="1362"/>
      <c r="J255" s="1362"/>
      <c r="K255" s="1362"/>
      <c r="L255" s="249" t="s">
        <v>104</v>
      </c>
      <c r="M255" s="90"/>
      <c r="N255" s="90"/>
      <c r="O255" s="90"/>
      <c r="P255" s="90"/>
      <c r="Q255" s="90"/>
      <c r="R255" s="90"/>
      <c r="S255" s="90"/>
      <c r="T255" s="90"/>
      <c r="AC255"/>
      <c r="AD255"/>
      <c r="AE255"/>
      <c r="AF255"/>
      <c r="AG255"/>
    </row>
    <row r="256" spans="2:65" ht="17.25" customHeight="1">
      <c r="B256" s="90"/>
      <c r="D256" s="1360"/>
      <c r="E256" s="1360"/>
      <c r="F256" s="1363" t="s">
        <v>511</v>
      </c>
      <c r="G256" s="1363"/>
      <c r="H256" s="1364">
        <f>V57</f>
        <v>8.8229728435156696E-2</v>
      </c>
      <c r="I256" s="1363"/>
      <c r="J256" s="1363"/>
      <c r="K256" s="1363"/>
      <c r="L256" s="1365"/>
      <c r="M256" s="90"/>
      <c r="N256" s="90"/>
      <c r="O256" s="90"/>
      <c r="P256" s="90"/>
      <c r="Q256" s="90"/>
      <c r="R256" s="90"/>
      <c r="S256" s="90"/>
      <c r="T256" s="90"/>
      <c r="AC256"/>
      <c r="AD256"/>
      <c r="AE256"/>
      <c r="AF256"/>
      <c r="AG256"/>
    </row>
    <row r="257" spans="2:33" ht="17.25" customHeight="1">
      <c r="B257" s="90"/>
      <c r="D257" s="1360"/>
      <c r="E257" s="1360"/>
      <c r="F257" s="1369" t="s">
        <v>11</v>
      </c>
      <c r="G257" s="1370"/>
      <c r="H257" s="1366" t="str">
        <f>X61</f>
        <v>12:23:24.66(12.3901)</v>
      </c>
      <c r="I257" s="1366"/>
      <c r="J257" s="1366"/>
      <c r="K257" s="1366"/>
      <c r="L257" s="1366"/>
      <c r="M257" s="90"/>
      <c r="N257" s="90"/>
      <c r="O257" s="90"/>
      <c r="P257" s="90"/>
      <c r="Q257" s="90"/>
      <c r="R257" s="90"/>
      <c r="S257" s="90"/>
      <c r="T257" s="90"/>
      <c r="AC257"/>
      <c r="AD257"/>
      <c r="AE257"/>
      <c r="AF257"/>
      <c r="AG257"/>
    </row>
    <row r="258" spans="2:33" ht="17.25" customHeight="1">
      <c r="B258" s="90"/>
      <c r="D258" s="1360"/>
      <c r="E258" s="1360"/>
      <c r="F258" s="1367" t="s">
        <v>171</v>
      </c>
      <c r="G258" s="1368"/>
      <c r="H258" s="1368" t="str">
        <f>X59</f>
        <v>W 04°54.70 (W 04.9117) [W 04°54'42.37]</v>
      </c>
      <c r="I258" s="1368"/>
      <c r="J258" s="1368"/>
      <c r="K258" s="1368"/>
      <c r="L258" s="1368"/>
      <c r="M258" s="90"/>
      <c r="N258" s="90"/>
      <c r="O258" s="90"/>
      <c r="P258" s="90"/>
      <c r="Q258" s="90"/>
      <c r="R258" s="90"/>
      <c r="S258" s="90"/>
      <c r="T258" s="90"/>
      <c r="AC258"/>
      <c r="AD258"/>
      <c r="AE258"/>
      <c r="AF258"/>
      <c r="AG258"/>
    </row>
    <row r="259" spans="2:33" ht="17.25" customHeight="1">
      <c r="B259" s="90"/>
      <c r="C259" s="198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AC259"/>
      <c r="AD259"/>
      <c r="AE259"/>
      <c r="AF259"/>
      <c r="AG259"/>
    </row>
    <row r="260" spans="2:33" ht="17.25" customHeight="1" thickBot="1">
      <c r="B260" s="201" t="s">
        <v>567</v>
      </c>
      <c r="C260" s="202"/>
      <c r="D260" s="202"/>
      <c r="E260" s="202"/>
      <c r="F260" s="202"/>
      <c r="G260" s="202"/>
      <c r="H260" s="201"/>
      <c r="I260" s="201"/>
      <c r="J260" s="201"/>
      <c r="K260" s="201"/>
      <c r="L260" s="201"/>
      <c r="M260" s="201"/>
      <c r="N260" s="201"/>
      <c r="O260" s="201"/>
      <c r="P260" s="201"/>
      <c r="Q260" s="201"/>
      <c r="R260" s="90"/>
      <c r="S260" s="90"/>
      <c r="T260" s="90"/>
      <c r="AC260"/>
      <c r="AD260"/>
      <c r="AE260"/>
      <c r="AF260"/>
      <c r="AG260"/>
    </row>
    <row r="261" spans="2:33" ht="17.25" customHeight="1" thickTop="1">
      <c r="B261" s="90"/>
      <c r="C261" s="1506" t="s">
        <v>11</v>
      </c>
      <c r="D261" s="1506"/>
      <c r="E261" s="1506" t="str">
        <f>S98</f>
        <v>12:37:07.49(12.6187)</v>
      </c>
      <c r="F261" s="1506"/>
      <c r="G261" s="1506"/>
      <c r="H261" s="1506"/>
      <c r="I261" s="1506"/>
      <c r="J261" s="1506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AC261"/>
      <c r="AD261"/>
      <c r="AE261"/>
      <c r="AF261"/>
      <c r="AG261"/>
    </row>
    <row r="262" spans="2:33" ht="17.25" customHeight="1">
      <c r="B262" s="90"/>
      <c r="C262" s="1506" t="s">
        <v>171</v>
      </c>
      <c r="D262" s="1506"/>
      <c r="E262" s="1506" t="str">
        <f>S100</f>
        <v>W 08°20.44 (W 08.3406) [W 08°20'26.50]</v>
      </c>
      <c r="F262" s="1506"/>
      <c r="G262" s="1506"/>
      <c r="H262" s="1506"/>
      <c r="I262" s="1506"/>
      <c r="J262" s="1506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AC262"/>
      <c r="AD262"/>
      <c r="AE262"/>
      <c r="AF262"/>
      <c r="AG262"/>
    </row>
    <row r="263" spans="2:33" ht="17.25" customHeight="1">
      <c r="B263" s="90"/>
      <c r="C263" s="198"/>
      <c r="D263" s="198"/>
      <c r="E263" s="198"/>
      <c r="F263" s="198"/>
      <c r="G263" s="198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AC263"/>
      <c r="AD263"/>
      <c r="AE263"/>
      <c r="AF263"/>
      <c r="AG263"/>
    </row>
    <row r="264" spans="2:33" ht="17.25" customHeight="1">
      <c r="B264" s="90"/>
      <c r="C264" s="198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AC264"/>
      <c r="AD264"/>
      <c r="AE264"/>
      <c r="AF264"/>
      <c r="AG264"/>
    </row>
    <row r="265" spans="2:33" ht="15.75" thickBot="1">
      <c r="B265" s="201" t="s">
        <v>502</v>
      </c>
      <c r="C265" s="202"/>
      <c r="D265" s="202"/>
      <c r="E265" s="202"/>
      <c r="F265" s="202"/>
      <c r="G265" s="202"/>
      <c r="H265" s="201"/>
      <c r="I265" s="201"/>
      <c r="J265" s="201"/>
      <c r="K265" s="201"/>
      <c r="L265" s="201"/>
      <c r="M265" s="201"/>
      <c r="N265" s="201"/>
      <c r="O265" s="201"/>
      <c r="P265" s="201"/>
      <c r="Q265" s="201"/>
      <c r="R265" s="90"/>
      <c r="S265" s="90"/>
      <c r="T265" s="90"/>
    </row>
    <row r="266" spans="2:33" ht="15.75" thickTop="1">
      <c r="B266" s="90"/>
      <c r="C266" s="1373" t="s">
        <v>404</v>
      </c>
      <c r="D266" s="1373"/>
      <c r="E266" s="1373" t="str">
        <f>O10</f>
        <v>N 46°06.00 (N 46.1000) [N 46°06'00.00]</v>
      </c>
      <c r="F266" s="1373"/>
      <c r="G266" s="1373"/>
      <c r="H266" s="1373"/>
      <c r="I266" s="1373"/>
      <c r="J266" s="1358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2:33">
      <c r="B267" s="90"/>
      <c r="C267" s="1516" t="s">
        <v>9</v>
      </c>
      <c r="D267" s="1516"/>
      <c r="E267" s="1516" t="str" cm="1">
        <f t="array" ref="E267">latitudeDecimal2Txt(F122)</f>
        <v>S 14°43.70 (S 14.7283) [S 14°43'42.00]</v>
      </c>
      <c r="F267" s="1516"/>
      <c r="G267" s="1516"/>
      <c r="H267" s="1516"/>
      <c r="I267" s="1516"/>
      <c r="J267" s="1517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2:33">
      <c r="B268" s="90"/>
      <c r="C268" s="90"/>
      <c r="D268" s="90"/>
      <c r="E268" s="90"/>
      <c r="F268" s="1361" t="s">
        <v>422</v>
      </c>
      <c r="G268" s="1355"/>
      <c r="H268" s="1355"/>
      <c r="I268" s="1355"/>
      <c r="J268" s="1355"/>
      <c r="K268" s="1355"/>
      <c r="L268" s="1355"/>
      <c r="M268" s="1356"/>
      <c r="N268" s="90"/>
      <c r="O268" s="90"/>
      <c r="P268" s="90"/>
      <c r="Q268" s="90"/>
      <c r="R268" s="90"/>
      <c r="S268" s="90"/>
      <c r="T268" s="90"/>
    </row>
    <row r="269" spans="2:33">
      <c r="B269" s="90"/>
      <c r="C269" s="90"/>
      <c r="D269" s="90"/>
      <c r="E269" s="90"/>
      <c r="F269" s="1371" t="s">
        <v>72</v>
      </c>
      <c r="G269" s="1371"/>
      <c r="H269" s="1361" t="str" cm="1">
        <f t="array" ref="H269">angleDecimal2Txt(F143,0)</f>
        <v>+66°37.05</v>
      </c>
      <c r="I269" s="1355"/>
      <c r="J269" s="1355"/>
      <c r="K269" s="1355"/>
      <c r="L269" s="1355"/>
      <c r="M269" s="1356"/>
      <c r="N269" s="90"/>
      <c r="O269" s="90"/>
      <c r="P269" s="90"/>
      <c r="Q269" s="90"/>
      <c r="R269" s="90"/>
      <c r="S269" s="90"/>
      <c r="T269" s="90"/>
    </row>
    <row r="270" spans="2:33" ht="18">
      <c r="B270" s="90"/>
      <c r="C270" s="1376" t="s">
        <v>423</v>
      </c>
      <c r="D270" s="1376"/>
      <c r="E270" s="1376" t="str">
        <f>angleDecimal2Txt(I185,1)</f>
        <v>+23°22.94 (+23.3823) [+23°22'56.56]</v>
      </c>
      <c r="F270" s="1376"/>
      <c r="G270" s="1376"/>
      <c r="H270" s="1376"/>
      <c r="I270" s="1376"/>
      <c r="J270" s="1376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2:33">
      <c r="B271" s="14"/>
      <c r="C271" s="57"/>
      <c r="D271" s="57"/>
      <c r="E271" s="57"/>
      <c r="F271" s="1317" t="s">
        <v>212</v>
      </c>
      <c r="G271" s="1318"/>
      <c r="H271" s="1318"/>
      <c r="I271" s="1318"/>
      <c r="J271" s="1318"/>
      <c r="K271" s="1318"/>
      <c r="L271" s="1318"/>
      <c r="M271" s="1318"/>
      <c r="N271" s="1318"/>
      <c r="O271" s="1318"/>
      <c r="P271" s="1319"/>
      <c r="R271" s="14"/>
      <c r="S271" s="14"/>
      <c r="T271" s="14"/>
    </row>
    <row r="272" spans="2:33">
      <c r="B272" s="14"/>
      <c r="C272" s="57"/>
      <c r="D272" s="57"/>
      <c r="E272" s="57"/>
      <c r="F272" s="1309"/>
      <c r="G272" s="1309" t="s">
        <v>214</v>
      </c>
      <c r="H272" s="1309"/>
      <c r="I272" s="1309"/>
      <c r="J272" s="1309"/>
      <c r="K272" s="1309"/>
      <c r="L272" s="1306" t="s">
        <v>216</v>
      </c>
      <c r="M272" s="1307"/>
      <c r="N272" s="1307"/>
      <c r="O272" s="1307"/>
      <c r="P272" s="1308"/>
      <c r="R272" s="14"/>
      <c r="S272" s="14"/>
      <c r="T272" s="14"/>
    </row>
    <row r="273" spans="2:20">
      <c r="B273" s="14"/>
      <c r="C273" s="57"/>
      <c r="D273" s="57"/>
      <c r="E273" s="57"/>
      <c r="F273" s="1309"/>
      <c r="G273" s="1309" t="s">
        <v>215</v>
      </c>
      <c r="H273" s="1309"/>
      <c r="I273" s="1309"/>
      <c r="J273" s="1309"/>
      <c r="K273" s="1309"/>
      <c r="L273" s="1306" t="s">
        <v>217</v>
      </c>
      <c r="M273" s="1307"/>
      <c r="N273" s="1307"/>
      <c r="O273" s="1307"/>
      <c r="P273" s="1308"/>
      <c r="R273" s="14"/>
      <c r="S273" s="14"/>
      <c r="T273" s="14"/>
    </row>
    <row r="274" spans="2:20">
      <c r="B274" s="14"/>
      <c r="C274" s="57"/>
      <c r="D274" s="57"/>
      <c r="E274" s="57"/>
      <c r="F274" s="1310" t="s">
        <v>213</v>
      </c>
      <c r="G274" s="1310"/>
      <c r="H274" s="1310"/>
      <c r="I274" s="1310"/>
      <c r="J274" s="1310"/>
      <c r="K274" s="1310"/>
      <c r="L274" s="1306" t="s">
        <v>218</v>
      </c>
      <c r="M274" s="1307"/>
      <c r="N274" s="1307"/>
      <c r="O274" s="1307"/>
      <c r="P274" s="1308"/>
      <c r="R274" s="14"/>
      <c r="S274" s="14"/>
      <c r="T274" s="14"/>
    </row>
    <row r="275" spans="2:20">
      <c r="B275" s="14"/>
      <c r="C275" s="57"/>
      <c r="D275" s="57"/>
      <c r="E275" s="57"/>
      <c r="F275" s="1371" t="s">
        <v>424</v>
      </c>
      <c r="G275" s="1371"/>
      <c r="H275" s="1361" t="b">
        <f>((F122*E68)&gt;0)</f>
        <v>0</v>
      </c>
      <c r="I275" s="1355"/>
      <c r="J275" s="1355"/>
      <c r="K275" s="1355"/>
      <c r="L275" s="1355"/>
      <c r="M275" s="1356"/>
      <c r="N275" s="14"/>
      <c r="O275" s="14"/>
      <c r="P275" s="14"/>
      <c r="R275" s="14"/>
      <c r="S275" s="14"/>
      <c r="T275" s="14"/>
    </row>
    <row r="276" spans="2:20">
      <c r="B276" s="14"/>
      <c r="C276" s="57"/>
      <c r="D276" s="57"/>
      <c r="E276" s="57"/>
      <c r="F276" s="1371" t="s">
        <v>425</v>
      </c>
      <c r="G276" s="1371"/>
      <c r="H276" s="1361" t="b">
        <f>(E68&gt;F122)</f>
        <v>1</v>
      </c>
      <c r="I276" s="1355"/>
      <c r="J276" s="1355"/>
      <c r="K276" s="1355"/>
      <c r="L276" s="1355"/>
      <c r="M276" s="1356"/>
      <c r="N276" s="38" t="s">
        <v>566</v>
      </c>
      <c r="O276" s="1499" t="str">
        <f>P197</f>
        <v>N 23°22.94 (N 23.3823) [N 23°22'56.56]</v>
      </c>
      <c r="P276" s="1500"/>
      <c r="Q276" s="1500"/>
      <c r="R276" s="1500"/>
      <c r="S276" s="1501"/>
    </row>
    <row r="277" spans="2:20">
      <c r="B277" s="14"/>
      <c r="C277" s="57"/>
      <c r="D277" s="1507" t="s">
        <v>525</v>
      </c>
      <c r="E277" s="1508"/>
      <c r="F277" s="1509" t="s">
        <v>544</v>
      </c>
      <c r="G277" s="1509"/>
      <c r="H277" s="1510" t="str">
        <f>V190</f>
        <v>Le soleil est au nord, et le sud est dans le dos</v>
      </c>
      <c r="I277" s="1511"/>
      <c r="J277" s="1511"/>
      <c r="K277" s="1511"/>
      <c r="L277" s="1511"/>
      <c r="M277" s="1512"/>
      <c r="N277" s="14"/>
      <c r="O277" s="14"/>
      <c r="P277" s="205"/>
      <c r="Q277" s="205"/>
      <c r="R277" s="14"/>
      <c r="S277" s="14"/>
      <c r="T277" s="14"/>
    </row>
    <row r="278" spans="2:20">
      <c r="B278" s="14"/>
      <c r="C278" s="57"/>
      <c r="D278" s="1507"/>
      <c r="E278" s="1508"/>
      <c r="F278" s="1513" t="s">
        <v>564</v>
      </c>
      <c r="G278" s="1514"/>
      <c r="H278" s="1510" t="str">
        <f>V191</f>
        <v>Lat et Dec - Meme sens ?: FALSE</v>
      </c>
      <c r="I278" s="1511"/>
      <c r="J278" s="1511"/>
      <c r="K278" s="1511"/>
      <c r="L278" s="1511"/>
      <c r="M278" s="1512"/>
      <c r="N278" s="14"/>
      <c r="O278" s="14"/>
      <c r="P278" s="205"/>
      <c r="Q278" s="205"/>
      <c r="R278" s="14"/>
      <c r="S278" s="14"/>
      <c r="T278" s="14"/>
    </row>
    <row r="279" spans="2:20">
      <c r="B279" s="14"/>
      <c r="C279" s="57"/>
      <c r="D279" s="1507"/>
      <c r="E279" s="1508"/>
      <c r="F279" s="1513" t="s">
        <v>565</v>
      </c>
      <c r="G279" s="1515"/>
      <c r="H279" s="1510" t="str">
        <f>V192</f>
        <v>Lat &gt; Dec  ? : FALSE</v>
      </c>
      <c r="I279" s="1511"/>
      <c r="J279" s="1511"/>
      <c r="K279" s="1511"/>
      <c r="L279" s="1511"/>
      <c r="M279" s="1512"/>
      <c r="N279" s="38" t="s">
        <v>566</v>
      </c>
      <c r="O279" s="1499" t="str">
        <f>P196</f>
        <v>S 23°22.94 (S 23.3823) [S 23°22'56.56]</v>
      </c>
      <c r="P279" s="1500"/>
      <c r="Q279" s="1500"/>
      <c r="R279" s="1500"/>
      <c r="S279" s="1501"/>
    </row>
    <row r="280" spans="2:20">
      <c r="B280" s="1502" t="s">
        <v>211</v>
      </c>
      <c r="C280" s="1503"/>
      <c r="D280" s="1504"/>
      <c r="E280" s="1505" t="str">
        <f>P196</f>
        <v>S 23°22.94 (S 23.3823) [S 23°22'56.56]</v>
      </c>
      <c r="F280" s="1505"/>
      <c r="G280" s="1505"/>
      <c r="H280" s="1506"/>
      <c r="I280" s="1506"/>
      <c r="J280" s="1506"/>
      <c r="K280" s="14"/>
      <c r="L280" s="14"/>
      <c r="M280" s="14"/>
      <c r="N280" s="205"/>
      <c r="O280" s="205"/>
      <c r="P280" s="205"/>
      <c r="Q280" s="205"/>
      <c r="R280" s="14"/>
      <c r="S280" s="14"/>
      <c r="T280" s="14"/>
    </row>
    <row r="281" spans="2:20">
      <c r="B281" s="1505" t="s">
        <v>171</v>
      </c>
      <c r="C281" s="1505"/>
      <c r="D281" s="1505"/>
      <c r="E281" s="1505" t="str">
        <f>P198</f>
        <v>W 08°20.44 (W 08.3406) [W 08°20'26.50]</v>
      </c>
      <c r="F281" s="1505"/>
      <c r="G281" s="1505"/>
      <c r="H281" s="1505"/>
      <c r="I281" s="1505"/>
      <c r="J281" s="1505"/>
      <c r="K281" s="14"/>
      <c r="L281" s="14"/>
      <c r="M281" s="14"/>
      <c r="N281" s="14"/>
      <c r="O281" s="14"/>
      <c r="P281" s="14"/>
      <c r="Q281" s="14"/>
      <c r="R281" s="14"/>
      <c r="S281" s="14"/>
      <c r="T281" s="14"/>
    </row>
  </sheetData>
  <sheetProtection sheet="1" objects="1" scenarios="1"/>
  <protectedRanges>
    <protectedRange sqref="M94:Y94" name="Heure visee" securityDescriptor="O:WDG:WDD:(A;;CC;;;WD)"/>
  </protectedRanges>
  <dataConsolidate/>
  <mergeCells count="548">
    <mergeCell ref="U3:AC4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8" priority="8">
      <formula>$AA83="N"</formula>
    </cfRule>
  </conditionalFormatting>
  <conditionalFormatting sqref="E84:Z87">
    <cfRule type="expression" dxfId="7" priority="6">
      <formula>$AA84="N"</formula>
    </cfRule>
  </conditionalFormatting>
  <conditionalFormatting sqref="E92:K92">
    <cfRule type="expression" dxfId="6" priority="2">
      <formula>($E92)</formula>
    </cfRule>
  </conditionalFormatting>
  <conditionalFormatting sqref="E93:K96">
    <cfRule type="expression" dxfId="5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34" zoomScaleNormal="100" workbookViewId="0">
      <selection activeCell="O121" sqref="O121:R121"/>
    </sheetView>
  </sheetViews>
  <sheetFormatPr defaultColWidth="5.140625" defaultRowHeight="17.25" customHeight="1" outlineLevelRow="1" outlineLevelCol="1"/>
  <cols>
    <col min="1" max="2" width="6.42578125" style="14" customWidth="1"/>
    <col min="3" max="7" width="7" style="57" customWidth="1"/>
    <col min="8" max="9" width="7" style="14" customWidth="1"/>
    <col min="10" max="10" width="6.42578125" style="14" customWidth="1"/>
    <col min="11" max="11" width="8" style="14" customWidth="1"/>
    <col min="12" max="13" width="6.42578125" style="14" customWidth="1"/>
    <col min="14" max="15" width="8.140625" style="14" customWidth="1"/>
    <col min="16" max="19" width="6.42578125" style="14" customWidth="1"/>
    <col min="20" max="20" width="7.28515625" style="14" customWidth="1"/>
    <col min="21" max="21" width="6.42578125" style="14" customWidth="1"/>
    <col min="22" max="22" width="7.28515625" style="14" customWidth="1"/>
    <col min="23" max="27" width="6.42578125" style="14" customWidth="1"/>
    <col min="28" max="28" width="1.28515625" style="59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2" customWidth="1" outlineLevel="1"/>
    <col min="67" max="16384" width="5.140625" style="14"/>
  </cols>
  <sheetData>
    <row r="1" spans="2:66" ht="17.25" customHeight="1">
      <c r="C1" s="1469" t="s">
        <v>132</v>
      </c>
      <c r="D1" s="1469"/>
      <c r="E1" s="1469"/>
      <c r="F1" s="1469"/>
      <c r="G1" s="1470" t="s">
        <v>133</v>
      </c>
      <c r="H1" s="1470"/>
      <c r="I1" s="1470"/>
      <c r="J1" s="1470"/>
      <c r="K1" s="1470"/>
      <c r="L1" s="1470"/>
      <c r="M1" s="1470"/>
      <c r="N1" s="1470"/>
      <c r="O1" s="1470"/>
      <c r="P1" s="1470"/>
      <c r="Q1" s="1470"/>
      <c r="R1" s="1470"/>
      <c r="S1" s="1470"/>
      <c r="T1" s="1470"/>
      <c r="U1" s="1470"/>
      <c r="V1" s="1470"/>
      <c r="W1" s="1470"/>
      <c r="X1" s="1470"/>
      <c r="Y1" s="1470"/>
    </row>
    <row r="2" spans="2:66" ht="17.25" customHeight="1">
      <c r="C2" s="1469"/>
      <c r="D2" s="1469"/>
      <c r="E2" s="1469"/>
      <c r="F2" s="1469"/>
      <c r="G2" s="1470"/>
      <c r="H2" s="1470"/>
      <c r="I2" s="1470"/>
      <c r="J2" s="1470"/>
      <c r="K2" s="1470"/>
      <c r="L2" s="1470"/>
      <c r="M2" s="1470"/>
      <c r="N2" s="1470"/>
      <c r="O2" s="1470"/>
      <c r="P2" s="1470"/>
      <c r="Q2" s="1470"/>
      <c r="R2" s="1470"/>
      <c r="S2" s="1470"/>
      <c r="T2" s="1470"/>
      <c r="U2" s="1470"/>
      <c r="V2" s="1470"/>
      <c r="W2" s="1470"/>
      <c r="X2" s="1470"/>
      <c r="Y2" s="1470"/>
    </row>
    <row r="3" spans="2:66" ht="17.25" customHeight="1">
      <c r="C3" s="1469"/>
      <c r="D3" s="1469"/>
      <c r="E3" s="1469"/>
      <c r="F3" s="1469"/>
      <c r="G3" s="670" t="s">
        <v>137</v>
      </c>
      <c r="H3" s="670"/>
      <c r="I3" s="670"/>
      <c r="J3" s="671" t="s">
        <v>136</v>
      </c>
      <c r="K3" s="671"/>
      <c r="L3" s="671"/>
      <c r="N3" s="1471" t="s">
        <v>226</v>
      </c>
      <c r="O3" s="1471"/>
      <c r="P3" s="1471"/>
      <c r="Q3" s="1472" t="s">
        <v>192</v>
      </c>
      <c r="R3" s="1472"/>
      <c r="S3" s="1472"/>
    </row>
    <row r="4" spans="2:66" ht="17.25" customHeight="1">
      <c r="C4" s="1469"/>
      <c r="D4" s="1469"/>
      <c r="E4" s="1469"/>
      <c r="F4" s="1469"/>
      <c r="G4" s="629"/>
      <c r="H4" s="629"/>
      <c r="I4" s="629"/>
      <c r="J4" s="672"/>
      <c r="K4" s="672"/>
      <c r="L4" s="672"/>
      <c r="N4" s="1471"/>
      <c r="O4" s="1471"/>
      <c r="P4" s="1471"/>
      <c r="Q4" s="1472"/>
      <c r="R4" s="1472"/>
      <c r="S4" s="1472"/>
    </row>
    <row r="6" spans="2:66" ht="17.25" customHeight="1" thickBot="1"/>
    <row r="7" spans="2:66" ht="17.25" customHeight="1" thickBot="1">
      <c r="B7" s="23" t="s">
        <v>0</v>
      </c>
      <c r="C7" s="24"/>
      <c r="D7" s="24"/>
      <c r="E7" s="92" t="str" cm="1">
        <f t="array" ref="E7">dateDecimale2txt(dateConvert2Decimal(E8),0)</f>
        <v>2010/05/05</v>
      </c>
      <c r="F7" s="92"/>
      <c r="G7" s="93"/>
      <c r="H7" s="94"/>
      <c r="I7" s="92" t="str" cm="1">
        <f t="array" ref="I7">heureDecimal2Txt(E11)</f>
        <v>08:18:53.00(08.3147)</v>
      </c>
      <c r="J7" s="92"/>
      <c r="K7" s="92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83"/>
      <c r="AB7" s="60"/>
    </row>
    <row r="8" spans="2:66" ht="17.25" customHeight="1">
      <c r="C8" s="662" t="s">
        <v>1</v>
      </c>
      <c r="D8" s="663"/>
      <c r="E8" s="1626" t="s">
        <v>309</v>
      </c>
      <c r="F8" s="1627"/>
      <c r="G8" s="1627"/>
      <c r="H8" s="57"/>
      <c r="I8" s="1620"/>
      <c r="J8" s="1620"/>
      <c r="K8" s="1620"/>
      <c r="L8" s="1620"/>
      <c r="M8" s="1620"/>
      <c r="N8" s="1620"/>
      <c r="O8" s="1620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664" t="s">
        <v>11</v>
      </c>
      <c r="D9" s="665"/>
      <c r="E9" s="664" t="s">
        <v>2</v>
      </c>
      <c r="F9" s="676"/>
      <c r="G9" s="676"/>
      <c r="H9" s="665"/>
      <c r="I9" s="649" t="s">
        <v>228</v>
      </c>
      <c r="J9" s="649"/>
      <c r="K9" s="649"/>
      <c r="L9" s="649" t="s">
        <v>224</v>
      </c>
      <c r="M9" s="649"/>
      <c r="N9" s="649"/>
      <c r="O9" s="649"/>
      <c r="P9" s="649"/>
      <c r="Q9" s="649" t="s">
        <v>225</v>
      </c>
      <c r="R9" s="649"/>
      <c r="S9" s="649"/>
      <c r="T9" s="649"/>
      <c r="U9" s="649"/>
      <c r="V9" s="771" t="s">
        <v>122</v>
      </c>
      <c r="W9" s="772"/>
      <c r="X9" s="772"/>
      <c r="Y9" s="773"/>
      <c r="AB9" s="61"/>
      <c r="AC9" s="3" t="s">
        <v>163</v>
      </c>
      <c r="AD9" s="65">
        <f>L11</f>
        <v>0</v>
      </c>
    </row>
    <row r="10" spans="2:66" ht="17.25" customHeight="1">
      <c r="C10" s="666"/>
      <c r="D10" s="667"/>
      <c r="E10" s="668"/>
      <c r="F10" s="677"/>
      <c r="G10" s="677"/>
      <c r="H10" s="669"/>
      <c r="I10" s="649"/>
      <c r="J10" s="649"/>
      <c r="K10" s="649"/>
      <c r="L10" s="649"/>
      <c r="M10" s="649"/>
      <c r="N10" s="649"/>
      <c r="O10" s="649"/>
      <c r="P10" s="649"/>
      <c r="Q10" s="649"/>
      <c r="R10" s="649"/>
      <c r="S10" s="649"/>
      <c r="T10" s="649"/>
      <c r="U10" s="649"/>
      <c r="V10" s="774"/>
      <c r="W10" s="775"/>
      <c r="X10" s="775"/>
      <c r="Y10" s="776"/>
      <c r="AC10" s="3" t="s">
        <v>164</v>
      </c>
      <c r="AD10" s="3">
        <f>Q11/3600</f>
        <v>0</v>
      </c>
    </row>
    <row r="11" spans="2:66" ht="17.25" customHeight="1" thickBot="1">
      <c r="C11" s="668"/>
      <c r="D11" s="669"/>
      <c r="E11" s="752">
        <f>AD8+AD9+AD10+AD11</f>
        <v>8.3147222222222226</v>
      </c>
      <c r="F11" s="753"/>
      <c r="G11" s="753"/>
      <c r="H11" s="754"/>
      <c r="I11" s="1591" t="s">
        <v>310</v>
      </c>
      <c r="J11" s="1591"/>
      <c r="K11" s="1591"/>
      <c r="L11" s="1635">
        <v>0</v>
      </c>
      <c r="M11" s="1635"/>
      <c r="N11" s="1635"/>
      <c r="O11" s="1635"/>
      <c r="P11" s="1635"/>
      <c r="Q11" s="1635">
        <v>0</v>
      </c>
      <c r="R11" s="1635"/>
      <c r="S11" s="1635"/>
      <c r="T11" s="1635"/>
      <c r="U11" s="1636"/>
      <c r="V11" s="1631" t="s">
        <v>121</v>
      </c>
      <c r="W11" s="1631"/>
      <c r="X11" s="1631"/>
      <c r="Y11" s="1631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4"/>
      <c r="E12" s="749" t="str" cm="1">
        <f t="array" ref="E12">heureDecimal2Txt(E11)</f>
        <v>08:18:53.00(08.3147)</v>
      </c>
      <c r="F12" s="750"/>
      <c r="G12" s="750"/>
      <c r="H12" s="751"/>
      <c r="I12" s="11"/>
      <c r="J12" s="11"/>
      <c r="K12" s="11"/>
      <c r="V12" s="11"/>
      <c r="W12" s="11"/>
      <c r="X12" s="11"/>
      <c r="Y12" s="11"/>
      <c r="Z12" s="14"/>
      <c r="AA12" s="14"/>
      <c r="AB12" s="59"/>
      <c r="BN12" s="22"/>
    </row>
    <row r="13" spans="2:66" ht="17.25" customHeight="1" thickTop="1" thickBot="1">
      <c r="C13" s="13"/>
      <c r="D13" s="1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2:66" ht="17.25" customHeight="1" thickBot="1">
      <c r="B14" s="23" t="s">
        <v>18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60"/>
    </row>
    <row r="15" spans="2:66" ht="18" customHeight="1">
      <c r="B15"/>
      <c r="C15" s="761" t="s">
        <v>165</v>
      </c>
      <c r="D15" s="762"/>
      <c r="E15" s="762"/>
      <c r="F15" s="762"/>
      <c r="G15" s="762"/>
      <c r="H15" s="762"/>
      <c r="I15" s="763"/>
      <c r="J15" s="594" t="s">
        <v>167</v>
      </c>
      <c r="K15" s="594"/>
      <c r="L15" s="594"/>
      <c r="M15" s="594"/>
      <c r="N15" s="594"/>
      <c r="O15" s="594"/>
      <c r="P15"/>
      <c r="Q15"/>
      <c r="R15"/>
      <c r="S15"/>
      <c r="T15"/>
      <c r="U15"/>
      <c r="V15"/>
      <c r="W15"/>
      <c r="X15"/>
      <c r="Y15"/>
      <c r="Z15"/>
      <c r="AA15"/>
      <c r="AC15" s="66" t="s">
        <v>166</v>
      </c>
      <c r="AD15" s="66" t="s">
        <v>167</v>
      </c>
    </row>
    <row r="16" spans="2:66" ht="18" hidden="1" customHeight="1" outlineLevel="1" thickTop="1" thickBot="1">
      <c r="B16" s="12"/>
      <c r="C16" s="761" t="s">
        <v>128</v>
      </c>
      <c r="D16" s="762"/>
      <c r="E16" s="762"/>
      <c r="F16" s="762"/>
      <c r="G16" s="762"/>
      <c r="H16" s="762"/>
      <c r="I16" s="763"/>
      <c r="J16" s="1456" cm="1">
        <f t="array" ref="J16">angleConvert2Decimal(M16)</f>
        <v>0.9</v>
      </c>
      <c r="K16" s="1457"/>
      <c r="L16" s="1458"/>
      <c r="M16" s="1632" t="s">
        <v>99</v>
      </c>
      <c r="N16" s="1633"/>
      <c r="O16" s="1634"/>
      <c r="P16" s="708" t="str" cm="1">
        <f t="array" ref="P16">angleDecimal2Txt(J16)</f>
        <v>+00°54.00 (+00.9000) [+00°54'00.00]</v>
      </c>
      <c r="Q16" s="709"/>
      <c r="R16" s="709"/>
      <c r="S16" s="709"/>
      <c r="T16" s="709"/>
      <c r="U16" s="709"/>
      <c r="V16" s="709"/>
      <c r="W16" s="709"/>
      <c r="X16" s="570"/>
      <c r="Y16" s="12"/>
    </row>
    <row r="17" spans="2:46" ht="18" hidden="1" customHeight="1" outlineLevel="1" thickTop="1" thickBot="1">
      <c r="C17" s="602" t="s">
        <v>127</v>
      </c>
      <c r="D17" s="602"/>
      <c r="E17" s="602"/>
      <c r="F17" s="602"/>
      <c r="G17" s="602"/>
      <c r="H17" s="602"/>
      <c r="I17" s="602"/>
      <c r="J17" s="597" cm="1">
        <f t="array" ref="J17">angleConvert2Decimal(M17)</f>
        <v>33.4</v>
      </c>
      <c r="K17" s="760"/>
      <c r="L17" s="598"/>
      <c r="M17" s="1628" t="s">
        <v>210</v>
      </c>
      <c r="N17" s="1629"/>
      <c r="O17" s="1630"/>
      <c r="P17" s="567" t="str" cm="1">
        <f t="array" ref="P17">angleDecimal2Txt(J17)</f>
        <v>+33°24.00 (+33.3999) [+33°24'00.00]</v>
      </c>
      <c r="Q17" s="567"/>
      <c r="R17" s="567"/>
      <c r="S17" s="567"/>
      <c r="T17" s="567"/>
      <c r="U17" s="567"/>
      <c r="V17" s="567"/>
      <c r="W17" s="567"/>
      <c r="X17" s="567"/>
      <c r="Y17" s="12"/>
    </row>
    <row r="18" spans="2:46" ht="18" hidden="1" customHeight="1" outlineLevel="1" thickTop="1" thickBot="1">
      <c r="C18" s="602" t="s">
        <v>135</v>
      </c>
      <c r="D18" s="602"/>
      <c r="E18" s="602"/>
      <c r="F18" s="602"/>
      <c r="G18" s="602"/>
      <c r="H18" s="602"/>
      <c r="I18" s="602"/>
      <c r="J18" s="597" cm="1">
        <f t="array" ref="J18">angleConvert2Decimal(M18)</f>
        <v>16.25</v>
      </c>
      <c r="K18" s="760"/>
      <c r="L18" s="598"/>
      <c r="M18" s="1628">
        <f>(J17-J16)/2</f>
        <v>16.25</v>
      </c>
      <c r="N18" s="1629"/>
      <c r="O18" s="1630"/>
      <c r="P18" s="567" t="str" cm="1">
        <f t="array" ref="P18">angleDecimal2Txt(J18)</f>
        <v>+16°15.00 (+16.2500) [+16°15'00.00]</v>
      </c>
      <c r="Q18" s="567"/>
      <c r="R18" s="567"/>
      <c r="S18" s="567"/>
      <c r="T18" s="567"/>
      <c r="U18" s="567"/>
      <c r="V18" s="567"/>
      <c r="W18" s="567"/>
      <c r="X18" s="567"/>
      <c r="Y18" s="12"/>
    </row>
    <row r="19" spans="2:46" ht="18" customHeight="1" collapsed="1" thickBot="1">
      <c r="C19" s="764" t="s">
        <v>19</v>
      </c>
      <c r="D19" s="764"/>
      <c r="E19" s="764"/>
      <c r="F19" s="764"/>
      <c r="G19" s="764"/>
      <c r="H19" s="764"/>
      <c r="I19" s="764"/>
      <c r="J19" s="755">
        <f>M19</f>
        <v>4</v>
      </c>
      <c r="K19" s="756"/>
      <c r="L19" s="757"/>
      <c r="M19" s="1625">
        <v>4</v>
      </c>
      <c r="N19" s="1625"/>
      <c r="O19" s="1625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2:46" ht="18" customHeight="1" thickTop="1" thickBot="1">
      <c r="B20" s="12"/>
      <c r="C20" s="765" t="s">
        <v>20</v>
      </c>
      <c r="D20" s="766"/>
      <c r="E20" s="766"/>
      <c r="F20" s="766"/>
      <c r="G20" s="766"/>
      <c r="H20" s="766"/>
      <c r="I20" s="767"/>
      <c r="J20" s="572" cm="1">
        <f t="array" ref="J20">angleConvert2Decimal(M20)</f>
        <v>0.05</v>
      </c>
      <c r="K20" s="573"/>
      <c r="L20" s="573"/>
      <c r="M20" s="1624" t="s">
        <v>389</v>
      </c>
      <c r="N20" s="1625"/>
      <c r="O20" s="1625"/>
      <c r="P20" s="567" t="str" cm="1">
        <f t="array" ref="P20">angleDecimal2Txt(J20)</f>
        <v>+00°03.00 (+00.0500) [+00°03'00.00]</v>
      </c>
      <c r="Q20" s="567"/>
      <c r="R20" s="567"/>
      <c r="S20" s="567"/>
      <c r="T20" s="567"/>
      <c r="U20" s="567"/>
      <c r="V20" s="567"/>
      <c r="W20" s="567"/>
      <c r="X20" s="567"/>
      <c r="Y20" s="12"/>
    </row>
    <row r="21" spans="2:46" ht="18" customHeight="1" thickTop="1" thickBot="1">
      <c r="C21" s="608" t="s">
        <v>26</v>
      </c>
      <c r="D21" s="608"/>
      <c r="E21" s="608"/>
      <c r="F21" s="608"/>
      <c r="G21" s="608"/>
      <c r="H21" s="608"/>
      <c r="I21" s="608"/>
      <c r="J21" s="572" cm="1">
        <f t="array" ref="J21">IF(J15=AC15,J18,angleConvert2Decimal(M21))</f>
        <v>18.916666666666668</v>
      </c>
      <c r="K21" s="573"/>
      <c r="L21" s="573"/>
      <c r="M21" s="1624" t="s">
        <v>390</v>
      </c>
      <c r="N21" s="1625"/>
      <c r="O21" s="1625"/>
      <c r="P21" s="567" t="str" cm="1">
        <f t="array" ref="P21">angleDecimal2Txt(J21)</f>
        <v>+18°55.00 (+18.9166) [+18°55'00.00]</v>
      </c>
      <c r="Q21" s="567"/>
      <c r="R21" s="567"/>
      <c r="S21" s="567"/>
      <c r="T21" s="567"/>
      <c r="U21" s="567"/>
      <c r="V21" s="567"/>
      <c r="W21" s="567"/>
      <c r="X21" s="567"/>
      <c r="Y21" s="12"/>
    </row>
    <row r="22" spans="2:46" ht="18" hidden="1" customHeight="1" outlineLevel="1" thickTop="1">
      <c r="C22" s="720" t="s">
        <v>30</v>
      </c>
      <c r="D22" s="720"/>
      <c r="E22" s="720"/>
      <c r="F22" s="720"/>
      <c r="G22" s="720"/>
      <c r="H22" s="720"/>
      <c r="I22" s="720"/>
      <c r="J22" s="685" t="str">
        <f>M22</f>
        <v>Lune</v>
      </c>
      <c r="K22" s="686"/>
      <c r="L22" s="687"/>
      <c r="M22" s="1637" t="s">
        <v>33</v>
      </c>
      <c r="N22" s="1638"/>
      <c r="O22" s="1639"/>
      <c r="P22" s="12"/>
      <c r="Q22" s="12"/>
      <c r="R22" s="12"/>
      <c r="S22" s="12"/>
      <c r="T22" s="12"/>
      <c r="U22" s="12"/>
      <c r="V22" s="12"/>
      <c r="W22" s="12"/>
      <c r="X22" s="12"/>
      <c r="Y22" s="12"/>
      <c r="AG22" s="14"/>
      <c r="AH22" s="14"/>
    </row>
    <row r="23" spans="2:46" ht="18" customHeight="1" collapsed="1" thickTop="1">
      <c r="C23" s="720" t="s">
        <v>56</v>
      </c>
      <c r="D23" s="720"/>
      <c r="E23" s="720"/>
      <c r="F23" s="720"/>
      <c r="G23" s="720"/>
      <c r="H23" s="720"/>
      <c r="I23" s="720"/>
      <c r="J23" s="595" t="str">
        <f>M23</f>
        <v>BordInf</v>
      </c>
      <c r="K23" s="595"/>
      <c r="L23" s="595"/>
      <c r="M23" s="1623" t="s">
        <v>57</v>
      </c>
      <c r="N23" s="1623"/>
      <c r="O23" s="1623"/>
      <c r="P23" s="12"/>
      <c r="Q23" s="12"/>
      <c r="R23" s="12"/>
      <c r="S23" s="12"/>
      <c r="T23" s="12"/>
      <c r="U23" s="12"/>
      <c r="V23" s="12"/>
      <c r="W23" s="12"/>
      <c r="X23" s="12"/>
      <c r="Y23" s="12"/>
      <c r="AH23" s="14"/>
    </row>
    <row r="24" spans="2:46" ht="17.25" customHeight="1" thickBot="1">
      <c r="C24" s="731" t="s">
        <v>151</v>
      </c>
      <c r="D24" s="732"/>
      <c r="E24" s="732" t="s">
        <v>152</v>
      </c>
      <c r="F24" s="732"/>
      <c r="G24" s="732"/>
      <c r="H24" s="732"/>
      <c r="I24" s="1648"/>
      <c r="J24" s="625" cm="1">
        <f t="array" ref="J24">angleConvert2Decimal(M24)</f>
        <v>0.90666666666666662</v>
      </c>
      <c r="K24" s="626"/>
      <c r="L24" s="627"/>
      <c r="M24" s="1642" t="s">
        <v>474</v>
      </c>
      <c r="N24" s="1643"/>
      <c r="O24" s="1643"/>
      <c r="P24"/>
      <c r="Q24"/>
      <c r="R24"/>
      <c r="S24"/>
      <c r="T24"/>
      <c r="U24"/>
      <c r="V24"/>
      <c r="W24"/>
      <c r="X24"/>
      <c r="Y24" s="12"/>
    </row>
    <row r="25" spans="2:46" ht="20.25" customHeight="1" thickTop="1" thickBot="1">
      <c r="C25" s="735"/>
      <c r="D25" s="736"/>
      <c r="E25" s="736"/>
      <c r="F25" s="736"/>
      <c r="G25" s="736"/>
      <c r="H25" s="736"/>
      <c r="I25" s="1649"/>
      <c r="J25" s="1482"/>
      <c r="K25" s="1483"/>
      <c r="L25" s="1484"/>
      <c r="M25" s="1646"/>
      <c r="N25" s="1647"/>
      <c r="O25" s="1647"/>
      <c r="P25" s="565" t="str" cm="1">
        <f t="array" ref="P25">angleDecimal2Txt(J24)</f>
        <v>+00°54.39 (+00.9066) [+00°54'24.00]</v>
      </c>
      <c r="Q25" s="565"/>
      <c r="R25" s="565"/>
      <c r="S25" s="565"/>
      <c r="T25" s="565"/>
      <c r="U25" s="565"/>
      <c r="V25" s="565"/>
      <c r="W25" s="565"/>
      <c r="X25" s="565"/>
      <c r="Y25" s="12"/>
      <c r="AC25" s="67" t="s">
        <v>98</v>
      </c>
      <c r="AD25" s="68" t="s">
        <v>57</v>
      </c>
      <c r="AE25" s="68" t="s">
        <v>188</v>
      </c>
      <c r="AF25" s="68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446" t="s">
        <v>100</v>
      </c>
      <c r="D26" s="1447"/>
      <c r="E26" s="1447"/>
      <c r="F26" s="1447"/>
      <c r="G26" s="1447"/>
      <c r="H26" s="1447"/>
      <c r="I26" s="1448"/>
      <c r="J26" s="625" cm="1">
        <f t="array" ref="J26">angleConvert2Decimal(M26)</f>
        <v>0.49399999999999999</v>
      </c>
      <c r="K26" s="626"/>
      <c r="L26" s="627"/>
      <c r="M26" s="1642">
        <f>P28</f>
        <v>0.49399999999999999</v>
      </c>
      <c r="N26" s="1643"/>
      <c r="O26" s="1643"/>
      <c r="P26" s="1454" t="s">
        <v>97</v>
      </c>
      <c r="Q26" s="1454"/>
      <c r="R26" s="1454"/>
      <c r="S26" s="12"/>
      <c r="U26" s="12"/>
      <c r="V26" s="12"/>
      <c r="W26" s="12"/>
      <c r="X26" s="12"/>
      <c r="Y26" s="12"/>
      <c r="AC26" s="138" t="s">
        <v>189</v>
      </c>
      <c r="AD26" s="139">
        <v>0.5</v>
      </c>
      <c r="AE26" s="139">
        <v>-0.5</v>
      </c>
      <c r="AF26" s="139">
        <v>0</v>
      </c>
      <c r="AI26" t="s">
        <v>312</v>
      </c>
      <c r="AJ26">
        <f>J24*60</f>
        <v>54.4</v>
      </c>
      <c r="AK26" t="s">
        <v>331</v>
      </c>
      <c r="AM26">
        <f>INDEX($E$74:$Q$76,3,$AL$25)</f>
        <v>0.49</v>
      </c>
      <c r="AN26">
        <f>INDEX($E$74:$Q$76,3,1+$AL$25)</f>
        <v>0.5</v>
      </c>
      <c r="AQ26" s="226" t="s">
        <v>332</v>
      </c>
      <c r="AR26" s="226">
        <f>AJ26-AM25</f>
        <v>0.39999999999999858</v>
      </c>
    </row>
    <row r="27" spans="2:46" ht="17.25" customHeight="1" thickBot="1">
      <c r="C27" s="1449"/>
      <c r="D27" s="601"/>
      <c r="E27" s="601"/>
      <c r="F27" s="601"/>
      <c r="G27" s="601"/>
      <c r="H27" s="601"/>
      <c r="I27" s="1450"/>
      <c r="J27" s="628"/>
      <c r="K27" s="629"/>
      <c r="L27" s="630"/>
      <c r="M27" s="1644"/>
      <c r="N27" s="1645"/>
      <c r="O27" s="1645"/>
      <c r="P27" s="1454"/>
      <c r="Q27" s="1454"/>
      <c r="R27" s="1454"/>
      <c r="S27" s="12"/>
      <c r="T27" s="1604" t="s">
        <v>479</v>
      </c>
      <c r="U27" s="1605"/>
      <c r="V27" s="1605"/>
      <c r="W27" s="1605"/>
      <c r="X27" s="1605"/>
      <c r="Y27" s="1602" t="str" cm="1">
        <f t="array" ref="Y27">angleDecimal2Txt(J24/2,0)</f>
        <v>+00°27.19</v>
      </c>
      <c r="Z27" s="1603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226" t="s">
        <v>333</v>
      </c>
      <c r="AR27" s="226">
        <f>AN25-AM25</f>
        <v>1</v>
      </c>
    </row>
    <row r="28" spans="2:46" ht="17.25" customHeight="1" thickTop="1" thickBot="1">
      <c r="C28" s="1449"/>
      <c r="D28" s="601"/>
      <c r="E28" s="601"/>
      <c r="F28" s="601"/>
      <c r="G28" s="601"/>
      <c r="H28" s="601"/>
      <c r="I28" s="1450"/>
      <c r="J28" s="628"/>
      <c r="K28" s="629"/>
      <c r="L28" s="630"/>
      <c r="M28" s="1644"/>
      <c r="N28" s="1645"/>
      <c r="O28" s="1645"/>
      <c r="P28" s="747">
        <f>AR29</f>
        <v>0.49399999999999999</v>
      </c>
      <c r="Q28" s="747"/>
      <c r="R28" s="747"/>
      <c r="S28" s="680" t="str">
        <f>angleDecimal2Txt(AR29)</f>
        <v>+00°29.64 (+00.4940) [+00°29'38.40]</v>
      </c>
      <c r="T28" s="1640"/>
      <c r="U28" s="1640"/>
      <c r="V28" s="1640"/>
      <c r="W28" s="1640"/>
      <c r="X28" s="1641"/>
      <c r="Y28" s="12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226" t="s">
        <v>334</v>
      </c>
      <c r="AR28" s="226">
        <f>AR26/AR27</f>
        <v>0.39999999999999858</v>
      </c>
    </row>
    <row r="29" spans="2:46" ht="17.25" customHeight="1" thickTop="1" thickBot="1">
      <c r="C29" s="1451"/>
      <c r="D29" s="1452"/>
      <c r="E29" s="1452"/>
      <c r="F29" s="1452"/>
      <c r="G29" s="1452"/>
      <c r="H29" s="1452"/>
      <c r="I29" s="1453"/>
      <c r="J29" s="631"/>
      <c r="K29" s="632"/>
      <c r="L29" s="633"/>
      <c r="M29" s="1646"/>
      <c r="N29" s="1647"/>
      <c r="O29" s="1647"/>
      <c r="P29" s="593" t="str" cm="1">
        <f t="array" ref="P29">angleDecimal2Txt(J26)</f>
        <v>+00°29.64 (+00.4940) [+00°29'38.40]</v>
      </c>
      <c r="Q29" s="593"/>
      <c r="R29" s="593"/>
      <c r="S29" s="567"/>
      <c r="T29" s="567"/>
      <c r="U29" s="567"/>
      <c r="V29" s="567"/>
      <c r="W29" s="567"/>
      <c r="X29" s="567"/>
      <c r="Y29" s="12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227" t="s">
        <v>477</v>
      </c>
      <c r="AR29" s="226">
        <f>AM26+AR28*(AN26-AM26)</f>
        <v>0.49399999999999999</v>
      </c>
    </row>
    <row r="30" spans="2:46" ht="17.25" customHeight="1" thickTop="1" thickBot="1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226" t="s">
        <v>478</v>
      </c>
      <c r="AR30" s="225">
        <f>AR29/2</f>
        <v>0.247</v>
      </c>
      <c r="AS30" s="1600" t="str" cm="1">
        <f t="array" ref="AS30">angleDecimal2Txt(AR30)</f>
        <v>+00°14.82 (+00.2470) [+00°14'49.20]</v>
      </c>
      <c r="AT30" s="1601"/>
    </row>
    <row r="31" spans="2:46" ht="17.25" customHeight="1" thickBot="1">
      <c r="B31" s="23" t="s">
        <v>198</v>
      </c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60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</row>
    <row r="32" spans="2:46" ht="17.25" customHeight="1" thickTop="1" thickBot="1">
      <c r="C32" s="746" t="s">
        <v>7</v>
      </c>
      <c r="D32" s="746"/>
      <c r="E32" s="746"/>
      <c r="F32" s="746"/>
      <c r="G32" s="729">
        <f>AD33</f>
        <v>-27.5</v>
      </c>
      <c r="H32" s="730"/>
      <c r="I32" s="730"/>
      <c r="J32" s="1590" t="s">
        <v>4</v>
      </c>
      <c r="K32" s="1599" t="s">
        <v>571</v>
      </c>
      <c r="L32" s="1590"/>
      <c r="M32" s="1590"/>
      <c r="N32" s="1590"/>
      <c r="O32" s="1590"/>
      <c r="P32" s="591" t="str" cm="1">
        <f t="array" ref="P32">latitudeDecimal2Txt(G32)</f>
        <v>S 27°30.00 (S 27.5000) [S 27°30'00.00]</v>
      </c>
      <c r="Q32" s="591"/>
      <c r="R32" s="591"/>
      <c r="S32" s="591"/>
      <c r="T32" s="591"/>
      <c r="U32" s="591"/>
      <c r="V32" s="591"/>
      <c r="W32" s="591"/>
      <c r="X32" s="591"/>
      <c r="Y32" s="591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1598" t="s">
        <v>129</v>
      </c>
      <c r="B33" s="273" t="s">
        <v>130</v>
      </c>
      <c r="C33" s="746"/>
      <c r="D33" s="746"/>
      <c r="E33" s="746"/>
      <c r="F33" s="746"/>
      <c r="G33" s="730"/>
      <c r="H33" s="730"/>
      <c r="I33" s="730"/>
      <c r="J33" s="1590"/>
      <c r="K33" s="1590"/>
      <c r="L33" s="1590"/>
      <c r="M33" s="1590"/>
      <c r="N33" s="1590"/>
      <c r="O33" s="1590"/>
      <c r="P33" s="591"/>
      <c r="Q33" s="591"/>
      <c r="R33" s="591"/>
      <c r="S33" s="591"/>
      <c r="T33" s="591"/>
      <c r="U33" s="591"/>
      <c r="V33" s="591"/>
      <c r="W33" s="591"/>
      <c r="X33" s="591"/>
      <c r="Y33" s="591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1598"/>
      <c r="B34" s="273" t="s">
        <v>138</v>
      </c>
      <c r="C34" s="738" t="s">
        <v>8</v>
      </c>
      <c r="D34" s="738"/>
      <c r="E34" s="738"/>
      <c r="F34" s="738"/>
      <c r="G34" s="729">
        <f>AD35</f>
        <v>63</v>
      </c>
      <c r="H34" s="730"/>
      <c r="I34" s="730"/>
      <c r="J34" s="1590" t="s">
        <v>5</v>
      </c>
      <c r="K34" s="1599" t="s">
        <v>572</v>
      </c>
      <c r="L34" s="1590"/>
      <c r="M34" s="1590"/>
      <c r="N34" s="1590"/>
      <c r="O34" s="1590"/>
      <c r="P34" s="591" t="str" cm="1">
        <f t="array" ref="P34">longitudeDecimal2Txt(G34)</f>
        <v>E 63°00.00 (E 63.0000) [E 63°00'00.00]</v>
      </c>
      <c r="Q34" s="591"/>
      <c r="R34" s="591"/>
      <c r="S34" s="591"/>
      <c r="T34" s="591"/>
      <c r="U34" s="591"/>
      <c r="V34" s="591"/>
      <c r="W34" s="591"/>
      <c r="X34" s="591"/>
      <c r="Y34" s="591"/>
      <c r="Z34" s="12"/>
      <c r="AC34" s="3" t="s">
        <v>170</v>
      </c>
      <c r="AD34" s="3">
        <f>VLOOKUP(J34,Outils!$D$9:$E$10,2)</f>
        <v>1</v>
      </c>
      <c r="BN34" s="29"/>
    </row>
    <row r="35" spans="1:66" ht="17.25" customHeight="1" thickTop="1" thickBot="1">
      <c r="C35" s="738"/>
      <c r="D35" s="738"/>
      <c r="E35" s="738"/>
      <c r="F35" s="738"/>
      <c r="G35" s="730"/>
      <c r="H35" s="730"/>
      <c r="I35" s="730"/>
      <c r="J35" s="1590"/>
      <c r="K35" s="1590"/>
      <c r="L35" s="1590"/>
      <c r="M35" s="1590"/>
      <c r="N35" s="1590"/>
      <c r="O35" s="1590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12"/>
      <c r="AC35" s="3" t="s">
        <v>171</v>
      </c>
      <c r="AD35" s="3" cm="1">
        <f t="array" ref="AD35">angleConvert2Decimal(K34)*AD34</f>
        <v>63</v>
      </c>
      <c r="BN35" s="29"/>
    </row>
    <row r="36" spans="1:66" ht="17.25" customHeight="1" thickTop="1" thickBot="1">
      <c r="A36"/>
      <c r="B36"/>
      <c r="C36"/>
      <c r="D36" s="12"/>
      <c r="E36" s="12"/>
      <c r="F36" s="12"/>
      <c r="G36" s="12"/>
      <c r="H36" s="12"/>
      <c r="BN36" s="29"/>
    </row>
    <row r="37" spans="1:66" ht="17.25" customHeight="1" thickBot="1">
      <c r="B37" s="23" t="s">
        <v>9</v>
      </c>
      <c r="C37" s="73"/>
      <c r="D37" s="73"/>
      <c r="E37" s="73"/>
      <c r="F37" s="603">
        <f>IF(G38=AD38,D41,IF(G38=AD37,D54,D48))</f>
        <v>23.147284259259258</v>
      </c>
      <c r="G37" s="612"/>
      <c r="H37" s="612"/>
      <c r="I37" s="24"/>
      <c r="J37" s="24"/>
      <c r="K37" s="24" t="str" cm="1">
        <f t="array" ref="K37">latitudeDecimal2Txt(F37)</f>
        <v>N 23°08.83 (N 23.1472) [N 23°08'50.22]</v>
      </c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62"/>
      <c r="AD37" s="66" t="s">
        <v>513</v>
      </c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</row>
    <row r="38" spans="1:66" s="31" customFormat="1" ht="17.25" customHeight="1">
      <c r="C38" s="675" t="s">
        <v>35</v>
      </c>
      <c r="D38" s="675"/>
      <c r="E38" s="675"/>
      <c r="F38" s="675"/>
      <c r="G38" s="1577" t="s">
        <v>10</v>
      </c>
      <c r="H38" s="1578"/>
      <c r="I38" s="1579"/>
      <c r="AB38" s="63"/>
      <c r="AC38" s="1330" t="s">
        <v>36</v>
      </c>
      <c r="AD38" s="66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1331" t="s">
        <v>10</v>
      </c>
      <c r="D39" s="926" t="s">
        <v>9</v>
      </c>
      <c r="E39" s="634"/>
      <c r="F39" s="634"/>
      <c r="G39" s="634"/>
      <c r="H39" s="634"/>
      <c r="I39" s="577" t="s">
        <v>575</v>
      </c>
      <c r="J39" s="665"/>
      <c r="K39" s="577" t="s">
        <v>13</v>
      </c>
      <c r="L39" s="578"/>
      <c r="M39" s="579"/>
      <c r="N39" s="583" t="s">
        <v>15</v>
      </c>
      <c r="O39" s="583"/>
      <c r="P39" s="583"/>
      <c r="Q39" s="583"/>
      <c r="R39" s="583"/>
      <c r="S39" s="12"/>
      <c r="AC39" s="1330"/>
      <c r="AD39" s="66" t="s">
        <v>14</v>
      </c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</row>
    <row r="40" spans="1:66" ht="17.25" customHeight="1" outlineLevel="1" thickBot="1">
      <c r="C40" s="1331"/>
      <c r="D40" s="926"/>
      <c r="E40" s="634"/>
      <c r="F40" s="634"/>
      <c r="G40" s="634"/>
      <c r="H40" s="634"/>
      <c r="I40" s="668"/>
      <c r="J40" s="669"/>
      <c r="K40" s="580"/>
      <c r="L40" s="581"/>
      <c r="M40" s="582"/>
      <c r="N40" s="583"/>
      <c r="O40" s="583"/>
      <c r="P40" s="583"/>
      <c r="Q40" s="583"/>
      <c r="R40" s="583"/>
      <c r="S40" s="12"/>
      <c r="AD40" s="69" t="s">
        <v>73</v>
      </c>
      <c r="AE40" s="3" t="s">
        <v>180</v>
      </c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</row>
    <row r="41" spans="1:66" ht="17.25" customHeight="1" outlineLevel="1" thickTop="1" thickBot="1">
      <c r="C41" s="1331"/>
      <c r="D41" s="626">
        <f>IF(G38=AD38,AD46,"---")</f>
        <v>23.147284259259258</v>
      </c>
      <c r="E41" s="626"/>
      <c r="F41" s="626"/>
      <c r="G41" s="626"/>
      <c r="H41" s="627"/>
      <c r="I41" s="704">
        <f>E11</f>
        <v>8.3147222222222226</v>
      </c>
      <c r="J41" s="705"/>
      <c r="K41" s="1580">
        <v>10</v>
      </c>
      <c r="L41" s="1581"/>
      <c r="M41" s="1582"/>
      <c r="N41" s="1590" t="s">
        <v>3</v>
      </c>
      <c r="O41" s="1591" t="s">
        <v>497</v>
      </c>
      <c r="P41" s="1592"/>
      <c r="Q41" s="1592"/>
      <c r="R41" s="1592"/>
      <c r="S41" s="591" t="str" cm="1">
        <f t="array" ref="S41">angleDecimal2Txt(AE41)</f>
        <v>+23°08.50 (+23.1416) [+23°08'30.00]</v>
      </c>
      <c r="T41" s="592"/>
      <c r="U41" s="592"/>
      <c r="V41" s="592"/>
      <c r="W41" s="592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</row>
    <row r="42" spans="1:66" ht="17.25" customHeight="1" outlineLevel="1" thickTop="1" thickBot="1">
      <c r="C42" s="1331"/>
      <c r="D42" s="629"/>
      <c r="E42" s="629"/>
      <c r="F42" s="629"/>
      <c r="G42" s="629"/>
      <c r="H42" s="630"/>
      <c r="I42" s="809"/>
      <c r="J42" s="925"/>
      <c r="K42" s="1583"/>
      <c r="L42" s="1584"/>
      <c r="M42" s="1585"/>
      <c r="N42" s="1590"/>
      <c r="O42" s="1593"/>
      <c r="P42" s="1593"/>
      <c r="Q42" s="1593"/>
      <c r="R42" s="1593"/>
      <c r="S42" s="592"/>
      <c r="T42" s="592"/>
      <c r="U42" s="592"/>
      <c r="V42" s="592"/>
      <c r="W42" s="592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</row>
    <row r="43" spans="1:66" ht="17.25" customHeight="1" outlineLevel="1" thickTop="1" thickBot="1">
      <c r="C43" s="1331"/>
      <c r="D43" s="629"/>
      <c r="E43" s="629"/>
      <c r="F43" s="629"/>
      <c r="G43" s="629"/>
      <c r="H43" s="630"/>
      <c r="I43" s="809"/>
      <c r="J43" s="925"/>
      <c r="K43" s="1586">
        <v>11</v>
      </c>
      <c r="L43" s="1587"/>
      <c r="M43" s="1588"/>
      <c r="N43" s="1590" t="s">
        <v>3</v>
      </c>
      <c r="O43" s="1594" t="s">
        <v>498</v>
      </c>
      <c r="P43" s="1593"/>
      <c r="Q43" s="1593"/>
      <c r="R43" s="1593"/>
      <c r="S43" s="591" t="str" cm="1">
        <f t="array" ref="S43">angleDecimal2Txt((AE42))</f>
        <v>+23°08.30 (+23.1383) [+23°08'18.00]</v>
      </c>
      <c r="T43" s="592"/>
      <c r="U43" s="592"/>
      <c r="V43" s="592"/>
      <c r="W43" s="592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1331"/>
      <c r="D44" s="636" t="str" cm="1">
        <f t="array" ref="D44">latitudeDecimal2Txt(D41)</f>
        <v>N 23°08.83 (N 23.1472) [N 23°08'50.22]</v>
      </c>
      <c r="E44" s="565"/>
      <c r="F44" s="565"/>
      <c r="G44" s="565"/>
      <c r="H44" s="565"/>
      <c r="I44" s="706"/>
      <c r="J44" s="707"/>
      <c r="K44" s="1583"/>
      <c r="L44" s="1584"/>
      <c r="M44" s="1585"/>
      <c r="N44" s="1590"/>
      <c r="O44" s="1593"/>
      <c r="P44" s="1593"/>
      <c r="Q44" s="1593"/>
      <c r="R44" s="1593"/>
      <c r="S44" s="592"/>
      <c r="T44" s="592"/>
      <c r="U44" s="592"/>
      <c r="V44" s="592"/>
      <c r="W44" s="592"/>
      <c r="AC44" s="3" t="s">
        <v>174</v>
      </c>
      <c r="AD44" s="5">
        <f>K43-K41</f>
        <v>1</v>
      </c>
      <c r="AE44" s="14"/>
      <c r="AF44" s="14"/>
      <c r="AG44" s="14"/>
      <c r="AH44" s="14"/>
    </row>
    <row r="45" spans="1:66" ht="17.25" customHeight="1" thickTop="1">
      <c r="F45" s="14"/>
      <c r="G45" s="14"/>
      <c r="AC45" s="3" t="s">
        <v>39</v>
      </c>
      <c r="AD45" s="5">
        <f>I41-K41</f>
        <v>-1.6852777777777774</v>
      </c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</row>
    <row r="46" spans="1:66" ht="17.25" hidden="1" customHeight="1" outlineLevel="1">
      <c r="C46" s="1445" t="s">
        <v>14</v>
      </c>
      <c r="D46" s="634" t="s">
        <v>9</v>
      </c>
      <c r="E46" s="634"/>
      <c r="F46" s="634"/>
      <c r="G46" s="634"/>
      <c r="H46" s="634"/>
      <c r="I46" s="577" t="s">
        <v>575</v>
      </c>
      <c r="J46" s="665"/>
      <c r="K46" s="577" t="s">
        <v>569</v>
      </c>
      <c r="L46" s="578"/>
      <c r="M46" s="579"/>
      <c r="N46" s="583" t="s">
        <v>16</v>
      </c>
      <c r="O46" s="583"/>
      <c r="P46" s="583"/>
      <c r="Q46" s="583"/>
      <c r="R46" s="583"/>
      <c r="S46" s="583" t="s">
        <v>131</v>
      </c>
      <c r="T46" s="583"/>
      <c r="U46" s="583"/>
      <c r="V46" s="583"/>
      <c r="W46" s="583"/>
      <c r="AA46" s="12"/>
      <c r="AC46" s="3" t="s">
        <v>37</v>
      </c>
      <c r="AD46" s="3">
        <f>AE41+(AD43/AD44)*AD45</f>
        <v>23.147284259259258</v>
      </c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1:66" ht="17.25" hidden="1" customHeight="1" outlineLevel="1">
      <c r="C47" s="1445"/>
      <c r="D47" s="634"/>
      <c r="E47" s="634"/>
      <c r="F47" s="634"/>
      <c r="G47" s="634"/>
      <c r="H47" s="634"/>
      <c r="I47" s="668"/>
      <c r="J47" s="669"/>
      <c r="K47" s="580"/>
      <c r="L47" s="581"/>
      <c r="M47" s="582"/>
      <c r="N47" s="583"/>
      <c r="O47" s="583"/>
      <c r="P47" s="583"/>
      <c r="Q47" s="583"/>
      <c r="R47" s="583"/>
      <c r="S47" s="583"/>
      <c r="T47" s="583"/>
      <c r="U47" s="583"/>
      <c r="V47" s="583"/>
      <c r="W47" s="583"/>
      <c r="AA47" s="12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</row>
    <row r="48" spans="1:66" ht="17.25" hidden="1" customHeight="1" outlineLevel="1">
      <c r="C48" s="1445"/>
      <c r="D48" s="626" t="str">
        <f>IF(G38=AD39,AD52,"---")</f>
        <v>---</v>
      </c>
      <c r="E48" s="626"/>
      <c r="F48" s="626"/>
      <c r="G48" s="626"/>
      <c r="H48" s="626"/>
      <c r="I48" s="586">
        <f>E11</f>
        <v>8.3147222222222226</v>
      </c>
      <c r="J48" s="586"/>
      <c r="K48" s="1565">
        <v>0</v>
      </c>
      <c r="L48" s="1565"/>
      <c r="M48" s="1657"/>
      <c r="N48" s="1590" t="s">
        <v>3</v>
      </c>
      <c r="O48" s="1653" t="s">
        <v>568</v>
      </c>
      <c r="P48" s="1654"/>
      <c r="Q48" s="1654"/>
      <c r="R48" s="1654"/>
      <c r="S48" s="1590" t="s">
        <v>3</v>
      </c>
      <c r="T48" s="1653">
        <f>0.2/60</f>
        <v>3.3333333333333335E-3</v>
      </c>
      <c r="U48" s="1654"/>
      <c r="V48" s="1654"/>
      <c r="W48" s="1654"/>
      <c r="AA48" s="12"/>
      <c r="AC48" s="3" t="s">
        <v>175</v>
      </c>
      <c r="AD48" s="3">
        <f>VLOOKUP(N48,Outils!$C$9:$E$10,3)</f>
        <v>1</v>
      </c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</row>
    <row r="49" spans="1:65" ht="17.25" hidden="1" customHeight="1" outlineLevel="1" thickBot="1">
      <c r="C49" s="1445"/>
      <c r="D49" s="629"/>
      <c r="E49" s="629"/>
      <c r="F49" s="629"/>
      <c r="G49" s="629"/>
      <c r="H49" s="629"/>
      <c r="I49" s="586"/>
      <c r="J49" s="586"/>
      <c r="K49" s="1572"/>
      <c r="L49" s="1572"/>
      <c r="M49" s="1658"/>
      <c r="N49" s="1590"/>
      <c r="O49" s="1590"/>
      <c r="P49" s="1590"/>
      <c r="Q49" s="1590"/>
      <c r="R49" s="1590"/>
      <c r="S49" s="1590"/>
      <c r="T49" s="1590"/>
      <c r="U49" s="1590"/>
      <c r="V49" s="1590"/>
      <c r="W49" s="1590"/>
      <c r="Z49" s="12"/>
      <c r="AA49" s="12"/>
      <c r="AC49" s="3" t="s">
        <v>176</v>
      </c>
      <c r="AD49" s="3" cm="1">
        <f t="array" ref="AD49">angleConvert2Decimal(O48)*AD48</f>
        <v>23.176666666666666</v>
      </c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</row>
    <row r="50" spans="1:65" ht="17.25" hidden="1" customHeight="1" outlineLevel="1" thickTop="1" thickBot="1">
      <c r="C50" s="1445"/>
      <c r="D50" s="636" t="e" cm="1">
        <f t="array" ref="D50">latitudeDecimal2Txt(D48)</f>
        <v>#VALUE!</v>
      </c>
      <c r="E50" s="565"/>
      <c r="F50" s="565"/>
      <c r="G50" s="565"/>
      <c r="H50" s="739"/>
      <c r="I50" s="586"/>
      <c r="J50" s="586"/>
      <c r="K50" s="635" t="str" cm="1">
        <f t="array" ref="K50">heureDecimal2Txt(K48)</f>
        <v>00:00:00.00(00.0000)</v>
      </c>
      <c r="L50" s="635"/>
      <c r="M50" s="636"/>
      <c r="N50" s="567" t="str" cm="1">
        <f t="array" ref="N50">angleDecimal2Txt(AD49)</f>
        <v>+23°10.59 (+23.1766) [+23°10'36.00]</v>
      </c>
      <c r="O50" s="567"/>
      <c r="P50" s="567"/>
      <c r="Q50" s="567"/>
      <c r="R50" s="567"/>
      <c r="S50" s="567" t="str" cm="1">
        <f t="array" ref="S50">angleDecimal2Txt(AD51)</f>
        <v>+00°00.19 (+00.0033) [+00°00'11.99]</v>
      </c>
      <c r="T50" s="791"/>
      <c r="U50" s="791"/>
      <c r="V50" s="791"/>
      <c r="W50" s="791"/>
      <c r="Z50" s="12"/>
      <c r="AC50" s="3" t="s">
        <v>177</v>
      </c>
      <c r="AD50" s="3">
        <f>VLOOKUP(S48,Outils!$C$9:$E$10,3)</f>
        <v>1</v>
      </c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</row>
    <row r="51" spans="1:65" ht="17.25" customHeight="1" collapsed="1">
      <c r="A51" s="32" t="s">
        <v>495</v>
      </c>
      <c r="F51" s="14"/>
      <c r="G51" s="14"/>
      <c r="I51"/>
      <c r="Z51" s="12"/>
      <c r="AC51" s="3" t="s">
        <v>178</v>
      </c>
      <c r="AD51" s="3" cm="1">
        <f t="array" ref="AD51">angleConvert2Decimal(T48)*AD50</f>
        <v>3.3333333333333301E-3</v>
      </c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</row>
    <row r="52" spans="1:65" ht="17.25" hidden="1" customHeight="1" outlineLevel="1">
      <c r="C52" s="1445" t="s">
        <v>576</v>
      </c>
      <c r="D52" s="634" t="s">
        <v>9</v>
      </c>
      <c r="E52" s="634"/>
      <c r="F52" s="634"/>
      <c r="G52" s="634"/>
      <c r="H52" s="634"/>
      <c r="I52" s="652" t="s">
        <v>514</v>
      </c>
      <c r="J52" s="653"/>
      <c r="K52" s="653"/>
      <c r="L52" s="653"/>
      <c r="M52" s="654"/>
      <c r="AC52" s="3" t="s">
        <v>179</v>
      </c>
      <c r="AD52" s="3">
        <f>AD49+AD51*(I48-K48)</f>
        <v>23.204382407407408</v>
      </c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</row>
    <row r="53" spans="1:65" ht="17.25" hidden="1" customHeight="1" outlineLevel="1">
      <c r="C53" s="1445"/>
      <c r="D53" s="634"/>
      <c r="E53" s="634"/>
      <c r="F53" s="634"/>
      <c r="G53" s="634"/>
      <c r="H53" s="634"/>
      <c r="I53" s="655"/>
      <c r="J53" s="656"/>
      <c r="K53" s="656"/>
      <c r="L53" s="656"/>
      <c r="M53" s="657"/>
      <c r="S53"/>
      <c r="T53"/>
      <c r="U53"/>
      <c r="V53"/>
      <c r="W53"/>
      <c r="X53"/>
      <c r="Y53"/>
      <c r="AC53" s="3"/>
      <c r="AD53" s="3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</row>
    <row r="54" spans="1:65" ht="17.25" hidden="1" customHeight="1" outlineLevel="1">
      <c r="C54" s="1445"/>
      <c r="D54" s="628" t="str">
        <f>IF(G38=AD37,AD55,"---")</f>
        <v>---</v>
      </c>
      <c r="E54" s="629"/>
      <c r="F54" s="629"/>
      <c r="G54" s="629"/>
      <c r="H54" s="629"/>
      <c r="I54" s="1576" t="s">
        <v>3</v>
      </c>
      <c r="J54" s="1558" t="s">
        <v>574</v>
      </c>
      <c r="K54" s="1558"/>
      <c r="L54" s="1558"/>
      <c r="M54" s="1558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</row>
    <row r="55" spans="1:65" ht="17.25" hidden="1" customHeight="1" outlineLevel="1" thickBot="1">
      <c r="C55" s="1445"/>
      <c r="D55" s="727"/>
      <c r="E55" s="728"/>
      <c r="F55" s="728"/>
      <c r="G55" s="728"/>
      <c r="H55" s="728"/>
      <c r="I55" s="1576"/>
      <c r="J55" s="1558"/>
      <c r="K55" s="1558"/>
      <c r="L55" s="1558"/>
      <c r="M55" s="1558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1445"/>
      <c r="D56" s="565" t="str" cm="1">
        <f t="array" ref="D56">latitudeDecimal2Txt(AD55)</f>
        <v>N 14°43.70 (N 14.7283) [N 14°43'42.00]</v>
      </c>
      <c r="E56" s="565"/>
      <c r="F56" s="565"/>
      <c r="G56" s="565"/>
      <c r="H56" s="565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2"/>
      <c r="T57" s="12"/>
      <c r="U57" s="12"/>
      <c r="V57" s="12"/>
      <c r="W57" s="12"/>
      <c r="X57" s="12"/>
    </row>
    <row r="58" spans="1:65" ht="17.25" customHeight="1" thickBot="1">
      <c r="B58" s="23" t="s">
        <v>601</v>
      </c>
      <c r="C58" s="73"/>
      <c r="D58" s="73"/>
      <c r="E58" s="73"/>
      <c r="F58" s="603">
        <f>D62</f>
        <v>0.91509305555555531</v>
      </c>
      <c r="G58" s="612"/>
      <c r="H58" s="612"/>
      <c r="I58" s="1556">
        <f>F58*60</f>
        <v>54.905583333333318</v>
      </c>
      <c r="J58" s="1557"/>
      <c r="K58" s="24" t="str" cm="1">
        <f t="array" ref="K58">angleDecimal2Txt(F58)</f>
        <v>+00°54.90 (+00.9150) [+00°54'54.33]</v>
      </c>
      <c r="L58" s="24"/>
      <c r="M58" s="24"/>
      <c r="N58" s="24"/>
      <c r="O58" s="24"/>
      <c r="P58" s="24"/>
      <c r="Q58" s="24"/>
      <c r="R58" s="24"/>
      <c r="S58" s="24" t="s">
        <v>610</v>
      </c>
      <c r="T58" s="564">
        <f>D81</f>
        <v>0.4990558333333332</v>
      </c>
      <c r="U58" s="564"/>
      <c r="V58" s="564"/>
      <c r="W58" s="24"/>
      <c r="X58" s="24"/>
      <c r="Y58" s="24"/>
      <c r="Z58" s="24"/>
      <c r="AA58" s="24"/>
      <c r="AB58" s="62"/>
      <c r="AD58" s="66" t="s">
        <v>513</v>
      </c>
    </row>
    <row r="59" spans="1:65" s="31" customFormat="1" ht="17.25" customHeight="1">
      <c r="C59" s="675" t="s">
        <v>35</v>
      </c>
      <c r="D59" s="675"/>
      <c r="E59" s="675"/>
      <c r="F59" s="675"/>
      <c r="G59" s="1577" t="s">
        <v>10</v>
      </c>
      <c r="H59" s="1578"/>
      <c r="I59" s="1579"/>
      <c r="AB59" s="63"/>
      <c r="AC59" s="1330" t="s">
        <v>36</v>
      </c>
      <c r="AD59" s="66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1331" t="s">
        <v>10</v>
      </c>
      <c r="D60" s="926" t="s">
        <v>598</v>
      </c>
      <c r="E60" s="634"/>
      <c r="F60" s="634"/>
      <c r="G60" s="634"/>
      <c r="H60" s="634"/>
      <c r="I60" s="577" t="s">
        <v>575</v>
      </c>
      <c r="J60" s="665"/>
      <c r="K60" s="577" t="s">
        <v>13</v>
      </c>
      <c r="L60" s="578"/>
      <c r="M60" s="579"/>
      <c r="N60" s="583" t="s">
        <v>15</v>
      </c>
      <c r="O60" s="583"/>
      <c r="P60" s="583"/>
      <c r="Q60" s="583"/>
      <c r="R60" s="583"/>
      <c r="S60" s="12"/>
      <c r="AC60" s="1330"/>
      <c r="AD60" s="66"/>
    </row>
    <row r="61" spans="1:65" ht="17.25" customHeight="1" thickBot="1">
      <c r="C61" s="1331"/>
      <c r="D61" s="926"/>
      <c r="E61" s="634"/>
      <c r="F61" s="634"/>
      <c r="G61" s="634"/>
      <c r="H61" s="634"/>
      <c r="I61" s="668"/>
      <c r="J61" s="669"/>
      <c r="K61" s="580"/>
      <c r="L61" s="581"/>
      <c r="M61" s="582"/>
      <c r="N61" s="583"/>
      <c r="O61" s="583"/>
      <c r="P61" s="583"/>
      <c r="Q61" s="583"/>
      <c r="R61" s="583"/>
      <c r="S61" s="12"/>
      <c r="AD61" s="69" t="s">
        <v>73</v>
      </c>
      <c r="AE61" s="3" t="s">
        <v>180</v>
      </c>
    </row>
    <row r="62" spans="1:65" ht="17.25" customHeight="1" thickTop="1" thickBot="1">
      <c r="C62" s="1331"/>
      <c r="D62" s="626">
        <f>AD67</f>
        <v>0.91509305555555531</v>
      </c>
      <c r="E62" s="626"/>
      <c r="F62" s="626"/>
      <c r="G62" s="626"/>
      <c r="H62" s="627"/>
      <c r="I62" s="704">
        <f>E11</f>
        <v>8.3147222222222226</v>
      </c>
      <c r="J62" s="705"/>
      <c r="K62" s="1580">
        <v>10</v>
      </c>
      <c r="L62" s="1581"/>
      <c r="M62" s="1582"/>
      <c r="N62" s="1590" t="s">
        <v>3</v>
      </c>
      <c r="O62" s="1591" t="s">
        <v>599</v>
      </c>
      <c r="P62" s="1592"/>
      <c r="Q62" s="1592"/>
      <c r="R62" s="1592"/>
      <c r="S62" s="591" t="str" cm="1">
        <f t="array" ref="S62">angleDecimal2Txt(AE62)</f>
        <v>+00°54.39 (+00.9066) [+00°54'24.00]</v>
      </c>
      <c r="T62" s="592"/>
      <c r="U62" s="592"/>
      <c r="V62" s="592"/>
      <c r="W62" s="592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1331"/>
      <c r="D63" s="629"/>
      <c r="E63" s="629"/>
      <c r="F63" s="629"/>
      <c r="G63" s="629"/>
      <c r="H63" s="630"/>
      <c r="I63" s="809"/>
      <c r="J63" s="925"/>
      <c r="K63" s="1583"/>
      <c r="L63" s="1584"/>
      <c r="M63" s="1585"/>
      <c r="N63" s="1590"/>
      <c r="O63" s="1593"/>
      <c r="P63" s="1593"/>
      <c r="Q63" s="1593"/>
      <c r="R63" s="1593"/>
      <c r="S63" s="592"/>
      <c r="T63" s="592"/>
      <c r="U63" s="592"/>
      <c r="V63" s="592"/>
      <c r="W63" s="592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1331"/>
      <c r="D64" s="629"/>
      <c r="E64" s="629"/>
      <c r="F64" s="629"/>
      <c r="G64" s="629"/>
      <c r="H64" s="630"/>
      <c r="I64" s="809"/>
      <c r="J64" s="925"/>
      <c r="K64" s="1586">
        <v>11</v>
      </c>
      <c r="L64" s="1587"/>
      <c r="M64" s="1588"/>
      <c r="N64" s="1590" t="s">
        <v>3</v>
      </c>
      <c r="O64" s="1594" t="s">
        <v>600</v>
      </c>
      <c r="P64" s="1593"/>
      <c r="Q64" s="1593"/>
      <c r="R64" s="1593"/>
      <c r="S64" s="591" t="str" cm="1">
        <f t="array" ref="S64">angleDecimal2Txt((AE63))</f>
        <v>+00°54.10 (+00.9016) [+00°54'06.00]</v>
      </c>
      <c r="T64" s="592"/>
      <c r="U64" s="592"/>
      <c r="V64" s="592"/>
      <c r="W64" s="592"/>
      <c r="AC64" s="3" t="s">
        <v>38</v>
      </c>
      <c r="AD64" s="5">
        <f>AE63-AE62</f>
        <v>-4.9999999999998934E-3</v>
      </c>
    </row>
    <row r="65" spans="1:31" ht="17.25" customHeight="1" thickTop="1" thickBot="1">
      <c r="C65" s="1331"/>
      <c r="D65" s="636" t="str" cm="1">
        <f t="array" ref="D65">angleDecimal2Txt(D62)</f>
        <v>+00°54.90 (+00.9150) [+00°54'54.33]</v>
      </c>
      <c r="E65" s="565"/>
      <c r="F65" s="565"/>
      <c r="G65" s="565"/>
      <c r="H65" s="565"/>
      <c r="I65" s="706"/>
      <c r="J65" s="707"/>
      <c r="K65" s="1583"/>
      <c r="L65" s="1584"/>
      <c r="M65" s="1585"/>
      <c r="N65" s="1590"/>
      <c r="O65" s="1593"/>
      <c r="P65" s="1593"/>
      <c r="Q65" s="1593"/>
      <c r="R65" s="1593"/>
      <c r="S65" s="592"/>
      <c r="T65" s="592"/>
      <c r="U65" s="592"/>
      <c r="V65" s="592"/>
      <c r="W65" s="592"/>
      <c r="AC65" s="3" t="s">
        <v>174</v>
      </c>
      <c r="AD65" s="5">
        <f>K64-K62</f>
        <v>1</v>
      </c>
      <c r="AE65" s="14"/>
    </row>
    <row r="66" spans="1:31" ht="17.25" customHeight="1" thickTop="1">
      <c r="A66" s="32" t="s">
        <v>495</v>
      </c>
      <c r="F66" s="14"/>
      <c r="G66" s="14"/>
      <c r="I66"/>
      <c r="S66" s="12"/>
      <c r="T66" s="12"/>
      <c r="U66" s="12"/>
      <c r="V66" s="12"/>
      <c r="W66" s="12"/>
      <c r="X66" s="12"/>
      <c r="AC66" s="3" t="s">
        <v>39</v>
      </c>
      <c r="AD66" s="5">
        <f>I62-K62</f>
        <v>-1.6852777777777774</v>
      </c>
    </row>
    <row r="67" spans="1:31" ht="17.25" hidden="1" customHeight="1" outlineLevel="1">
      <c r="C67" s="1445" t="s">
        <v>576</v>
      </c>
      <c r="D67" s="926" t="s">
        <v>598</v>
      </c>
      <c r="E67" s="634"/>
      <c r="F67" s="634"/>
      <c r="G67" s="634"/>
      <c r="H67" s="634"/>
      <c r="I67" s="652" t="s">
        <v>514</v>
      </c>
      <c r="J67" s="653"/>
      <c r="K67" s="653"/>
      <c r="L67" s="653"/>
      <c r="M67" s="654"/>
      <c r="S67" s="12"/>
      <c r="T67" s="12"/>
      <c r="U67" s="12"/>
      <c r="V67" s="12"/>
      <c r="W67" s="12"/>
      <c r="X67" s="12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1445"/>
      <c r="D68" s="926"/>
      <c r="E68" s="634"/>
      <c r="F68" s="634"/>
      <c r="G68" s="634"/>
      <c r="H68" s="634"/>
      <c r="I68" s="655"/>
      <c r="J68" s="656"/>
      <c r="K68" s="656"/>
      <c r="L68" s="656"/>
      <c r="M68" s="657"/>
    </row>
    <row r="69" spans="1:31" ht="17.25" hidden="1" customHeight="1" outlineLevel="1">
      <c r="C69" s="1445"/>
      <c r="D69" s="628" t="str">
        <f>IF(G53=AD52,AD70,"---")</f>
        <v>---</v>
      </c>
      <c r="E69" s="629"/>
      <c r="F69" s="629"/>
      <c r="G69" s="629"/>
      <c r="H69" s="629"/>
      <c r="I69" s="1576" t="s">
        <v>3</v>
      </c>
      <c r="J69" s="1558" t="s">
        <v>574</v>
      </c>
      <c r="K69" s="1558"/>
      <c r="L69" s="1558"/>
      <c r="M69" s="1558"/>
    </row>
    <row r="70" spans="1:31" ht="17.25" hidden="1" customHeight="1" outlineLevel="1" thickBot="1">
      <c r="C70" s="1445"/>
      <c r="D70" s="727"/>
      <c r="E70" s="728"/>
      <c r="F70" s="728"/>
      <c r="G70" s="728"/>
      <c r="H70" s="728"/>
      <c r="I70" s="1576"/>
      <c r="J70" s="1558"/>
      <c r="K70" s="1558"/>
      <c r="L70" s="1558"/>
      <c r="M70" s="1558"/>
    </row>
    <row r="71" spans="1:31" ht="17.25" hidden="1" customHeight="1" outlineLevel="1" thickTop="1" thickBot="1">
      <c r="C71" s="1445"/>
      <c r="D71" s="565" t="str" cm="1">
        <f t="array" ref="D71">latitudeDecimal2Txt(AD70)</f>
        <v>N 00°00.00 (N 00.0000) [N 00°00'00.00]</v>
      </c>
      <c r="E71" s="565"/>
      <c r="F71" s="565"/>
      <c r="G71" s="565"/>
      <c r="H71" s="565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4"/>
      <c r="E73" s="1606" t="s">
        <v>320</v>
      </c>
      <c r="F73" s="1606"/>
      <c r="G73" s="1606"/>
      <c r="H73" s="1606"/>
      <c r="I73" s="1606"/>
      <c r="J73" s="1606"/>
      <c r="K73" s="1606"/>
      <c r="L73" s="1606"/>
      <c r="M73" s="1606"/>
      <c r="N73" s="1606"/>
      <c r="O73" s="1606"/>
      <c r="P73" s="1606"/>
      <c r="Q73" s="1606"/>
      <c r="S73" s="12"/>
      <c r="T73" s="12"/>
      <c r="U73" s="12"/>
      <c r="V73" s="12"/>
      <c r="W73" s="12"/>
      <c r="X73" s="12"/>
    </row>
    <row r="74" spans="1:31" ht="17.25" hidden="1" customHeight="1" outlineLevel="1">
      <c r="C74" s="1570" t="s">
        <v>312</v>
      </c>
      <c r="D74" s="1570"/>
      <c r="E74" s="137">
        <v>54</v>
      </c>
      <c r="F74" s="137">
        <v>55</v>
      </c>
      <c r="G74" s="137">
        <v>55.5</v>
      </c>
      <c r="H74" s="137">
        <v>56</v>
      </c>
      <c r="I74" s="137">
        <v>56.5</v>
      </c>
      <c r="J74" s="137">
        <v>57</v>
      </c>
      <c r="K74" s="137">
        <v>57.5</v>
      </c>
      <c r="L74" s="137">
        <v>58</v>
      </c>
      <c r="M74" s="137">
        <v>58.5</v>
      </c>
      <c r="N74" s="137">
        <v>59</v>
      </c>
      <c r="O74" s="137">
        <v>59.5</v>
      </c>
      <c r="P74" s="137">
        <v>60</v>
      </c>
      <c r="Q74" s="137">
        <v>61</v>
      </c>
      <c r="S74" s="12"/>
      <c r="T74" s="12"/>
      <c r="U74" s="12"/>
      <c r="V74" s="12"/>
      <c r="W74" s="12"/>
      <c r="X74" s="12"/>
      <c r="AC74" s="3" t="s">
        <v>603</v>
      </c>
      <c r="AD74" s="5">
        <f>I58</f>
        <v>54.905583333333318</v>
      </c>
    </row>
    <row r="75" spans="1:31" ht="17.25" hidden="1" customHeight="1" outlineLevel="1">
      <c r="C75" s="1570" t="s">
        <v>475</v>
      </c>
      <c r="D75" s="1570"/>
      <c r="E75" s="140" t="s">
        <v>313</v>
      </c>
      <c r="F75" s="140" t="s">
        <v>321</v>
      </c>
      <c r="G75" s="140" t="s">
        <v>322</v>
      </c>
      <c r="H75" s="140" t="s">
        <v>323</v>
      </c>
      <c r="I75" s="140" t="s">
        <v>324</v>
      </c>
      <c r="J75" s="140" t="s">
        <v>325</v>
      </c>
      <c r="K75" s="140" t="s">
        <v>326</v>
      </c>
      <c r="L75" s="140" t="s">
        <v>327</v>
      </c>
      <c r="M75" s="140" t="s">
        <v>328</v>
      </c>
      <c r="N75" s="140" t="s">
        <v>319</v>
      </c>
      <c r="O75" s="140" t="s">
        <v>329</v>
      </c>
      <c r="P75" s="140" t="s">
        <v>330</v>
      </c>
      <c r="Q75" s="140" t="s">
        <v>314</v>
      </c>
      <c r="S75" s="12"/>
      <c r="T75" s="12"/>
      <c r="U75" s="12"/>
      <c r="V75" s="12"/>
      <c r="W75" s="12"/>
      <c r="X75" s="12"/>
      <c r="AC75" s="224" t="s">
        <v>604</v>
      </c>
      <c r="AD75" s="224">
        <f>MATCH(AD74,E74:Q74,1)</f>
        <v>1</v>
      </c>
    </row>
    <row r="76" spans="1:31" ht="17.25" hidden="1" customHeight="1" outlineLevel="1">
      <c r="C76" s="1570" t="s">
        <v>476</v>
      </c>
      <c r="D76" s="1570"/>
      <c r="E76" s="137">
        <f>angleConvert2Decimal(E75)</f>
        <v>0.49</v>
      </c>
      <c r="F76" s="137">
        <f>angleConvert2Decimal(F75)</f>
        <v>0.5</v>
      </c>
      <c r="G76" s="137">
        <f>angleConvert2Decimal(G75)</f>
        <v>0.505</v>
      </c>
      <c r="H76" s="137">
        <f>angleConvert2Decimal(H75)</f>
        <v>0.51</v>
      </c>
      <c r="I76" s="137">
        <f>angleConvert2Decimal(I75)</f>
        <v>0.51333333333333331</v>
      </c>
      <c r="J76" s="137">
        <f t="shared" ref="J76:Q76" si="0">angleConvert2Decimal(J75)</f>
        <v>0.51833333333333331</v>
      </c>
      <c r="K76" s="137">
        <f t="shared" si="0"/>
        <v>0.52333333333333332</v>
      </c>
      <c r="L76" s="137">
        <f t="shared" si="0"/>
        <v>0.52833333333333332</v>
      </c>
      <c r="M76" s="137">
        <f t="shared" si="0"/>
        <v>0.53333333333333333</v>
      </c>
      <c r="N76" s="137">
        <f t="shared" si="0"/>
        <v>0.53666666666666674</v>
      </c>
      <c r="O76" s="137">
        <f t="shared" si="0"/>
        <v>0.54166666666666663</v>
      </c>
      <c r="P76" s="137">
        <f t="shared" si="0"/>
        <v>0.54666666666666663</v>
      </c>
      <c r="Q76" s="137">
        <f t="shared" si="0"/>
        <v>0.55499999999999994</v>
      </c>
      <c r="S76" s="12"/>
      <c r="T76" s="12"/>
      <c r="U76" s="12"/>
      <c r="V76" s="12"/>
      <c r="W76" s="12"/>
      <c r="X76" s="12"/>
      <c r="AD76" s="306" t="s">
        <v>312</v>
      </c>
      <c r="AE76" s="306" t="s">
        <v>610</v>
      </c>
    </row>
    <row r="77" spans="1:31" ht="17.25" hidden="1" customHeight="1" outlineLevel="1">
      <c r="C77" s="1570" t="s">
        <v>71</v>
      </c>
      <c r="D77" s="1570"/>
      <c r="E77" s="223" t="str" cm="1">
        <f t="array" ref="E77">angleDecimal2Txt(E76/2,0)</f>
        <v>+00°14.69</v>
      </c>
      <c r="F77" s="223" t="str" cm="1">
        <f t="array" ref="F77">angleDecimal2Txt(F76/2,0)</f>
        <v>+00°15.00</v>
      </c>
      <c r="G77" s="223" t="str" cm="1">
        <f t="array" ref="G77">angleDecimal2Txt(G76/2,0)</f>
        <v>+00°15.15</v>
      </c>
      <c r="H77" s="223" t="str" cm="1">
        <f t="array" ref="H77">angleDecimal2Txt(H76/2,0)</f>
        <v>+00°15.30</v>
      </c>
      <c r="I77" s="223" t="str" cm="1">
        <f t="array" ref="I77">angleDecimal2Txt(I76/2,0)</f>
        <v>+00°15.40</v>
      </c>
      <c r="J77" s="223" t="str" cm="1">
        <f t="array" ref="J77">angleDecimal2Txt(J76/2,0)</f>
        <v>+00°15.55</v>
      </c>
      <c r="K77" s="223" t="str" cm="1">
        <f t="array" ref="K77">angleDecimal2Txt(K76/2,0)</f>
        <v>+00°15.69</v>
      </c>
      <c r="L77" s="223" t="str" cm="1">
        <f t="array" ref="L77">angleDecimal2Txt(L76/2,0)</f>
        <v>+00°15.84</v>
      </c>
      <c r="M77" s="223" t="str" cm="1">
        <f t="array" ref="M77">angleDecimal2Txt(M76/2,0)</f>
        <v>+00°16.00</v>
      </c>
      <c r="N77" s="223" t="str" cm="1">
        <f t="array" ref="N77">angleDecimal2Txt(N76/2,0)</f>
        <v>+00°16.10</v>
      </c>
      <c r="O77" s="223" t="str" cm="1">
        <f t="array" ref="O77">angleDecimal2Txt(O76/2,0)</f>
        <v>+00°16.24</v>
      </c>
      <c r="P77" s="223" t="str" cm="1">
        <f t="array" ref="P77">angleDecimal2Txt(P76/2,0)</f>
        <v>+00°16.39</v>
      </c>
      <c r="Q77" s="223" t="str" cm="1">
        <f t="array" ref="Q77">angleDecimal2Txt(Q76/2,0)</f>
        <v>+00°16.64</v>
      </c>
      <c r="S77" s="12"/>
      <c r="T77" s="12"/>
      <c r="U77" s="12"/>
      <c r="V77" s="12"/>
      <c r="W77" s="12"/>
      <c r="X77" s="12"/>
      <c r="AC77" s="224" t="s">
        <v>606</v>
      </c>
      <c r="AD77" s="224" cm="1">
        <f t="array" ref="AD77">INDEX(E74:Q74,1,AD75)</f>
        <v>54</v>
      </c>
      <c r="AE77" s="224" cm="1">
        <f t="array" ref="AE77">INDEX(E76:Q76,1,AD75)</f>
        <v>0.49</v>
      </c>
    </row>
    <row r="78" spans="1:31" ht="17.25" hidden="1" customHeight="1" outlineLevel="1">
      <c r="S78" s="12"/>
      <c r="T78" s="12"/>
      <c r="U78" s="12"/>
      <c r="V78" s="12"/>
      <c r="W78" s="12"/>
      <c r="X78" s="12"/>
      <c r="AC78" s="224" t="s">
        <v>605</v>
      </c>
      <c r="AD78" s="224" cm="1">
        <f t="array" ref="AD78">INDEX(E74:Q74,1,1+AD75)</f>
        <v>55</v>
      </c>
      <c r="AE78" s="224" cm="1">
        <f t="array" ref="AE78">INDEX(E76:Q76,1,1+AD75)</f>
        <v>0.5</v>
      </c>
    </row>
    <row r="79" spans="1:31" ht="17.25" hidden="1" customHeight="1" outlineLevel="1">
      <c r="D79" s="634" t="s">
        <v>100</v>
      </c>
      <c r="E79" s="634"/>
      <c r="F79" s="634"/>
      <c r="G79" s="634"/>
      <c r="H79" s="634"/>
      <c r="I79" s="1554" t="s">
        <v>609</v>
      </c>
      <c r="J79" s="579"/>
      <c r="K79" s="1555" t="s">
        <v>602</v>
      </c>
      <c r="L79" s="929"/>
      <c r="M79" s="929"/>
      <c r="N79" s="929" t="s">
        <v>100</v>
      </c>
      <c r="O79" s="929"/>
      <c r="P79" s="929"/>
      <c r="Q79" s="929"/>
      <c r="R79" s="929"/>
      <c r="S79" s="12"/>
      <c r="X79" s="12"/>
      <c r="AC79" s="224" t="s">
        <v>607</v>
      </c>
      <c r="AD79" s="224">
        <f>(AE78-AE77)/(AD78-AD77)</f>
        <v>1.0000000000000009E-2</v>
      </c>
    </row>
    <row r="80" spans="1:31" ht="17.25" hidden="1" customHeight="1" outlineLevel="1" thickBot="1">
      <c r="D80" s="634"/>
      <c r="E80" s="634"/>
      <c r="F80" s="634"/>
      <c r="G80" s="634"/>
      <c r="H80" s="634"/>
      <c r="I80" s="580"/>
      <c r="J80" s="582"/>
      <c r="K80" s="929"/>
      <c r="L80" s="929"/>
      <c r="M80" s="929"/>
      <c r="N80" s="929"/>
      <c r="O80" s="929"/>
      <c r="P80" s="929"/>
      <c r="Q80" s="929"/>
      <c r="R80" s="929"/>
      <c r="S80" s="12"/>
      <c r="X80" s="12"/>
      <c r="AC80" s="224" t="s">
        <v>608</v>
      </c>
      <c r="AD80" s="224">
        <f>AE77+(AD74-AD77)*AD79</f>
        <v>0.4990558333333332</v>
      </c>
    </row>
    <row r="81" spans="1:32" ht="17.25" hidden="1" customHeight="1" outlineLevel="1" thickTop="1" thickBot="1">
      <c r="D81" s="596">
        <f>AD80</f>
        <v>0.4990558333333332</v>
      </c>
      <c r="E81" s="596"/>
      <c r="F81" s="596"/>
      <c r="G81" s="596"/>
      <c r="H81" s="596"/>
      <c r="I81" s="704">
        <f>I58</f>
        <v>54.905583333333318</v>
      </c>
      <c r="J81" s="705"/>
      <c r="K81" s="1558">
        <f>AD77</f>
        <v>54</v>
      </c>
      <c r="L81" s="1558"/>
      <c r="M81" s="1558"/>
      <c r="N81" s="1564">
        <f>AE77</f>
        <v>0.49</v>
      </c>
      <c r="O81" s="1565"/>
      <c r="P81" s="1565"/>
      <c r="Q81" s="1565"/>
      <c r="R81" s="1566"/>
      <c r="S81" s="868" t="str" cm="1">
        <f t="array" ref="S81">angleDecimal2Txt(AE81)</f>
        <v>+00°00.00 (+00.0000) [+00°00'00.00]</v>
      </c>
      <c r="T81" s="592"/>
      <c r="U81" s="592"/>
      <c r="V81" s="592"/>
      <c r="W81" s="592"/>
      <c r="X81" s="12"/>
    </row>
    <row r="82" spans="1:32" ht="17.25" hidden="1" customHeight="1" outlineLevel="1" thickTop="1" thickBot="1">
      <c r="D82" s="596"/>
      <c r="E82" s="596"/>
      <c r="F82" s="596"/>
      <c r="G82" s="596"/>
      <c r="H82" s="596"/>
      <c r="I82" s="809"/>
      <c r="J82" s="925"/>
      <c r="K82" s="1558"/>
      <c r="L82" s="1558"/>
      <c r="M82" s="1558"/>
      <c r="N82" s="1567"/>
      <c r="O82" s="1568"/>
      <c r="P82" s="1568"/>
      <c r="Q82" s="1568"/>
      <c r="R82" s="1569"/>
      <c r="S82" s="1655"/>
      <c r="T82" s="592"/>
      <c r="U82" s="592"/>
      <c r="V82" s="592"/>
      <c r="W82" s="592"/>
      <c r="X82" s="12"/>
    </row>
    <row r="83" spans="1:32" ht="17.25" hidden="1" customHeight="1" outlineLevel="1" thickTop="1" thickBot="1">
      <c r="D83" s="596"/>
      <c r="E83" s="596"/>
      <c r="F83" s="596"/>
      <c r="G83" s="596"/>
      <c r="H83" s="596"/>
      <c r="I83" s="809"/>
      <c r="J83" s="925"/>
      <c r="K83" s="1558">
        <f>AD78</f>
        <v>55</v>
      </c>
      <c r="L83" s="1558"/>
      <c r="M83" s="1558"/>
      <c r="N83" s="1564">
        <f>AE78</f>
        <v>0.5</v>
      </c>
      <c r="O83" s="1565"/>
      <c r="P83" s="1565"/>
      <c r="Q83" s="1565"/>
      <c r="R83" s="1566"/>
      <c r="S83" s="868" t="str" cm="1">
        <f t="array" ref="S83">angleDecimal2Txt((AE82))</f>
        <v>+00°00.00 (+00.0000) [+00°00'00.00]</v>
      </c>
      <c r="T83" s="592"/>
      <c r="U83" s="592"/>
      <c r="V83" s="592"/>
      <c r="W83" s="592"/>
      <c r="X83" s="12"/>
    </row>
    <row r="84" spans="1:32" ht="17.25" hidden="1" customHeight="1" outlineLevel="1" thickTop="1" thickBot="1">
      <c r="D84" s="1656" t="str" cm="1">
        <f t="array" ref="D84">angleDecimal2Txt(D81)</f>
        <v>+00°29.94 (+00.4990) [+00°29'56.60]</v>
      </c>
      <c r="E84" s="1656"/>
      <c r="F84" s="1656"/>
      <c r="G84" s="1656"/>
      <c r="H84" s="1656"/>
      <c r="I84" s="706"/>
      <c r="J84" s="707"/>
      <c r="K84" s="1558"/>
      <c r="L84" s="1558"/>
      <c r="M84" s="1558"/>
      <c r="N84" s="1567"/>
      <c r="O84" s="1568"/>
      <c r="P84" s="1568"/>
      <c r="Q84" s="1568"/>
      <c r="R84" s="1569"/>
      <c r="S84" s="1655"/>
      <c r="T84" s="592"/>
      <c r="U84" s="592"/>
      <c r="V84" s="592"/>
      <c r="W84" s="592"/>
      <c r="X84" s="12"/>
    </row>
    <row r="85" spans="1:32" ht="17.25" hidden="1" customHeight="1" outlineLevel="1" thickTop="1">
      <c r="S85" s="12"/>
      <c r="T85" s="12"/>
      <c r="U85" s="12"/>
      <c r="V85" s="12"/>
      <c r="W85" s="12"/>
      <c r="X85" s="12"/>
    </row>
    <row r="86" spans="1:32" ht="17.25" customHeight="1" collapsed="1" thickBot="1">
      <c r="S86" s="12"/>
      <c r="T86" s="12"/>
      <c r="U86" s="12"/>
      <c r="V86" s="12"/>
      <c r="W86" s="12"/>
      <c r="X86" s="12"/>
    </row>
    <row r="87" spans="1:32" ht="17.25" customHeight="1" thickBot="1">
      <c r="A87" s="31"/>
      <c r="B87" s="23" t="s">
        <v>376</v>
      </c>
      <c r="C87" s="73"/>
      <c r="D87" s="73"/>
      <c r="E87" s="73"/>
      <c r="F87" s="603">
        <f>IF(G88=AD88,D91,IF(G88=AD87,D104,D98))</f>
        <v>180.03333333333333</v>
      </c>
      <c r="G87" s="612"/>
      <c r="H87" s="612"/>
      <c r="I87" s="24"/>
      <c r="J87" s="24"/>
      <c r="K87" s="24"/>
      <c r="L87" s="1652">
        <f>F87-360</f>
        <v>-179.96666666666667</v>
      </c>
      <c r="M87" s="1652"/>
      <c r="N87" s="24" t="s">
        <v>28</v>
      </c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62"/>
      <c r="AD87" s="66" t="s">
        <v>512</v>
      </c>
    </row>
    <row r="88" spans="1:32" ht="17.25" customHeight="1">
      <c r="B88" s="31"/>
      <c r="C88" s="675" t="s">
        <v>35</v>
      </c>
      <c r="D88" s="675"/>
      <c r="E88" s="675"/>
      <c r="F88" s="675"/>
      <c r="G88" s="1650" t="s">
        <v>14</v>
      </c>
      <c r="H88" s="1650"/>
      <c r="I88" s="165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63"/>
      <c r="AC88" s="1330" t="s">
        <v>36</v>
      </c>
      <c r="AD88" s="66" t="s">
        <v>10</v>
      </c>
    </row>
    <row r="89" spans="1:32" ht="17.25" customHeight="1" outlineLevel="1">
      <c r="C89" s="1331" t="s">
        <v>10</v>
      </c>
      <c r="D89" s="666" t="s">
        <v>406</v>
      </c>
      <c r="E89" s="927"/>
      <c r="F89" s="927"/>
      <c r="G89" s="927"/>
      <c r="H89" s="927"/>
      <c r="I89" s="578" t="s">
        <v>575</v>
      </c>
      <c r="J89" s="665"/>
      <c r="K89" s="577" t="s">
        <v>13</v>
      </c>
      <c r="L89" s="578"/>
      <c r="M89" s="579"/>
      <c r="N89" s="652" t="s">
        <v>15</v>
      </c>
      <c r="O89" s="653"/>
      <c r="P89" s="653"/>
      <c r="Q89" s="653"/>
      <c r="R89" s="654"/>
      <c r="S89" s="12"/>
      <c r="AC89" s="1330"/>
      <c r="AD89" s="66" t="s">
        <v>14</v>
      </c>
    </row>
    <row r="90" spans="1:32" ht="17.25" customHeight="1" outlineLevel="1" thickBot="1">
      <c r="C90" s="1331"/>
      <c r="D90" s="668"/>
      <c r="E90" s="677"/>
      <c r="F90" s="677"/>
      <c r="G90" s="677"/>
      <c r="H90" s="677"/>
      <c r="I90" s="677"/>
      <c r="J90" s="669"/>
      <c r="K90" s="580"/>
      <c r="L90" s="581"/>
      <c r="M90" s="582"/>
      <c r="N90" s="794"/>
      <c r="O90" s="656"/>
      <c r="P90" s="656"/>
      <c r="Q90" s="656"/>
      <c r="R90" s="657"/>
      <c r="S90" s="12"/>
      <c r="AD90" s="69" t="s">
        <v>73</v>
      </c>
      <c r="AE90" s="3" t="s">
        <v>578</v>
      </c>
      <c r="AF90" s="3" t="s">
        <v>180</v>
      </c>
    </row>
    <row r="91" spans="1:32" ht="17.25" customHeight="1" outlineLevel="1" thickTop="1" thickBot="1">
      <c r="C91" s="1331"/>
      <c r="D91" s="625" t="str">
        <f>IF(G88=AD88,AF96,"---")</f>
        <v>---</v>
      </c>
      <c r="E91" s="626"/>
      <c r="F91" s="626"/>
      <c r="G91" s="626"/>
      <c r="H91" s="627"/>
      <c r="I91" s="704">
        <f>E39</f>
        <v>0</v>
      </c>
      <c r="J91" s="705"/>
      <c r="K91" s="1564">
        <v>10</v>
      </c>
      <c r="L91" s="1565"/>
      <c r="M91" s="1566"/>
      <c r="N91" s="586" t="s">
        <v>5</v>
      </c>
      <c r="O91" s="1574" t="s">
        <v>499</v>
      </c>
      <c r="P91" s="1574"/>
      <c r="Q91" s="1574"/>
      <c r="R91" s="1575"/>
      <c r="S91" s="590" t="str" cm="1">
        <f t="array" ref="S91">angleDecimal2Txt(AF91)</f>
        <v>+329°03.89 (+329.0649) [+329°03'54.00]</v>
      </c>
      <c r="T91" s="590"/>
      <c r="U91" s="590"/>
      <c r="V91" s="590"/>
      <c r="W91" s="590"/>
      <c r="X91" s="590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1331"/>
      <c r="D92" s="628"/>
      <c r="E92" s="629"/>
      <c r="F92" s="629"/>
      <c r="G92" s="629"/>
      <c r="H92" s="630"/>
      <c r="I92" s="809"/>
      <c r="J92" s="925"/>
      <c r="K92" s="1571"/>
      <c r="L92" s="1572"/>
      <c r="M92" s="1573"/>
      <c r="N92" s="586"/>
      <c r="O92" s="1562"/>
      <c r="P92" s="1562"/>
      <c r="Q92" s="1562"/>
      <c r="R92" s="1563"/>
      <c r="S92" s="590"/>
      <c r="T92" s="590"/>
      <c r="U92" s="590"/>
      <c r="V92" s="590"/>
      <c r="W92" s="590"/>
      <c r="X92" s="590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1331"/>
      <c r="D93" s="628"/>
      <c r="E93" s="629"/>
      <c r="F93" s="629"/>
      <c r="G93" s="629"/>
      <c r="H93" s="630"/>
      <c r="I93" s="809"/>
      <c r="J93" s="925"/>
      <c r="K93" s="1595">
        <v>11</v>
      </c>
      <c r="L93" s="1596"/>
      <c r="M93" s="1597"/>
      <c r="N93" s="586" t="s">
        <v>5</v>
      </c>
      <c r="O93" s="1560" t="s">
        <v>500</v>
      </c>
      <c r="P93" s="1560"/>
      <c r="Q93" s="1560"/>
      <c r="R93" s="1561"/>
      <c r="S93" s="590" t="str" cm="1">
        <f t="array" ref="S93">angleDecimal2Txt((AF92))</f>
        <v>+344°03.79 (+344.0633) [+344°03'48.00]</v>
      </c>
      <c r="T93" s="590"/>
      <c r="U93" s="590"/>
      <c r="V93" s="590"/>
      <c r="W93" s="590"/>
      <c r="X93" s="590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1331"/>
      <c r="D94" s="565" t="e" cm="1">
        <f t="array" ref="D94">angleDecimal2Txt(D91)</f>
        <v>#VALUE!</v>
      </c>
      <c r="E94" s="565"/>
      <c r="F94" s="565"/>
      <c r="G94" s="565"/>
      <c r="H94" s="565"/>
      <c r="I94" s="706"/>
      <c r="J94" s="707"/>
      <c r="K94" s="1571"/>
      <c r="L94" s="1572"/>
      <c r="M94" s="1573"/>
      <c r="N94" s="586"/>
      <c r="O94" s="1562"/>
      <c r="P94" s="1562"/>
      <c r="Q94" s="1562"/>
      <c r="R94" s="1563"/>
      <c r="S94" s="590"/>
      <c r="T94" s="590"/>
      <c r="U94" s="590"/>
      <c r="V94" s="590"/>
      <c r="W94" s="590"/>
      <c r="X94" s="590"/>
      <c r="Z94"/>
      <c r="AC94" s="3" t="s">
        <v>174</v>
      </c>
      <c r="AD94" s="5">
        <f>K93-K91</f>
        <v>1</v>
      </c>
      <c r="AE94" s="14"/>
    </row>
    <row r="95" spans="1:32" ht="17.25" customHeight="1" thickTop="1">
      <c r="F95" s="14"/>
      <c r="G95" s="14"/>
      <c r="Z95"/>
      <c r="AC95" s="3" t="s">
        <v>39</v>
      </c>
      <c r="AD95" s="5">
        <f>I91-K91</f>
        <v>-10</v>
      </c>
    </row>
    <row r="96" spans="1:32" ht="17.25" customHeight="1" outlineLevel="1">
      <c r="C96" s="1559" t="s">
        <v>14</v>
      </c>
      <c r="D96" s="634" t="s">
        <v>406</v>
      </c>
      <c r="E96" s="634"/>
      <c r="F96" s="634"/>
      <c r="G96" s="634"/>
      <c r="H96" s="634"/>
      <c r="I96" s="929" t="s">
        <v>575</v>
      </c>
      <c r="J96" s="634"/>
      <c r="K96" s="578" t="s">
        <v>569</v>
      </c>
      <c r="L96" s="578"/>
      <c r="M96" s="579"/>
      <c r="N96" s="652" t="s">
        <v>16</v>
      </c>
      <c r="O96" s="653"/>
      <c r="P96" s="653"/>
      <c r="Q96" s="653"/>
      <c r="R96" s="654"/>
      <c r="S96" s="652" t="s">
        <v>94</v>
      </c>
      <c r="T96" s="653"/>
      <c r="U96" s="653"/>
      <c r="V96" s="653"/>
      <c r="W96" s="654"/>
      <c r="Z96"/>
      <c r="AA96" s="12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1559"/>
      <c r="D97" s="634"/>
      <c r="E97" s="634"/>
      <c r="F97" s="634"/>
      <c r="G97" s="634"/>
      <c r="H97" s="634"/>
      <c r="I97" s="634"/>
      <c r="J97" s="634"/>
      <c r="K97" s="581"/>
      <c r="L97" s="581"/>
      <c r="M97" s="582"/>
      <c r="N97" s="794"/>
      <c r="O97" s="656"/>
      <c r="P97" s="656"/>
      <c r="Q97" s="656"/>
      <c r="R97" s="657"/>
      <c r="S97" s="794"/>
      <c r="T97" s="837"/>
      <c r="U97" s="837"/>
      <c r="V97" s="837"/>
      <c r="W97" s="838"/>
      <c r="Z97"/>
      <c r="AA97" s="12"/>
    </row>
    <row r="98" spans="1:66" ht="17.25" customHeight="1" outlineLevel="1">
      <c r="C98" s="1559"/>
      <c r="D98" s="596">
        <f>IF(G88=AD89,AF102,"---")</f>
        <v>180.03333333333333</v>
      </c>
      <c r="E98" s="596"/>
      <c r="F98" s="596"/>
      <c r="G98" s="596"/>
      <c r="H98" s="596"/>
      <c r="I98" s="586">
        <f>E39</f>
        <v>0</v>
      </c>
      <c r="J98" s="586"/>
      <c r="K98" s="1565">
        <v>0</v>
      </c>
      <c r="L98" s="1565"/>
      <c r="M98" s="1566"/>
      <c r="N98" s="586" t="s">
        <v>5</v>
      </c>
      <c r="O98" s="1581" t="s">
        <v>570</v>
      </c>
      <c r="P98" s="1581"/>
      <c r="Q98" s="1581"/>
      <c r="R98" s="1581"/>
      <c r="S98" s="586" t="s">
        <v>5</v>
      </c>
      <c r="T98" s="721">
        <v>14.997999999999999</v>
      </c>
      <c r="U98" s="586"/>
      <c r="V98" s="586"/>
      <c r="W98" s="586"/>
      <c r="AA98" s="12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1559"/>
      <c r="D99" s="596"/>
      <c r="E99" s="596"/>
      <c r="F99" s="596"/>
      <c r="G99" s="596"/>
      <c r="H99" s="596"/>
      <c r="I99" s="586"/>
      <c r="J99" s="586"/>
      <c r="K99" s="1572"/>
      <c r="L99" s="1572"/>
      <c r="M99" s="1573"/>
      <c r="N99" s="586"/>
      <c r="O99" s="1589"/>
      <c r="P99" s="1589"/>
      <c r="Q99" s="1589"/>
      <c r="R99" s="1589"/>
      <c r="S99" s="586"/>
      <c r="T99" s="586"/>
      <c r="U99" s="586"/>
      <c r="V99" s="586"/>
      <c r="W99" s="586"/>
      <c r="Z99" s="12"/>
      <c r="AA99" s="12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1559"/>
      <c r="D100" s="565" t="str" cm="1">
        <f t="array" ref="D100">angleDecimal2Txt(D98)</f>
        <v>+180°02.00 (+180.0333) [+180°02'00.00]</v>
      </c>
      <c r="E100" s="565"/>
      <c r="F100" s="565"/>
      <c r="G100" s="565"/>
      <c r="H100" s="565"/>
      <c r="I100" s="586"/>
      <c r="J100" s="586"/>
      <c r="K100" s="635" t="str" cm="1">
        <f t="array" ref="K100">heureDecimal2Txt(K98)</f>
        <v>00:00:00.00(00.0000)</v>
      </c>
      <c r="L100" s="635"/>
      <c r="M100" s="636"/>
      <c r="N100" s="593" t="str" cm="1">
        <f t="array" ref="N100">angleDecimal2Txt(AD99)</f>
        <v>+180°02.00 (+180.0333) [+180°02'00.00]</v>
      </c>
      <c r="O100" s="567"/>
      <c r="P100" s="567"/>
      <c r="Q100" s="567"/>
      <c r="R100" s="567"/>
      <c r="S100" s="593" t="str" cm="1">
        <f t="array" ref="S100">angleDecimal2Txt(AD101)</f>
        <v>+14°59.87 (+14.9979) [+14°59'52.79]</v>
      </c>
      <c r="T100" s="792"/>
      <c r="U100" s="792"/>
      <c r="V100" s="792"/>
      <c r="W100" s="792"/>
      <c r="Z100" s="12"/>
      <c r="AC100" s="3" t="s">
        <v>177</v>
      </c>
      <c r="AD100" s="3">
        <f>VLOOKUP(S98,Outils!$D$9:$E$10,2)</f>
        <v>1</v>
      </c>
    </row>
    <row r="101" spans="1:66" ht="17.25" customHeight="1" thickTop="1">
      <c r="A101" s="32" t="s">
        <v>495</v>
      </c>
      <c r="F101" s="14"/>
      <c r="G101" s="14"/>
      <c r="Z101" s="12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1445" t="s">
        <v>576</v>
      </c>
      <c r="D102" s="634" t="s">
        <v>406</v>
      </c>
      <c r="E102" s="634"/>
      <c r="F102" s="634"/>
      <c r="G102" s="634"/>
      <c r="H102" s="634"/>
      <c r="I102" s="583" t="s">
        <v>514</v>
      </c>
      <c r="J102" s="583"/>
      <c r="K102" s="583"/>
      <c r="L102" s="583"/>
      <c r="M102" s="583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1445"/>
      <c r="D103" s="634"/>
      <c r="E103" s="634"/>
      <c r="F103" s="634"/>
      <c r="G103" s="634"/>
      <c r="H103" s="634"/>
      <c r="I103" s="583"/>
      <c r="J103" s="583"/>
      <c r="K103" s="583"/>
      <c r="L103" s="583"/>
      <c r="M103" s="583"/>
      <c r="S103" s="12"/>
      <c r="T103" s="12"/>
      <c r="U103" s="12"/>
      <c r="V103" s="12"/>
      <c r="W103" s="12"/>
      <c r="X103" s="12"/>
      <c r="AC103" s="3"/>
      <c r="AD103" s="3"/>
    </row>
    <row r="104" spans="1:66" ht="17.25" customHeight="1" outlineLevel="1">
      <c r="C104" s="1445"/>
      <c r="D104" s="596" t="str">
        <f>IF(G88=AD87,AD105,"---")</f>
        <v>---</v>
      </c>
      <c r="E104" s="596"/>
      <c r="F104" s="596"/>
      <c r="G104" s="596"/>
      <c r="H104" s="596"/>
      <c r="I104" s="586" t="s">
        <v>5</v>
      </c>
      <c r="J104" s="1558" t="s">
        <v>573</v>
      </c>
      <c r="K104" s="1558"/>
      <c r="L104" s="1558"/>
      <c r="M104" s="1558"/>
      <c r="S104" s="12"/>
      <c r="T104" s="12"/>
      <c r="U104" s="12"/>
      <c r="V104" s="12"/>
      <c r="W104" s="12"/>
      <c r="X104" s="12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1445"/>
      <c r="D105" s="596"/>
      <c r="E105" s="596"/>
      <c r="F105" s="596"/>
      <c r="G105" s="596"/>
      <c r="H105" s="596"/>
      <c r="I105" s="586"/>
      <c r="J105" s="1558"/>
      <c r="K105" s="1558"/>
      <c r="L105" s="1558"/>
      <c r="M105" s="1558"/>
      <c r="S105" s="12"/>
      <c r="T105" s="12"/>
      <c r="U105" s="12"/>
      <c r="V105" s="12"/>
      <c r="W105" s="12"/>
      <c r="X105" s="12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1445"/>
      <c r="D106" s="565" t="str" cm="1">
        <f t="array" ref="D106">angleDecimal2Txt(AD105)</f>
        <v>+306°17.88 (+306.2981) [+306°17'53.39]</v>
      </c>
      <c r="E106" s="565"/>
      <c r="F106" s="565"/>
      <c r="G106" s="565"/>
      <c r="H106" s="565"/>
      <c r="I106"/>
      <c r="J106"/>
      <c r="K106"/>
      <c r="L106"/>
      <c r="M106"/>
      <c r="S106" s="12"/>
      <c r="T106" s="12"/>
      <c r="U106" s="12"/>
      <c r="V106" s="12"/>
      <c r="W106" s="12"/>
      <c r="X106" s="12"/>
      <c r="AC106" s="3"/>
      <c r="AD106" s="3"/>
    </row>
    <row r="107" spans="1:66" ht="17.25" customHeight="1" thickTop="1" thickBot="1">
      <c r="C107"/>
      <c r="D107"/>
      <c r="E107"/>
      <c r="F107" s="14"/>
      <c r="G107" s="14"/>
      <c r="I107"/>
      <c r="J107"/>
      <c r="K107"/>
      <c r="L107"/>
      <c r="M107"/>
      <c r="S107" s="12"/>
      <c r="T107" s="12"/>
      <c r="U107" s="12"/>
      <c r="V107" s="12"/>
      <c r="W107" s="12"/>
      <c r="X107" s="12"/>
    </row>
    <row r="108" spans="1:66" s="12" customFormat="1" ht="17.25" customHeight="1" thickBot="1">
      <c r="A108" s="14"/>
      <c r="B108" s="23" t="s">
        <v>43</v>
      </c>
      <c r="C108" s="73"/>
      <c r="D108" s="73"/>
      <c r="E108" s="73"/>
      <c r="F108" s="603">
        <f>I109</f>
        <v>243.03333333333333</v>
      </c>
      <c r="G108" s="603"/>
      <c r="H108" s="603"/>
      <c r="I108" s="24"/>
      <c r="J108" s="793" t="s">
        <v>55</v>
      </c>
      <c r="K108" s="793"/>
      <c r="L108" s="793"/>
      <c r="M108" s="576" t="str">
        <f>J23</f>
        <v>BordInf</v>
      </c>
      <c r="N108" s="576"/>
      <c r="O108" s="576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62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9"/>
    </row>
    <row r="109" spans="1:66" ht="17.25" customHeight="1" thickTop="1" thickBot="1">
      <c r="C109" s="790" t="s">
        <v>21</v>
      </c>
      <c r="D109" s="790"/>
      <c r="E109" s="790"/>
      <c r="F109" s="790"/>
      <c r="G109" s="790"/>
      <c r="H109" s="790"/>
      <c r="I109" s="844">
        <f>AD110</f>
        <v>243.03333333333333</v>
      </c>
      <c r="J109" s="844"/>
      <c r="K109" s="844"/>
      <c r="L109" s="845"/>
      <c r="M109" s="34" t="s">
        <v>45</v>
      </c>
      <c r="N109" s="555">
        <f>AD109</f>
        <v>243.03333333333333</v>
      </c>
      <c r="O109" s="555"/>
      <c r="P109" s="555"/>
      <c r="Q109" s="555"/>
      <c r="R109" s="708" t="str" cm="1">
        <f t="array" ref="R109">angleDecimal2Txt(AD110)</f>
        <v>+243°02.00 (+243.0333) [+243°02'00.00]</v>
      </c>
      <c r="S109" s="842"/>
      <c r="T109" s="842"/>
      <c r="U109" s="842"/>
      <c r="V109" s="842"/>
      <c r="W109" s="843"/>
      <c r="AC109" s="3" t="s">
        <v>181</v>
      </c>
      <c r="AD109" s="5">
        <f>F87+G34</f>
        <v>243.03333333333333</v>
      </c>
    </row>
    <row r="110" spans="1:66" ht="17.25" customHeight="1" thickTop="1" thickBot="1">
      <c r="A110" s="12"/>
      <c r="C110" s="12"/>
      <c r="D110" s="12"/>
      <c r="E110" s="12"/>
      <c r="F110" s="12"/>
      <c r="G110" s="12"/>
      <c r="H110" s="12"/>
      <c r="AB110" s="64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3" t="s">
        <v>23</v>
      </c>
      <c r="C111" s="24"/>
      <c r="D111" s="1440" t="s">
        <v>72</v>
      </c>
      <c r="E111" s="1441"/>
      <c r="F111" s="612">
        <f>IF(G112=AD112,O150,O140)</f>
        <v>19.87578743053388</v>
      </c>
      <c r="G111" s="612"/>
      <c r="H111" s="612"/>
      <c r="I111" s="24" t="str">
        <f>angleDecimal2Txt(F111,0)</f>
        <v>+19°52.54</v>
      </c>
      <c r="J111" s="24"/>
      <c r="K111" s="24"/>
      <c r="L111" s="24" t="s">
        <v>60</v>
      </c>
      <c r="M111" s="1440">
        <f>O114</f>
        <v>18.916666666666668</v>
      </c>
      <c r="N111" s="1440"/>
      <c r="O111" s="24"/>
      <c r="P111" s="58"/>
      <c r="Q111" s="24" t="s">
        <v>95</v>
      </c>
      <c r="R111" s="24"/>
      <c r="S111" s="855">
        <f>-O127+O122+O131</f>
        <v>1.0677207638672144</v>
      </c>
      <c r="T111" s="856"/>
      <c r="U111" s="857"/>
      <c r="V111" s="858" t="str" cm="1">
        <f t="array" ref="V111">angleDecimal2Txt(S111)</f>
        <v>+01°04.06 (+01.0677) [+01°04'03.79]</v>
      </c>
      <c r="W111" s="858"/>
      <c r="X111" s="858"/>
      <c r="Y111" s="858"/>
      <c r="Z111" s="858"/>
      <c r="AA111" s="24"/>
      <c r="AB111" s="62"/>
    </row>
    <row r="112" spans="1:66" ht="17.25" customHeight="1">
      <c r="C112" s="601" t="s">
        <v>35</v>
      </c>
      <c r="D112" s="601"/>
      <c r="E112" s="601"/>
      <c r="F112" s="601"/>
      <c r="G112" s="1578" t="s">
        <v>51</v>
      </c>
      <c r="H112" s="1578"/>
      <c r="I112" s="1578"/>
      <c r="P112" s="14" t="s">
        <v>69</v>
      </c>
      <c r="V112" s="12"/>
      <c r="W112" s="12"/>
      <c r="X112" s="12"/>
      <c r="Y112" s="12"/>
      <c r="Z112" s="12"/>
      <c r="AC112" s="1330" t="s">
        <v>36</v>
      </c>
      <c r="AD112" s="66" t="s">
        <v>50</v>
      </c>
    </row>
    <row r="113" spans="1:32" ht="17.25" customHeight="1" outlineLevel="1" thickBot="1">
      <c r="C113" s="31"/>
      <c r="D113" s="31"/>
      <c r="E113" s="31"/>
      <c r="F113" s="1385" t="s">
        <v>62</v>
      </c>
      <c r="G113" s="1385"/>
      <c r="H113" s="1436"/>
      <c r="I113" s="1436"/>
      <c r="J113" s="788">
        <f>IF(G112=AD112,"---",O140)</f>
        <v>19.87578743053388</v>
      </c>
      <c r="K113" s="788"/>
      <c r="L113" s="788"/>
      <c r="M113" s="95"/>
      <c r="N113" s="95"/>
      <c r="O113" s="95"/>
      <c r="P113" s="95"/>
      <c r="Q113" s="95"/>
      <c r="R113" s="95"/>
      <c r="S113" s="95"/>
      <c r="T113" s="95"/>
      <c r="U113" s="95"/>
      <c r="V113" s="96"/>
      <c r="W113" s="96"/>
      <c r="X113" s="96"/>
      <c r="Y113" s="96"/>
      <c r="Z113" s="96"/>
      <c r="AC113" s="1330"/>
      <c r="AD113" s="66" t="s">
        <v>51</v>
      </c>
    </row>
    <row r="114" spans="1:32" ht="17.25" customHeight="1" outlineLevel="1" thickTop="1" thickBot="1">
      <c r="C114" s="14"/>
      <c r="D114" s="14"/>
      <c r="E114" s="14"/>
      <c r="F114" s="14"/>
      <c r="G114" s="14"/>
      <c r="H114" s="1661" t="s">
        <v>47</v>
      </c>
      <c r="I114" s="1661"/>
      <c r="J114" s="1661"/>
      <c r="K114" s="1661"/>
      <c r="L114" s="1661"/>
      <c r="M114" s="1661"/>
      <c r="N114" s="1661"/>
      <c r="O114" s="688">
        <f>J21</f>
        <v>18.916666666666668</v>
      </c>
      <c r="P114" s="688"/>
      <c r="Q114" s="688"/>
      <c r="R114" s="688"/>
      <c r="S114" s="14" t="s">
        <v>54</v>
      </c>
      <c r="U114" s="567" t="str" cm="1">
        <f t="array" ref="U114">angleDecimal2Txt(O114)</f>
        <v>+18°55.00 (+18.9166) [+18°55'00.00]</v>
      </c>
      <c r="V114" s="567"/>
      <c r="W114" s="567"/>
      <c r="X114" s="567"/>
      <c r="Y114" s="567"/>
      <c r="Z114" s="567"/>
    </row>
    <row r="115" spans="1:32" ht="17.25" customHeight="1" outlineLevel="1" thickTop="1" thickBot="1">
      <c r="C115" s="14"/>
      <c r="D115" s="14"/>
      <c r="E115" s="14"/>
      <c r="F115" s="14"/>
      <c r="G115" s="14"/>
      <c r="H115" s="1661" t="s">
        <v>24</v>
      </c>
      <c r="I115" s="1661"/>
      <c r="J115" s="1661"/>
      <c r="K115" s="1661"/>
      <c r="L115" s="1661"/>
      <c r="M115" s="1661"/>
      <c r="N115" s="1661"/>
      <c r="O115" s="688">
        <f>J20</f>
        <v>0.05</v>
      </c>
      <c r="P115" s="688"/>
      <c r="Q115" s="688"/>
      <c r="R115" s="688"/>
      <c r="S115" s="14" t="s">
        <v>54</v>
      </c>
      <c r="U115" s="567" t="str" cm="1">
        <f t="array" ref="U115">angleDecimal2Txt(O115)</f>
        <v>+00°03.00 (+00.0500) [+00°03'00.00]</v>
      </c>
      <c r="V115" s="567"/>
      <c r="W115" s="567"/>
      <c r="X115" s="567"/>
      <c r="Y115" s="567"/>
      <c r="Z115" s="567"/>
      <c r="AC115" s="3" t="s">
        <v>59</v>
      </c>
      <c r="AD115" s="5">
        <f>O115</f>
        <v>0.05</v>
      </c>
    </row>
    <row r="116" spans="1:32" ht="17.25" customHeight="1" outlineLevel="1" thickTop="1" thickBot="1">
      <c r="G116" s="14"/>
      <c r="H116" s="1659" t="s">
        <v>68</v>
      </c>
      <c r="I116" s="1659"/>
      <c r="J116" s="1659"/>
      <c r="K116" s="1659"/>
      <c r="L116" s="1659"/>
      <c r="M116" s="1659"/>
      <c r="N116" s="1659"/>
      <c r="O116" s="595">
        <f>AD117</f>
        <v>5.8599999999999999E-2</v>
      </c>
      <c r="P116" s="595"/>
      <c r="Q116" s="595"/>
      <c r="R116" s="595"/>
      <c r="S116" s="14" t="s">
        <v>54</v>
      </c>
      <c r="U116" s="567" t="str" cm="1">
        <f t="array" ref="U116">angleDecimal2Txt(O116)</f>
        <v>+00°03.51 (+00.0586) [+00°03'30.96]</v>
      </c>
      <c r="V116" s="567"/>
      <c r="W116" s="567"/>
      <c r="X116" s="567"/>
      <c r="Y116" s="567"/>
      <c r="Z116" s="567"/>
      <c r="AC116" s="3" t="s">
        <v>46</v>
      </c>
      <c r="AD116" s="3">
        <f>M19</f>
        <v>4</v>
      </c>
    </row>
    <row r="117" spans="1:32" ht="17.25" customHeight="1" outlineLevel="1" thickTop="1" thickBot="1">
      <c r="K117" s="12"/>
      <c r="L117" s="12"/>
      <c r="M117" s="1434" t="s">
        <v>113</v>
      </c>
      <c r="N117" s="1434"/>
      <c r="O117" s="1434"/>
      <c r="P117" s="1434"/>
      <c r="Q117" s="12"/>
      <c r="R117" s="12"/>
      <c r="U117" s="12"/>
      <c r="V117" s="12"/>
      <c r="W117" s="12"/>
      <c r="X117" s="12"/>
      <c r="Y117" s="12"/>
      <c r="Z117" s="12"/>
      <c r="AC117" s="70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4"/>
      <c r="H118" s="1660" t="s">
        <v>48</v>
      </c>
      <c r="I118" s="1660"/>
      <c r="J118" s="1660"/>
      <c r="K118" s="1660"/>
      <c r="L118" s="1660"/>
      <c r="M118" s="1660"/>
      <c r="N118" s="1660"/>
      <c r="O118" s="597">
        <f>O114-O115-O116</f>
        <v>18.808066666666669</v>
      </c>
      <c r="P118" s="598"/>
      <c r="Q118" s="14" t="s">
        <v>54</v>
      </c>
      <c r="R118" s="859">
        <f>O118*Outils!F4</f>
        <v>0.32826268926792818</v>
      </c>
      <c r="S118" s="859"/>
      <c r="T118" s="35" t="s">
        <v>64</v>
      </c>
      <c r="U118" s="567" t="str" cm="1">
        <f t="array" ref="U118">angleDecimal2Txt(O118)</f>
        <v>+18°48.48 (+18.8080) [+18°48'29.04]</v>
      </c>
      <c r="V118" s="567"/>
      <c r="W118" s="567"/>
      <c r="X118" s="567"/>
      <c r="Y118" s="567"/>
      <c r="Z118" s="567"/>
    </row>
    <row r="119" spans="1:32" ht="17.25" customHeight="1" outlineLevel="1" thickTop="1">
      <c r="C119" s="14"/>
      <c r="D119" s="14"/>
      <c r="E119" s="14"/>
      <c r="F119" s="14"/>
      <c r="G119" s="14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U119" s="12"/>
      <c r="V119" s="12"/>
      <c r="W119" s="12"/>
      <c r="X119" s="12"/>
      <c r="Y119" s="12"/>
      <c r="Z119" s="12"/>
    </row>
    <row r="120" spans="1:32" ht="17.25" customHeight="1" outlineLevel="1" thickBot="1">
      <c r="G120" s="14"/>
      <c r="H120" s="12"/>
      <c r="I120" s="12"/>
      <c r="J120" s="12"/>
      <c r="K120" s="12"/>
      <c r="L120" s="12"/>
      <c r="M120" s="1664" t="s">
        <v>611</v>
      </c>
      <c r="N120" s="1664"/>
      <c r="O120" s="1664"/>
      <c r="P120" s="1664"/>
      <c r="Q120" s="12"/>
      <c r="R120" s="12"/>
      <c r="U120" s="12"/>
      <c r="V120" s="12"/>
      <c r="W120" s="12"/>
      <c r="X120" s="12"/>
      <c r="Y120" s="12"/>
      <c r="Z120" s="12"/>
    </row>
    <row r="121" spans="1:32" ht="17.25" customHeight="1" outlineLevel="1" thickTop="1" thickBot="1">
      <c r="A121" s="12"/>
      <c r="B121" s="12"/>
      <c r="C121" s="12"/>
      <c r="D121" s="12"/>
      <c r="E121" s="12"/>
      <c r="F121" s="14"/>
      <c r="G121" s="14"/>
      <c r="H121" s="595" t="s">
        <v>52</v>
      </c>
      <c r="I121" s="595"/>
      <c r="J121" s="595"/>
      <c r="K121" s="595"/>
      <c r="L121" s="595"/>
      <c r="M121" s="595"/>
      <c r="N121" s="595"/>
      <c r="O121" s="599">
        <f>IF(OR(F58&lt;0.89,F58&gt;1.1),J24,F58)</f>
        <v>0.91509305555555531</v>
      </c>
      <c r="P121" s="600"/>
      <c r="Q121" s="600"/>
      <c r="R121" s="600"/>
      <c r="S121" s="14" t="s">
        <v>54</v>
      </c>
      <c r="U121" s="567" t="str" cm="1">
        <f t="array" ref="U121">angleDecimal2Txt(O121)</f>
        <v>+00°54.90 (+00.9150) [+00°54'54.33]</v>
      </c>
      <c r="V121" s="567"/>
      <c r="W121" s="567"/>
      <c r="X121" s="567"/>
      <c r="Y121" s="567"/>
      <c r="Z121" s="567"/>
      <c r="AC121" s="3" t="s">
        <v>311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2"/>
      <c r="B122" s="12"/>
      <c r="C122" s="12"/>
      <c r="D122" s="12"/>
      <c r="E122" s="12"/>
      <c r="F122" s="14"/>
      <c r="G122" s="14"/>
      <c r="H122" s="658" t="s">
        <v>140</v>
      </c>
      <c r="I122" s="659"/>
      <c r="J122" s="659"/>
      <c r="K122" s="659"/>
      <c r="L122" s="659"/>
      <c r="M122" s="659"/>
      <c r="N122" s="660"/>
      <c r="O122" s="572">
        <f>AF121</f>
        <v>0.86622680782315009</v>
      </c>
      <c r="P122" s="572"/>
      <c r="Q122" s="572"/>
      <c r="R122" s="572"/>
      <c r="S122" s="14" t="s">
        <v>54</v>
      </c>
      <c r="U122" s="567" t="str" cm="1">
        <f t="array" ref="U122">angleDecimal2Txt(O122)</f>
        <v>+00°51.97 (+00.8662) [+00°51'58.41]</v>
      </c>
      <c r="V122" s="567"/>
      <c r="W122" s="567"/>
      <c r="X122" s="567"/>
      <c r="Y122" s="567"/>
      <c r="Z122" s="567"/>
      <c r="AC122" s="11" t="s">
        <v>658</v>
      </c>
    </row>
    <row r="123" spans="1:32" ht="17.25" customHeight="1" outlineLevel="1" thickTop="1">
      <c r="A123" s="12"/>
      <c r="B123" s="12"/>
      <c r="C123" s="12"/>
      <c r="D123" s="12"/>
      <c r="E123" s="12"/>
      <c r="F123" s="14"/>
      <c r="G123" s="14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32" ht="17.25" customHeight="1" outlineLevel="1">
      <c r="A124" s="12"/>
      <c r="B124" s="12"/>
      <c r="C124" s="12"/>
      <c r="D124" s="12"/>
      <c r="F124" s="14"/>
      <c r="G124" s="14"/>
      <c r="H124" s="12"/>
      <c r="I124" s="12"/>
      <c r="J124" s="12"/>
      <c r="K124" s="12"/>
      <c r="L124" s="12"/>
      <c r="M124" s="12"/>
      <c r="N124" s="12"/>
      <c r="O124" s="12"/>
      <c r="S124" s="622" t="s">
        <v>126</v>
      </c>
      <c r="T124" s="623"/>
      <c r="U124" s="624"/>
      <c r="Y124" s="12"/>
      <c r="Z124" s="12"/>
      <c r="AC124" s="3" t="s">
        <v>49</v>
      </c>
      <c r="AD124" s="3" t="s">
        <v>185</v>
      </c>
    </row>
    <row r="125" spans="1:32" ht="17.25" customHeight="1" outlineLevel="1">
      <c r="A125" s="12"/>
      <c r="B125" s="12"/>
      <c r="C125" s="12"/>
      <c r="D125" s="12"/>
      <c r="F125" s="14"/>
      <c r="G125" s="14"/>
      <c r="H125" s="595" t="s">
        <v>65</v>
      </c>
      <c r="I125" s="595"/>
      <c r="J125" s="595"/>
      <c r="K125" s="595"/>
      <c r="L125" s="595"/>
      <c r="M125" s="595"/>
      <c r="N125" s="595"/>
      <c r="O125" s="1662">
        <f>S125</f>
        <v>10</v>
      </c>
      <c r="P125" s="1663"/>
      <c r="Q125" s="1663"/>
      <c r="R125" s="1663"/>
      <c r="S125" s="780">
        <v>10</v>
      </c>
      <c r="T125" s="781"/>
      <c r="U125" s="782"/>
      <c r="Y125" s="12"/>
      <c r="Z125" s="12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2"/>
      <c r="B126" s="12"/>
      <c r="C126" s="12"/>
      <c r="D126" s="12"/>
      <c r="E126" s="12"/>
      <c r="F126" s="14"/>
      <c r="G126" s="14"/>
      <c r="H126" s="595" t="s">
        <v>66</v>
      </c>
      <c r="I126" s="595"/>
      <c r="J126" s="595"/>
      <c r="K126" s="595"/>
      <c r="L126" s="595"/>
      <c r="M126" s="595"/>
      <c r="N126" s="595"/>
      <c r="O126" s="1662">
        <f>S126</f>
        <v>1010</v>
      </c>
      <c r="P126" s="1663"/>
      <c r="Q126" s="1663"/>
      <c r="R126" s="1663"/>
      <c r="S126" s="780">
        <v>1010</v>
      </c>
      <c r="T126" s="781"/>
      <c r="U126" s="782"/>
      <c r="Y126" s="12"/>
      <c r="Z126" s="12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2"/>
      <c r="B127" s="12"/>
      <c r="C127" s="12"/>
      <c r="D127" s="12"/>
      <c r="E127" s="12"/>
      <c r="F127" s="14"/>
      <c r="G127" s="14"/>
      <c r="H127" s="658" t="s">
        <v>141</v>
      </c>
      <c r="I127" s="659"/>
      <c r="J127" s="659"/>
      <c r="K127" s="659"/>
      <c r="L127" s="659"/>
      <c r="M127" s="659"/>
      <c r="N127" s="660"/>
      <c r="O127" s="572">
        <f>AD128</f>
        <v>4.8033960622602137E-2</v>
      </c>
      <c r="P127" s="572"/>
      <c r="Q127" s="572"/>
      <c r="R127" s="572"/>
      <c r="S127" s="14" t="s">
        <v>54</v>
      </c>
      <c r="U127" s="567" t="str" cm="1">
        <f t="array" ref="U127">angleDecimal2Txt(O127)</f>
        <v>+00°02.88 (+00.0480) [+00°02'52.92]</v>
      </c>
      <c r="V127" s="567"/>
      <c r="W127" s="567"/>
      <c r="X127" s="567"/>
      <c r="Y127" s="567"/>
      <c r="Z127" s="567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2"/>
      <c r="B128" s="12"/>
      <c r="C128" s="12"/>
      <c r="D128" s="12"/>
      <c r="E128" s="12"/>
      <c r="F128" s="14"/>
      <c r="G128" s="14"/>
      <c r="H128" s="12"/>
      <c r="I128" s="12"/>
      <c r="J128" s="12"/>
      <c r="K128" s="12"/>
      <c r="L128" s="12"/>
      <c r="M128" s="12"/>
      <c r="N128" s="12"/>
      <c r="O128" s="12"/>
      <c r="Y128" s="12"/>
      <c r="Z128" s="12"/>
      <c r="AC128" s="3" t="s">
        <v>184</v>
      </c>
      <c r="AD128" s="3">
        <f>AD127*AD126</f>
        <v>4.8033960622602137E-2</v>
      </c>
    </row>
    <row r="129" spans="1:31" ht="17.25" customHeight="1" outlineLevel="1">
      <c r="A129" s="12"/>
      <c r="B129" s="12"/>
      <c r="C129" s="12"/>
      <c r="D129" s="12"/>
      <c r="E129" s="12"/>
      <c r="F129" s="14"/>
      <c r="G129" s="14"/>
      <c r="H129" s="595" t="s">
        <v>100</v>
      </c>
      <c r="I129" s="595"/>
      <c r="J129" s="595"/>
      <c r="K129" s="595"/>
      <c r="L129" s="595"/>
      <c r="M129" s="595"/>
      <c r="N129" s="595"/>
      <c r="O129" s="711">
        <f>IF(OR(F58&lt;0.89,F58&gt;1.1),J26,T58)</f>
        <v>0.4990558333333332</v>
      </c>
      <c r="P129" s="711"/>
      <c r="Q129" s="711"/>
      <c r="R129" s="711"/>
    </row>
    <row r="130" spans="1:31" ht="17.25" customHeight="1" outlineLevel="1" thickBot="1">
      <c r="B130" s="12"/>
      <c r="C130" s="12"/>
      <c r="D130" s="12"/>
      <c r="H130" s="595" t="s">
        <v>70</v>
      </c>
      <c r="I130" s="595"/>
      <c r="J130" s="595"/>
      <c r="K130" s="595"/>
      <c r="L130" s="595"/>
      <c r="M130" s="595"/>
      <c r="N130" s="595"/>
      <c r="O130" s="711" t="str">
        <f>J23</f>
        <v>BordInf</v>
      </c>
      <c r="P130" s="711"/>
      <c r="Q130" s="711"/>
      <c r="R130" s="711"/>
      <c r="AC130" s="3" t="s">
        <v>30</v>
      </c>
      <c r="AD130" s="564" t="str">
        <f>J22</f>
        <v>Lune</v>
      </c>
      <c r="AE130" s="564"/>
    </row>
    <row r="131" spans="1:31" ht="17.25" customHeight="1" outlineLevel="1" thickTop="1" thickBot="1">
      <c r="H131" s="1668" t="s">
        <v>71</v>
      </c>
      <c r="I131" s="1669"/>
      <c r="J131" s="1669"/>
      <c r="K131" s="1669"/>
      <c r="L131" s="1669"/>
      <c r="M131" s="1669"/>
      <c r="N131" s="1670"/>
      <c r="O131" s="555">
        <f>AD134</f>
        <v>0.24952791666666649</v>
      </c>
      <c r="P131" s="555"/>
      <c r="Q131" s="555"/>
      <c r="R131" s="555"/>
      <c r="S131" s="14" t="s">
        <v>54</v>
      </c>
      <c r="U131" s="567" t="str" cm="1">
        <f t="array" ref="U131">angleDecimal2Txt(O131)</f>
        <v>+00°14.97 (+00.2495) [+00°14'58.30]</v>
      </c>
      <c r="V131" s="567"/>
      <c r="W131" s="567"/>
      <c r="X131" s="567"/>
      <c r="Y131" s="567"/>
      <c r="Z131" s="567"/>
      <c r="AC131" s="3" t="s">
        <v>190</v>
      </c>
      <c r="AD131" s="564" t="str">
        <f>O130</f>
        <v>BordInf</v>
      </c>
      <c r="AE131" s="564"/>
    </row>
    <row r="132" spans="1:31" ht="17.25" customHeight="1" outlineLevel="1" thickTop="1"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C132" s="3" t="s">
        <v>191</v>
      </c>
      <c r="AD132" s="777">
        <f>HLOOKUP(AD131,AD25:AF26,2)</f>
        <v>0.5</v>
      </c>
      <c r="AE132" s="777"/>
    </row>
    <row r="133" spans="1:31" ht="17.25" customHeight="1" outlineLevel="1">
      <c r="G133" s="716" t="s">
        <v>107</v>
      </c>
      <c r="H133" s="717"/>
      <c r="I133" s="717"/>
      <c r="J133" s="717"/>
      <c r="K133" s="717"/>
      <c r="L133" s="717"/>
      <c r="M133" s="717"/>
      <c r="N133" s="717"/>
      <c r="O133" s="717"/>
      <c r="P133" s="717"/>
      <c r="Q133" s="717"/>
      <c r="R133" s="717"/>
      <c r="S133" s="718"/>
      <c r="T133" s="12"/>
      <c r="U133" s="12"/>
      <c r="V133" s="12"/>
      <c r="W133" s="12"/>
      <c r="X133" s="12"/>
      <c r="Y133" s="12"/>
      <c r="Z133" s="12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704" t="s">
        <v>115</v>
      </c>
      <c r="H134" s="705"/>
      <c r="I134" s="824" t="s">
        <v>110</v>
      </c>
      <c r="J134" s="825"/>
      <c r="K134" s="825"/>
      <c r="L134" s="825"/>
      <c r="M134" s="825"/>
      <c r="N134" s="826"/>
      <c r="O134" s="829">
        <f>(O122-O127-O116+O129/2) * 60</f>
        <v>60.547245832032878</v>
      </c>
      <c r="P134" s="822"/>
      <c r="Q134" s="822"/>
      <c r="R134" s="822"/>
      <c r="S134" s="827" t="s">
        <v>108</v>
      </c>
      <c r="T134" s="12"/>
      <c r="U134" s="12"/>
      <c r="V134" s="12"/>
      <c r="W134" s="12"/>
      <c r="X134" s="12"/>
      <c r="Y134" s="12"/>
      <c r="Z134" s="12"/>
      <c r="AC134" s="3" t="s">
        <v>191</v>
      </c>
      <c r="AD134" s="777">
        <f>AE133*AD132</f>
        <v>0.24952791666666649</v>
      </c>
      <c r="AE134" s="777"/>
    </row>
    <row r="135" spans="1:31" ht="17.25" customHeight="1" outlineLevel="1">
      <c r="G135" s="706"/>
      <c r="H135" s="707"/>
      <c r="I135" s="1665" t="s">
        <v>114</v>
      </c>
      <c r="J135" s="1666"/>
      <c r="K135" s="1666"/>
      <c r="L135" s="1666"/>
      <c r="M135" s="1666"/>
      <c r="N135" s="1667"/>
      <c r="O135" s="830"/>
      <c r="P135" s="823"/>
      <c r="Q135" s="823"/>
      <c r="R135" s="823"/>
      <c r="S135" s="828"/>
      <c r="T135" s="12"/>
      <c r="U135" s="12"/>
      <c r="V135" s="12"/>
      <c r="W135" s="12"/>
      <c r="X135" s="12"/>
      <c r="Y135" s="12"/>
      <c r="Z135" s="12"/>
    </row>
    <row r="136" spans="1:31" ht="17.25" customHeight="1" outlineLevel="1">
      <c r="H136" s="12"/>
      <c r="I136" s="824" t="s">
        <v>111</v>
      </c>
      <c r="J136" s="825"/>
      <c r="K136" s="825"/>
      <c r="L136" s="825"/>
      <c r="M136" s="825"/>
      <c r="N136" s="826"/>
      <c r="O136" s="822">
        <f>(O122-O127+O129/2)*60</f>
        <v>64.063245832032877</v>
      </c>
      <c r="P136" s="822"/>
      <c r="Q136" s="822"/>
      <c r="R136" s="822"/>
      <c r="S136" s="827" t="s">
        <v>108</v>
      </c>
      <c r="T136" s="12"/>
      <c r="U136" s="12"/>
      <c r="V136" s="12"/>
      <c r="W136" s="12"/>
      <c r="X136" s="12"/>
      <c r="Y136" s="12"/>
      <c r="Z136" s="12"/>
    </row>
    <row r="137" spans="1:31" ht="17.25" customHeight="1" outlineLevel="1">
      <c r="H137" s="12"/>
      <c r="I137" s="713" t="s">
        <v>112</v>
      </c>
      <c r="J137" s="714"/>
      <c r="K137" s="714"/>
      <c r="L137" s="714"/>
      <c r="M137" s="714"/>
      <c r="N137" s="715"/>
      <c r="O137" s="823"/>
      <c r="P137" s="823"/>
      <c r="Q137" s="823"/>
      <c r="R137" s="823"/>
      <c r="S137" s="828"/>
      <c r="T137" s="12"/>
      <c r="U137" s="12"/>
      <c r="V137" s="12"/>
      <c r="W137" s="12"/>
      <c r="X137" s="12"/>
      <c r="Y137" s="12"/>
      <c r="Z137" s="12"/>
    </row>
    <row r="138" spans="1:31" ht="17.25" customHeight="1" outlineLevel="1">
      <c r="H138" s="12"/>
      <c r="I138" s="1671" t="s">
        <v>71</v>
      </c>
      <c r="J138" s="1671"/>
      <c r="K138" s="1671"/>
      <c r="L138" s="1671"/>
      <c r="M138" s="1671"/>
      <c r="N138" s="1671"/>
      <c r="O138" s="818">
        <f>O131*60</f>
        <v>14.971674999999989</v>
      </c>
      <c r="P138" s="819"/>
      <c r="Q138" s="819"/>
      <c r="R138" s="819"/>
      <c r="S138" s="71" t="s">
        <v>108</v>
      </c>
      <c r="T138" s="12"/>
      <c r="U138" s="12"/>
      <c r="V138" s="12"/>
      <c r="W138" s="12"/>
      <c r="X138" s="12"/>
      <c r="Y138" s="12"/>
      <c r="Z138" s="12"/>
    </row>
    <row r="139" spans="1:31" ht="17.25" customHeight="1" outlineLevel="1" thickBot="1"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</row>
    <row r="140" spans="1:31" ht="17.25" customHeight="1" outlineLevel="1" thickTop="1" thickBot="1">
      <c r="H140" s="1352" t="s">
        <v>142</v>
      </c>
      <c r="I140" s="1353"/>
      <c r="J140" s="1353"/>
      <c r="K140" s="1353"/>
      <c r="L140" s="1353"/>
      <c r="M140" s="1353"/>
      <c r="N140" s="1354"/>
      <c r="O140" s="598">
        <f>O118-O127+O122+O131</f>
        <v>19.87578743053388</v>
      </c>
      <c r="P140" s="572"/>
      <c r="Q140" s="572"/>
      <c r="R140" s="572"/>
      <c r="S140" s="14" t="s">
        <v>54</v>
      </c>
      <c r="U140" s="567" t="str" cm="1">
        <f t="array" ref="U140">angleDecimal2Txt(O140)</f>
        <v>+19°52.54 (+19.8757) [+19°52'32.83]</v>
      </c>
      <c r="V140" s="567"/>
      <c r="W140" s="567"/>
      <c r="X140" s="567"/>
      <c r="Y140" s="567"/>
      <c r="Z140" s="567"/>
    </row>
    <row r="141" spans="1:31" ht="17.25" customHeight="1" outlineLevel="1" thickTop="1"/>
    <row r="142" spans="1:31" ht="17.25" customHeight="1" outlineLevel="1">
      <c r="F142" s="1385" t="s">
        <v>63</v>
      </c>
      <c r="G142" s="1385"/>
      <c r="H142" s="1385"/>
      <c r="I142" s="1385"/>
      <c r="J142" s="572" t="str">
        <f>IF(G112=AD112,O150,"---")</f>
        <v>---</v>
      </c>
      <c r="K142" s="572"/>
      <c r="L142" s="572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98" t="s">
        <v>82</v>
      </c>
      <c r="U144" s="1425" t="s">
        <v>33</v>
      </c>
      <c r="V144" s="1425"/>
    </row>
    <row r="145" spans="2:29" ht="17.25" customHeight="1" outlineLevel="1">
      <c r="T145" s="99" t="s">
        <v>78</v>
      </c>
      <c r="U145" s="1425" t="s">
        <v>80</v>
      </c>
      <c r="V145" s="1425"/>
    </row>
    <row r="146" spans="2:29" ht="17.25" customHeight="1" outlineLevel="1">
      <c r="H146" s="14" t="s">
        <v>72</v>
      </c>
      <c r="I146" s="38" t="s">
        <v>74</v>
      </c>
      <c r="J146" s="14" t="s">
        <v>60</v>
      </c>
      <c r="K146" s="1426" t="s">
        <v>75</v>
      </c>
      <c r="L146" s="14" t="s">
        <v>59</v>
      </c>
      <c r="N146" s="1426" t="s">
        <v>77</v>
      </c>
      <c r="O146" s="38" t="s">
        <v>230</v>
      </c>
      <c r="Q146" s="1426" t="s">
        <v>77</v>
      </c>
      <c r="R146" s="14" t="s">
        <v>231</v>
      </c>
      <c r="T146" s="97" t="s">
        <v>79</v>
      </c>
      <c r="U146" s="1427" t="s">
        <v>81</v>
      </c>
      <c r="V146" s="1427"/>
      <c r="Z146"/>
      <c r="AA146"/>
    </row>
    <row r="147" spans="2:29" ht="17.25" customHeight="1" outlineLevel="1" thickBot="1">
      <c r="I147" s="38"/>
      <c r="J147" s="40">
        <f>O114</f>
        <v>18.916666666666668</v>
      </c>
      <c r="K147" s="1426"/>
      <c r="L147" s="810">
        <f>O115</f>
        <v>0.05</v>
      </c>
      <c r="M147" s="811"/>
      <c r="N147" s="1426"/>
      <c r="O147" s="1621" t="s">
        <v>146</v>
      </c>
      <c r="P147" s="1622"/>
      <c r="Q147" s="1426"/>
      <c r="R147" s="100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38"/>
      <c r="J148"/>
      <c r="K148" s="38" t="s">
        <v>229</v>
      </c>
      <c r="L148" s="812" cm="1">
        <f t="array" ref="L148">angleConvert2Decimal(L147)</f>
        <v>0.05</v>
      </c>
      <c r="M148" s="813"/>
      <c r="O148" s="816" cm="1">
        <f t="array" ref="O148">angleConvert2Decimal(O147)</f>
        <v>0.17166666666666669</v>
      </c>
      <c r="P148" s="817"/>
      <c r="Q148" s="11"/>
      <c r="R148" s="91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708" t="str" cm="1">
        <f t="array" ref="W148">angleDecimal2Txt(V148)</f>
        <v>-00°21.69 (-00.3616) [-00°21'42.00]</v>
      </c>
      <c r="X148" s="709"/>
      <c r="Y148" s="709"/>
      <c r="Z148" s="709"/>
      <c r="AA148" s="570"/>
    </row>
    <row r="149" spans="2:29" ht="17.25" customHeight="1" outlineLevel="1" thickTop="1" thickBot="1">
      <c r="I149" s="38"/>
      <c r="K149" s="38"/>
      <c r="N149" s="38"/>
      <c r="Q149" s="38"/>
      <c r="R149" s="43"/>
    </row>
    <row r="150" spans="2:29" ht="17.25" customHeight="1" outlineLevel="1" thickTop="1" thickBot="1">
      <c r="H150" s="1352" t="s">
        <v>145</v>
      </c>
      <c r="I150" s="1353"/>
      <c r="J150" s="1353"/>
      <c r="K150" s="1353"/>
      <c r="L150" s="1353"/>
      <c r="M150" s="1353"/>
      <c r="N150" s="1354"/>
      <c r="O150" s="598">
        <f>J147-L148+O148+R148</f>
        <v>18.504999999999999</v>
      </c>
      <c r="P150" s="572"/>
      <c r="Q150" s="572"/>
      <c r="R150" s="572"/>
      <c r="S150" s="14" t="s">
        <v>54</v>
      </c>
      <c r="U150" s="567" t="str" cm="1">
        <f t="array" ref="U150">angleDecimal2Txt(O150)</f>
        <v>+18°30.30 (+18.5049) [+18°30'18.00]</v>
      </c>
      <c r="V150" s="567"/>
      <c r="W150" s="567"/>
      <c r="X150" s="567"/>
      <c r="Y150" s="567"/>
      <c r="Z150" s="567"/>
    </row>
    <row r="151" spans="2:29" ht="17.25" customHeight="1" thickTop="1" thickBot="1">
      <c r="D151" s="44"/>
    </row>
    <row r="152" spans="2:29" ht="17.25" customHeight="1" thickBot="1">
      <c r="B152" s="23" t="s">
        <v>44</v>
      </c>
      <c r="C152" s="24"/>
      <c r="D152" s="45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60"/>
    </row>
    <row r="153" spans="2:29" ht="17.25" customHeight="1">
      <c r="C153" s="14"/>
      <c r="D153" s="14"/>
      <c r="E153" s="14"/>
      <c r="F153" s="14"/>
      <c r="G153" s="14"/>
      <c r="O153" s="699" t="s">
        <v>83</v>
      </c>
      <c r="P153" s="699"/>
      <c r="Q153" s="699"/>
      <c r="R153" s="699"/>
      <c r="S153" s="699"/>
      <c r="T153" s="699"/>
      <c r="U153" s="699"/>
      <c r="V153" s="699"/>
      <c r="W153" s="699"/>
      <c r="X153" s="699"/>
      <c r="Y153" s="699"/>
      <c r="Z153" s="699"/>
      <c r="AA153" s="699"/>
    </row>
    <row r="154" spans="2:29" ht="17.25" customHeight="1">
      <c r="C154" s="12"/>
      <c r="D154" s="12"/>
      <c r="E154" s="689" t="s">
        <v>22</v>
      </c>
      <c r="F154" s="690"/>
      <c r="G154" s="690"/>
      <c r="H154" s="690"/>
      <c r="I154" s="596" cm="1">
        <f t="array" ref="I154">astroCalculHc(Q155,Q154,Q156)</f>
        <v>-33.46072628158683</v>
      </c>
      <c r="J154" s="596"/>
      <c r="K154" s="596"/>
      <c r="L154" s="596"/>
      <c r="M154" s="596"/>
      <c r="O154" s="688" t="s">
        <v>84</v>
      </c>
      <c r="P154" s="688"/>
      <c r="Q154" s="688">
        <f>F37</f>
        <v>23.147284259259258</v>
      </c>
      <c r="R154" s="688"/>
      <c r="S154" s="688"/>
      <c r="T154" s="809" t="s">
        <v>54</v>
      </c>
      <c r="U154" s="587">
        <f>Q154*Outils!$F$4</f>
        <v>0.40399632321913082</v>
      </c>
      <c r="V154" s="588"/>
      <c r="W154" s="589"/>
      <c r="X154" s="809" t="s">
        <v>64</v>
      </c>
    </row>
    <row r="155" spans="2:29" ht="17.25" customHeight="1" thickBot="1">
      <c r="C155" s="12"/>
      <c r="D155" s="12"/>
      <c r="E155" s="691"/>
      <c r="F155" s="692"/>
      <c r="G155" s="692"/>
      <c r="H155" s="692"/>
      <c r="I155" s="596"/>
      <c r="J155" s="596"/>
      <c r="K155" s="596"/>
      <c r="L155" s="596"/>
      <c r="M155" s="596"/>
      <c r="N155" s="46" t="s">
        <v>116</v>
      </c>
      <c r="O155" s="688" t="s">
        <v>85</v>
      </c>
      <c r="P155" s="688"/>
      <c r="Q155" s="688">
        <f>G32</f>
        <v>-27.5</v>
      </c>
      <c r="R155" s="688"/>
      <c r="S155" s="688"/>
      <c r="T155" s="809"/>
      <c r="U155" s="587">
        <f>Q155*Outils!$F$4</f>
        <v>-0.47996554429844063</v>
      </c>
      <c r="V155" s="588"/>
      <c r="W155" s="589"/>
      <c r="X155" s="809"/>
    </row>
    <row r="156" spans="2:29" ht="17.25" customHeight="1" thickTop="1" thickBot="1">
      <c r="C156" s="12"/>
      <c r="D156" s="12"/>
      <c r="E156" s="693"/>
      <c r="F156" s="694"/>
      <c r="G156" s="694"/>
      <c r="H156" s="694"/>
      <c r="I156" s="567" t="str" cm="1">
        <f t="array" ref="I156">angleDecimal2Txt(I154)</f>
        <v>-33°27.64 (-33.4607) [-33°27'38.61]</v>
      </c>
      <c r="J156" s="567"/>
      <c r="K156" s="567"/>
      <c r="L156" s="567"/>
      <c r="M156" s="567"/>
      <c r="O156" s="688" t="s">
        <v>43</v>
      </c>
      <c r="P156" s="688"/>
      <c r="Q156" s="688">
        <f>F108</f>
        <v>243.03333333333333</v>
      </c>
      <c r="R156" s="688"/>
      <c r="S156" s="688"/>
      <c r="T156" s="809"/>
      <c r="U156" s="587">
        <f>Q156*Outils!$F$4</f>
        <v>4.2417318587635524</v>
      </c>
      <c r="V156" s="588"/>
      <c r="W156" s="589"/>
      <c r="X156" s="809"/>
    </row>
    <row r="157" spans="2:29" ht="17.25" customHeight="1" thickTop="1">
      <c r="C157" s="12"/>
      <c r="D157" s="12"/>
      <c r="E157" s="14"/>
      <c r="F157" s="14"/>
      <c r="G157" s="14"/>
    </row>
    <row r="158" spans="2:29" ht="17.25" customHeight="1">
      <c r="C158" s="12"/>
      <c r="D158" s="12"/>
      <c r="E158" s="689" t="s">
        <v>25</v>
      </c>
      <c r="F158" s="690"/>
      <c r="G158" s="690"/>
      <c r="H158" s="690"/>
      <c r="I158" s="596">
        <f>F111</f>
        <v>19.87578743053388</v>
      </c>
      <c r="J158" s="596"/>
      <c r="K158" s="596"/>
      <c r="L158" s="596"/>
      <c r="M158" s="596"/>
    </row>
    <row r="159" spans="2:29" ht="17.25" customHeight="1" thickBot="1">
      <c r="C159" s="12"/>
      <c r="D159" s="12"/>
      <c r="E159" s="691"/>
      <c r="F159" s="692"/>
      <c r="G159" s="692"/>
      <c r="H159" s="692"/>
      <c r="I159" s="596"/>
      <c r="J159" s="596"/>
      <c r="K159" s="596"/>
      <c r="L159" s="596"/>
      <c r="M159" s="596"/>
      <c r="O159" s="1411" t="s">
        <v>27</v>
      </c>
      <c r="P159" s="1412"/>
      <c r="Q159" s="1412"/>
      <c r="R159" s="1412"/>
      <c r="S159" s="1413"/>
      <c r="T159" s="47">
        <f>I158-I154</f>
        <v>53.336513712120706</v>
      </c>
      <c r="U159" s="48" t="s">
        <v>28</v>
      </c>
      <c r="V159" s="49">
        <f>T159*60</f>
        <v>3200.1908227272424</v>
      </c>
      <c r="W159" s="48" t="s">
        <v>104</v>
      </c>
      <c r="X159" s="12"/>
      <c r="Y159" s="573" t="str">
        <f>IF(T159&gt;0,"Vers Pg", "Oppose de Pg")</f>
        <v>Vers Pg</v>
      </c>
      <c r="Z159" s="573"/>
    </row>
    <row r="160" spans="2:29" ht="17.25" customHeight="1" thickTop="1" thickBot="1">
      <c r="C160" s="12"/>
      <c r="D160" s="12"/>
      <c r="E160" s="693"/>
      <c r="F160" s="694"/>
      <c r="G160" s="694"/>
      <c r="H160" s="694"/>
      <c r="I160" s="567" t="str" cm="1">
        <f t="array" ref="I160">angleDecimal2Txt(I158)</f>
        <v>+19°52.54 (+19.8757) [+19°52'32.83]</v>
      </c>
      <c r="J160" s="567"/>
      <c r="K160" s="567"/>
      <c r="L160" s="567"/>
      <c r="M160" s="567"/>
      <c r="S160" s="1612" t="s">
        <v>357</v>
      </c>
      <c r="T160" s="1613" t="s">
        <v>374</v>
      </c>
      <c r="U160" s="1613"/>
      <c r="V160" s="1613">
        <f>F37</f>
        <v>23.147284259259258</v>
      </c>
      <c r="W160" s="1613"/>
      <c r="X160" s="1614" t="str">
        <f>latitudeDecimal2Txt(V160)</f>
        <v>N 23°08.83 (N 23.1472) [N 23°08'50.22]</v>
      </c>
      <c r="Y160" s="1614"/>
      <c r="Z160" s="1614"/>
      <c r="AA160" s="1614"/>
      <c r="AB160" s="1614"/>
      <c r="AC160" s="1614"/>
    </row>
    <row r="161" spans="1:29" ht="17.25" customHeight="1" thickTop="1">
      <c r="C161" s="12"/>
      <c r="D161" s="12"/>
      <c r="E161" s="14"/>
      <c r="F161" s="14"/>
      <c r="G161" s="14"/>
      <c r="S161" s="1612"/>
      <c r="T161" s="1615" t="s">
        <v>375</v>
      </c>
      <c r="U161" s="1615"/>
      <c r="V161" s="1613" cm="1">
        <f t="array" ref="V161">longitudeHoraire2longitude(F87)</f>
        <v>179.96666666666667</v>
      </c>
      <c r="W161" s="1615"/>
      <c r="X161" s="1616" t="str">
        <f>longitudeDecimal2Txt(V161)</f>
        <v>E 179°58.00 (E 179.9666) [E 179°58'00.00]</v>
      </c>
      <c r="Y161" s="1616"/>
      <c r="Z161" s="1616"/>
      <c r="AA161" s="1616"/>
      <c r="AB161" s="1616"/>
      <c r="AC161" s="1616"/>
    </row>
    <row r="162" spans="1:29" ht="17.25" customHeight="1">
      <c r="C162" s="14"/>
      <c r="D162" s="14"/>
      <c r="E162" s="14"/>
      <c r="F162" s="14"/>
      <c r="T162" s="12"/>
      <c r="U162" s="12"/>
      <c r="V162" s="12"/>
      <c r="W162" s="12"/>
      <c r="X162" s="12"/>
      <c r="Y162" s="12"/>
    </row>
    <row r="163" spans="1:29" ht="17.25" customHeight="1">
      <c r="E163" s="14"/>
      <c r="F163" s="14"/>
      <c r="G163" s="14"/>
      <c r="T163" s="12"/>
      <c r="U163" s="12"/>
      <c r="V163" s="12"/>
      <c r="W163" s="12"/>
      <c r="X163" s="12"/>
      <c r="Y163" s="12"/>
    </row>
    <row r="164" spans="1:29" ht="17.25" customHeight="1">
      <c r="E164" s="14"/>
    </row>
    <row r="165" spans="1:29" ht="17.25" customHeight="1">
      <c r="E165" s="14"/>
      <c r="F165" s="14"/>
      <c r="G165" s="14"/>
      <c r="O165" s="834" t="s">
        <v>86</v>
      </c>
      <c r="P165" s="835"/>
      <c r="Q165" s="835"/>
      <c r="R165" s="835"/>
      <c r="S165" s="835"/>
      <c r="T165" s="835"/>
      <c r="U165" s="835"/>
      <c r="V165" s="835"/>
      <c r="W165" s="835"/>
      <c r="X165" s="835"/>
      <c r="Y165" s="835"/>
      <c r="Z165" s="835"/>
      <c r="AA165" s="835"/>
    </row>
    <row r="166" spans="1:29" ht="17.25" customHeight="1">
      <c r="A166" s="12"/>
      <c r="B166" s="12"/>
      <c r="C166" s="12"/>
      <c r="D166" s="12"/>
      <c r="E166" s="689" t="s">
        <v>92</v>
      </c>
      <c r="F166" s="690"/>
      <c r="G166" s="690"/>
      <c r="H166" s="1617"/>
      <c r="I166" s="626" cm="1">
        <f t="array" ref="I166">astroCalculZ(Q167,Q166,Q168)</f>
        <v>100.7875102528494</v>
      </c>
      <c r="J166" s="626"/>
      <c r="K166" s="626"/>
      <c r="L166" s="626"/>
      <c r="M166" s="627"/>
      <c r="O166" s="688" t="s">
        <v>84</v>
      </c>
      <c r="P166" s="688"/>
      <c r="Q166" s="688">
        <f>Q154</f>
        <v>23.147284259259258</v>
      </c>
      <c r="R166" s="688"/>
      <c r="S166" s="688"/>
      <c r="T166" s="809" t="s">
        <v>54</v>
      </c>
      <c r="U166" s="688">
        <f>Q166*Outils!$F$4</f>
        <v>0.40399632321913082</v>
      </c>
      <c r="V166" s="688"/>
      <c r="W166" s="688"/>
      <c r="X166" s="809" t="s">
        <v>64</v>
      </c>
    </row>
    <row r="167" spans="1:29" ht="17.25" customHeight="1" thickBot="1">
      <c r="C167" s="12"/>
      <c r="D167" s="12"/>
      <c r="E167" s="691"/>
      <c r="F167" s="692"/>
      <c r="G167" s="692"/>
      <c r="H167" s="1618"/>
      <c r="I167" s="1483"/>
      <c r="J167" s="1483"/>
      <c r="K167" s="1483"/>
      <c r="L167" s="1483"/>
      <c r="M167" s="1484"/>
      <c r="N167" s="46" t="s">
        <v>116</v>
      </c>
      <c r="O167" s="688" t="s">
        <v>85</v>
      </c>
      <c r="P167" s="688"/>
      <c r="Q167" s="688">
        <f>Q155</f>
        <v>-27.5</v>
      </c>
      <c r="R167" s="688"/>
      <c r="S167" s="688"/>
      <c r="T167" s="809"/>
      <c r="U167" s="688">
        <f>Q167*Outils!$F$4</f>
        <v>-0.47996554429844063</v>
      </c>
      <c r="V167" s="688"/>
      <c r="W167" s="688"/>
      <c r="X167" s="809"/>
    </row>
    <row r="168" spans="1:29" ht="17.25" customHeight="1" thickTop="1" thickBot="1">
      <c r="C168" s="12"/>
      <c r="D168" s="12"/>
      <c r="E168" s="693"/>
      <c r="F168" s="694"/>
      <c r="G168" s="694"/>
      <c r="H168" s="1619"/>
      <c r="I168" s="868" t="str" cm="1">
        <f t="array" ref="I168">angleDecimal2Txt(I166)</f>
        <v>+100°47.25 (+100.7875) [+100°47'15.03]</v>
      </c>
      <c r="J168" s="591"/>
      <c r="K168" s="591"/>
      <c r="L168" s="591"/>
      <c r="M168" s="591"/>
      <c r="O168" s="688" t="s">
        <v>43</v>
      </c>
      <c r="P168" s="688"/>
      <c r="Q168" s="688">
        <f>Q156</f>
        <v>243.03333333333333</v>
      </c>
      <c r="R168" s="688"/>
      <c r="S168" s="688"/>
      <c r="T168" s="809"/>
      <c r="U168" s="688">
        <f>Q168*Outils!$F$4</f>
        <v>4.2417318587635524</v>
      </c>
      <c r="V168" s="688"/>
      <c r="W168" s="688"/>
      <c r="X168" s="809"/>
    </row>
    <row r="169" spans="1:29" ht="17.25" customHeight="1" thickTop="1">
      <c r="C169" s="12"/>
      <c r="D169" s="12"/>
      <c r="E169" s="14"/>
      <c r="F169" s="14"/>
      <c r="G169" s="14"/>
    </row>
    <row r="170" spans="1:29" ht="17.25" customHeight="1">
      <c r="C170" s="14"/>
      <c r="D170" s="14"/>
      <c r="F170" s="14"/>
      <c r="G170" s="14"/>
      <c r="I170" s="796" t="s">
        <v>143</v>
      </c>
      <c r="J170" s="797"/>
      <c r="K170" s="797"/>
      <c r="L170" s="797"/>
      <c r="M170" s="797"/>
      <c r="N170" s="798"/>
      <c r="O170" s="796" t="s">
        <v>144</v>
      </c>
      <c r="P170" s="797"/>
      <c r="Q170" s="797"/>
      <c r="R170" s="797"/>
      <c r="S170" s="797"/>
      <c r="T170" s="798"/>
    </row>
    <row r="171" spans="1:29" ht="17.25" customHeight="1">
      <c r="F171" s="14"/>
      <c r="G171" s="14"/>
      <c r="I171" s="840"/>
      <c r="J171" s="801" t="s">
        <v>117</v>
      </c>
      <c r="K171" s="802"/>
      <c r="L171" s="803"/>
      <c r="M171" s="807" t="s">
        <v>118</v>
      </c>
      <c r="N171" s="808"/>
      <c r="O171" s="840"/>
      <c r="P171" s="801" t="s">
        <v>117</v>
      </c>
      <c r="Q171" s="802"/>
      <c r="R171" s="803"/>
      <c r="S171" s="807" t="s">
        <v>119</v>
      </c>
      <c r="T171" s="808"/>
    </row>
    <row r="172" spans="1:29" ht="17.25" customHeight="1">
      <c r="F172" s="14"/>
      <c r="G172" s="14"/>
      <c r="I172" s="841"/>
      <c r="J172" s="804" t="s">
        <v>87</v>
      </c>
      <c r="K172" s="805"/>
      <c r="L172" s="806"/>
      <c r="M172" s="799" t="s">
        <v>88</v>
      </c>
      <c r="N172" s="800"/>
      <c r="O172" s="841"/>
      <c r="P172" s="804" t="s">
        <v>87</v>
      </c>
      <c r="Q172" s="805"/>
      <c r="R172" s="806"/>
      <c r="S172" s="799" t="s">
        <v>89</v>
      </c>
      <c r="T172" s="800"/>
    </row>
    <row r="173" spans="1:29" ht="17.25" customHeight="1">
      <c r="F173" s="12"/>
      <c r="G173" s="12"/>
      <c r="H173" s="12"/>
      <c r="I173" s="12"/>
      <c r="J173" s="12"/>
      <c r="K173" s="12"/>
      <c r="Q173" s="12"/>
      <c r="R173" s="12"/>
      <c r="S173" s="12"/>
      <c r="T173" s="1607"/>
      <c r="U173" s="1607"/>
      <c r="V173" s="1607"/>
      <c r="W173" s="12"/>
      <c r="X173" s="1607"/>
      <c r="Y173" s="1607"/>
      <c r="Z173" s="1607"/>
    </row>
    <row r="174" spans="1:29" ht="17.25" customHeight="1">
      <c r="F174" s="12"/>
      <c r="N174" s="1608"/>
      <c r="O174" s="1608"/>
      <c r="Q174" s="1607"/>
      <c r="R174" s="1607"/>
      <c r="S174" s="1607"/>
      <c r="T174" s="1607"/>
      <c r="U174" s="1607"/>
      <c r="V174" s="1607"/>
      <c r="W174" s="12"/>
      <c r="X174" s="1607"/>
      <c r="Y174" s="1607"/>
      <c r="Z174" s="1607"/>
    </row>
    <row r="175" spans="1:29" ht="17.25" customHeight="1">
      <c r="I175" s="688" t="s">
        <v>85</v>
      </c>
      <c r="J175" s="688"/>
      <c r="K175" s="55">
        <f>Q167</f>
        <v>-27.5</v>
      </c>
      <c r="L175" s="572" t="str">
        <f>CONCATENATE("Sens: ",IF(Q167&gt;0,"Nord","Sud"))</f>
        <v>Sens: Sud</v>
      </c>
      <c r="M175" s="572"/>
    </row>
    <row r="176" spans="1:29" ht="17.25" customHeight="1" thickBot="1">
      <c r="I176" s="688" t="s">
        <v>43</v>
      </c>
      <c r="J176" s="688"/>
      <c r="K176" s="55">
        <f>Q168</f>
        <v>243.03333333333333</v>
      </c>
      <c r="L176" s="572" t="str">
        <f>CONCATENATE("Is &gt; 180? ", IF(Q168&gt;180,"Y", "N"))</f>
        <v>Is &gt; 180? Y</v>
      </c>
      <c r="M176" s="572"/>
      <c r="O176" s="1411" t="s">
        <v>93</v>
      </c>
      <c r="P176" s="1412"/>
      <c r="Q176" s="1412"/>
      <c r="R176" s="1412"/>
      <c r="S176" s="1412"/>
      <c r="T176" s="1609" cm="1">
        <f t="array" ref="T176">astroCalculZ2Zn(Q167,I166,Q168)</f>
        <v>79.212489747150599</v>
      </c>
      <c r="U176" s="1610"/>
      <c r="V176" s="48" t="s">
        <v>28</v>
      </c>
      <c r="W176" s="12"/>
    </row>
    <row r="177" spans="2:31" ht="17.25" customHeight="1" thickTop="1" thickBot="1">
      <c r="I177" s="587" t="s">
        <v>120</v>
      </c>
      <c r="J177" s="588"/>
      <c r="K177" s="643"/>
      <c r="L177" s="572" t="str">
        <f>IF(K175&gt;0,IF(K176&gt;180,M171,M172),IF(K176&gt;180,S171,S172))</f>
        <v>Zn = 180 - Z</v>
      </c>
      <c r="M177" s="572"/>
      <c r="T177" s="567" t="str" cm="1">
        <f t="array" ref="T177">angleDecimal2Txt(T176)</f>
        <v>+79°12.74 (+79.2124) [+79°12'44.96]</v>
      </c>
      <c r="U177" s="567"/>
      <c r="V177" s="567"/>
      <c r="W177" s="567"/>
      <c r="X177" s="567"/>
      <c r="Y177" s="567"/>
    </row>
    <row r="178" spans="2:31" ht="17.25" customHeight="1" thickTop="1"/>
    <row r="179" spans="2:31" ht="17.25" customHeight="1" thickBot="1"/>
    <row r="180" spans="2:31" ht="17.25" customHeight="1" thickBot="1">
      <c r="B180" s="23" t="s">
        <v>232</v>
      </c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83"/>
      <c r="AB180" s="60"/>
    </row>
    <row r="181" spans="2:31" ht="17.25" hidden="1" customHeight="1" outlineLevel="1"/>
    <row r="182" spans="2:31" ht="17.25" hidden="1" customHeight="1" outlineLevel="1" thickBot="1">
      <c r="C182" s="641" t="s">
        <v>233</v>
      </c>
      <c r="D182" s="641"/>
      <c r="E182" s="641"/>
      <c r="F182" s="641"/>
      <c r="G182" s="101"/>
      <c r="H182" s="641" t="s">
        <v>234</v>
      </c>
      <c r="I182" s="641"/>
      <c r="J182" s="641"/>
      <c r="L182" s="1421" t="s">
        <v>223</v>
      </c>
      <c r="M182" s="1421"/>
      <c r="N182" s="1421"/>
      <c r="Q182" s="1409" t="s">
        <v>235</v>
      </c>
      <c r="R182" s="1409"/>
      <c r="S182" s="1409"/>
      <c r="T182" s="1409"/>
      <c r="U182" s="88"/>
      <c r="AC182" t="s">
        <v>220</v>
      </c>
      <c r="AD182" s="90">
        <f>I183/60</f>
        <v>53.336513712120706</v>
      </c>
    </row>
    <row r="183" spans="2:31" ht="17.25" hidden="1" customHeight="1" outlineLevel="1" thickTop="1" thickBot="1">
      <c r="D183" s="105" t="s">
        <v>41</v>
      </c>
      <c r="E183" s="647">
        <f>Q167</f>
        <v>-27.5</v>
      </c>
      <c r="F183" s="647"/>
      <c r="I183" s="647">
        <f>V159</f>
        <v>3200.1908227272424</v>
      </c>
      <c r="J183" s="647"/>
      <c r="K183" s="14" t="s">
        <v>104</v>
      </c>
      <c r="M183" s="647">
        <f>T176</f>
        <v>79.212489747150599</v>
      </c>
      <c r="N183" s="647"/>
      <c r="R183" s="103" t="s">
        <v>41</v>
      </c>
      <c r="S183" s="564">
        <f>AD185</f>
        <v>-17.517154919982183</v>
      </c>
      <c r="T183" s="564"/>
      <c r="U183" s="565" t="str" cm="1">
        <f t="array" ref="U183">latitudeDecimal2Txt(S183)</f>
        <v>S 17°31.02 (S 17.5171) [S 17°31'01.75]</v>
      </c>
      <c r="V183" s="565"/>
      <c r="W183" s="565"/>
      <c r="X183" s="565"/>
      <c r="Y183" s="565"/>
      <c r="Z183" s="565"/>
      <c r="AC183" t="s">
        <v>221</v>
      </c>
      <c r="AD183" s="90">
        <f>M183</f>
        <v>79.212489747150599</v>
      </c>
    </row>
    <row r="184" spans="2:31" ht="17.25" hidden="1" customHeight="1" outlineLevel="1" thickTop="1" thickBot="1">
      <c r="D184" s="105" t="s">
        <v>42</v>
      </c>
      <c r="E184" s="647">
        <f>G34</f>
        <v>63</v>
      </c>
      <c r="F184" s="647"/>
      <c r="R184" s="103" t="s">
        <v>42</v>
      </c>
      <c r="S184" s="564">
        <f>AD187</f>
        <v>119.71432549261726</v>
      </c>
      <c r="T184" s="564"/>
      <c r="U184" s="565" t="str" cm="1">
        <f t="array" ref="U184">longitudeDecimal2Txt(S184)</f>
        <v>E 119°42.85 (E 119.7143) [E 119°42'51.57]</v>
      </c>
      <c r="V184" s="565"/>
      <c r="W184" s="565"/>
      <c r="X184" s="565"/>
      <c r="Y184" s="565"/>
      <c r="Z184" s="565"/>
      <c r="AC184" s="14"/>
      <c r="AD184" s="14"/>
    </row>
    <row r="185" spans="2:31" ht="17.25" hidden="1" customHeight="1" outlineLevel="1" thickTop="1">
      <c r="D185" s="14"/>
      <c r="AC185" t="s">
        <v>237</v>
      </c>
      <c r="AD185">
        <f>E183+AD182*COS(AD183*Outils!$F$4)</f>
        <v>-17.517154919982183</v>
      </c>
    </row>
    <row r="186" spans="2:31" ht="17.25" hidden="1" customHeight="1" outlineLevel="1">
      <c r="C186"/>
      <c r="D186"/>
      <c r="E186"/>
      <c r="Q186" s="1409" t="s">
        <v>236</v>
      </c>
      <c r="R186" s="1409"/>
      <c r="S186" s="1409"/>
      <c r="AC186" t="s">
        <v>238</v>
      </c>
      <c r="AD186">
        <f>(E183+AD185)/2</f>
        <v>-22.508577459991091</v>
      </c>
    </row>
    <row r="187" spans="2:31" ht="17.25" hidden="1" customHeight="1" outlineLevel="1">
      <c r="R187" s="564">
        <f>M183-90</f>
        <v>-10.787510252849401</v>
      </c>
      <c r="S187" s="564"/>
      <c r="T187" s="48" t="s">
        <v>28</v>
      </c>
      <c r="AC187" t="s">
        <v>239</v>
      </c>
      <c r="AD187">
        <f>E184+(AD182*SIN(M183*Outils!$F$4)/COS(AD186*Outils!$F$4))</f>
        <v>119.71432549261726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7" t="s">
        <v>240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9"/>
    </row>
    <row r="191" spans="2:31" customFormat="1" ht="17.25" hidden="1" customHeight="1" outlineLevel="1">
      <c r="AD191" s="90"/>
    </row>
    <row r="192" spans="2:31" customFormat="1" ht="17.25" hidden="1" customHeight="1" outlineLevel="1" thickBot="1">
      <c r="C192" s="639" t="s">
        <v>235</v>
      </c>
      <c r="D192" s="639"/>
      <c r="E192" s="639"/>
      <c r="F192" s="639"/>
      <c r="G192" s="88"/>
      <c r="H192" s="14"/>
      <c r="I192" s="14"/>
      <c r="J192" s="14"/>
      <c r="K192" s="14"/>
      <c r="L192" s="14"/>
      <c r="Q192" s="102" t="s">
        <v>241</v>
      </c>
      <c r="R192" s="102"/>
      <c r="S192" s="102"/>
      <c r="T192" s="102"/>
      <c r="U192" s="102"/>
      <c r="V192" s="102"/>
      <c r="W192" s="102"/>
      <c r="AC192" t="s">
        <v>270</v>
      </c>
      <c r="AD192" s="90"/>
      <c r="AE192" t="b">
        <f>(ABS(D197-90)&lt;0.1)</f>
        <v>0</v>
      </c>
    </row>
    <row r="193" spans="2:33" customFormat="1" ht="17.25" hidden="1" customHeight="1" outlineLevel="1" thickTop="1" thickBot="1">
      <c r="D193" s="104" t="s">
        <v>41</v>
      </c>
      <c r="E193" s="640">
        <v>46</v>
      </c>
      <c r="F193" s="640"/>
      <c r="G193" s="565" t="str" cm="1">
        <f t="array" ref="G193">latitudeDecimal2Txt(E193)</f>
        <v>N 46°00.00 (N 46.0000) [N 46°00'00.00]</v>
      </c>
      <c r="H193" s="565"/>
      <c r="I193" s="565"/>
      <c r="J193" s="565"/>
      <c r="K193" s="565"/>
      <c r="L193" s="565"/>
      <c r="R193" s="103" t="s">
        <v>41</v>
      </c>
      <c r="S193" s="564">
        <f>AG197</f>
        <v>616.68986803150074</v>
      </c>
      <c r="T193" s="564"/>
      <c r="U193" s="565" t="str" cm="1">
        <f t="array" ref="U193">latitudeDecimal2Txt(S193)</f>
        <v>N 00°00.00 (N 00.0000) [N 00°00'00.00]</v>
      </c>
      <c r="V193" s="565"/>
      <c r="W193" s="565"/>
      <c r="X193" s="565"/>
      <c r="Y193" s="565"/>
      <c r="Z193" s="565"/>
      <c r="AC193" s="118" t="s">
        <v>271</v>
      </c>
      <c r="AD193" s="119">
        <f>R187</f>
        <v>-10.787510252849401</v>
      </c>
    </row>
    <row r="194" spans="2:33" customFormat="1" ht="17.25" hidden="1" customHeight="1" outlineLevel="1" thickTop="1" thickBot="1">
      <c r="D194" s="104" t="s">
        <v>42</v>
      </c>
      <c r="E194" s="640">
        <v>-7</v>
      </c>
      <c r="F194" s="640"/>
      <c r="G194" s="565" t="str" cm="1">
        <f t="array" ref="G194">longitudeDecimal2Txt(E194)</f>
        <v>W 07°00.00 (W 07.0000) [W 07°00'00.00]</v>
      </c>
      <c r="H194" s="565"/>
      <c r="I194" s="565"/>
      <c r="J194" s="565"/>
      <c r="K194" s="565"/>
      <c r="L194" s="565"/>
      <c r="R194" s="103" t="s">
        <v>42</v>
      </c>
      <c r="S194" s="564">
        <f>AG198</f>
        <v>-7.0000000000000995</v>
      </c>
      <c r="T194" s="564"/>
      <c r="U194" s="565" t="str" cm="1">
        <f t="array" ref="U194">longitudeDecimal2Txt(S194)</f>
        <v>W 07°00.00 (W 07.0000) [W 07°00'00.00]</v>
      </c>
      <c r="V194" s="565"/>
      <c r="W194" s="565"/>
      <c r="X194" s="565"/>
      <c r="Y194" s="565"/>
      <c r="Z194" s="565"/>
      <c r="AC194" s="120" t="s">
        <v>273</v>
      </c>
      <c r="AD194" s="119">
        <f>S183</f>
        <v>-17.517154919982183</v>
      </c>
    </row>
    <row r="195" spans="2:33" customFormat="1" ht="17.25" hidden="1" customHeight="1" outlineLevel="1" thickTop="1"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AC195" s="118" t="s">
        <v>274</v>
      </c>
      <c r="AD195" s="119">
        <f>S184</f>
        <v>119.71432549261726</v>
      </c>
    </row>
    <row r="196" spans="2:33" customFormat="1" ht="17.25" hidden="1" customHeight="1" outlineLevel="1">
      <c r="C196" s="639" t="s">
        <v>236</v>
      </c>
      <c r="D196" s="639"/>
      <c r="E196" s="639"/>
      <c r="F196" s="106"/>
      <c r="G196" s="14"/>
      <c r="H196" s="14"/>
      <c r="I196" s="14"/>
      <c r="J196" s="14"/>
      <c r="K196" s="14"/>
      <c r="L196" s="14"/>
      <c r="AC196" s="118" t="s">
        <v>242</v>
      </c>
      <c r="AD196" s="118">
        <f>TAN(AD193*Outils!F4) * (1 / COS(AD194*Outils!F4))</f>
        <v>-0.19979962521214631</v>
      </c>
    </row>
    <row r="197" spans="2:33" customFormat="1" ht="17.25" hidden="1" customHeight="1" outlineLevel="1">
      <c r="D197" s="640">
        <v>180</v>
      </c>
      <c r="E197" s="640"/>
      <c r="F197" s="110" t="s">
        <v>28</v>
      </c>
      <c r="G197" s="14"/>
      <c r="H197" s="14"/>
      <c r="I197" s="14"/>
      <c r="J197" s="14"/>
      <c r="K197" s="14"/>
      <c r="L197" s="14"/>
      <c r="AC197" s="118" t="s">
        <v>243</v>
      </c>
      <c r="AD197" s="118">
        <f>AD195-AD194*AD196</f>
        <v>116.21440450482172</v>
      </c>
      <c r="AE197" s="1611" t="s">
        <v>278</v>
      </c>
      <c r="AF197" s="1611"/>
      <c r="AG197" s="121">
        <f>(AD202-AD197)/(AD196-AD201)</f>
        <v>616.68986803150074</v>
      </c>
    </row>
    <row r="198" spans="2:33" customFormat="1" ht="15" hidden="1" outlineLevel="1">
      <c r="AC198" s="115" t="s">
        <v>272</v>
      </c>
      <c r="AD198" s="116">
        <f>D197</f>
        <v>180</v>
      </c>
      <c r="AE198" s="1611"/>
      <c r="AF198" s="1611"/>
      <c r="AG198" s="121">
        <f>AD196*AG197+AD197</f>
        <v>-7.0000000000000995</v>
      </c>
    </row>
    <row r="199" spans="2:33" customFormat="1" ht="18.75" hidden="1" outlineLevel="1">
      <c r="S199" s="14"/>
      <c r="T199" s="14"/>
      <c r="AC199" s="117" t="s">
        <v>273</v>
      </c>
      <c r="AD199" s="116">
        <f>E193</f>
        <v>46</v>
      </c>
    </row>
    <row r="200" spans="2:33" customFormat="1" ht="18" hidden="1" outlineLevel="1">
      <c r="AC200" s="115" t="s">
        <v>274</v>
      </c>
      <c r="AD200" s="116">
        <f>E194</f>
        <v>-7</v>
      </c>
      <c r="AE200" s="1611" t="s">
        <v>279</v>
      </c>
      <c r="AF200" s="1611"/>
      <c r="AG200" s="122">
        <f>E193</f>
        <v>46</v>
      </c>
    </row>
    <row r="201" spans="2:33" customFormat="1" ht="17.25" hidden="1" customHeight="1" outlineLevel="1">
      <c r="P201" s="14"/>
      <c r="Q201" s="14"/>
      <c r="AC201" s="115" t="s">
        <v>275</v>
      </c>
      <c r="AD201" s="115">
        <f>TAN(AD198*Outils!F4) * (1 / COS(AD199*Outils!F4))</f>
        <v>-1.7636704702760584E-16</v>
      </c>
      <c r="AE201" s="1611"/>
      <c r="AF201" s="1611"/>
      <c r="AG201" s="121">
        <f>E194+(E193-S183)*TAN(R187*Outils!F4)/COS(Outils!F4*S183)</f>
        <v>-19.690703747554274</v>
      </c>
    </row>
    <row r="202" spans="2:33" customFormat="1" ht="17.25" hidden="1" customHeight="1" outlineLevel="1">
      <c r="AC202" s="115" t="s">
        <v>276</v>
      </c>
      <c r="AD202" s="115">
        <f>AD200-AD199*AD201</f>
        <v>-6.999999999999992</v>
      </c>
    </row>
    <row r="203" spans="2:33" customFormat="1" ht="15" hidden="1" outlineLevel="1">
      <c r="K203" s="14"/>
      <c r="L203" s="14"/>
      <c r="AE203" s="1611" t="s">
        <v>277</v>
      </c>
      <c r="AF203" s="1611"/>
      <c r="AG203" s="121">
        <f>IF($AE$192,AG200,AG197)</f>
        <v>616.68986803150074</v>
      </c>
    </row>
    <row r="204" spans="2:33" customFormat="1" ht="15" hidden="1" outlineLevel="1">
      <c r="K204" s="14"/>
      <c r="L204" s="14"/>
      <c r="AC204" s="115"/>
      <c r="AE204" s="1611"/>
      <c r="AF204" s="1611"/>
      <c r="AG204" s="121">
        <f>IF($AE$192,AG201,AG198)</f>
        <v>-7.0000000000000995</v>
      </c>
    </row>
    <row r="205" spans="2:33" customFormat="1" ht="15.75" collapsed="1" thickBot="1">
      <c r="K205" s="14"/>
      <c r="L205" s="14"/>
    </row>
    <row r="206" spans="2:33" customFormat="1" ht="15.75" thickBot="1">
      <c r="B206" s="107" t="s">
        <v>493</v>
      </c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9"/>
    </row>
    <row r="207" spans="2:33" customFormat="1" ht="15">
      <c r="K207" s="90"/>
      <c r="L207" s="90"/>
    </row>
    <row r="208" spans="2:33" customFormat="1" ht="15">
      <c r="B208" s="1379" t="s">
        <v>1</v>
      </c>
      <c r="C208" s="1379"/>
      <c r="D208" s="1379" t="str">
        <f>E7</f>
        <v>2010/05/05</v>
      </c>
      <c r="E208" s="1379"/>
      <c r="F208" s="1379"/>
      <c r="G208" s="1379"/>
      <c r="H208" s="206" t="s">
        <v>2</v>
      </c>
      <c r="I208" s="1379" t="str">
        <f>I7</f>
        <v>08:18:53.00(08.3147)</v>
      </c>
      <c r="J208" s="1379"/>
      <c r="K208" s="1379"/>
      <c r="L208" s="1379"/>
    </row>
    <row r="209" spans="2:65" customFormat="1" ht="15">
      <c r="B209" s="1381" t="s">
        <v>30</v>
      </c>
      <c r="C209" s="1381"/>
      <c r="D209" s="1672" t="s">
        <v>33</v>
      </c>
      <c r="E209" s="1381"/>
      <c r="F209" s="200"/>
      <c r="G209" s="200"/>
      <c r="H209" s="200"/>
      <c r="I209" s="200"/>
      <c r="J209" s="200"/>
      <c r="K209" s="200"/>
      <c r="L209" s="200"/>
      <c r="AA209" s="197"/>
    </row>
    <row r="210" spans="2:65" customFormat="1" ht="15">
      <c r="B210" s="196"/>
      <c r="C210" s="196"/>
      <c r="D210" s="199"/>
      <c r="E210" s="196"/>
      <c r="AA210" s="197"/>
    </row>
    <row r="211" spans="2:65" s="90" customFormat="1" ht="17.25" customHeight="1" thickBot="1">
      <c r="B211" s="203" t="s">
        <v>391</v>
      </c>
      <c r="C211" s="203"/>
      <c r="D211" s="203"/>
      <c r="E211" s="203"/>
      <c r="F211" s="202"/>
      <c r="G211" s="202"/>
      <c r="H211" s="201"/>
      <c r="I211" s="201"/>
      <c r="J211" s="201"/>
      <c r="K211" s="201"/>
      <c r="L211" s="201"/>
      <c r="M211" s="201"/>
      <c r="N211" s="201"/>
      <c r="O211" s="201"/>
      <c r="P211" s="201"/>
      <c r="Q211" s="201"/>
      <c r="AB211" s="59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0" customFormat="1" ht="17.25" customHeight="1" thickTop="1">
      <c r="C212" s="1383" t="s">
        <v>392</v>
      </c>
      <c r="D212" s="1383"/>
      <c r="E212" s="1383" t="str" cm="1">
        <f t="array" ref="E212">angleDecimal2Txt(angleConvert2Decimal(M21))</f>
        <v>+18°55.00 (+18.9166) [+18°55'00.00]</v>
      </c>
      <c r="F212" s="1383"/>
      <c r="G212" s="1383"/>
      <c r="H212" s="1383"/>
      <c r="I212" s="1383"/>
      <c r="AB212" s="59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0" customFormat="1" ht="17.25" customHeight="1">
      <c r="C213" s="1357" t="s">
        <v>70</v>
      </c>
      <c r="D213" s="1357"/>
      <c r="E213" s="1357" t="str">
        <f>J23</f>
        <v>BordInf</v>
      </c>
      <c r="F213" s="1357"/>
      <c r="G213" s="1357"/>
      <c r="H213" s="1357"/>
      <c r="I213" s="1357"/>
      <c r="AB213" s="59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0" customFormat="1" ht="17.25" customHeight="1">
      <c r="C214" s="1377" t="s">
        <v>393</v>
      </c>
      <c r="D214" s="1377"/>
      <c r="E214" s="1378" t="str" cm="1">
        <f t="array" ref="E214">angleDecimal2Txt(angleConvert2Decimal(M20))</f>
        <v>+00°03.00 (+00.0500) [+00°03'00.00]</v>
      </c>
      <c r="F214" s="1378"/>
      <c r="G214" s="1378"/>
      <c r="H214" s="1378"/>
      <c r="I214" s="1378"/>
      <c r="AB214" s="59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0" customFormat="1" ht="17.25" customHeight="1">
      <c r="C215" s="1379" t="s">
        <v>394</v>
      </c>
      <c r="D215" s="1379"/>
      <c r="E215" s="1380" t="str">
        <f>CONCATENATE(M19, " m")</f>
        <v>4 m</v>
      </c>
      <c r="F215" s="1380"/>
      <c r="G215" s="1380"/>
      <c r="H215" s="1380"/>
      <c r="I215" s="1380"/>
      <c r="AB215" s="59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0" customFormat="1" ht="17.25" customHeight="1">
      <c r="E216" s="1376" t="str" cm="1">
        <f t="array" ref="E216">angleDecimal2Txt(O118)</f>
        <v>+18°48.48 (+18.8080) [+18°48'29.04]</v>
      </c>
      <c r="F216" s="1376"/>
      <c r="G216" s="1376"/>
      <c r="H216" s="1376"/>
      <c r="I216" s="1376"/>
      <c r="J216" s="1376" t="s">
        <v>396</v>
      </c>
      <c r="K216" s="1376"/>
      <c r="L216" s="1376"/>
      <c r="AB216" s="59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0" customFormat="1" ht="17.25" customHeight="1">
      <c r="E217" s="204"/>
      <c r="F217" s="1361" t="s">
        <v>394</v>
      </c>
      <c r="G217" s="1356"/>
      <c r="H217" s="1375" t="str" cm="1">
        <f t="array" ref="H217">angleDecimal2Txt(O116)</f>
        <v>+00°03.51 (+00.0586) [+00°03'30.96]</v>
      </c>
      <c r="I217" s="1375"/>
      <c r="J217" s="1375"/>
      <c r="K217" s="1375"/>
      <c r="L217" s="1375"/>
      <c r="AB217" s="59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0" customFormat="1" ht="17.25" customHeight="1">
      <c r="F218" s="1371" t="s">
        <v>401</v>
      </c>
      <c r="G218" s="1371"/>
      <c r="H218" s="1375" t="str" cm="1">
        <f t="array" ref="H218">angleDecimal2Txt(O127)</f>
        <v>+00°02.88 (+00.0480) [+00°02'52.92]</v>
      </c>
      <c r="I218" s="1375"/>
      <c r="J218" s="1375"/>
      <c r="K218" s="1375"/>
      <c r="L218" s="1375"/>
      <c r="AB218" s="59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0" customFormat="1" ht="17.25" customHeight="1">
      <c r="F219" s="1361" t="s">
        <v>426</v>
      </c>
      <c r="G219" s="1356"/>
      <c r="H219" s="1496" t="str" cm="1">
        <f t="array" ref="H219">angleDecimal2Txt(O121)</f>
        <v>+00°54.90 (+00.9150) [+00°54'54.33]</v>
      </c>
      <c r="I219" s="1362"/>
      <c r="J219" s="1362"/>
      <c r="K219" s="1362"/>
      <c r="L219" s="1675"/>
      <c r="AB219" s="5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0" customFormat="1" ht="17.25" customHeight="1">
      <c r="F220" s="1371" t="s">
        <v>402</v>
      </c>
      <c r="G220" s="1371"/>
      <c r="H220" s="1371" t="str" cm="1">
        <f t="array" ref="H220">angleDecimal2Txt(O122)</f>
        <v>+00°51.97 (+00.8662) [+00°51'58.41]</v>
      </c>
      <c r="I220" s="1371"/>
      <c r="J220" s="1371"/>
      <c r="K220" s="1371"/>
      <c r="L220" s="1371"/>
      <c r="AB220" s="59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0" customFormat="1" ht="17.25" customHeight="1">
      <c r="F221" s="1371" t="s">
        <v>100</v>
      </c>
      <c r="G221" s="1371"/>
      <c r="H221" s="1371" t="str" cm="1">
        <f t="array" ref="H221">angleDecimal2Txt(O129)</f>
        <v>+00°29.94 (+00.4990) [+00°29'56.60]</v>
      </c>
      <c r="I221" s="1371"/>
      <c r="J221" s="1371"/>
      <c r="K221" s="1371"/>
      <c r="L221" s="1371"/>
      <c r="AB221" s="59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0" customFormat="1" ht="17.25" customHeight="1">
      <c r="F222" s="1371" t="s">
        <v>71</v>
      </c>
      <c r="G222" s="1371"/>
      <c r="H222" s="1371" t="str" cm="1">
        <f t="array" ref="H222">angleDecimal2Txt(O131)</f>
        <v>+00°14.97 (+00.2495) [+00°14'58.30]</v>
      </c>
      <c r="I222" s="1371"/>
      <c r="J222" s="1371"/>
      <c r="K222" s="1371"/>
      <c r="L222" s="1371"/>
      <c r="AB222" s="59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0" customFormat="1" ht="17.25" customHeight="1">
      <c r="D223" s="198"/>
      <c r="E223" s="1376" t="str" cm="1">
        <f t="array" ref="E223">angleDecimal2Txt(F111)</f>
        <v>+19°52.54 (+19.8757) [+19°52'32.83]</v>
      </c>
      <c r="F223" s="1376"/>
      <c r="G223" s="1376"/>
      <c r="H223" s="1376"/>
      <c r="I223" s="1376"/>
      <c r="J223" s="1376" t="s">
        <v>395</v>
      </c>
      <c r="K223" s="1376"/>
      <c r="L223" s="1376"/>
      <c r="AB223" s="59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0" customFormat="1" ht="17.25" customHeight="1">
      <c r="D224" s="198"/>
      <c r="F224" s="1371" t="str" cm="1">
        <f t="array" ref="F224">angleDecimal2Txt(O122-O127-O116)</f>
        <v>+00°45.57 (+00.7595) [+00°45'34.53]</v>
      </c>
      <c r="G224" s="1371"/>
      <c r="H224" s="1371"/>
      <c r="I224" s="1371"/>
      <c r="J224" s="1371"/>
      <c r="K224" s="1371" t="s">
        <v>403</v>
      </c>
      <c r="L224" s="1371"/>
      <c r="M224" s="1371"/>
      <c r="N224" s="1372" t="s">
        <v>418</v>
      </c>
      <c r="O224" s="1372"/>
      <c r="P224" s="1372"/>
      <c r="AB224" s="59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0" customFormat="1" ht="17.25" customHeight="1">
      <c r="D225" s="198"/>
      <c r="F225" s="1371" t="str" cm="1">
        <f t="array" ref="F225">angleDecimal2Txt(O122-O127-O116+O131)</f>
        <v>+01°00.54 (+01.0091) [+01°00'32.83]</v>
      </c>
      <c r="G225" s="1371"/>
      <c r="H225" s="1371"/>
      <c r="I225" s="1371"/>
      <c r="J225" s="1371"/>
      <c r="K225" s="1371" t="s">
        <v>399</v>
      </c>
      <c r="L225" s="1371"/>
      <c r="M225" s="1371"/>
      <c r="N225" s="1372"/>
      <c r="O225" s="1372"/>
      <c r="P225" s="1372"/>
      <c r="AB225" s="59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0" customFormat="1" ht="17.25" customHeight="1">
      <c r="D226" s="198"/>
      <c r="F226" s="1371" t="str" cm="1">
        <f t="array" ref="F226">angleDecimal2Txt(O122-O127+O131)</f>
        <v>+01°04.06 (+01.0677) [+01°04'03.79]</v>
      </c>
      <c r="G226" s="1371"/>
      <c r="H226" s="1371"/>
      <c r="I226" s="1371"/>
      <c r="J226" s="1371"/>
      <c r="K226" s="1371" t="s">
        <v>400</v>
      </c>
      <c r="L226" s="1371"/>
      <c r="M226" s="1371"/>
      <c r="N226" s="1372"/>
      <c r="O226" s="1372"/>
      <c r="P226" s="1372"/>
      <c r="AB226" s="59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0" customFormat="1" ht="17.25" customHeight="1">
      <c r="AB227" s="59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0" customFormat="1" ht="17.25" customHeight="1">
      <c r="C228" s="198"/>
      <c r="AB228" s="59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0" customFormat="1" ht="17.25" customHeight="1" thickBot="1">
      <c r="B229" s="201" t="s">
        <v>62</v>
      </c>
      <c r="C229" s="202"/>
      <c r="D229" s="202"/>
      <c r="E229" s="202"/>
      <c r="F229" s="202"/>
      <c r="G229" s="202"/>
      <c r="H229" s="201"/>
      <c r="I229" s="201"/>
      <c r="J229" s="201"/>
      <c r="K229" s="201"/>
      <c r="L229" s="201"/>
      <c r="M229" s="201"/>
      <c r="N229" s="201"/>
      <c r="O229" s="201"/>
      <c r="P229" s="201"/>
      <c r="Q229" s="201"/>
      <c r="AB229" s="5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0" customFormat="1" ht="17.25" customHeight="1" thickTop="1">
      <c r="C230" s="1373" t="s">
        <v>404</v>
      </c>
      <c r="D230" s="1373"/>
      <c r="E230" s="1373" t="str" cm="1">
        <f t="array" ref="E230">latitudeDecimal2Txt(G32)</f>
        <v>S 27°30.00 (S 27.5000) [S 27°30'00.00]</v>
      </c>
      <c r="F230" s="1373"/>
      <c r="G230" s="1373"/>
      <c r="H230" s="1373"/>
      <c r="I230" s="1373"/>
      <c r="J230" s="1373"/>
      <c r="AB230" s="59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0" customFormat="1" ht="17.25" customHeight="1">
      <c r="C231" s="1357" t="s">
        <v>405</v>
      </c>
      <c r="D231" s="1357"/>
      <c r="E231" s="1357" t="str" cm="1">
        <f t="array" ref="E231">longitudeDecimal2Txt(G34)</f>
        <v>E 63°00.00 (E 63.0000) [E 63°00'00.00]</v>
      </c>
      <c r="F231" s="1357"/>
      <c r="G231" s="1357"/>
      <c r="H231" s="1357"/>
      <c r="I231" s="1357"/>
      <c r="J231" s="1357"/>
      <c r="AB231" s="59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0" customFormat="1" ht="17.25" customHeight="1">
      <c r="F232" s="1372" t="str">
        <f>CONCATENATE("GHA - ", G88)</f>
        <v>GHA - Par vitesse</v>
      </c>
      <c r="G232" s="1372"/>
      <c r="H232" s="1371" t="str">
        <f>IF($G$88=$AD$88,K91,CONCATENATE("T0:",M100))</f>
        <v>T0:</v>
      </c>
      <c r="I232" s="1371"/>
      <c r="J232" s="1371"/>
      <c r="K232" s="1371" t="str" cm="1">
        <f t="array" ref="K232">IF($G$88=$AD$88,angleDecimal2Txt(AE91,0),CONCATENATE("Pos. à T0:",angleDecimal2Txt(AD99,0)))</f>
        <v>Pos. à T0:+180°02.00</v>
      </c>
      <c r="L232" s="1371"/>
      <c r="M232" s="1371"/>
      <c r="AB232" s="59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0" customFormat="1" ht="17.25" customHeight="1">
      <c r="F233" s="1372"/>
      <c r="G233" s="1372"/>
      <c r="H233" s="1371" t="str" cm="1">
        <f t="array" ref="H233">IF($G$88=$AD$88,K93,CONCATENATE("V:",angleDecimal2Txt(AD101,0)))</f>
        <v>V:+14°59.87</v>
      </c>
      <c r="I233" s="1371"/>
      <c r="J233" s="1371"/>
      <c r="K233" s="1371" t="str" cm="1">
        <f t="array" ref="K233">IF($G$88=$AD$88,angleDecimal2Txt(AE92,0),CONCATENATE("dt:",TEXT((I100-M100),"0.000")," h"))</f>
        <v>dt:0.000 h</v>
      </c>
      <c r="L233" s="1371"/>
      <c r="M233" s="1371"/>
      <c r="AB233" s="59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0" customFormat="1" ht="17.25" customHeight="1">
      <c r="C234" s="1516" t="s">
        <v>406</v>
      </c>
      <c r="D234" s="1516"/>
      <c r="E234" s="1516" t="str" cm="1">
        <f t="array" ref="E234">angleDecimal2Txt(F87)</f>
        <v>+180°02.00 (+180.0333) [+180°02'00.00]</v>
      </c>
      <c r="F234" s="1516"/>
      <c r="G234" s="1516"/>
      <c r="H234" s="1516"/>
      <c r="I234" s="1516"/>
      <c r="J234" s="1516"/>
      <c r="AB234" s="59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0" customFormat="1" ht="17.25" customHeight="1">
      <c r="C235" s="1516" t="s">
        <v>43</v>
      </c>
      <c r="D235" s="1516"/>
      <c r="E235" s="1516" t="str">
        <f>R109</f>
        <v>+243°02.00 (+243.0333) [+243°02'00.00]</v>
      </c>
      <c r="F235" s="1516"/>
      <c r="G235" s="1516"/>
      <c r="H235" s="1516"/>
      <c r="I235" s="1516"/>
      <c r="J235" s="1516"/>
      <c r="AB235" s="59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0" customFormat="1" ht="17.25" customHeight="1">
      <c r="F236" s="1372" t="str">
        <f>CONCATENATE("Déc. - ", G38)</f>
        <v>Déc. - Par interval</v>
      </c>
      <c r="G236" s="1372"/>
      <c r="H236" s="1371">
        <f>IF($G$38=$AD$38,K41,CONCATENATE("T0:",M50))</f>
        <v>10</v>
      </c>
      <c r="I236" s="1371"/>
      <c r="J236" s="1371" t="str" cm="1">
        <f t="array" ref="J236">IF($G$38=$AD$38,angleDecimal2Txt(AE41,0),CONCATENATE("Pos. à T0:",angleDecimal2Txt(AD49,0)))</f>
        <v>+23°08.50</v>
      </c>
      <c r="K236" s="1371"/>
      <c r="L236" s="1371"/>
      <c r="M236" s="1371"/>
      <c r="AB236" s="59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0" customFormat="1" ht="17.25" customHeight="1">
      <c r="F237" s="1372"/>
      <c r="G237" s="1372"/>
      <c r="H237" s="1371" cm="1">
        <f t="array" ref="H237">IF($G$38=$AD$38,K43,CONCATENATE("V:",angleDecimal2Txt(AD51,0)))</f>
        <v>11</v>
      </c>
      <c r="I237" s="1371"/>
      <c r="J237" s="1371" t="str" cm="1">
        <f t="array" ref="J237">IF($G$38=$AD$38,angleDecimal2Txt(AE42,0),CONCATENATE("dt:",TEXT((I50-M50),"0.000")," h"))</f>
        <v>+23°08.30</v>
      </c>
      <c r="K237" s="1371"/>
      <c r="L237" s="1371"/>
      <c r="M237" s="1371"/>
      <c r="AB237" s="59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0" customFormat="1" ht="17.25" customHeight="1">
      <c r="C238" s="1516" t="s">
        <v>9</v>
      </c>
      <c r="D238" s="1516"/>
      <c r="E238" s="1516" t="str" cm="1">
        <f t="array" ref="E238">latitudeDecimal2Txt(F37)</f>
        <v>N 23°08.83 (N 23.1472) [N 23°08'50.22]</v>
      </c>
      <c r="F238" s="1516"/>
      <c r="G238" s="1516"/>
      <c r="H238" s="1516"/>
      <c r="I238" s="1516"/>
      <c r="J238" s="1516"/>
      <c r="AB238" s="59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0" customFormat="1" ht="17.25" customHeight="1">
      <c r="C239" s="1553" t="s">
        <v>277</v>
      </c>
      <c r="D239" s="1516"/>
      <c r="E239" s="1516" t="str" cm="1">
        <f t="array" ref="E239">angleDecimal2Txt(F58)</f>
        <v>+00°54.90 (+00.9150) [+00°54'54.33]</v>
      </c>
      <c r="F239" s="1516"/>
      <c r="G239" s="1516"/>
      <c r="H239" s="1516"/>
      <c r="I239" s="1516"/>
      <c r="J239" s="1516"/>
      <c r="AB239" s="5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0" customFormat="1" ht="17.25" customHeight="1">
      <c r="C240" s="1516" t="s">
        <v>613</v>
      </c>
      <c r="D240" s="1516"/>
      <c r="E240" s="1516" t="str" cm="1">
        <f t="array" ref="E240">angleDecimal2Txt(T58)</f>
        <v>+00°29.94 (+00.4990) [+00°29'56.60]</v>
      </c>
      <c r="F240" s="1516"/>
      <c r="G240" s="1516"/>
      <c r="H240" s="1516"/>
      <c r="I240" s="1516"/>
      <c r="J240" s="1516"/>
      <c r="AB240" s="59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0" customFormat="1" ht="17.25" customHeight="1">
      <c r="F241" s="1371" t="s">
        <v>408</v>
      </c>
      <c r="G241" s="1371"/>
      <c r="H241" s="1371">
        <f>SIN(U154)</f>
        <v>0.39309608032963606</v>
      </c>
      <c r="I241" s="1371"/>
      <c r="J241" s="1371">
        <f>SIN(U155)</f>
        <v>-0.46174861323503391</v>
      </c>
      <c r="K241" s="1371"/>
      <c r="L241" s="1371" t="s">
        <v>409</v>
      </c>
      <c r="M241" s="1371"/>
      <c r="AB241" s="59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0" customFormat="1" ht="17.25" customHeight="1">
      <c r="F242" s="1371" t="s">
        <v>407</v>
      </c>
      <c r="G242" s="1371"/>
      <c r="H242" s="1371">
        <f>COS(U154)</f>
        <v>0.91949740164367855</v>
      </c>
      <c r="I242" s="1371"/>
      <c r="J242" s="1371">
        <f>COS(U155)</f>
        <v>0.88701083317822171</v>
      </c>
      <c r="K242" s="1371"/>
      <c r="L242" s="1371" t="s">
        <v>410</v>
      </c>
      <c r="M242" s="1371"/>
      <c r="AB242" s="59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0" customFormat="1" ht="17.25" customHeight="1">
      <c r="F243" s="1374" t="s">
        <v>411</v>
      </c>
      <c r="G243" s="1374"/>
      <c r="H243" s="1374">
        <f>COS(U156)</f>
        <v>-0.45347205635565419</v>
      </c>
      <c r="I243" s="1374"/>
      <c r="J243" s="205"/>
      <c r="K243" s="205"/>
      <c r="L243" s="205"/>
      <c r="M243" s="205"/>
      <c r="AB243" s="59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0" customFormat="1" ht="17.25" customHeight="1">
      <c r="F244" s="1674" t="s">
        <v>412</v>
      </c>
      <c r="G244" s="1674"/>
      <c r="H244" s="1674"/>
      <c r="I244" s="1674"/>
      <c r="J244" s="1674"/>
      <c r="K244" s="1674"/>
      <c r="L244" s="1674"/>
      <c r="M244" s="1674"/>
      <c r="AB244" s="59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0" customFormat="1" ht="17.25" customHeight="1">
      <c r="F245" s="1371" t="s">
        <v>419</v>
      </c>
      <c r="G245" s="1371"/>
      <c r="H245" s="1371">
        <f>H241*J241+H242*J242*H243</f>
        <v>-0.55136526390677154</v>
      </c>
      <c r="I245" s="1371"/>
      <c r="J245" s="1371"/>
      <c r="K245" s="1371"/>
      <c r="L245" s="1371"/>
      <c r="M245" s="1371"/>
      <c r="AB245" s="59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0" customFormat="1" ht="17.25" customHeight="1">
      <c r="C246" s="1376" t="s">
        <v>413</v>
      </c>
      <c r="D246" s="1376"/>
      <c r="E246" s="1376" t="str" cm="1">
        <f t="array" ref="E246">angleDecimal2Txt(I154)</f>
        <v>-33°27.64 (-33.4607) [-33°27'38.61]</v>
      </c>
      <c r="F246" s="1376"/>
      <c r="G246" s="1376"/>
      <c r="H246" s="1376"/>
      <c r="I246" s="1376"/>
      <c r="J246" s="1376"/>
      <c r="AB246" s="59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0" customFormat="1" ht="17.25" customHeight="1">
      <c r="C247" s="1679" t="s">
        <v>612</v>
      </c>
      <c r="D247" s="1680"/>
      <c r="E247" s="1376" t="str" cm="1">
        <f t="array" ref="E247">angleDecimal2Txt(T159,0)</f>
        <v>+53°20.19</v>
      </c>
      <c r="F247" s="1376"/>
      <c r="G247" s="1376"/>
      <c r="H247" s="1376"/>
      <c r="I247" s="1376"/>
      <c r="J247" s="1376"/>
      <c r="AB247" s="59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1681"/>
      <c r="D248" s="1682"/>
      <c r="E248" s="1505" t="str">
        <f>CONCATENATE(TEXT(V159,"0.00"),"  Mn")</f>
        <v>32.00  Mn</v>
      </c>
      <c r="F248" s="1505"/>
      <c r="G248" s="1505"/>
      <c r="H248" s="1505"/>
      <c r="I248" s="1505"/>
      <c r="J248" s="1505"/>
      <c r="O248" s="1676" t="s">
        <v>452</v>
      </c>
      <c r="P248" s="1673" t="str" cm="1">
        <f t="array" ref="P248">latitudeDecimal2Txt(V160,0)</f>
        <v>N 23°08.83</v>
      </c>
      <c r="Q248" s="1673"/>
    </row>
    <row r="249" spans="3:65" ht="17.25" customHeight="1">
      <c r="C249" s="1683"/>
      <c r="D249" s="1684"/>
      <c r="E249" s="1505" t="str">
        <f>Y159</f>
        <v>Vers Pg</v>
      </c>
      <c r="F249" s="1685"/>
      <c r="G249" s="1685"/>
      <c r="H249" s="1685"/>
      <c r="I249" s="1685"/>
      <c r="J249" s="1685"/>
      <c r="O249" s="1673"/>
      <c r="P249" s="1673" t="str" cm="1">
        <f t="array" ref="P249">longitudeDecimal2Txt(V161,0)</f>
        <v>E 179°58.00</v>
      </c>
      <c r="Q249" s="1673"/>
    </row>
    <row r="250" spans="3:65" ht="17.25" customHeight="1">
      <c r="F250" s="1686" t="s">
        <v>524</v>
      </c>
      <c r="G250" s="1687"/>
      <c r="H250" s="1687"/>
      <c r="I250" s="1687"/>
      <c r="J250" s="1687"/>
      <c r="K250" s="1687"/>
      <c r="L250" s="1687"/>
      <c r="M250" s="1687"/>
      <c r="N250" s="1687"/>
      <c r="O250" s="1687"/>
      <c r="P250" s="1688"/>
      <c r="Q250" s="205"/>
    </row>
    <row r="251" spans="3:65" ht="17.25" customHeight="1">
      <c r="D251" s="1689" t="s">
        <v>525</v>
      </c>
      <c r="E251" s="1690"/>
      <c r="F251" s="1691" t="s">
        <v>534</v>
      </c>
      <c r="G251" s="1691"/>
      <c r="H251" s="1691">
        <f>SIGN(Q167*Q166)*ABS(Q166)</f>
        <v>-23.147284259259258</v>
      </c>
      <c r="I251" s="1691"/>
      <c r="J251" s="1677" t="s">
        <v>532</v>
      </c>
      <c r="K251" s="1692"/>
      <c r="L251" s="1677">
        <f>SIN(H251*Outils!$F$4)</f>
        <v>-0.39309608032963606</v>
      </c>
      <c r="M251" s="1692"/>
      <c r="N251" s="1677" t="s">
        <v>533</v>
      </c>
      <c r="O251" s="1692"/>
      <c r="P251" s="1677">
        <f>COS(H251*Outils!$F$4)</f>
        <v>0.91949740164367855</v>
      </c>
      <c r="Q251" s="1692"/>
    </row>
    <row r="252" spans="3:65" ht="17.25" customHeight="1">
      <c r="D252" s="1689"/>
      <c r="E252" s="1690"/>
      <c r="F252" s="1677" t="s">
        <v>529</v>
      </c>
      <c r="G252" s="1678"/>
      <c r="H252" s="1691">
        <f>ABS(Q167)</f>
        <v>27.5</v>
      </c>
      <c r="I252" s="1691"/>
      <c r="J252" s="1693" t="s">
        <v>530</v>
      </c>
      <c r="K252" s="1694"/>
      <c r="L252" s="1677">
        <f>SIN(H252*Outils!$F$4)</f>
        <v>0.46174861323503391</v>
      </c>
      <c r="M252" s="1692"/>
      <c r="N252" s="1693" t="s">
        <v>531</v>
      </c>
      <c r="O252" s="1694"/>
      <c r="P252" s="1677">
        <f>COS(H252*Outils!$F$4)</f>
        <v>0.88701083317822171</v>
      </c>
      <c r="Q252" s="1692"/>
    </row>
    <row r="253" spans="3:65" ht="17.25" customHeight="1">
      <c r="D253" s="1689"/>
      <c r="E253" s="1690"/>
      <c r="F253" s="1677" t="s">
        <v>526</v>
      </c>
      <c r="G253" s="1692"/>
      <c r="H253" s="1677">
        <f>IF(Q168&gt;180,(-1)*Q168,Q168)</f>
        <v>-243.03333333333333</v>
      </c>
      <c r="I253" s="1692"/>
      <c r="J253" s="1677" t="s">
        <v>527</v>
      </c>
      <c r="K253" s="1692"/>
      <c r="L253" s="1677">
        <f>SIN(H253*Outils!$F$4)</f>
        <v>0.89127049435318706</v>
      </c>
      <c r="M253" s="1692"/>
      <c r="N253" s="1677" t="s">
        <v>528</v>
      </c>
      <c r="O253" s="1692"/>
      <c r="P253" s="1677">
        <f>COS(H253*Outils!$F$4)</f>
        <v>-0.45347205635565419</v>
      </c>
      <c r="Q253" s="1692"/>
    </row>
    <row r="254" spans="3:65" ht="17.25" customHeight="1">
      <c r="F254" s="1695" t="s">
        <v>523</v>
      </c>
      <c r="G254" s="1695"/>
      <c r="H254" s="1361">
        <f>(P251*L253)/((P252*L251)-(L252*P251*P253))</f>
        <v>-5.2483990661118742</v>
      </c>
      <c r="I254" s="1355"/>
      <c r="J254" s="1355"/>
      <c r="K254" s="1355"/>
      <c r="L254" s="1355"/>
      <c r="M254" s="1356"/>
      <c r="N254" s="205"/>
      <c r="O254" s="205"/>
      <c r="P254" s="205"/>
      <c r="Q254" s="205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1371" t="s">
        <v>92</v>
      </c>
      <c r="G255" s="1371"/>
      <c r="H255" s="1361" t="str" cm="1">
        <f t="array" ref="H255">angleDecimal2Txt(I166,0)</f>
        <v>+100°47.25</v>
      </c>
      <c r="I255" s="1355"/>
      <c r="J255" s="1355"/>
      <c r="K255" s="1355"/>
      <c r="L255" s="1355"/>
      <c r="M255" s="1356"/>
      <c r="N255" s="205"/>
      <c r="O255" s="205"/>
      <c r="P255" s="205"/>
      <c r="Q255" s="205"/>
    </row>
    <row r="256" spans="3:65" ht="17.25" customHeight="1">
      <c r="F256" s="894" t="s">
        <v>143</v>
      </c>
      <c r="G256" s="895"/>
      <c r="H256" s="895"/>
      <c r="I256" s="895"/>
      <c r="J256" s="895"/>
      <c r="K256" s="896"/>
      <c r="L256" s="894" t="s">
        <v>144</v>
      </c>
      <c r="M256" s="895"/>
      <c r="N256" s="895"/>
      <c r="O256" s="895"/>
      <c r="P256" s="895"/>
      <c r="Q256" s="896"/>
    </row>
    <row r="257" spans="3:17" ht="17.25" customHeight="1">
      <c r="F257" s="897"/>
      <c r="G257" s="899" t="s">
        <v>117</v>
      </c>
      <c r="H257" s="900"/>
      <c r="I257" s="901"/>
      <c r="J257" s="881" t="s">
        <v>118</v>
      </c>
      <c r="K257" s="882"/>
      <c r="L257" s="897"/>
      <c r="M257" s="899" t="s">
        <v>117</v>
      </c>
      <c r="N257" s="900"/>
      <c r="O257" s="901"/>
      <c r="P257" s="881" t="s">
        <v>119</v>
      </c>
      <c r="Q257" s="882"/>
    </row>
    <row r="258" spans="3:17" ht="17.25" customHeight="1">
      <c r="F258" s="898"/>
      <c r="G258" s="902" t="s">
        <v>87</v>
      </c>
      <c r="H258" s="903"/>
      <c r="I258" s="904"/>
      <c r="J258" s="874" t="s">
        <v>88</v>
      </c>
      <c r="K258" s="875"/>
      <c r="L258" s="898"/>
      <c r="M258" s="902" t="s">
        <v>87</v>
      </c>
      <c r="N258" s="903"/>
      <c r="O258" s="904"/>
      <c r="P258" s="874" t="s">
        <v>89</v>
      </c>
      <c r="Q258" s="875"/>
    </row>
    <row r="259" spans="3:17" ht="17.25" customHeight="1">
      <c r="F259" s="1371" t="s">
        <v>417</v>
      </c>
      <c r="G259" s="1371"/>
      <c r="H259" s="1361" t="str">
        <f>IF(G32&gt;0,"Nord","Sud")</f>
        <v>Sud</v>
      </c>
      <c r="I259" s="1355"/>
      <c r="J259" s="1355"/>
      <c r="K259" s="1355"/>
      <c r="L259" s="1355"/>
      <c r="M259" s="1356"/>
      <c r="N259" s="205"/>
      <c r="O259" s="205"/>
      <c r="P259" s="205"/>
      <c r="Q259" s="205"/>
    </row>
    <row r="260" spans="3:17" ht="17.25" customHeight="1">
      <c r="F260" s="1371" t="s">
        <v>416</v>
      </c>
      <c r="G260" s="1371"/>
      <c r="H260" s="1361" t="b">
        <f>(F108&gt;180)</f>
        <v>1</v>
      </c>
      <c r="I260" s="1355"/>
      <c r="J260" s="1355"/>
      <c r="K260" s="1355"/>
      <c r="L260" s="1355"/>
      <c r="M260" s="1356"/>
      <c r="N260" s="205"/>
      <c r="O260" s="205"/>
      <c r="P260" s="205"/>
      <c r="Q260" s="205"/>
    </row>
    <row r="261" spans="3:17" ht="17.25" customHeight="1">
      <c r="C261" s="1505" t="s">
        <v>415</v>
      </c>
      <c r="D261" s="1505"/>
      <c r="E261" s="1505" t="str" cm="1">
        <f t="array" ref="E261">angleDecimal2Txt(T176,0)</f>
        <v>+79°12.74</v>
      </c>
      <c r="F261" s="1505"/>
      <c r="G261" s="1505"/>
      <c r="H261" s="1505"/>
      <c r="I261" s="1505"/>
      <c r="J261" s="1505"/>
      <c r="O261" s="275" t="s">
        <v>577</v>
      </c>
      <c r="P261" s="1552" t="str">
        <f>angleDecimal2Txt(astroModuloEnDegre(90+T176),0)</f>
        <v>+169°12.74</v>
      </c>
      <c r="Q261" s="1552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50"/>
  <sheetViews>
    <sheetView topLeftCell="A27" zoomScaleNormal="100" workbookViewId="0">
      <selection activeCell="R150" sqref="R150"/>
    </sheetView>
  </sheetViews>
  <sheetFormatPr defaultColWidth="5.140625" defaultRowHeight="17.25" customHeight="1"/>
  <cols>
    <col min="1" max="1" width="6.42578125" style="14" customWidth="1"/>
    <col min="2" max="2" width="8.5703125" style="14" customWidth="1"/>
    <col min="3" max="3" width="8.85546875" style="57" customWidth="1"/>
    <col min="4" max="4" width="9.140625" style="57" customWidth="1"/>
    <col min="5" max="5" width="7" style="183" customWidth="1"/>
    <col min="6" max="6" width="6.42578125" style="144" customWidth="1"/>
    <col min="7" max="7" width="6.42578125" style="57" customWidth="1"/>
    <col min="8" max="9" width="8.140625" style="14" customWidth="1"/>
    <col min="10" max="10" width="7.140625" style="14" customWidth="1"/>
    <col min="11" max="11" width="9.28515625" style="14" customWidth="1"/>
    <col min="12" max="12" width="9.85546875" style="14" customWidth="1"/>
    <col min="13" max="13" width="8.140625" style="146" customWidth="1"/>
    <col min="14" max="15" width="7.140625" style="14" customWidth="1"/>
    <col min="16" max="17" width="9.28515625" style="14" customWidth="1"/>
    <col min="18" max="19" width="8.5703125" style="14" customWidth="1"/>
    <col min="20" max="20" width="11" style="14" customWidth="1"/>
    <col min="21" max="22" width="7.140625" style="14" customWidth="1"/>
    <col min="23" max="23" width="7.140625" style="141" customWidth="1"/>
    <col min="24" max="24" width="8.42578125" style="141" customWidth="1"/>
    <col min="25" max="25" width="11.7109375" style="141" customWidth="1"/>
    <col min="26" max="26" width="8.42578125" style="141" customWidth="1"/>
    <col min="27" max="27" width="13" style="146" customWidth="1"/>
    <col min="28" max="28" width="8.140625" customWidth="1"/>
    <col min="29" max="29" width="12.85546875" customWidth="1"/>
    <col min="30" max="30" width="6.42578125" customWidth="1"/>
    <col min="31" max="31" width="15.42578125" style="81" customWidth="1"/>
    <col min="32" max="32" width="2" customWidth="1"/>
    <col min="33" max="33" width="13.7109375" customWidth="1"/>
    <col min="34" max="34" width="11" customWidth="1"/>
    <col min="35" max="35" width="9.85546875" customWidth="1"/>
    <col min="36" max="40" width="13.7109375" customWidth="1"/>
    <col min="41" max="42" width="14.42578125" customWidth="1"/>
    <col min="43" max="47" width="19" customWidth="1"/>
    <col min="48" max="66" width="15.85546875" customWidth="1"/>
    <col min="67" max="67" width="15.85546875" style="22" customWidth="1"/>
    <col min="68" max="16384" width="5.140625" style="14"/>
  </cols>
  <sheetData>
    <row r="1" spans="1:68" customFormat="1" ht="11.25" customHeight="1">
      <c r="B1" s="14"/>
      <c r="C1" s="1469" t="s">
        <v>132</v>
      </c>
      <c r="D1" s="1469"/>
      <c r="E1" s="1469"/>
      <c r="F1" s="1469"/>
      <c r="G1" s="1470" t="s">
        <v>133</v>
      </c>
      <c r="H1" s="1470"/>
      <c r="I1" s="1470"/>
      <c r="J1" s="1470"/>
      <c r="K1" s="1470"/>
      <c r="L1" s="1470"/>
      <c r="M1" s="1470"/>
      <c r="N1" s="1470"/>
      <c r="O1" s="1470"/>
      <c r="P1" s="1470"/>
      <c r="Q1" s="1470"/>
      <c r="R1" s="1470"/>
      <c r="S1" s="1470"/>
      <c r="T1" s="1470"/>
      <c r="U1" s="1470"/>
      <c r="V1" s="1470"/>
      <c r="W1" s="1470"/>
      <c r="X1" s="1470"/>
      <c r="Y1" s="1470"/>
      <c r="Z1" s="141"/>
      <c r="AA1" s="146"/>
      <c r="AE1" s="81"/>
      <c r="BO1" s="22"/>
    </row>
    <row r="2" spans="1:68" customFormat="1" ht="11.25" customHeight="1">
      <c r="B2" s="14"/>
      <c r="C2" s="1469"/>
      <c r="D2" s="1469"/>
      <c r="E2" s="1469"/>
      <c r="F2" s="1469"/>
      <c r="G2" s="1470"/>
      <c r="H2" s="1470"/>
      <c r="I2" s="1470"/>
      <c r="J2" s="1470"/>
      <c r="K2" s="1470"/>
      <c r="L2" s="1470"/>
      <c r="M2" s="1470"/>
      <c r="N2" s="1470"/>
      <c r="O2" s="1470"/>
      <c r="P2" s="1470"/>
      <c r="Q2" s="1470"/>
      <c r="R2" s="1470"/>
      <c r="S2" s="1470"/>
      <c r="T2" s="1470"/>
      <c r="U2" s="1470"/>
      <c r="V2" s="1470"/>
      <c r="W2" s="1470"/>
      <c r="X2" s="1470"/>
      <c r="Y2" s="1470"/>
      <c r="Z2" s="141"/>
      <c r="AA2" s="146"/>
      <c r="AE2" s="81"/>
      <c r="BO2" s="22"/>
    </row>
    <row r="3" spans="1:68" customFormat="1" ht="11.25" customHeight="1">
      <c r="B3" s="14"/>
      <c r="C3" s="1469"/>
      <c r="D3" s="1469"/>
      <c r="E3" s="1469"/>
      <c r="F3" s="1469"/>
      <c r="G3" s="670" t="s">
        <v>137</v>
      </c>
      <c r="H3" s="670"/>
      <c r="I3" s="670"/>
      <c r="J3" s="737" t="s">
        <v>136</v>
      </c>
      <c r="K3" s="737"/>
      <c r="L3" s="737"/>
      <c r="M3" s="146"/>
      <c r="N3" s="14"/>
      <c r="O3" s="14"/>
      <c r="P3" s="14"/>
      <c r="Q3" s="14"/>
      <c r="R3" s="14"/>
      <c r="S3" s="14"/>
      <c r="T3" s="14"/>
      <c r="U3" s="14"/>
      <c r="V3" s="14"/>
      <c r="W3" s="141"/>
      <c r="X3" s="141"/>
      <c r="Y3" s="141"/>
      <c r="Z3" s="141"/>
      <c r="AA3" s="146"/>
      <c r="AE3" s="81"/>
      <c r="BO3" s="22"/>
    </row>
    <row r="4" spans="1:68" customFormat="1" ht="11.25" customHeight="1">
      <c r="B4" s="14"/>
      <c r="C4" s="1469"/>
      <c r="D4" s="1469"/>
      <c r="E4" s="1469"/>
      <c r="F4" s="1469"/>
      <c r="G4" s="629"/>
      <c r="H4" s="629"/>
      <c r="I4" s="629"/>
      <c r="J4" s="737"/>
      <c r="K4" s="737"/>
      <c r="L4" s="737"/>
      <c r="M4" s="146"/>
      <c r="N4" s="14"/>
      <c r="O4" s="14" t="s">
        <v>40</v>
      </c>
      <c r="P4" s="14" t="s">
        <v>192</v>
      </c>
      <c r="Q4" s="14"/>
      <c r="R4" s="14"/>
      <c r="S4" s="14"/>
      <c r="T4" s="14"/>
      <c r="U4" s="14"/>
      <c r="V4" s="14"/>
      <c r="W4" s="141"/>
      <c r="X4" s="141"/>
      <c r="Y4" s="141"/>
      <c r="Z4" s="141"/>
      <c r="AA4" s="146"/>
      <c r="AE4" s="81"/>
      <c r="BO4" s="22"/>
    </row>
    <row r="5" spans="1:68" ht="17.25" customHeight="1" thickBot="1"/>
    <row r="6" spans="1:68" customFormat="1" ht="17.25" customHeight="1" thickBot="1">
      <c r="B6" s="23" t="s">
        <v>0</v>
      </c>
      <c r="C6" s="24"/>
      <c r="D6" s="24"/>
      <c r="E6" s="184" t="str">
        <f>dateDecimale2txt(dateConvert2Decimal(E7),0)</f>
        <v>2024/06/28</v>
      </c>
      <c r="F6" s="92"/>
      <c r="G6" s="93"/>
      <c r="H6" s="94"/>
      <c r="I6" s="92"/>
      <c r="J6" s="92"/>
      <c r="K6" s="92"/>
      <c r="L6" s="24"/>
      <c r="M6" s="154"/>
      <c r="N6" s="24" t="s">
        <v>315</v>
      </c>
      <c r="O6" s="24"/>
      <c r="P6" s="24"/>
      <c r="Q6" s="24"/>
      <c r="R6" s="24"/>
      <c r="S6" s="24" t="s">
        <v>316</v>
      </c>
      <c r="T6" s="1474">
        <f>dateConvert2Decimal(E7)</f>
        <v>1719532800</v>
      </c>
      <c r="U6" s="1474"/>
      <c r="V6" s="1474"/>
      <c r="W6" s="24" t="s">
        <v>317</v>
      </c>
      <c r="X6" s="1440">
        <f>(T6/86400)+DATE(1970,1,1)</f>
        <v>45471</v>
      </c>
      <c r="Y6" s="1440"/>
      <c r="Z6" s="24" t="s">
        <v>318</v>
      </c>
      <c r="AA6" s="163">
        <f>INT(MONTH(X6))</f>
        <v>6</v>
      </c>
      <c r="AB6" s="154"/>
      <c r="AC6" s="154"/>
      <c r="AE6" s="81"/>
      <c r="BO6" s="22"/>
    </row>
    <row r="7" spans="1:68" customFormat="1" ht="17.25" customHeight="1">
      <c r="B7" s="14"/>
      <c r="C7" s="662" t="s">
        <v>1</v>
      </c>
      <c r="D7" s="663"/>
      <c r="E7" s="650" t="s">
        <v>480</v>
      </c>
      <c r="F7" s="651"/>
      <c r="G7" s="651"/>
      <c r="H7" s="57"/>
      <c r="I7" s="14"/>
      <c r="J7" s="14"/>
      <c r="K7" s="14"/>
      <c r="L7" s="14"/>
      <c r="M7" s="146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E7" s="81"/>
      <c r="BO7" s="22"/>
    </row>
    <row r="8" spans="1:68" customFormat="1" ht="17.25" customHeight="1" thickBot="1">
      <c r="B8" s="14"/>
      <c r="C8" s="12"/>
      <c r="D8" s="12"/>
      <c r="E8" s="185"/>
      <c r="F8" s="149"/>
      <c r="G8" s="12"/>
      <c r="H8" s="12"/>
      <c r="I8" s="12"/>
      <c r="J8" s="12"/>
      <c r="K8" s="12"/>
      <c r="L8" s="12"/>
      <c r="M8" s="156"/>
      <c r="N8" s="12"/>
      <c r="O8" s="12"/>
      <c r="P8" s="12"/>
      <c r="Q8" s="12"/>
      <c r="R8" s="12"/>
      <c r="S8" s="12"/>
      <c r="T8" s="12"/>
      <c r="U8" s="12"/>
      <c r="V8" s="12"/>
      <c r="W8" s="151"/>
      <c r="X8" s="151"/>
      <c r="Y8" s="151"/>
      <c r="Z8" s="141"/>
      <c r="AA8" s="146"/>
      <c r="AE8" s="81"/>
      <c r="BO8" s="22"/>
    </row>
    <row r="9" spans="1:68" customFormat="1" ht="17.25" customHeight="1" thickBot="1">
      <c r="B9" s="23" t="s">
        <v>17</v>
      </c>
      <c r="C9" s="73"/>
      <c r="D9" s="73"/>
      <c r="E9" s="307"/>
      <c r="F9" s="308"/>
      <c r="G9" s="73"/>
      <c r="H9" s="73"/>
      <c r="I9" s="73"/>
      <c r="J9" s="24"/>
      <c r="K9" s="24"/>
      <c r="L9" s="24"/>
      <c r="M9" s="154"/>
      <c r="N9" s="24"/>
      <c r="O9" s="24"/>
      <c r="P9" s="24"/>
      <c r="Q9" s="24"/>
      <c r="R9" s="24"/>
      <c r="S9" s="24"/>
      <c r="T9" s="24"/>
      <c r="U9" s="24"/>
      <c r="V9" s="24"/>
      <c r="W9" s="152"/>
      <c r="X9" s="152"/>
      <c r="Y9" s="152"/>
      <c r="Z9" s="152"/>
      <c r="AA9" s="154"/>
      <c r="AB9" s="154"/>
      <c r="AC9" s="154"/>
      <c r="AE9" s="81"/>
      <c r="BO9" s="22"/>
    </row>
    <row r="10" spans="1:68" ht="17.25" customHeight="1" thickTop="1" thickBot="1">
      <c r="A10" s="1598" t="s">
        <v>129</v>
      </c>
      <c r="B10" s="273" t="s">
        <v>130</v>
      </c>
      <c r="C10" s="1696" t="s">
        <v>7</v>
      </c>
      <c r="D10" s="1696"/>
      <c r="E10" s="1696"/>
      <c r="F10" s="596">
        <f>AH10*angleConvert2Decimal(I10)</f>
        <v>-10</v>
      </c>
      <c r="G10" s="596"/>
      <c r="H10" s="545" t="s">
        <v>4</v>
      </c>
      <c r="I10" s="544" t="s">
        <v>884</v>
      </c>
      <c r="J10" s="867" t="str">
        <f>angleDecimal2Txt(F10)</f>
        <v>-10°00.00 (-10.0000) [-10°00'00.00]</v>
      </c>
      <c r="K10" s="867"/>
      <c r="L10" s="867"/>
      <c r="M10" s="868"/>
      <c r="N10" s="12"/>
      <c r="O10" s="12"/>
      <c r="P10" s="12"/>
      <c r="Q10" s="12"/>
      <c r="R10" s="12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1598"/>
      <c r="B11" s="273" t="s">
        <v>138</v>
      </c>
      <c r="C11" s="675" t="s">
        <v>8</v>
      </c>
      <c r="D11" s="675"/>
      <c r="E11" s="675"/>
      <c r="F11" s="596">
        <f>AH11*angleConvert2Decimal(I11)</f>
        <v>44.6</v>
      </c>
      <c r="G11" s="596"/>
      <c r="H11" s="545" t="s">
        <v>5</v>
      </c>
      <c r="I11" s="544" t="s">
        <v>885</v>
      </c>
      <c r="J11" s="867" t="str">
        <f>angleDecimal2Txt(F11)</f>
        <v>+44°36.00 (+44.6000) [+44°36'00.00]</v>
      </c>
      <c r="K11" s="867"/>
      <c r="L11" s="867"/>
      <c r="M11" s="868"/>
      <c r="N11" s="12"/>
      <c r="O11" s="12"/>
      <c r="P11" s="12"/>
      <c r="AG11" s="3" t="s">
        <v>170</v>
      </c>
      <c r="AH11" s="3">
        <f>VLOOKUP(H11,Outils!$D$9:$E$10,2)</f>
        <v>1</v>
      </c>
    </row>
    <row r="12" spans="1:68" ht="17.25" customHeight="1" thickTop="1" thickBot="1">
      <c r="A12"/>
      <c r="B12"/>
      <c r="C12" s="720" t="s">
        <v>19</v>
      </c>
      <c r="D12" s="720"/>
      <c r="E12" s="720"/>
      <c r="F12" s="309">
        <f>0.0293 * SQRT(H12)</f>
        <v>0.11347841204387732</v>
      </c>
      <c r="G12" s="310" t="s">
        <v>28</v>
      </c>
      <c r="H12" s="594">
        <v>15</v>
      </c>
      <c r="I12" s="594"/>
      <c r="J12"/>
      <c r="K12"/>
      <c r="L12"/>
      <c r="M12"/>
      <c r="N12"/>
      <c r="O12"/>
      <c r="P12"/>
      <c r="Y12" s="151"/>
      <c r="Z12" s="151"/>
      <c r="AI12" s="14"/>
      <c r="BO12" s="29"/>
    </row>
    <row r="13" spans="1:68" ht="17.25" customHeight="1" thickTop="1" thickBot="1">
      <c r="A13"/>
      <c r="B13"/>
      <c r="C13" s="720" t="s">
        <v>20</v>
      </c>
      <c r="D13" s="720"/>
      <c r="E13" s="720"/>
      <c r="F13" s="1985" cm="1">
        <f t="array" ref="F13">angleConvert2Decimal(H13)</f>
        <v>-0.02</v>
      </c>
      <c r="G13" s="310" t="s">
        <v>28</v>
      </c>
      <c r="H13" s="571" t="s">
        <v>886</v>
      </c>
      <c r="I13" s="571"/>
      <c r="J13" s="709" t="str" cm="1">
        <f t="array" ref="J13">angleDecimal2Txt(F13)</f>
        <v>-00°01.19 (-00.0200) [-00°01'12.00]</v>
      </c>
      <c r="K13" s="709"/>
      <c r="L13" s="709"/>
      <c r="M13" s="570"/>
      <c r="BO13" s="29"/>
    </row>
    <row r="14" spans="1:68" ht="17.25" customHeight="1" thickTop="1" thickBot="1">
      <c r="A14" s="12"/>
      <c r="C14" s="12"/>
      <c r="D14"/>
      <c r="E14" s="187"/>
      <c r="F14" s="143"/>
      <c r="G14"/>
      <c r="H14"/>
      <c r="I14"/>
      <c r="J14"/>
      <c r="K14"/>
      <c r="L14"/>
      <c r="M14" s="147"/>
      <c r="N14"/>
      <c r="O14"/>
      <c r="P14"/>
      <c r="Q14"/>
    </row>
    <row r="15" spans="1:68" customFormat="1" ht="17.25" customHeight="1" thickBot="1">
      <c r="A15" s="31"/>
      <c r="B15" s="23" t="s">
        <v>335</v>
      </c>
      <c r="C15" s="24"/>
      <c r="D15" s="24"/>
      <c r="E15" s="186"/>
      <c r="F15" s="150"/>
      <c r="G15" s="24"/>
      <c r="H15" s="24"/>
      <c r="I15" s="24"/>
      <c r="J15" s="24"/>
      <c r="K15" s="24"/>
      <c r="L15" s="24"/>
      <c r="M15" s="154"/>
      <c r="N15" s="24"/>
      <c r="O15" s="24"/>
      <c r="P15" s="24"/>
      <c r="Q15" s="24"/>
      <c r="R15" s="24"/>
      <c r="S15" s="24"/>
      <c r="T15" s="24"/>
      <c r="U15" s="24"/>
      <c r="V15" s="24"/>
      <c r="W15" s="152"/>
      <c r="X15" s="152"/>
      <c r="Y15" s="152"/>
      <c r="Z15" s="152"/>
      <c r="AA15" s="154"/>
      <c r="AB15" s="154"/>
      <c r="AC15" s="154"/>
      <c r="AE15" s="81"/>
      <c r="BO15" s="22"/>
      <c r="BP15" s="14"/>
    </row>
    <row r="16" spans="1:68" customFormat="1" ht="17.25" customHeight="1">
      <c r="E16" s="187"/>
      <c r="F16" s="143"/>
      <c r="M16" s="147"/>
      <c r="W16" s="145"/>
      <c r="X16" s="145"/>
      <c r="Y16" s="145"/>
      <c r="Z16" s="145"/>
      <c r="AA16" s="147"/>
      <c r="AE16" s="81"/>
    </row>
    <row r="17" spans="2:50" customFormat="1" ht="13.5" customHeight="1">
      <c r="B17" s="1700"/>
      <c r="C17" s="1700"/>
      <c r="D17" s="1701" t="s">
        <v>147</v>
      </c>
      <c r="E17" s="1702" t="s">
        <v>492</v>
      </c>
      <c r="F17" s="1702"/>
      <c r="G17" s="1702"/>
      <c r="H17" s="1703" t="s">
        <v>908</v>
      </c>
      <c r="I17" s="1703"/>
      <c r="J17" s="1711" t="s">
        <v>341</v>
      </c>
      <c r="K17" s="1711"/>
      <c r="L17" s="1710" t="s">
        <v>193</v>
      </c>
      <c r="M17" s="1710"/>
      <c r="N17" s="1703" t="s">
        <v>84</v>
      </c>
      <c r="O17" s="1703"/>
      <c r="P17" s="14"/>
      <c r="Q17" s="1736" t="s">
        <v>372</v>
      </c>
      <c r="R17" s="1736"/>
      <c r="S17" s="1736"/>
      <c r="T17" s="1736"/>
      <c r="U17" s="14"/>
      <c r="V17" s="1737" t="s">
        <v>373</v>
      </c>
      <c r="W17" s="1737"/>
      <c r="X17" s="1737"/>
      <c r="Y17" s="141"/>
      <c r="Z17" s="141"/>
      <c r="AA17" s="146"/>
      <c r="AE17" s="81"/>
    </row>
    <row r="18" spans="2:50" customFormat="1" ht="15.75" customHeight="1" thickBot="1">
      <c r="B18" s="1700"/>
      <c r="C18" s="1700"/>
      <c r="D18" s="1701"/>
      <c r="E18" s="1702"/>
      <c r="F18" s="1702"/>
      <c r="G18" s="1702"/>
      <c r="H18" s="1703"/>
      <c r="I18" s="1703"/>
      <c r="J18" s="1711" t="s">
        <v>351</v>
      </c>
      <c r="K18" s="1711"/>
      <c r="L18" s="1710"/>
      <c r="M18" s="1710"/>
      <c r="N18" s="1703"/>
      <c r="O18" s="1703"/>
      <c r="P18" s="14"/>
      <c r="Q18" s="228" t="s">
        <v>489</v>
      </c>
      <c r="R18" s="142" t="s">
        <v>148</v>
      </c>
      <c r="S18" s="142" t="s">
        <v>17</v>
      </c>
      <c r="T18" s="142"/>
      <c r="U18" s="14"/>
      <c r="V18" s="1737"/>
      <c r="W18" s="1737"/>
      <c r="X18" s="1737"/>
      <c r="Y18" s="141"/>
      <c r="Z18" s="141"/>
      <c r="AA18" s="146"/>
      <c r="AE18" s="81"/>
      <c r="AG18" s="240" t="s">
        <v>340</v>
      </c>
    </row>
    <row r="19" spans="2:50" customFormat="1" ht="26.25" customHeight="1" thickTop="1" thickBot="1">
      <c r="B19" s="1987" t="s">
        <v>32</v>
      </c>
      <c r="C19" s="546" t="s">
        <v>887</v>
      </c>
      <c r="D19" s="522" t="str">
        <f>IF(B19=$AG$18,IF(ISNA(VLOOKUP(C19,$I$49:$I$50,1,FALSE)),"Mauvaise planete","OK"),"OK")</f>
        <v>OK</v>
      </c>
      <c r="E19" s="1988" t="s">
        <v>888</v>
      </c>
      <c r="F19" s="1984" t="s">
        <v>914</v>
      </c>
      <c r="G19" s="229">
        <f>heureConvert2Decimal(E19)+$F$23</f>
        <v>2.6708333333333334</v>
      </c>
      <c r="H19" s="547" t="s">
        <v>889</v>
      </c>
      <c r="I19" s="210">
        <f>angleConvert2Decimal(H19)</f>
        <v>39.75</v>
      </c>
      <c r="J19" s="524">
        <f>I19-$F$13-$F$12</f>
        <v>39.656521587956128</v>
      </c>
      <c r="K19" s="523" t="str">
        <f>angleDecimal2Txt(J19,0)</f>
        <v>+39°39.39</v>
      </c>
      <c r="L19" s="547" t="s">
        <v>918</v>
      </c>
      <c r="M19" s="160">
        <f>angleConvert2Decimal(L19)</f>
        <v>335.34500000000003</v>
      </c>
      <c r="N19" s="547" t="s">
        <v>919</v>
      </c>
      <c r="O19" s="182">
        <f>angleConvert2Decimal(N19)</f>
        <v>-57.108333333333334</v>
      </c>
      <c r="P19" s="14"/>
      <c r="Q19" s="1714" t="s">
        <v>336</v>
      </c>
      <c r="R19" s="546">
        <v>2</v>
      </c>
      <c r="S19" s="547" t="s">
        <v>915</v>
      </c>
      <c r="T19" s="179">
        <f>angleConvert2Decimal(S19)</f>
        <v>306.66500000000002</v>
      </c>
      <c r="U19" s="2035" t="str">
        <f>IF(MIN(G19:G23)&lt;R19,"KO - borne inf",IF(MAX(G19:G23)&gt;R21,"KO - borne sup","OK"))</f>
        <v>KO - borne inf</v>
      </c>
      <c r="V19" s="1734" t="s">
        <v>65</v>
      </c>
      <c r="W19" s="1735"/>
      <c r="X19" s="1983">
        <v>10</v>
      </c>
      <c r="Y19" s="141"/>
      <c r="Z19" s="141"/>
      <c r="AA19" s="146"/>
      <c r="AE19" s="81"/>
      <c r="AG19" s="241" t="s">
        <v>32</v>
      </c>
    </row>
    <row r="20" spans="2:50" customFormat="1" ht="26.25" customHeight="1" thickTop="1" thickBot="1">
      <c r="B20" s="1987" t="s">
        <v>32</v>
      </c>
      <c r="C20" s="546" t="s">
        <v>890</v>
      </c>
      <c r="D20" s="522" t="str">
        <f>IF(B20=$AG$18,IF(ISNA(VLOOKUP(C20,$I$49:$I$50,1,FALSE)),"Mauvaise planete","OK"),"OK")</f>
        <v>OK</v>
      </c>
      <c r="E20" s="1988" t="s">
        <v>891</v>
      </c>
      <c r="F20" s="1984"/>
      <c r="G20" s="230">
        <f>heureConvert2Decimal(E20)+$F$23</f>
        <v>2.7186111111111115</v>
      </c>
      <c r="H20" s="547" t="s">
        <v>892</v>
      </c>
      <c r="I20" s="211">
        <f>angleConvert2Decimal(H20)</f>
        <v>49.278333333333336</v>
      </c>
      <c r="J20" s="524">
        <f>I20-$F$13-$F$12</f>
        <v>49.184854921289464</v>
      </c>
      <c r="K20" s="523" t="str">
        <f>angleDecimal2Txt(J20,0)</f>
        <v>+49°11.09</v>
      </c>
      <c r="L20" s="547" t="s">
        <v>920</v>
      </c>
      <c r="M20" s="155">
        <f>angleConvert2Decimal(L20)</f>
        <v>33.65</v>
      </c>
      <c r="N20" s="547" t="s">
        <v>921</v>
      </c>
      <c r="O20" s="159">
        <f>angleConvert2Decimal(N20)</f>
        <v>9.9866666666666664</v>
      </c>
      <c r="P20" s="14"/>
      <c r="Q20" s="1714"/>
      <c r="R20" s="546">
        <v>3</v>
      </c>
      <c r="S20" s="547" t="s">
        <v>916</v>
      </c>
      <c r="T20" s="180">
        <f>angleConvert2Decimal(S20)</f>
        <v>321.70666666666665</v>
      </c>
      <c r="U20" s="2036"/>
      <c r="V20" s="181" t="s">
        <v>66</v>
      </c>
      <c r="W20" s="181"/>
      <c r="X20" s="1983">
        <v>1010</v>
      </c>
      <c r="Y20" s="141"/>
      <c r="Z20" s="141"/>
      <c r="AA20" s="146"/>
      <c r="AE20" s="81"/>
    </row>
    <row r="21" spans="2:50" customFormat="1" ht="26.25" customHeight="1" thickTop="1" thickBot="1">
      <c r="B21" s="1987" t="s">
        <v>32</v>
      </c>
      <c r="C21" s="546" t="s">
        <v>895</v>
      </c>
      <c r="D21" s="522" t="str">
        <f>IF(B21=$AG$18,IF(ISNA(VLOOKUP(C21,$I$49:$I$50,1,FALSE)),"Mauvaise planete","OK"),"OK")</f>
        <v>OK</v>
      </c>
      <c r="E21" s="1988" t="s">
        <v>893</v>
      </c>
      <c r="F21" s="1984"/>
      <c r="G21" s="230">
        <f>heureConvert2Decimal(E21)+$F$23</f>
        <v>2.7875000000000001</v>
      </c>
      <c r="H21" s="547" t="s">
        <v>894</v>
      </c>
      <c r="I21" s="211">
        <f>angleConvert2Decimal(H21)</f>
        <v>44.365000000000002</v>
      </c>
      <c r="J21" s="524">
        <f>I21-$F$13-$F$12</f>
        <v>44.27152158795613</v>
      </c>
      <c r="K21" s="523" t="str">
        <f>angleDecimal2Txt(J21,0)</f>
        <v>+44°16.29</v>
      </c>
      <c r="L21" s="547" t="s">
        <v>482</v>
      </c>
      <c r="M21" s="155">
        <f>angleConvert2Decimal(L21)</f>
        <v>62.001666666666665</v>
      </c>
      <c r="N21" s="547" t="s">
        <v>483</v>
      </c>
      <c r="O21" s="159">
        <f>angleConvert2Decimal(N21)</f>
        <v>8.9316666666666666</v>
      </c>
      <c r="P21" s="14"/>
      <c r="Q21" s="1714"/>
      <c r="R21" s="546">
        <v>4</v>
      </c>
      <c r="S21" s="547" t="s">
        <v>917</v>
      </c>
      <c r="T21" s="180">
        <f>angleConvert2Decimal(S21)</f>
        <v>336.74666666666667</v>
      </c>
      <c r="U21" s="2037"/>
      <c r="V21" s="14"/>
      <c r="W21" s="141"/>
      <c r="X21" s="141"/>
      <c r="Y21" s="141"/>
      <c r="Z21" s="141"/>
      <c r="AA21" s="146"/>
      <c r="AE21" s="81"/>
    </row>
    <row r="22" spans="2:50" customFormat="1" ht="26.25" customHeight="1" thickTop="1" thickBot="1">
      <c r="B22" s="1987" t="s">
        <v>32</v>
      </c>
      <c r="C22" s="546" t="s">
        <v>895</v>
      </c>
      <c r="D22" s="522" t="str">
        <f>IF(B22=$AG$18,IF(ISNA(VLOOKUP(C22,$I$49:$I$50,1,FALSE)),"Mauvaise planete","OK"),"OK")</f>
        <v>OK</v>
      </c>
      <c r="E22" s="1988" t="s">
        <v>909</v>
      </c>
      <c r="F22" s="1984"/>
      <c r="G22" s="230">
        <f>heureConvert2Decimal(E22)+$F$23</f>
        <v>1.3888888888888889E-3</v>
      </c>
      <c r="H22" s="547">
        <v>0</v>
      </c>
      <c r="I22" s="211">
        <f>angleConvert2Decimal(H22)</f>
        <v>0</v>
      </c>
      <c r="J22" s="524">
        <f>I22-$F$13-$F$12</f>
        <v>-9.3478412043877315E-2</v>
      </c>
      <c r="K22" s="523" t="str">
        <f>angleDecimal2Txt(J22,0)</f>
        <v>-00°05.60</v>
      </c>
      <c r="L22" s="547" t="s">
        <v>484</v>
      </c>
      <c r="M22" s="155">
        <f>angleConvert2Decimal(L22)</f>
        <v>80.551666666666662</v>
      </c>
      <c r="N22" s="547" t="s">
        <v>485</v>
      </c>
      <c r="O22" s="159">
        <f>angleConvert2Decimal(N22)</f>
        <v>38.805</v>
      </c>
      <c r="P22" s="14"/>
      <c r="Q22" s="228" t="s">
        <v>105</v>
      </c>
      <c r="R22" s="14" t="s">
        <v>148</v>
      </c>
      <c r="S22" s="14" t="s">
        <v>17</v>
      </c>
      <c r="T22" s="14" t="s">
        <v>105</v>
      </c>
      <c r="U22" s="14"/>
      <c r="V22" s="14"/>
      <c r="W22" s="141"/>
      <c r="X22" s="141"/>
      <c r="Y22" s="141"/>
      <c r="Z22" s="141"/>
      <c r="AA22" s="146"/>
      <c r="AE22" s="81"/>
      <c r="AR22" s="14"/>
    </row>
    <row r="23" spans="2:50" customFormat="1" ht="26.25" customHeight="1" thickTop="1" thickBot="1">
      <c r="B23" s="1987" t="s">
        <v>32</v>
      </c>
      <c r="C23" s="546" t="s">
        <v>895</v>
      </c>
      <c r="D23" s="522" t="str">
        <f>IF(B23=$AG$18,IF(ISNA(VLOOKUP(C23,$I$49:$I$50,1,FALSE)),"Mauvaise planete","OK"),"OK")</f>
        <v>OK</v>
      </c>
      <c r="E23" s="1988" t="s">
        <v>909</v>
      </c>
      <c r="F23" s="231" cm="1">
        <f t="array" ref="F23">heureConvert2Decimal(F19)</f>
        <v>1.3888888888888889E-3</v>
      </c>
      <c r="G23" s="230">
        <f>heureConvert2Decimal(E23)+$F$23</f>
        <v>1.3888888888888889E-3</v>
      </c>
      <c r="H23" s="547">
        <v>0</v>
      </c>
      <c r="I23" s="211">
        <f>angleConvert2Decimal(H23)</f>
        <v>0</v>
      </c>
      <c r="J23" s="524">
        <f>I23-$F$13-$F$12</f>
        <v>-9.3478412043877315E-2</v>
      </c>
      <c r="K23" s="523" t="str">
        <f>angleDecimal2Txt(J23,0)</f>
        <v>-00°05.60</v>
      </c>
      <c r="L23" s="547" t="s">
        <v>486</v>
      </c>
      <c r="M23" s="155">
        <f>angleConvert2Decimal(L23)</f>
        <v>137.31666666666666</v>
      </c>
      <c r="N23" s="547" t="s">
        <v>487</v>
      </c>
      <c r="O23" s="159">
        <f>angleConvert2Decimal(N23)</f>
        <v>74.058333333333337</v>
      </c>
      <c r="P23" s="14"/>
      <c r="Q23" s="446" t="s">
        <v>336</v>
      </c>
      <c r="R23" s="546">
        <v>0</v>
      </c>
      <c r="S23" s="547" t="s">
        <v>481</v>
      </c>
      <c r="T23" s="546" t="s">
        <v>359</v>
      </c>
      <c r="U23" s="14"/>
      <c r="V23" s="14"/>
      <c r="W23" s="141"/>
      <c r="X23" s="141"/>
      <c r="Y23" s="141"/>
      <c r="Z23" s="141"/>
      <c r="AA23" s="146"/>
      <c r="AE23" s="81"/>
    </row>
    <row r="24" spans="2:50" customFormat="1" ht="12" customHeight="1" thickTop="1">
      <c r="U24" s="14"/>
      <c r="V24" s="14"/>
      <c r="W24" s="141"/>
      <c r="X24" s="141"/>
      <c r="Y24" s="141"/>
      <c r="Z24" s="141"/>
      <c r="AA24" s="146"/>
      <c r="AE24" s="81"/>
      <c r="AR24" s="1992"/>
      <c r="AS24" s="1992"/>
      <c r="AT24" s="1992"/>
      <c r="AU24" s="1992"/>
      <c r="AV24" s="1992"/>
      <c r="AW24" s="1992"/>
    </row>
    <row r="25" spans="2:50" customFormat="1" ht="21.75" customHeight="1">
      <c r="L25" s="1994" t="s">
        <v>898</v>
      </c>
      <c r="M25" s="1995"/>
      <c r="N25" s="1995"/>
      <c r="O25" s="1996"/>
      <c r="Q25" s="14"/>
      <c r="R25" s="1997" t="s">
        <v>899</v>
      </c>
      <c r="S25" s="1998"/>
      <c r="T25" s="1998"/>
      <c r="U25" s="1999"/>
      <c r="V25" s="14"/>
      <c r="W25" s="141"/>
      <c r="X25" s="141"/>
      <c r="Y25" s="141"/>
      <c r="Z25" s="141"/>
      <c r="AA25" s="146"/>
      <c r="AE25" s="81"/>
      <c r="AR25" s="1992"/>
      <c r="AS25" s="1992"/>
      <c r="AT25" s="1992"/>
      <c r="AU25" s="1992"/>
      <c r="AV25" s="1992"/>
      <c r="AW25" s="1992"/>
    </row>
    <row r="26" spans="2:50" customFormat="1" ht="15" customHeight="1" thickBot="1">
      <c r="L26" s="551" t="s">
        <v>148</v>
      </c>
      <c r="M26" s="551" t="s">
        <v>17</v>
      </c>
      <c r="N26" s="551" t="s">
        <v>148</v>
      </c>
      <c r="O26" s="551" t="s">
        <v>17</v>
      </c>
      <c r="Q26" s="14"/>
      <c r="R26" s="551" t="s">
        <v>148</v>
      </c>
      <c r="S26" s="551" t="s">
        <v>17</v>
      </c>
      <c r="T26" s="551" t="s">
        <v>148</v>
      </c>
      <c r="U26" s="551" t="s">
        <v>17</v>
      </c>
      <c r="X26" s="141"/>
      <c r="Y26" s="141"/>
      <c r="Z26" s="141"/>
      <c r="AA26" s="146"/>
      <c r="AG26" t="s">
        <v>148</v>
      </c>
      <c r="AH26" t="s">
        <v>900</v>
      </c>
      <c r="AI26" t="s">
        <v>148</v>
      </c>
      <c r="AJ26" t="s">
        <v>900</v>
      </c>
      <c r="AK26" t="s">
        <v>901</v>
      </c>
      <c r="AL26" t="s">
        <v>902</v>
      </c>
      <c r="AM26" t="s">
        <v>84</v>
      </c>
      <c r="AO26" t="s">
        <v>148</v>
      </c>
      <c r="AP26" t="s">
        <v>900</v>
      </c>
      <c r="AQ26" t="s">
        <v>148</v>
      </c>
      <c r="AR26" t="s">
        <v>900</v>
      </c>
      <c r="AS26" t="s">
        <v>901</v>
      </c>
      <c r="AT26" t="s">
        <v>902</v>
      </c>
      <c r="AU26" t="s">
        <v>406</v>
      </c>
    </row>
    <row r="27" spans="2:50" customFormat="1" ht="26.25" customHeight="1" thickTop="1" thickBot="1">
      <c r="B27" s="1987" t="s">
        <v>340</v>
      </c>
      <c r="C27" s="546" t="s">
        <v>345</v>
      </c>
      <c r="D27" s="522" t="str">
        <f>IF(B27=$AG$18,IF(ISNA(VLOOKUP(C27,$I$49:$I$52,1,FALSE)),"Mauvaise planete","OK"),"OK")</f>
        <v>OK</v>
      </c>
      <c r="E27" s="1988" t="s">
        <v>893</v>
      </c>
      <c r="F27" s="1989"/>
      <c r="G27" s="229">
        <f>heureConvert2Decimal(E27)+$F$23</f>
        <v>2.7875000000000001</v>
      </c>
      <c r="H27" s="547" t="s">
        <v>894</v>
      </c>
      <c r="I27" s="210">
        <f t="shared" ref="I27:I30" si="0">angleConvert2Decimal(H27)</f>
        <v>44.365000000000002</v>
      </c>
      <c r="J27" s="524">
        <f t="shared" ref="J27:J30" si="1">I27-$F$13-$F$12</f>
        <v>44.27152158795613</v>
      </c>
      <c r="K27" s="523" t="str">
        <f t="shared" ref="K27:K30" si="2">angleDecimal2Txt(J27,0)</f>
        <v>+44°16.29</v>
      </c>
      <c r="L27" s="1993" t="s">
        <v>897</v>
      </c>
      <c r="M27" s="547" t="s">
        <v>910</v>
      </c>
      <c r="N27" s="547" t="s">
        <v>896</v>
      </c>
      <c r="O27" s="547" t="s">
        <v>911</v>
      </c>
      <c r="P27" s="236">
        <f>AM27</f>
        <v>15.071562500000001</v>
      </c>
      <c r="Q27" s="2000" t="str" cm="1">
        <f t="array" ref="Q27">angleDecimal2Txt(P27,0)</f>
        <v>+15°04.29</v>
      </c>
      <c r="R27" s="547" t="s">
        <v>905</v>
      </c>
      <c r="S27" s="547" t="s">
        <v>912</v>
      </c>
      <c r="T27" s="547" t="s">
        <v>906</v>
      </c>
      <c r="U27" s="547" t="s">
        <v>913</v>
      </c>
      <c r="V27" s="241">
        <f>AU27</f>
        <v>276.78502083333336</v>
      </c>
      <c r="W27" s="2000" t="str" cm="1">
        <f t="array" ref="W27">angleDecimal2Txt(V27,0)</f>
        <v>+276°47.10</v>
      </c>
      <c r="X27" s="141"/>
      <c r="Y27" s="141"/>
      <c r="Z27" s="141"/>
      <c r="AA27" s="146"/>
      <c r="AE27" s="81"/>
      <c r="AG27" cm="1">
        <f t="array" ref="AG27">heureConvert2Decimal(L27)</f>
        <v>2</v>
      </c>
      <c r="AH27" cm="1">
        <f t="array" ref="AH27">angleConvert2Decimal(M27)</f>
        <v>15.065</v>
      </c>
      <c r="AI27" cm="1">
        <f t="array" ref="AI27">heureConvert2Decimal(N27)</f>
        <v>3</v>
      </c>
      <c r="AJ27" cm="1">
        <f t="array" ref="AJ27">angleConvert2Decimal(O27)</f>
        <v>15.073333333333334</v>
      </c>
      <c r="AK27">
        <f>AI27-AG27</f>
        <v>1</v>
      </c>
      <c r="AL27">
        <f>AJ27-AH27</f>
        <v>8.333333333334636E-3</v>
      </c>
      <c r="AM27">
        <f>AH27+($G27-AG27)*AL27/AK27</f>
        <v>15.071562500000001</v>
      </c>
      <c r="AO27" cm="1">
        <f t="array" ref="AO27">heureConvert2Decimal(R27)</f>
        <v>2</v>
      </c>
      <c r="AP27" cm="1">
        <f t="array" ref="AP27">angleConvert2Decimal(S27)</f>
        <v>264.96333333333331</v>
      </c>
      <c r="AQ27" cm="1">
        <f t="array" ref="AQ27">heureConvert2Decimal(T27)</f>
        <v>3</v>
      </c>
      <c r="AR27" cm="1">
        <f t="array" ref="AR27">angleConvert2Decimal(U27)</f>
        <v>279.97500000000002</v>
      </c>
      <c r="AS27">
        <f>AQ27-AO27</f>
        <v>1</v>
      </c>
      <c r="AT27">
        <f>AR27-AP27</f>
        <v>15.011666666666713</v>
      </c>
      <c r="AU27">
        <f>AP27+($G27-AO27)*AT27/AS27</f>
        <v>276.78502083333336</v>
      </c>
      <c r="AV27" s="1986"/>
      <c r="AW27" s="1986"/>
    </row>
    <row r="28" spans="2:50" customFormat="1" ht="26.25" customHeight="1" thickTop="1" thickBot="1">
      <c r="B28" s="1987" t="s">
        <v>340</v>
      </c>
      <c r="C28" s="546" t="s">
        <v>346</v>
      </c>
      <c r="D28" s="522" t="str">
        <f>IF(B28=$AG$18,IF(ISNA(VLOOKUP(C28,$I$49:$I$52,1,FALSE)),"Mauvaise planete","OK"),"OK")</f>
        <v>OK</v>
      </c>
      <c r="E28" s="1988" t="s">
        <v>893</v>
      </c>
      <c r="F28" s="1990"/>
      <c r="G28" s="229">
        <f>heureConvert2Decimal(E28)+$F$23</f>
        <v>2.7875000000000001</v>
      </c>
      <c r="H28" s="547" t="s">
        <v>894</v>
      </c>
      <c r="I28" s="210">
        <f t="shared" si="0"/>
        <v>44.365000000000002</v>
      </c>
      <c r="J28" s="524">
        <f t="shared" si="1"/>
        <v>44.27152158795613</v>
      </c>
      <c r="K28" s="523" t="str">
        <f t="shared" si="2"/>
        <v>+44°16.29</v>
      </c>
      <c r="L28" s="1993" t="s">
        <v>897</v>
      </c>
      <c r="M28" s="547" t="s">
        <v>910</v>
      </c>
      <c r="N28" s="547" t="s">
        <v>896</v>
      </c>
      <c r="O28" s="547" t="s">
        <v>911</v>
      </c>
      <c r="P28" s="236">
        <f>AM28</f>
        <v>15.071562500000001</v>
      </c>
      <c r="Q28" s="2000" t="str" cm="1">
        <f t="array" ref="Q28">angleDecimal2Txt(P28,0)</f>
        <v>+15°04.29</v>
      </c>
      <c r="R28" s="547" t="s">
        <v>905</v>
      </c>
      <c r="S28" s="547" t="s">
        <v>912</v>
      </c>
      <c r="T28" s="547" t="s">
        <v>906</v>
      </c>
      <c r="U28" s="547" t="s">
        <v>913</v>
      </c>
      <c r="V28" s="241">
        <f t="shared" ref="V28:V30" si="3">AU28</f>
        <v>276.78502083333336</v>
      </c>
      <c r="W28" s="2000" t="str" cm="1">
        <f t="array" ref="W28">angleDecimal2Txt(V28,0)</f>
        <v>+276°47.10</v>
      </c>
      <c r="X28" s="141"/>
      <c r="Y28" s="141"/>
      <c r="Z28" s="141"/>
      <c r="AA28" s="146"/>
      <c r="AE28" s="81"/>
      <c r="AG28" cm="1">
        <f t="array" ref="AG28">heureConvert2Decimal(L28)</f>
        <v>2</v>
      </c>
      <c r="AH28" cm="1">
        <f t="array" ref="AH28">angleConvert2Decimal(M28)</f>
        <v>15.065</v>
      </c>
      <c r="AI28" cm="1">
        <f t="array" ref="AI28">heureConvert2Decimal(N28)</f>
        <v>3</v>
      </c>
      <c r="AJ28" cm="1">
        <f t="array" ref="AJ28">angleConvert2Decimal(O28)</f>
        <v>15.073333333333334</v>
      </c>
      <c r="AK28">
        <f>AI28-AG28</f>
        <v>1</v>
      </c>
      <c r="AL28">
        <f>AJ28-AH28</f>
        <v>8.333333333334636E-3</v>
      </c>
      <c r="AM28">
        <f>AH28+($G28-AG28)*AL28/AK28</f>
        <v>15.071562500000001</v>
      </c>
      <c r="AO28" cm="1">
        <f t="array" ref="AO28">heureConvert2Decimal(R28)</f>
        <v>2</v>
      </c>
      <c r="AP28" cm="1">
        <f t="array" ref="AP28">angleConvert2Decimal(S28)</f>
        <v>264.96333333333331</v>
      </c>
      <c r="AQ28" cm="1">
        <f t="array" ref="AQ28">heureConvert2Decimal(T28)</f>
        <v>3</v>
      </c>
      <c r="AR28" cm="1">
        <f t="array" ref="AR28">angleConvert2Decimal(U28)</f>
        <v>279.97500000000002</v>
      </c>
      <c r="AS28">
        <f>AQ28-AO28</f>
        <v>1</v>
      </c>
      <c r="AT28">
        <f>AR28-AP28</f>
        <v>15.011666666666713</v>
      </c>
      <c r="AU28">
        <f>AP28+($G28-AO28)*AT28/AS28</f>
        <v>276.78502083333336</v>
      </c>
      <c r="AV28" s="1986"/>
      <c r="AW28" s="1986"/>
    </row>
    <row r="29" spans="2:50" customFormat="1" ht="26.25" customHeight="1" thickTop="1" thickBot="1">
      <c r="B29" s="1987" t="s">
        <v>340</v>
      </c>
      <c r="C29" s="546" t="s">
        <v>345</v>
      </c>
      <c r="D29" s="522" t="str">
        <f>IF(B29=$AG$18,IF(ISNA(VLOOKUP(C29,$I$49:$I$52,1,FALSE)),"Mauvaise planete","OK"),"OK")</f>
        <v>OK</v>
      </c>
      <c r="E29" s="1988" t="s">
        <v>893</v>
      </c>
      <c r="F29" s="1990"/>
      <c r="G29" s="229">
        <f>heureConvert2Decimal(E29)+$F$23</f>
        <v>2.7875000000000001</v>
      </c>
      <c r="H29" s="547" t="s">
        <v>894</v>
      </c>
      <c r="I29" s="210">
        <f t="shared" si="0"/>
        <v>44.365000000000002</v>
      </c>
      <c r="J29" s="524">
        <f t="shared" si="1"/>
        <v>44.27152158795613</v>
      </c>
      <c r="K29" s="523" t="str">
        <f t="shared" si="2"/>
        <v>+44°16.29</v>
      </c>
      <c r="L29" s="1993" t="s">
        <v>897</v>
      </c>
      <c r="M29" s="547" t="s">
        <v>910</v>
      </c>
      <c r="N29" s="547" t="s">
        <v>896</v>
      </c>
      <c r="O29" s="547" t="s">
        <v>911</v>
      </c>
      <c r="P29" s="236">
        <f>AM29</f>
        <v>15.071562500000001</v>
      </c>
      <c r="Q29" s="2000" t="str" cm="1">
        <f t="array" ref="Q29">angleDecimal2Txt(P29,0)</f>
        <v>+15°04.29</v>
      </c>
      <c r="R29" s="547" t="s">
        <v>905</v>
      </c>
      <c r="S29" s="547" t="s">
        <v>912</v>
      </c>
      <c r="T29" s="547" t="s">
        <v>906</v>
      </c>
      <c r="U29" s="547" t="s">
        <v>913</v>
      </c>
      <c r="V29" s="241">
        <f t="shared" si="3"/>
        <v>276.78502083333336</v>
      </c>
      <c r="W29" s="2000" t="str" cm="1">
        <f t="array" ref="W29">angleDecimal2Txt(V29,0)</f>
        <v>+276°47.10</v>
      </c>
      <c r="X29" s="141"/>
      <c r="Y29" s="141"/>
      <c r="Z29" s="141"/>
      <c r="AA29" s="146"/>
      <c r="AE29" s="81"/>
      <c r="AG29" cm="1">
        <f t="array" ref="AG29">heureConvert2Decimal(L29)</f>
        <v>2</v>
      </c>
      <c r="AH29" cm="1">
        <f t="array" ref="AH29">angleConvert2Decimal(M29)</f>
        <v>15.065</v>
      </c>
      <c r="AI29" cm="1">
        <f t="array" ref="AI29">heureConvert2Decimal(N29)</f>
        <v>3</v>
      </c>
      <c r="AJ29" cm="1">
        <f t="array" ref="AJ29">angleConvert2Decimal(O29)</f>
        <v>15.073333333333334</v>
      </c>
      <c r="AK29">
        <f>AI29-AG29</f>
        <v>1</v>
      </c>
      <c r="AL29">
        <f>AJ29-AH29</f>
        <v>8.333333333334636E-3</v>
      </c>
      <c r="AM29">
        <f>AH29+($G29-AG29)*AL29/AK29</f>
        <v>15.071562500000001</v>
      </c>
      <c r="AO29" cm="1">
        <f t="array" ref="AO29">heureConvert2Decimal(R29)</f>
        <v>2</v>
      </c>
      <c r="AP29" cm="1">
        <f t="array" ref="AP29">angleConvert2Decimal(S29)</f>
        <v>264.96333333333331</v>
      </c>
      <c r="AQ29" cm="1">
        <f t="array" ref="AQ29">heureConvert2Decimal(T29)</f>
        <v>3</v>
      </c>
      <c r="AR29" cm="1">
        <f t="array" ref="AR29">angleConvert2Decimal(U29)</f>
        <v>279.97500000000002</v>
      </c>
      <c r="AS29">
        <f>AQ29-AO29</f>
        <v>1</v>
      </c>
      <c r="AT29">
        <f>AR29-AP29</f>
        <v>15.011666666666713</v>
      </c>
      <c r="AU29">
        <f>AP29+($G29-AO29)*AT29/AS29</f>
        <v>276.78502083333336</v>
      </c>
      <c r="AV29" s="1986"/>
      <c r="AW29" s="1986"/>
    </row>
    <row r="30" spans="2:50" customFormat="1" ht="26.25" customHeight="1" thickTop="1" thickBot="1">
      <c r="B30" s="1987" t="s">
        <v>340</v>
      </c>
      <c r="C30" s="546" t="s">
        <v>345</v>
      </c>
      <c r="D30" s="522" t="str">
        <f>IF(B30=$AG$18,IF(ISNA(VLOOKUP(C30,$I$49:$I$52,1,FALSE)),"Mauvaise planete","OK"),"OK")</f>
        <v>OK</v>
      </c>
      <c r="E30" s="1988" t="s">
        <v>893</v>
      </c>
      <c r="F30" s="1991"/>
      <c r="G30" s="229">
        <f>heureConvert2Decimal(E30)+$F$23</f>
        <v>2.7875000000000001</v>
      </c>
      <c r="H30" s="547" t="s">
        <v>894</v>
      </c>
      <c r="I30" s="210">
        <f t="shared" si="0"/>
        <v>44.365000000000002</v>
      </c>
      <c r="J30" s="524">
        <f t="shared" si="1"/>
        <v>44.27152158795613</v>
      </c>
      <c r="K30" s="523" t="str">
        <f t="shared" si="2"/>
        <v>+44°16.29</v>
      </c>
      <c r="L30" s="1993" t="s">
        <v>897</v>
      </c>
      <c r="M30" s="547" t="s">
        <v>910</v>
      </c>
      <c r="N30" s="547" t="s">
        <v>896</v>
      </c>
      <c r="O30" s="547" t="s">
        <v>911</v>
      </c>
      <c r="P30" s="236">
        <f>AM30</f>
        <v>15.071562500000001</v>
      </c>
      <c r="Q30" s="2000" t="str" cm="1">
        <f t="array" ref="Q30">angleDecimal2Txt(P30,0)</f>
        <v>+15°04.29</v>
      </c>
      <c r="R30" s="547" t="s">
        <v>905</v>
      </c>
      <c r="S30" s="547" t="s">
        <v>912</v>
      </c>
      <c r="T30" s="547" t="s">
        <v>906</v>
      </c>
      <c r="U30" s="547" t="s">
        <v>913</v>
      </c>
      <c r="V30" s="241">
        <f t="shared" si="3"/>
        <v>276.78502083333336</v>
      </c>
      <c r="W30" s="2000" t="str" cm="1">
        <f t="array" ref="W30">angleDecimal2Txt(V30,0)</f>
        <v>+276°47.10</v>
      </c>
      <c r="X30" s="141"/>
      <c r="Y30" s="141"/>
      <c r="Z30" s="141"/>
      <c r="AA30" s="146"/>
      <c r="AE30" s="81"/>
      <c r="AG30" cm="1">
        <f t="array" ref="AG30">heureConvert2Decimal(L30)</f>
        <v>2</v>
      </c>
      <c r="AH30" cm="1">
        <f t="array" ref="AH30">angleConvert2Decimal(M30)</f>
        <v>15.065</v>
      </c>
      <c r="AI30" cm="1">
        <f t="array" ref="AI30">heureConvert2Decimal(N30)</f>
        <v>3</v>
      </c>
      <c r="AJ30" cm="1">
        <f t="array" ref="AJ30">angleConvert2Decimal(O30)</f>
        <v>15.073333333333334</v>
      </c>
      <c r="AK30">
        <f>AI30-AG30</f>
        <v>1</v>
      </c>
      <c r="AL30">
        <f>AJ30-AH30</f>
        <v>8.333333333334636E-3</v>
      </c>
      <c r="AM30">
        <f>AH30+($G30-AG30)*AL30/AK30</f>
        <v>15.071562500000001</v>
      </c>
      <c r="AO30" cm="1">
        <f t="array" ref="AO30">heureConvert2Decimal(R30)</f>
        <v>2</v>
      </c>
      <c r="AP30" cm="1">
        <f t="array" ref="AP30">angleConvert2Decimal(S30)</f>
        <v>264.96333333333331</v>
      </c>
      <c r="AQ30" cm="1">
        <f t="array" ref="AQ30">heureConvert2Decimal(T30)</f>
        <v>3</v>
      </c>
      <c r="AR30" cm="1">
        <f t="array" ref="AR30">angleConvert2Decimal(U30)</f>
        <v>279.97500000000002</v>
      </c>
      <c r="AS30">
        <f>AQ30-AO30</f>
        <v>1</v>
      </c>
      <c r="AT30">
        <f>AR30-AP30</f>
        <v>15.011666666666713</v>
      </c>
      <c r="AU30">
        <f>AP30+($G30-AO30)*AT30/AS30</f>
        <v>276.78502083333336</v>
      </c>
    </row>
    <row r="31" spans="2:50" customFormat="1" ht="13.5" customHeight="1" thickTop="1">
      <c r="X31" s="141"/>
      <c r="Y31" s="141"/>
      <c r="Z31" s="141"/>
      <c r="AA31" s="146"/>
      <c r="AE31" s="81"/>
      <c r="AX31" s="14"/>
    </row>
    <row r="32" spans="2:50" customFormat="1" ht="13.5" customHeight="1">
      <c r="X32" s="141"/>
      <c r="Y32" s="141"/>
      <c r="Z32" s="141"/>
      <c r="AA32" s="146"/>
      <c r="AE32" s="81"/>
    </row>
    <row r="33" spans="1:68" customFormat="1" ht="12" customHeight="1">
      <c r="E33" s="187"/>
      <c r="F33" s="143"/>
      <c r="I33" s="14"/>
      <c r="J33" s="14"/>
      <c r="K33" s="14"/>
      <c r="L33" s="14"/>
      <c r="M33" s="146"/>
      <c r="N33" s="14"/>
      <c r="O33" s="14"/>
      <c r="P33" s="14"/>
      <c r="U33" s="14"/>
      <c r="V33" s="14"/>
      <c r="W33" s="141"/>
      <c r="X33" s="141"/>
      <c r="Y33" s="141"/>
      <c r="Z33" s="141"/>
      <c r="AA33" s="146"/>
      <c r="AE33" s="81"/>
    </row>
    <row r="34" spans="1:68" customFormat="1" ht="12.75" customHeight="1">
      <c r="C34" s="13"/>
      <c r="D34" s="13"/>
      <c r="E34" s="1730" t="s">
        <v>342</v>
      </c>
      <c r="F34" s="1730"/>
      <c r="G34" s="1699" t="s">
        <v>343</v>
      </c>
      <c r="H34" s="1699" t="s">
        <v>344</v>
      </c>
      <c r="I34" s="1699"/>
      <c r="J34" s="1699"/>
      <c r="K34" s="168" t="s">
        <v>95</v>
      </c>
      <c r="L34" s="168" t="s">
        <v>95</v>
      </c>
      <c r="M34" s="1733" t="s">
        <v>101</v>
      </c>
      <c r="N34" s="1733"/>
      <c r="O34" s="2049" t="s">
        <v>336</v>
      </c>
      <c r="P34" s="2050"/>
      <c r="Q34" s="2050"/>
      <c r="R34" s="2050"/>
      <c r="S34" s="2050"/>
      <c r="T34" s="2050"/>
      <c r="U34" s="2051"/>
      <c r="V34" s="1704" t="s">
        <v>337</v>
      </c>
      <c r="W34" s="1704" t="s">
        <v>406</v>
      </c>
      <c r="X34" s="2052" t="s">
        <v>43</v>
      </c>
      <c r="Y34" s="2053"/>
      <c r="Z34" s="2052" t="s">
        <v>222</v>
      </c>
      <c r="AA34" s="2053"/>
      <c r="AB34" s="1714" t="s">
        <v>338</v>
      </c>
      <c r="AC34" s="1714" t="s">
        <v>339</v>
      </c>
      <c r="AD34" s="1714" t="s">
        <v>93</v>
      </c>
      <c r="AE34" s="525" t="s">
        <v>357</v>
      </c>
      <c r="AG34" s="81"/>
    </row>
    <row r="35" spans="1:68" customFormat="1" ht="22.5" customHeight="1" thickBot="1">
      <c r="C35" s="13"/>
      <c r="D35" s="13"/>
      <c r="E35" s="1730"/>
      <c r="F35" s="1730"/>
      <c r="G35" s="1699"/>
      <c r="H35" s="207" t="s">
        <v>96</v>
      </c>
      <c r="I35" s="207" t="s">
        <v>352</v>
      </c>
      <c r="J35" s="207" t="s">
        <v>184</v>
      </c>
      <c r="K35" s="169" t="s">
        <v>362</v>
      </c>
      <c r="L35" s="171" t="s">
        <v>368</v>
      </c>
      <c r="M35" s="1733"/>
      <c r="N35" s="1733"/>
      <c r="O35" s="153" t="s">
        <v>353</v>
      </c>
      <c r="P35" s="153" t="s">
        <v>354</v>
      </c>
      <c r="Q35" s="153" t="s">
        <v>355</v>
      </c>
      <c r="R35" s="153" t="s">
        <v>361</v>
      </c>
      <c r="S35" s="208" t="s">
        <v>360</v>
      </c>
      <c r="T35" s="2047" t="s">
        <v>488</v>
      </c>
      <c r="U35" s="2048"/>
      <c r="V35" s="1704"/>
      <c r="W35" s="1704"/>
      <c r="X35" s="2054"/>
      <c r="Y35" s="2055"/>
      <c r="Z35" s="2054"/>
      <c r="AA35" s="2055"/>
      <c r="AB35" s="1714"/>
      <c r="AC35" s="1714"/>
      <c r="AD35" s="1714"/>
      <c r="AE35" s="526" t="s">
        <v>358</v>
      </c>
      <c r="AG35" s="81"/>
      <c r="BB35" s="14"/>
    </row>
    <row r="36" spans="1:68" customFormat="1" ht="17.25" customHeight="1" thickTop="1" thickBot="1">
      <c r="C36" s="142" t="str">
        <f>B19</f>
        <v>Etoile</v>
      </c>
      <c r="D36" s="142" t="str">
        <f>C19</f>
        <v>Achernar</v>
      </c>
      <c r="E36" s="213">
        <f>IF(B19=$AG$18,IF(ISNA(VLOOKUP(C19,$I$49:$I$50,1,FALSE)),0,VLOOKUP(C19,$I$49:$J$50,2,FALSE)),0)</f>
        <v>0</v>
      </c>
      <c r="F36" s="214">
        <f>angleConvert2Decimal(E36)</f>
        <v>0</v>
      </c>
      <c r="G36" s="214">
        <f>ASIN(SIN(F36*Outils!$F$4)*COS(J19*Outils!$F$4))*Outils!$F$5</f>
        <v>0</v>
      </c>
      <c r="H36" s="1707">
        <f>0.28*$X$20/(273+$X$19)</f>
        <v>0.99929328621908131</v>
      </c>
      <c r="I36" s="215">
        <f>(1/TAN(Outils!$F$4*(J19+7.31/(J19+4.4))))/60</f>
        <v>1.9988027818992563E-2</v>
      </c>
      <c r="J36" s="215">
        <f>I36*$H$36</f>
        <v>1.9973902004279495E-2</v>
      </c>
      <c r="K36" s="170" t="str">
        <f>angleDecimal2Txt(G36-$F$12-J36,0)</f>
        <v>-00°08.00</v>
      </c>
      <c r="L36" s="172" t="str">
        <f>angleDecimal2Txt(AN50,0)</f>
        <v>+00°00.10</v>
      </c>
      <c r="M36" s="173">
        <f>J19-F36+G36-J36+angleConvert2Decimal(L36)</f>
        <v>39.638214352618512</v>
      </c>
      <c r="N36" s="174" t="str">
        <f>angleDecimal2Txt(M36,0)</f>
        <v>+39°38.29</v>
      </c>
      <c r="O36" s="159">
        <f>INT(G19)</f>
        <v>2</v>
      </c>
      <c r="P36" s="159">
        <f>VLOOKUP($O36,$R$19:$T$21,3,FALSE)</f>
        <v>306.66500000000002</v>
      </c>
      <c r="Q36" s="159">
        <f>VLOOKUP(1+$O36,$R$19:$T$21,3,FALSE)</f>
        <v>321.70666666666665</v>
      </c>
      <c r="R36" s="245">
        <f>P36+(Q36-P36)*(G19-O36)</f>
        <v>316.7554513888889</v>
      </c>
      <c r="S36" s="209">
        <f>angleConvert2Decimal($S$23)+angleConvert2Decimal($T$23)*(G19-$R$23)</f>
        <v>277.25113069444444</v>
      </c>
      <c r="T36" s="2059">
        <f>R36</f>
        <v>316.7554513888889</v>
      </c>
      <c r="U36" s="2060" t="str" cm="1">
        <f t="array" ref="U36">angleDecimal2Txt(T36,0)</f>
        <v>+316°45.32</v>
      </c>
      <c r="V36" s="160">
        <f>$F$11+R36</f>
        <v>361.35545138888892</v>
      </c>
      <c r="W36" s="160">
        <f>IF(T36+M19&gt;360,T36+M19-360,IF(T36+M19&lt;0,T36+M19+360,T36+M19))</f>
        <v>292.10045138888893</v>
      </c>
      <c r="X36" s="160">
        <f>IF(V36+M19&gt;360,V36+M19-360,V36+M19)</f>
        <v>336.70045138888895</v>
      </c>
      <c r="Y36" s="2056" t="str">
        <f>angleDecimal2Txt(X36,0)</f>
        <v>+336°42.02</v>
      </c>
      <c r="Z36" s="155" cm="1">
        <f t="array" ref="Z36">astroCalculHc($F$10,O19,X36)</f>
        <v>39.568548512664584</v>
      </c>
      <c r="AA36" s="2056" t="str">
        <f>angleDecimal2Txt(Z36,0)</f>
        <v>+39°34.11</v>
      </c>
      <c r="AB36" s="161">
        <f>60*(M36-Z36)</f>
        <v>4.1799503972356433</v>
      </c>
      <c r="AC36" s="157" t="str">
        <f>IF(AB36&gt;0,"Vers Pg", "Oppose de Pg")</f>
        <v>Vers Pg</v>
      </c>
      <c r="AD36" s="161" cm="1">
        <f t="array" ref="AD36">astroCalculZ2Zn($F$10,astroCalculZ($F$10,O19,X36),X36)</f>
        <v>163.82058371389226</v>
      </c>
      <c r="AE36" s="2043" t="str" cm="1">
        <f t="array" ref="AE36">CONCATENATE(TEXT(O19,"#,00")," / ",TEXT(longitudeHoraire2longitude(W36),"#,00"))</f>
        <v>-57,11 / 67,90</v>
      </c>
      <c r="AG36" s="81"/>
    </row>
    <row r="37" spans="1:68" customFormat="1" ht="17.25" customHeight="1" thickTop="1" thickBot="1">
      <c r="C37" s="142" t="str">
        <f>B20</f>
        <v>Etoile</v>
      </c>
      <c r="D37" s="142" t="str">
        <f>C20</f>
        <v>Enif</v>
      </c>
      <c r="E37" s="216">
        <f>IF(B20=$AG$18,IF(ISNA(VLOOKUP(C20,$I$49:$I$50,1,FALSE)),0,VLOOKUP(C20,$I$49:$J$50,2,FALSE)),0)</f>
        <v>0</v>
      </c>
      <c r="F37" s="214">
        <f>angleConvert2Decimal(E37)</f>
        <v>0</v>
      </c>
      <c r="G37" s="214">
        <f>ASIN(SIN(F37*Outils!$F$4)*COS(J20*Outils!$F$4))*Outils!$F$5</f>
        <v>0</v>
      </c>
      <c r="H37" s="1708"/>
      <c r="I37" s="215">
        <f>(1/TAN(Outils!$F$4*(J20+7.31/(J20+4.4))))/60</f>
        <v>1.4324831605440614E-2</v>
      </c>
      <c r="J37" s="215">
        <f>I37*$H$36</f>
        <v>1.431470804953571E-2</v>
      </c>
      <c r="K37" s="170" t="str">
        <f>angleDecimal2Txt(G37-$F$12-J37,0)</f>
        <v>-00°07.66</v>
      </c>
      <c r="L37" s="172" t="str">
        <f>angleDecimal2Txt(AN51,0)</f>
        <v>+00°00.20</v>
      </c>
      <c r="M37" s="173">
        <f>J20-F37+G37-J37+angleConvert2Decimal(L37)</f>
        <v>49.173873546573262</v>
      </c>
      <c r="N37" s="174" t="str">
        <f>angleDecimal2Txt(M37,0)</f>
        <v>+49°10.43</v>
      </c>
      <c r="O37" s="159">
        <f>INT(G20)</f>
        <v>2</v>
      </c>
      <c r="P37" s="159">
        <f>VLOOKUP($O37,$R$19:$T$21,3,FALSE)</f>
        <v>306.66500000000002</v>
      </c>
      <c r="Q37" s="159">
        <f>VLOOKUP(1+$O37,$R$19:$T$21,3,FALSE)</f>
        <v>321.70666666666665</v>
      </c>
      <c r="R37" s="245">
        <f>P37+(Q37-P37)*(G20-O37)</f>
        <v>317.47410879629632</v>
      </c>
      <c r="S37" s="209">
        <f>angleConvert2Decimal($S$23)+angleConvert2Decimal($T$23)*(G20-$R$23)</f>
        <v>277.26307673148148</v>
      </c>
      <c r="T37" s="2059">
        <f>R37</f>
        <v>317.47410879629632</v>
      </c>
      <c r="U37" s="2060" t="str" cm="1">
        <f t="array" ref="U37">angleDecimal2Txt(T37,0)</f>
        <v>+317°28.44</v>
      </c>
      <c r="V37" s="155">
        <f>$F$11+R37</f>
        <v>362.07410879629634</v>
      </c>
      <c r="W37" s="160">
        <f>IF(T37+M20&gt;360,T37+M20-360,IF(T37+M20&lt;0,T37+M20+360,T37+M20))</f>
        <v>351.1241087962963</v>
      </c>
      <c r="X37" s="160">
        <f>IF(V37+M20&gt;360,V37+M20-360,V37+M20)</f>
        <v>35.724108796296321</v>
      </c>
      <c r="Y37" s="2056" t="str">
        <f>angleDecimal2Txt(X37,0)</f>
        <v>+35°43.44</v>
      </c>
      <c r="Z37" s="155" cm="1">
        <f t="array" ref="Z37">astroCalculHc($F$10,O20,X37)</f>
        <v>49.22467598942513</v>
      </c>
      <c r="AA37" s="2056" t="str">
        <f>angleDecimal2Txt(Z37,0)</f>
        <v>+49°13.48</v>
      </c>
      <c r="AB37" s="161">
        <f>60*(M37-Z37)</f>
        <v>-3.0481465711120848</v>
      </c>
      <c r="AC37" s="157" t="str">
        <f>IF(AB37&gt;0,"Vers Pg", "Oppose de Pg")</f>
        <v>Oppose de Pg</v>
      </c>
      <c r="AD37" s="161" cm="1">
        <f t="array" ref="AD37">astroCalculZ2Zn($F$10,astroCalculZ($F$10,O20,X37),X37)</f>
        <v>298.29981204797025</v>
      </c>
      <c r="AE37" s="2043" t="str" cm="1">
        <f t="array" ref="AE37">CONCATENATE(TEXT(O20,"#,00")," / ",TEXT(longitudeHoraire2longitude(W37),"#,00"))</f>
        <v>9,99 / 8,88</v>
      </c>
      <c r="AG37" s="81"/>
      <c r="BH37" s="14"/>
      <c r="BI37" s="14"/>
      <c r="BJ37" s="14"/>
      <c r="BK37" s="14"/>
      <c r="BL37" s="14"/>
    </row>
    <row r="38" spans="1:68" customFormat="1" ht="17.25" customHeight="1" thickTop="1" thickBot="1">
      <c r="C38" s="142" t="str">
        <f>B21</f>
        <v>Etoile</v>
      </c>
      <c r="D38" s="142" t="str">
        <f>C21</f>
        <v>x</v>
      </c>
      <c r="E38" s="216">
        <f>IF(B21=$AG$18,IF(ISNA(VLOOKUP(C21,$I$49:$I$50,1,FALSE)),0,VLOOKUP(C21,$I$49:$J$50,2,FALSE)),0)</f>
        <v>0</v>
      </c>
      <c r="F38" s="214">
        <f>angleConvert2Decimal(E38)</f>
        <v>0</v>
      </c>
      <c r="G38" s="214">
        <f>ASIN(SIN(F38*Outils!$F$4)*COS(J21*Outils!$F$4))*Outils!$F$5</f>
        <v>0</v>
      </c>
      <c r="H38" s="1708"/>
      <c r="I38" s="215">
        <f>(1/TAN(Outils!$F$4*(J21+7.31/(J21+4.4))))/60</f>
        <v>1.7006542859302073E-2</v>
      </c>
      <c r="J38" s="215">
        <f>I38*$H$36</f>
        <v>1.699452410109762E-2</v>
      </c>
      <c r="K38" s="170" t="str">
        <f>angleDecimal2Txt(G38-$F$12-J38,0)</f>
        <v>-00°07.82</v>
      </c>
      <c r="L38" s="172" t="str">
        <f>angleDecimal2Txt(AN52,0)</f>
        <v>+00°00.10</v>
      </c>
      <c r="M38" s="173">
        <f>J21-F38+G38-J38+angleConvert2Decimal(L38)</f>
        <v>44.256193730521694</v>
      </c>
      <c r="N38" s="174" t="str">
        <f>angleDecimal2Txt(M38,0)</f>
        <v>+44°15.37</v>
      </c>
      <c r="O38" s="159">
        <f>INT(G21)</f>
        <v>2</v>
      </c>
      <c r="P38" s="159">
        <f>VLOOKUP($O38,$R$19:$T$21,3,FALSE)</f>
        <v>306.66500000000002</v>
      </c>
      <c r="Q38" s="159">
        <f>VLOOKUP(1+$O38,$R$19:$T$21,3,FALSE)</f>
        <v>321.70666666666665</v>
      </c>
      <c r="R38" s="245">
        <f>P38+(Q38-P38)*(G21-O38)</f>
        <v>318.5103125</v>
      </c>
      <c r="S38" s="209">
        <f>angleConvert2Decimal($S$23)+angleConvert2Decimal($T$23)*(G21-$R$23)</f>
        <v>277.28030124999998</v>
      </c>
      <c r="T38" s="2059">
        <f>R38</f>
        <v>318.5103125</v>
      </c>
      <c r="U38" s="2060" t="str" cm="1">
        <f t="array" ref="U38">angleDecimal2Txt(T38,0)</f>
        <v>+318°30.61</v>
      </c>
      <c r="V38" s="155">
        <f>$F$11+R38</f>
        <v>363.11031250000002</v>
      </c>
      <c r="W38" s="160">
        <f>IF(T38+M21&gt;360,T38+M21-360,IF(T38+M21&lt;0,T38+M21+360,T38+M21))</f>
        <v>20.511979166666663</v>
      </c>
      <c r="X38" s="160">
        <f>IF(V38+M21&gt;360,V38+M21-360,V38+M21)</f>
        <v>65.111979166666686</v>
      </c>
      <c r="Y38" s="2056" t="str">
        <f>angleDecimal2Txt(X38,0)</f>
        <v>+65°06.71</v>
      </c>
      <c r="Z38" s="155" cm="1">
        <f t="array" ref="Z38">astroCalculHc($F$10,O21,X38)</f>
        <v>22.486578807426593</v>
      </c>
      <c r="AA38" s="2056" t="str">
        <f>angleDecimal2Txt(Z38,0)</f>
        <v>+22°29.19</v>
      </c>
      <c r="AB38" s="161">
        <f>60*(M38-Z38)</f>
        <v>1306.1768953857061</v>
      </c>
      <c r="AC38" s="157" t="str">
        <f>IF(AB38&gt;0,"Vers Pg", "Oppose de Pg")</f>
        <v>Vers Pg</v>
      </c>
      <c r="AD38" s="161" cm="1">
        <f t="array" ref="AD38">astroCalculZ2Zn($F$10,astroCalculZ($F$10,O21,X38),X38)</f>
        <v>284.09987045307128</v>
      </c>
      <c r="AE38" s="2043" t="str" cm="1">
        <f t="array" ref="AE38">CONCATENATE(TEXT(O21,"#,00")," / ",TEXT(longitudeHoraire2longitude(W38),"#,00"))</f>
        <v>8,93 / -20,51</v>
      </c>
      <c r="AG38" s="81"/>
      <c r="BH38" s="14"/>
      <c r="BI38" s="14"/>
      <c r="BJ38" s="14"/>
      <c r="BK38" s="14"/>
      <c r="BL38" s="14"/>
    </row>
    <row r="39" spans="1:68" customFormat="1" ht="17.25" customHeight="1" thickTop="1" thickBot="1">
      <c r="C39" s="142" t="str">
        <f>B22</f>
        <v>Etoile</v>
      </c>
      <c r="D39" s="142" t="str">
        <f>C22</f>
        <v>x</v>
      </c>
      <c r="E39" s="216">
        <f>IF(B22=$AG$18,IF(ISNA(VLOOKUP(C22,$I$49:$I$50,1,FALSE)),0,VLOOKUP(C22,$I$49:$J$50,2,FALSE)),0)</f>
        <v>0</v>
      </c>
      <c r="F39" s="214">
        <f>angleConvert2Decimal(E39)</f>
        <v>0</v>
      </c>
      <c r="G39" s="214">
        <f>ASIN(SIN(F39*Outils!$F$4)*COS(J22*Outils!$F$4))*Outils!$F$5</f>
        <v>0</v>
      </c>
      <c r="H39" s="1708"/>
      <c r="I39" s="215">
        <f>(1/TAN(Outils!$F$4*(J22+7.31/(J22+4.4))))/60</f>
        <v>0.59520675025964487</v>
      </c>
      <c r="J39" s="215">
        <f>I39*$H$36</f>
        <v>0.5947861094467406</v>
      </c>
      <c r="K39" s="170" t="str">
        <f>angleDecimal2Txt(G39-$F$12-J39,0)</f>
        <v>-00°42.49</v>
      </c>
      <c r="L39" s="172" t="str">
        <f>angleDecimal2Txt(AN53,0)</f>
        <v>+00°00.10</v>
      </c>
      <c r="M39" s="173">
        <f>J22-F39+G39-J39+angleConvert2Decimal(L39)</f>
        <v>-0.68659785482395119</v>
      </c>
      <c r="N39" s="174" t="str">
        <f>angleDecimal2Txt(M39,0)</f>
        <v>-00°41.19</v>
      </c>
      <c r="O39" s="159">
        <f>INT(G22)</f>
        <v>0</v>
      </c>
      <c r="P39" s="159" t="e">
        <f>VLOOKUP($O39,$R$19:$T$21,3,FALSE)</f>
        <v>#N/A</v>
      </c>
      <c r="Q39" s="159" t="e">
        <f>VLOOKUP(1+$O39,$R$19:$T$21,3,FALSE)</f>
        <v>#N/A</v>
      </c>
      <c r="R39" s="245" t="e">
        <f>P39+(Q39-P39)*(G22-O39)</f>
        <v>#N/A</v>
      </c>
      <c r="S39" s="209">
        <f>angleConvert2Decimal($S$23)+angleConvert2Decimal($T$23)*(G22-$R$23)</f>
        <v>276.58368060185182</v>
      </c>
      <c r="T39" s="2059" t="e">
        <f>R39</f>
        <v>#N/A</v>
      </c>
      <c r="U39" s="2060" t="e" cm="1">
        <f t="array" ref="U39">angleDecimal2Txt(T39,0)</f>
        <v>#VALUE!</v>
      </c>
      <c r="V39" s="155" t="e">
        <f>$F$11+R39</f>
        <v>#N/A</v>
      </c>
      <c r="W39" s="160" t="e">
        <f>IF(T39+M22&gt;360,T39+M22-360,IF(T39+M22&lt;0,T39+M22+360,T39+M22))</f>
        <v>#N/A</v>
      </c>
      <c r="X39" s="160" t="e">
        <f>IF(V39+M22&gt;360,V39+M22-360,V39+M22)</f>
        <v>#N/A</v>
      </c>
      <c r="Y39" s="2056" t="e">
        <f>angleDecimal2Txt(X39,0)</f>
        <v>#VALUE!</v>
      </c>
      <c r="Z39" s="155" t="e" cm="1">
        <f t="array" ref="Z39">astroCalculHc($F$10,O22,X39)</f>
        <v>#VALUE!</v>
      </c>
      <c r="AA39" s="2056" t="e">
        <f>angleDecimal2Txt(Z39,0)</f>
        <v>#VALUE!</v>
      </c>
      <c r="AB39" s="161" t="e">
        <f>60*(M39-Z39)</f>
        <v>#VALUE!</v>
      </c>
      <c r="AC39" s="157" t="e">
        <f>IF(AB39&gt;0,"Vers Pg", "Oppose de Pg")</f>
        <v>#VALUE!</v>
      </c>
      <c r="AD39" s="161" t="e" cm="1">
        <f t="array" ref="AD39">astroCalculZ2Zn($F$10,astroCalculZ($F$10,O22,X39),X39)</f>
        <v>#VALUE!</v>
      </c>
      <c r="AE39" s="2043" t="e" cm="1">
        <f t="array" ref="AE39">CONCATENATE(TEXT(O22,"#,00")," / ",TEXT(longitudeHoraire2longitude(W39),"#,00"))</f>
        <v>#VALUE!</v>
      </c>
      <c r="AG39" s="81"/>
      <c r="BH39" s="14"/>
      <c r="BI39" s="14"/>
      <c r="BJ39" s="14"/>
      <c r="BK39" s="14"/>
      <c r="BL39" s="14"/>
    </row>
    <row r="40" spans="1:68" customFormat="1" ht="17.25" customHeight="1" thickTop="1" thickBot="1">
      <c r="C40" s="2006" t="str">
        <f>B23</f>
        <v>Etoile</v>
      </c>
      <c r="D40" s="2006" t="str">
        <f>C23</f>
        <v>x</v>
      </c>
      <c r="E40" s="2007">
        <f>IF(B23=$AG$18,IF(ISNA(VLOOKUP(C23,$I$49:$I$50,1,FALSE)),0,VLOOKUP(C23,$I$49:$J$50,2,FALSE)),0)</f>
        <v>0</v>
      </c>
      <c r="F40" s="2008">
        <f>angleConvert2Decimal(E40)</f>
        <v>0</v>
      </c>
      <c r="G40" s="2008">
        <f>ASIN(SIN(F40*Outils!$F$4)*COS(J23*Outils!$F$4))*Outils!$F$5</f>
        <v>0</v>
      </c>
      <c r="H40" s="1708"/>
      <c r="I40" s="552">
        <f>(1/TAN(Outils!$F$4*(J23+7.31/(J23+4.4))))/60</f>
        <v>0.59520675025964487</v>
      </c>
      <c r="J40" s="552">
        <f>I40*$H$36</f>
        <v>0.5947861094467406</v>
      </c>
      <c r="K40" s="2014" t="str">
        <f>angleDecimal2Txt(G40-$F$12-J40,0)</f>
        <v>-00°42.49</v>
      </c>
      <c r="L40" s="168" t="str">
        <f>angleDecimal2Txt(AN54,0)</f>
        <v>+00°00.00</v>
      </c>
      <c r="M40" s="2015">
        <f>J23-F40+G40-J40+angleConvert2Decimal(L40)</f>
        <v>-0.6882645214906179</v>
      </c>
      <c r="N40" s="2016" t="str">
        <f>angleDecimal2Txt(M40,0)</f>
        <v>-00°41.29</v>
      </c>
      <c r="O40" s="2017">
        <f>INT(G23)</f>
        <v>0</v>
      </c>
      <c r="P40" s="2017" t="e">
        <f>VLOOKUP($O40,$R$19:$T$21,3,FALSE)</f>
        <v>#N/A</v>
      </c>
      <c r="Q40" s="2017" t="e">
        <f>VLOOKUP(1+$O40,$R$19:$T$21,3,FALSE)</f>
        <v>#N/A</v>
      </c>
      <c r="R40" s="2018" t="e">
        <f>P40+(Q40-P40)*(G23-O40)</f>
        <v>#N/A</v>
      </c>
      <c r="S40" s="2019">
        <f>angleConvert2Decimal($S$23)+angleConvert2Decimal($T$23)*(G23-$R$23)</f>
        <v>276.58368060185182</v>
      </c>
      <c r="T40" s="2059" t="e">
        <f>R40</f>
        <v>#N/A</v>
      </c>
      <c r="U40" s="2060" t="e" cm="1">
        <f t="array" ref="U40">angleDecimal2Txt(T40,0)</f>
        <v>#VALUE!</v>
      </c>
      <c r="V40" s="2020" t="e">
        <f>$F$11+R40</f>
        <v>#N/A</v>
      </c>
      <c r="W40" s="2021" t="e">
        <f>IF(T40+M23&gt;360,T40+M23-360,IF(T40+M23&lt;0,T40+M23+360,T40+M23))</f>
        <v>#N/A</v>
      </c>
      <c r="X40" s="2021" t="e">
        <f>IF(V40+M23&gt;360,V40+M23-360,V40+M23)</f>
        <v>#N/A</v>
      </c>
      <c r="Y40" s="2056" t="e">
        <f>angleDecimal2Txt(X40,0)</f>
        <v>#VALUE!</v>
      </c>
      <c r="Z40" s="2020" t="e" cm="1">
        <f t="array" ref="Z40">astroCalculHc($F$10,O23,X40)</f>
        <v>#VALUE!</v>
      </c>
      <c r="AA40" s="2056" t="e">
        <f>angleDecimal2Txt(Z40,0)</f>
        <v>#VALUE!</v>
      </c>
      <c r="AB40" s="2023" t="e">
        <f>60*(M40-Z40)</f>
        <v>#VALUE!</v>
      </c>
      <c r="AC40" s="2022" t="e">
        <f>IF(AB40&gt;0,"Vers Pg", "Oppose de Pg")</f>
        <v>#VALUE!</v>
      </c>
      <c r="AD40" s="2023" t="e" cm="1">
        <f t="array" ref="AD40">astroCalculZ2Zn($F$10,astroCalculZ($F$10,O23,X40),X40)</f>
        <v>#VALUE!</v>
      </c>
      <c r="AE40" s="2044" t="e" cm="1">
        <f t="array" ref="AE40">CONCATENATE(TEXT(O23,"#,00")," / ",TEXT(longitudeHoraire2longitude(W40),"#,00"))</f>
        <v>#VALUE!</v>
      </c>
      <c r="AG40" s="81"/>
      <c r="BH40" s="14"/>
      <c r="BI40" s="14"/>
      <c r="BJ40" s="14"/>
      <c r="BK40" s="14"/>
      <c r="BL40" s="14"/>
    </row>
    <row r="41" spans="1:68" customFormat="1" ht="9" customHeight="1" thickTop="1" thickBot="1">
      <c r="C41" s="2010"/>
      <c r="D41" s="2010"/>
      <c r="E41" s="2011"/>
      <c r="F41" s="2012"/>
      <c r="G41" s="2012"/>
      <c r="H41" s="2013"/>
      <c r="I41" s="2025"/>
      <c r="J41" s="2025"/>
      <c r="K41" s="2026"/>
      <c r="L41" s="2027"/>
      <c r="M41" s="2028"/>
      <c r="N41" s="2029"/>
      <c r="O41" s="2030"/>
      <c r="P41" s="2030"/>
      <c r="Q41" s="2030"/>
      <c r="R41" s="2028"/>
      <c r="S41" s="2031"/>
      <c r="T41" s="2059"/>
      <c r="U41" s="2060"/>
      <c r="V41" s="2032"/>
      <c r="W41" s="2032"/>
      <c r="X41" s="2032"/>
      <c r="Y41" s="2057"/>
      <c r="Z41" s="2032"/>
      <c r="AA41" s="2056"/>
      <c r="AB41" s="2034"/>
      <c r="AC41" s="2033"/>
      <c r="AD41" s="2034"/>
      <c r="AE41" s="2045"/>
      <c r="AG41" s="81"/>
      <c r="BH41" s="14"/>
      <c r="BI41" s="14"/>
      <c r="BJ41" s="14"/>
      <c r="BK41" s="14"/>
      <c r="BL41" s="14"/>
    </row>
    <row r="42" spans="1:68" customFormat="1" ht="17.25" customHeight="1" thickTop="1" thickBot="1">
      <c r="C42" s="2009" t="str">
        <f>B27</f>
        <v>Planete</v>
      </c>
      <c r="D42" s="2009" t="str">
        <f>C27</f>
        <v>Mars</v>
      </c>
      <c r="E42" s="213" t="str">
        <f>IF(B27=$AG$18,IF(ISNA(VLOOKUP(C27,$I$49:$I$52,1,FALSE)),0,VLOOKUP(C27,$I$49:$J$52,2,FALSE)),0)</f>
        <v>0,3'</v>
      </c>
      <c r="F42" s="214">
        <f>angleConvert2Decimal(E42)</f>
        <v>5.0000000000000001E-3</v>
      </c>
      <c r="G42" s="214">
        <f>ASIN(SIN(F42*Outils!$F$4)*COS(J27*Outils!$F$4))*Outils!$F$5</f>
        <v>3.5801989330484902E-3</v>
      </c>
      <c r="H42" s="1708"/>
      <c r="I42" s="553">
        <f>(1/TAN(Outils!$F$4*(J27+7.31/(J27+4.4))))/60</f>
        <v>1.7006542859302073E-2</v>
      </c>
      <c r="J42" s="553">
        <f>I42*$H$36</f>
        <v>1.699452410109762E-2</v>
      </c>
      <c r="K42" s="2024" t="str">
        <f>angleDecimal2Txt(G42-$F$12-J42,0)</f>
        <v>-00°07.61</v>
      </c>
      <c r="L42" s="171" t="str">
        <f>angleDecimal2Txt(AN56,0)</f>
        <v>+00°00.00</v>
      </c>
      <c r="M42" s="173">
        <f>J27-F42+G42-J42+angleConvert2Decimal(L42)</f>
        <v>44.253107262788077</v>
      </c>
      <c r="N42" s="174" t="str">
        <f>angleDecimal2Txt(M42,0)</f>
        <v>+44°15.18</v>
      </c>
      <c r="O42" s="2041" t="s">
        <v>75</v>
      </c>
      <c r="P42" s="2038" t="s">
        <v>75</v>
      </c>
      <c r="Q42" s="2038" t="s">
        <v>75</v>
      </c>
      <c r="R42" s="2039" t="s">
        <v>75</v>
      </c>
      <c r="S42" s="2040" t="s">
        <v>75</v>
      </c>
      <c r="T42" s="2061" t="s">
        <v>75</v>
      </c>
      <c r="U42" s="2060"/>
      <c r="V42" s="2042" t="s">
        <v>75</v>
      </c>
      <c r="W42" s="160">
        <f>V27</f>
        <v>276.78502083333336</v>
      </c>
      <c r="X42" s="160">
        <f>IF($F$11+W42&gt;360,$F$11+W42-360,$F$11+W42)</f>
        <v>321.38502083333339</v>
      </c>
      <c r="Y42" s="2056" t="str">
        <f>angleDecimal2Txt(X42,0)</f>
        <v>+321°23.10</v>
      </c>
      <c r="Z42" s="550" cm="1">
        <f t="array" ref="Z42">astroCalculHc($F$10,P27,X42)</f>
        <v>44.255954382273686</v>
      </c>
      <c r="AA42" s="2056" t="str">
        <f>angleDecimal2Txt(Z42,0)</f>
        <v>+44°15.35</v>
      </c>
      <c r="AB42" s="161">
        <f>60*(M42-Z42)</f>
        <v>-0.1708271691364871</v>
      </c>
      <c r="AC42" s="157" t="str">
        <f>IF(AB42&gt;0,"Vers Pg", "Oppose de Pg")</f>
        <v>Oppose de Pg</v>
      </c>
      <c r="AD42" s="161" cm="1">
        <f t="array" ref="AD42">astroCalculZ2Zn($F$10,astroCalculZ($F$10,P27,X42),X42)</f>
        <v>57.285454963261856</v>
      </c>
      <c r="AE42" s="2043" t="str" cm="1">
        <f t="array" ref="AE42">CONCATENATE(TEXT(P27,"#,00")," / ",TEXT(longitudeHoraire2longitude(W42),"#,00"))</f>
        <v>15,07 / 83,21</v>
      </c>
      <c r="AG42" s="81"/>
      <c r="BH42" s="14"/>
      <c r="BI42" s="14"/>
      <c r="BJ42" s="14"/>
      <c r="BK42" s="14"/>
      <c r="BL42" s="14"/>
    </row>
    <row r="43" spans="1:68" customFormat="1" ht="17.25" customHeight="1" thickTop="1" thickBot="1">
      <c r="C43" s="551" t="str">
        <f>B28</f>
        <v>Planete</v>
      </c>
      <c r="D43" s="551" t="str">
        <f>C28</f>
        <v>Venus</v>
      </c>
      <c r="E43" s="213" t="str">
        <f>IF(B28=$AG$18,IF(ISNA(VLOOKUP(C28,$I$49:$I$52,1,FALSE)),0,VLOOKUP(C28,$I$49:$J$52,2,FALSE)),0)</f>
        <v>0,1'</v>
      </c>
      <c r="F43" s="214">
        <f>angleConvert2Decimal(E43)</f>
        <v>1.6666666666666668E-3</v>
      </c>
      <c r="G43" s="214">
        <f>ASIN(SIN(F43*Outils!$F$4)*COS(J28*Outils!$F$4))*Outils!$F$5</f>
        <v>1.1933996450055845E-3</v>
      </c>
      <c r="H43" s="1708"/>
      <c r="I43" s="553">
        <f>(1/TAN(Outils!$F$4*(J28+7.31/(J28+4.4))))/60</f>
        <v>1.7006542859302073E-2</v>
      </c>
      <c r="J43" s="553">
        <f>I43*$H$36</f>
        <v>1.699452410109762E-2</v>
      </c>
      <c r="K43" s="170" t="str">
        <f>angleDecimal2Txt(G43-$F$12-J43,0)</f>
        <v>-00°07.75</v>
      </c>
      <c r="L43" s="172" t="str">
        <f>angleDecimal2Txt(AN57,0)</f>
        <v>+00°00.00</v>
      </c>
      <c r="M43" s="173">
        <f>J28-F43+G43-J43+angleConvert2Decimal(L43)</f>
        <v>44.254053796833368</v>
      </c>
      <c r="N43" s="174" t="str">
        <f>angleDecimal2Txt(M43,0)</f>
        <v>+44°15.24</v>
      </c>
      <c r="O43" s="2041" t="s">
        <v>75</v>
      </c>
      <c r="P43" s="2038" t="s">
        <v>75</v>
      </c>
      <c r="Q43" s="2038" t="s">
        <v>75</v>
      </c>
      <c r="R43" s="2039" t="s">
        <v>75</v>
      </c>
      <c r="S43" s="2040" t="s">
        <v>75</v>
      </c>
      <c r="T43" s="2061" t="s">
        <v>75</v>
      </c>
      <c r="U43" s="2060"/>
      <c r="V43" s="2042" t="s">
        <v>75</v>
      </c>
      <c r="W43" s="160">
        <f>V28</f>
        <v>276.78502083333336</v>
      </c>
      <c r="X43" s="160">
        <f>IF($F$11+W43&gt;360,$F$11+W43-360,$F$11+W43)</f>
        <v>321.38502083333339</v>
      </c>
      <c r="Y43" s="2056" t="str">
        <f>angleDecimal2Txt(X43,0)</f>
        <v>+321°23.10</v>
      </c>
      <c r="Z43" s="550" cm="1">
        <f t="array" ref="Z43">astroCalculHc($F$10,P28,X43)</f>
        <v>44.255954382273686</v>
      </c>
      <c r="AA43" s="2056" t="str">
        <f>angleDecimal2Txt(Z43,0)</f>
        <v>+44°15.35</v>
      </c>
      <c r="AB43" s="161">
        <f>60*(M43-Z43)</f>
        <v>-0.11403512641905422</v>
      </c>
      <c r="AC43" s="157" t="str">
        <f>IF(AB43&gt;0,"Vers Pg", "Oppose de Pg")</f>
        <v>Oppose de Pg</v>
      </c>
      <c r="AD43" s="161" cm="1">
        <f t="array" ref="AD43">astroCalculZ2Zn($F$10,astroCalculZ($F$10,P28,X43),X43)</f>
        <v>57.285454963261856</v>
      </c>
      <c r="AE43" s="2043" t="str" cm="1">
        <f t="array" ref="AE43">CONCATENATE(TEXT(P28,"#,00")," / ",TEXT(longitudeHoraire2longitude(W43),"#,00"))</f>
        <v>15,07 / 83,21</v>
      </c>
      <c r="AG43" s="81"/>
      <c r="BH43" s="14"/>
      <c r="BI43" s="14"/>
      <c r="BJ43" s="14"/>
      <c r="BK43" s="14"/>
      <c r="BL43" s="14"/>
    </row>
    <row r="44" spans="1:68" customFormat="1" ht="17.25" customHeight="1" thickTop="1" thickBot="1">
      <c r="C44" s="551" t="str">
        <f>B29</f>
        <v>Planete</v>
      </c>
      <c r="D44" s="551" t="str">
        <f>C29</f>
        <v>Mars</v>
      </c>
      <c r="E44" s="213" t="str">
        <f>IF(B29=$AG$18,IF(ISNA(VLOOKUP(C29,$I$49:$I$52,1,FALSE)),0,VLOOKUP(C29,$I$49:$J$52,2,FALSE)),0)</f>
        <v>0,3'</v>
      </c>
      <c r="F44" s="214">
        <f>angleConvert2Decimal(E44)</f>
        <v>5.0000000000000001E-3</v>
      </c>
      <c r="G44" s="214">
        <f>ASIN(SIN(F44*Outils!$F$4)*COS(J29*Outils!$F$4))*Outils!$F$5</f>
        <v>3.5801989330484902E-3</v>
      </c>
      <c r="H44" s="1708"/>
      <c r="I44" s="553">
        <f>(1/TAN(Outils!$F$4*(J29+7.31/(J29+4.4))))/60</f>
        <v>1.7006542859302073E-2</v>
      </c>
      <c r="J44" s="553">
        <f>I44*$H$36</f>
        <v>1.699452410109762E-2</v>
      </c>
      <c r="K44" s="170" t="str">
        <f>angleDecimal2Txt(G44-$F$12-J44,0)</f>
        <v>-00°07.61</v>
      </c>
      <c r="L44" s="172" t="str">
        <f>angleDecimal2Txt(AN53,0)</f>
        <v>+00°00.10</v>
      </c>
      <c r="M44" s="173">
        <f>J29-F44+G44-J44+angleConvert2Decimal(L44)</f>
        <v>44.254773929454743</v>
      </c>
      <c r="N44" s="174" t="str">
        <f>angleDecimal2Txt(M44,0)</f>
        <v>+44°15.28</v>
      </c>
      <c r="O44" s="2041" t="s">
        <v>75</v>
      </c>
      <c r="P44" s="2038" t="s">
        <v>75</v>
      </c>
      <c r="Q44" s="2038" t="s">
        <v>75</v>
      </c>
      <c r="R44" s="2039" t="s">
        <v>75</v>
      </c>
      <c r="S44" s="2040" t="s">
        <v>75</v>
      </c>
      <c r="T44" s="2061" t="s">
        <v>75</v>
      </c>
      <c r="U44" s="2060"/>
      <c r="V44" s="2042" t="s">
        <v>75</v>
      </c>
      <c r="W44" s="160">
        <f>V29</f>
        <v>276.78502083333336</v>
      </c>
      <c r="X44" s="160">
        <f>IF($F$11+W44&gt;360,$F$11+W44-360,$F$11+W44)</f>
        <v>321.38502083333339</v>
      </c>
      <c r="Y44" s="2056" t="str">
        <f>angleDecimal2Txt(X44,0)</f>
        <v>+321°23.10</v>
      </c>
      <c r="Z44" s="550" cm="1">
        <f t="array" ref="Z44">astroCalculHc($F$10,P29,X44)</f>
        <v>44.255954382273686</v>
      </c>
      <c r="AA44" s="2056" t="str">
        <f>angleDecimal2Txt(Z44,0)</f>
        <v>+44°15.35</v>
      </c>
      <c r="AB44" s="161">
        <f>60*(M44-Z44)</f>
        <v>-7.082716913657805E-2</v>
      </c>
      <c r="AC44" s="157" t="str">
        <f>IF(AB44&gt;0,"Vers Pg", "Oppose de Pg")</f>
        <v>Oppose de Pg</v>
      </c>
      <c r="AD44" s="161" cm="1">
        <f t="array" ref="AD44">astroCalculZ2Zn($F$10,astroCalculZ($F$10,P29,X44),X44)</f>
        <v>57.285454963261856</v>
      </c>
      <c r="AE44" s="2043" t="str" cm="1">
        <f t="array" ref="AE44">CONCATENATE(TEXT(P29,"#,00")," / ",TEXT(longitudeHoraire2longitude(W44),"#,00"))</f>
        <v>15,07 / 83,21</v>
      </c>
      <c r="AG44" s="81"/>
      <c r="BH44" s="548"/>
      <c r="BI44" s="548"/>
      <c r="BJ44" s="548"/>
      <c r="BK44" s="548"/>
      <c r="BL44" s="548"/>
    </row>
    <row r="45" spans="1:68" customFormat="1" ht="17.25" customHeight="1" thickTop="1" thickBot="1">
      <c r="C45" s="551" t="str">
        <f>B30</f>
        <v>Planete</v>
      </c>
      <c r="D45" s="551" t="str">
        <f>C30</f>
        <v>Mars</v>
      </c>
      <c r="E45" s="213" t="str">
        <f>IF(B30=$AG$18,IF(ISNA(VLOOKUP(C30,$I$49:$I$52,1,FALSE)),0,VLOOKUP(C30,$I$49:$J$52,2,FALSE)),0)</f>
        <v>0,3'</v>
      </c>
      <c r="F45" s="214">
        <f>angleConvert2Decimal(E45)</f>
        <v>5.0000000000000001E-3</v>
      </c>
      <c r="G45" s="214">
        <f>ASIN(SIN(F45*Outils!$F$4)*COS(J30*Outils!$F$4))*Outils!$F$5</f>
        <v>3.5801989330484902E-3</v>
      </c>
      <c r="H45" s="1709"/>
      <c r="I45" s="553">
        <f>(1/TAN(Outils!$F$4*(J30+7.31/(J30+4.4))))/60</f>
        <v>1.7006542859302073E-2</v>
      </c>
      <c r="J45" s="553">
        <f>I45*$H$36</f>
        <v>1.699452410109762E-2</v>
      </c>
      <c r="K45" s="170" t="str">
        <f>angleDecimal2Txt(G45-$F$12-J45,0)</f>
        <v>-00°07.61</v>
      </c>
      <c r="L45" s="172" t="str">
        <f>angleDecimal2Txt(AN54,0)</f>
        <v>+00°00.00</v>
      </c>
      <c r="M45" s="173">
        <f>J30-F45+G45-J45+angleConvert2Decimal(L45)</f>
        <v>44.253107262788077</v>
      </c>
      <c r="N45" s="174" t="str">
        <f>angleDecimal2Txt(M45,0)</f>
        <v>+44°15.18</v>
      </c>
      <c r="O45" s="2041" t="s">
        <v>75</v>
      </c>
      <c r="P45" s="2038" t="s">
        <v>75</v>
      </c>
      <c r="Q45" s="2038" t="s">
        <v>75</v>
      </c>
      <c r="R45" s="2039" t="s">
        <v>75</v>
      </c>
      <c r="S45" s="2040" t="s">
        <v>75</v>
      </c>
      <c r="T45" s="2061" t="s">
        <v>75</v>
      </c>
      <c r="U45" s="2060"/>
      <c r="V45" s="2042" t="s">
        <v>75</v>
      </c>
      <c r="W45" s="160">
        <f>V30</f>
        <v>276.78502083333336</v>
      </c>
      <c r="X45" s="160">
        <f>IF($F$11+W45&gt;360,$F$11+W45-360,$F$11+W45)</f>
        <v>321.38502083333339</v>
      </c>
      <c r="Y45" s="2056" t="str">
        <f>angleDecimal2Txt(X45,0)</f>
        <v>+321°23.10</v>
      </c>
      <c r="Z45" s="550" cm="1">
        <f t="array" ref="Z45">astroCalculHc($F$10,P30,X45)</f>
        <v>44.255954382273686</v>
      </c>
      <c r="AA45" s="2056" t="str">
        <f>angleDecimal2Txt(Z45,0)</f>
        <v>+44°15.35</v>
      </c>
      <c r="AB45" s="161">
        <f>60*(M45-Z45)</f>
        <v>-0.1708271691364871</v>
      </c>
      <c r="AC45" s="157" t="str">
        <f>IF(AB45&gt;0,"Vers Pg", "Oppose de Pg")</f>
        <v>Oppose de Pg</v>
      </c>
      <c r="AD45" s="161" cm="1">
        <f t="array" ref="AD45">astroCalculZ2Zn($F$10,astroCalculZ($F$10,P30,X45),X45)</f>
        <v>57.285454963261856</v>
      </c>
      <c r="AE45" s="2043" t="str" cm="1">
        <f t="array" ref="AE45">CONCATENATE(TEXT(P30,"#,00")," / ",TEXT(longitudeHoraire2longitude(W45),"#,00"))</f>
        <v>15,07 / 83,21</v>
      </c>
      <c r="AG45" s="81"/>
      <c r="BH45" s="12"/>
      <c r="BI45" s="12"/>
      <c r="BJ45" s="12"/>
      <c r="BK45" s="12"/>
      <c r="BL45" s="12"/>
    </row>
    <row r="46" spans="1:68" customFormat="1" ht="17.25" customHeight="1" thickTop="1">
      <c r="A46" s="14"/>
      <c r="B46" s="14"/>
      <c r="C46" s="57"/>
      <c r="D46" s="57"/>
      <c r="E46" s="183"/>
      <c r="F46" s="144"/>
      <c r="G46" s="57"/>
      <c r="H46" s="14"/>
      <c r="I46" s="14"/>
      <c r="J46" s="14"/>
      <c r="K46" s="14"/>
      <c r="L46" s="14"/>
      <c r="M46" s="146"/>
      <c r="N46" s="14"/>
      <c r="O46" s="14"/>
      <c r="P46" s="14"/>
      <c r="Q46" s="14"/>
      <c r="R46" s="14"/>
      <c r="S46" s="14"/>
      <c r="T46" s="14"/>
      <c r="U46" s="14"/>
      <c r="V46" s="14"/>
      <c r="W46" s="141"/>
      <c r="X46" s="151"/>
      <c r="Y46" s="141"/>
      <c r="Z46" s="141"/>
      <c r="AA46" s="146"/>
      <c r="AE46" s="81"/>
      <c r="AR46" s="14"/>
      <c r="AX46" s="12"/>
      <c r="AY46" s="12"/>
      <c r="AZ46" s="12"/>
      <c r="BA46" s="12"/>
      <c r="BB46" s="12"/>
      <c r="BN46" s="22"/>
      <c r="BO46" s="14"/>
    </row>
    <row r="47" spans="1:68" customFormat="1" ht="17.25" customHeight="1">
      <c r="A47" s="14"/>
      <c r="B47" s="14"/>
      <c r="C47" s="57"/>
      <c r="D47" s="57"/>
      <c r="E47" s="183"/>
      <c r="F47" s="144"/>
      <c r="G47" s="57"/>
      <c r="H47" s="14"/>
      <c r="I47" s="14"/>
      <c r="J47" s="14"/>
      <c r="K47" s="14"/>
      <c r="L47" s="14"/>
      <c r="M47" s="1608" t="s">
        <v>367</v>
      </c>
      <c r="N47" s="1608"/>
      <c r="O47" s="1608"/>
      <c r="P47" s="1608"/>
      <c r="Q47" s="1608"/>
      <c r="R47" s="1608"/>
      <c r="S47" s="1608"/>
      <c r="T47" s="1608"/>
      <c r="U47" s="1608"/>
      <c r="V47" s="1608"/>
      <c r="W47" s="1608"/>
      <c r="X47" s="1608"/>
      <c r="Y47" s="1608"/>
      <c r="Z47" s="141"/>
      <c r="AA47" s="146"/>
      <c r="AE47" s="81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N47" s="22"/>
      <c r="BO47" s="14"/>
    </row>
    <row r="48" spans="1:68" customFormat="1" ht="17.25" customHeight="1">
      <c r="A48" s="14"/>
      <c r="B48" s="14"/>
      <c r="C48" s="57"/>
      <c r="D48" s="57"/>
      <c r="E48" s="183"/>
      <c r="F48" s="144"/>
      <c r="G48" s="57"/>
      <c r="H48" s="14"/>
      <c r="I48" s="146"/>
      <c r="J48" s="147" t="s">
        <v>349</v>
      </c>
      <c r="K48" s="147" t="s">
        <v>350</v>
      </c>
      <c r="L48" s="14"/>
      <c r="M48" s="148" t="s">
        <v>101</v>
      </c>
      <c r="N48" s="162">
        <v>1</v>
      </c>
      <c r="O48" s="162">
        <f>N48+1</f>
        <v>2</v>
      </c>
      <c r="P48" s="162">
        <f t="shared" ref="P48:V48" si="4">O48+1</f>
        <v>3</v>
      </c>
      <c r="Q48" s="162">
        <f t="shared" si="4"/>
        <v>4</v>
      </c>
      <c r="R48" s="162">
        <f t="shared" si="4"/>
        <v>5</v>
      </c>
      <c r="S48" s="162">
        <f t="shared" si="4"/>
        <v>6</v>
      </c>
      <c r="T48" s="162">
        <f t="shared" si="4"/>
        <v>7</v>
      </c>
      <c r="U48" s="162">
        <f t="shared" si="4"/>
        <v>8</v>
      </c>
      <c r="V48" s="162">
        <f t="shared" si="4"/>
        <v>9</v>
      </c>
      <c r="W48" s="162">
        <f>V48+1</f>
        <v>10</v>
      </c>
      <c r="X48" s="162">
        <f>W48+1</f>
        <v>11</v>
      </c>
      <c r="Y48" s="162">
        <f>X48+1</f>
        <v>12</v>
      </c>
      <c r="Z48" s="141"/>
      <c r="AA48" s="146"/>
      <c r="AE48" s="81"/>
      <c r="AG48" s="236" t="s">
        <v>369</v>
      </c>
      <c r="AH48" s="236"/>
      <c r="AI48" s="236"/>
      <c r="AJ48" s="224"/>
      <c r="AK48" s="224"/>
      <c r="AL48" s="224"/>
      <c r="AM48" s="224"/>
      <c r="BC48" s="14"/>
      <c r="BO48" s="22"/>
      <c r="BP48" s="14"/>
    </row>
    <row r="49" spans="1:68" customFormat="1" ht="17.25" customHeight="1">
      <c r="A49" s="14"/>
      <c r="B49" s="14"/>
      <c r="C49" s="57"/>
      <c r="D49" s="57"/>
      <c r="E49" s="183"/>
      <c r="F49" s="144"/>
      <c r="G49" s="57"/>
      <c r="H49" s="14"/>
      <c r="I49" s="166" t="s">
        <v>345</v>
      </c>
      <c r="J49" s="167" t="s">
        <v>347</v>
      </c>
      <c r="K49" s="246">
        <f>angleConvert2Decimal(J49)</f>
        <v>5.0000000000000001E-3</v>
      </c>
      <c r="L49" s="1705" t="str">
        <f>I49</f>
        <v>Mars</v>
      </c>
      <c r="M49" s="232">
        <v>40</v>
      </c>
      <c r="N49" s="233" t="s">
        <v>363</v>
      </c>
      <c r="O49" s="233" t="s">
        <v>363</v>
      </c>
      <c r="P49" s="233" t="s">
        <v>363</v>
      </c>
      <c r="Q49" s="233" t="s">
        <v>363</v>
      </c>
      <c r="R49" s="233" t="s">
        <v>363</v>
      </c>
      <c r="S49" s="233" t="s">
        <v>363</v>
      </c>
      <c r="T49" s="233" t="s">
        <v>363</v>
      </c>
      <c r="U49" s="233" t="s">
        <v>363</v>
      </c>
      <c r="V49" s="233" t="s">
        <v>363</v>
      </c>
      <c r="W49" s="233" t="s">
        <v>364</v>
      </c>
      <c r="X49" s="233" t="s">
        <v>364</v>
      </c>
      <c r="Y49" s="233" t="s">
        <v>364</v>
      </c>
      <c r="Z49" s="141"/>
      <c r="AA49" s="146"/>
      <c r="AE49" s="81"/>
      <c r="AG49" s="224"/>
      <c r="AH49" s="236" t="s">
        <v>101</v>
      </c>
      <c r="AI49" s="237">
        <f>AA6</f>
        <v>6</v>
      </c>
      <c r="AJ49" s="329" t="s">
        <v>922</v>
      </c>
      <c r="AK49" s="225" t="s">
        <v>923</v>
      </c>
      <c r="AL49" s="225" t="s">
        <v>345</v>
      </c>
      <c r="AM49" s="225" t="s">
        <v>346</v>
      </c>
      <c r="AN49" s="225" t="s">
        <v>370</v>
      </c>
      <c r="BC49" s="14"/>
      <c r="BO49" s="22"/>
      <c r="BP49" s="14"/>
    </row>
    <row r="50" spans="1:68" customFormat="1" ht="17.25" customHeight="1">
      <c r="A50" s="14"/>
      <c r="B50" s="14"/>
      <c r="C50" s="57"/>
      <c r="D50" s="57"/>
      <c r="E50" s="183"/>
      <c r="F50" s="144"/>
      <c r="G50" s="57"/>
      <c r="H50" s="14"/>
      <c r="I50" s="164" t="s">
        <v>346</v>
      </c>
      <c r="J50" s="165" t="s">
        <v>348</v>
      </c>
      <c r="K50" s="247">
        <f>angleConvert2Decimal(J50)</f>
        <v>1.6666666666666668E-3</v>
      </c>
      <c r="L50" s="1705"/>
      <c r="M50" s="232">
        <v>60</v>
      </c>
      <c r="N50" s="233" t="s">
        <v>363</v>
      </c>
      <c r="O50" s="233" t="s">
        <v>363</v>
      </c>
      <c r="P50" s="233" t="s">
        <v>363</v>
      </c>
      <c r="Q50" s="233" t="s">
        <v>363</v>
      </c>
      <c r="R50" s="233" t="s">
        <v>363</v>
      </c>
      <c r="S50" s="233" t="s">
        <v>363</v>
      </c>
      <c r="T50" s="233" t="s">
        <v>363</v>
      </c>
      <c r="U50" s="233" t="s">
        <v>363</v>
      </c>
      <c r="V50" s="233" t="s">
        <v>363</v>
      </c>
      <c r="W50" s="233" t="s">
        <v>363</v>
      </c>
      <c r="X50" s="233" t="s">
        <v>363</v>
      </c>
      <c r="Y50" s="233" t="s">
        <v>363</v>
      </c>
      <c r="Z50" s="141"/>
      <c r="AA50" s="146"/>
      <c r="AE50" s="81"/>
      <c r="AG50" s="1731" t="str">
        <f>I49</f>
        <v>Mars</v>
      </c>
      <c r="AH50" s="236">
        <v>0</v>
      </c>
      <c r="AI50" s="238" t="str">
        <f>AI51</f>
        <v>0°0,1'</v>
      </c>
      <c r="AK50" s="239">
        <f>J27</f>
        <v>44.27152158795613</v>
      </c>
      <c r="AL50" s="2058" t="str">
        <f>IF(D42=$AG$50,VLOOKUP($AK50,$AH$50:$AI$53,2,TRUE),0)</f>
        <v>0°0,1'</v>
      </c>
      <c r="AM50" s="225">
        <f>IF(D42=$AG$54,VLOOKUP($AK50,$AH$54:$AI$57,2,TRUE),0)</f>
        <v>0</v>
      </c>
      <c r="AN50" s="225">
        <f>angleConvert2Decimal(AL50)+angleConvert2Decimal(AM50)</f>
        <v>1.6666666666666668E-3</v>
      </c>
      <c r="BO50" s="22"/>
      <c r="BP50" s="14"/>
    </row>
    <row r="51" spans="1:68" customFormat="1" ht="17.25" customHeight="1">
      <c r="A51" s="14"/>
      <c r="B51" s="14"/>
      <c r="C51" s="57"/>
      <c r="D51" s="57"/>
      <c r="E51" s="183"/>
      <c r="F51" s="144"/>
      <c r="G51" s="57"/>
      <c r="H51" s="14"/>
      <c r="I51" s="2002" t="s">
        <v>903</v>
      </c>
      <c r="J51" s="2005" t="s">
        <v>907</v>
      </c>
      <c r="K51" s="2003">
        <v>0</v>
      </c>
      <c r="L51" s="1705"/>
      <c r="M51" s="232">
        <v>90</v>
      </c>
      <c r="N51" s="233" t="s">
        <v>363</v>
      </c>
      <c r="O51" s="233" t="s">
        <v>363</v>
      </c>
      <c r="P51" s="233" t="s">
        <v>363</v>
      </c>
      <c r="Q51" s="233" t="s">
        <v>363</v>
      </c>
      <c r="R51" s="233" t="s">
        <v>363</v>
      </c>
      <c r="S51" s="233" t="s">
        <v>363</v>
      </c>
      <c r="T51" s="233" t="s">
        <v>363</v>
      </c>
      <c r="U51" s="233" t="s">
        <v>363</v>
      </c>
      <c r="V51" s="233" t="s">
        <v>363</v>
      </c>
      <c r="W51" s="233" t="s">
        <v>363</v>
      </c>
      <c r="X51" s="233" t="s">
        <v>363</v>
      </c>
      <c r="Y51" s="233" t="s">
        <v>363</v>
      </c>
      <c r="Z51" s="141"/>
      <c r="AA51" s="146"/>
      <c r="AE51" s="81"/>
      <c r="AG51" s="1731"/>
      <c r="AH51" s="236">
        <v>40</v>
      </c>
      <c r="AI51" s="238" t="str">
        <f>HLOOKUP($AI$49,$N$48:$Y$54,2,FALSE)</f>
        <v>0°0,1'</v>
      </c>
      <c r="AK51" s="239">
        <f>J28</f>
        <v>44.27152158795613</v>
      </c>
      <c r="AL51" s="2058">
        <f>IF(D43=$AG$50,VLOOKUP($AK51,$AH$50:$AI$53,2,TRUE),0)</f>
        <v>0</v>
      </c>
      <c r="AM51" s="225" t="str">
        <f>IF(D43=$AG$54,VLOOKUP($AK51,$AH$54:$AI$57,2,TRUE),0)</f>
        <v>0°0,2'</v>
      </c>
      <c r="AN51" s="225">
        <f>angleConvert2Decimal(AL51)+angleConvert2Decimal(AM51)</f>
        <v>3.3333333333333335E-3</v>
      </c>
      <c r="BO51" s="22"/>
      <c r="BP51" s="14"/>
    </row>
    <row r="52" spans="1:68" customFormat="1" ht="17.25" customHeight="1">
      <c r="A52" s="14"/>
      <c r="B52" s="14"/>
      <c r="C52" s="57"/>
      <c r="D52" s="57"/>
      <c r="E52" s="183"/>
      <c r="F52" s="144"/>
      <c r="G52" s="57"/>
      <c r="H52" s="14"/>
      <c r="I52" s="2004" t="s">
        <v>904</v>
      </c>
      <c r="J52" s="2005" t="s">
        <v>907</v>
      </c>
      <c r="K52" s="2003">
        <v>0</v>
      </c>
      <c r="L52" s="1706" t="str">
        <f>I50</f>
        <v>Venus</v>
      </c>
      <c r="M52" s="234">
        <v>40</v>
      </c>
      <c r="N52" s="235" t="s">
        <v>363</v>
      </c>
      <c r="O52" s="235" t="s">
        <v>363</v>
      </c>
      <c r="P52" s="235" t="s">
        <v>363</v>
      </c>
      <c r="Q52" s="235" t="s">
        <v>363</v>
      </c>
      <c r="R52" s="235" t="s">
        <v>364</v>
      </c>
      <c r="S52" s="235" t="s">
        <v>364</v>
      </c>
      <c r="T52" s="235" t="s">
        <v>365</v>
      </c>
      <c r="U52" s="235" t="s">
        <v>366</v>
      </c>
      <c r="V52" s="235" t="s">
        <v>365</v>
      </c>
      <c r="W52" s="235" t="s">
        <v>364</v>
      </c>
      <c r="X52" s="235" t="s">
        <v>364</v>
      </c>
      <c r="Y52" s="235" t="s">
        <v>363</v>
      </c>
      <c r="Z52" s="141"/>
      <c r="AA52" s="146"/>
      <c r="AE52" s="81"/>
      <c r="AG52" s="1731"/>
      <c r="AH52" s="236">
        <v>60</v>
      </c>
      <c r="AI52" s="238" t="str">
        <f>HLOOKUP($AI$49,$N$48:$Y$54,3,FALSE)</f>
        <v>0°0,1'</v>
      </c>
      <c r="AK52" s="239">
        <f>J29</f>
        <v>44.27152158795613</v>
      </c>
      <c r="AL52" s="2058" t="str">
        <f>IF(D44=$AG$50,VLOOKUP($AK52,$AH$50:$AI$53,2,TRUE),0)</f>
        <v>0°0,1'</v>
      </c>
      <c r="AM52" s="225">
        <f>IF(D44=$AG$54,VLOOKUP($AK52,$AH$54:$AI$57,2,TRUE),0)</f>
        <v>0</v>
      </c>
      <c r="AN52" s="225">
        <f>angleConvert2Decimal(AL52)+angleConvert2Decimal(AM52)</f>
        <v>1.6666666666666668E-3</v>
      </c>
      <c r="BO52" s="22"/>
      <c r="BP52" s="14"/>
    </row>
    <row r="53" spans="1:68" customFormat="1" ht="17.25" customHeight="1">
      <c r="A53" s="14"/>
      <c r="B53" s="14"/>
      <c r="C53" s="57"/>
      <c r="D53" s="57"/>
      <c r="E53" s="183"/>
      <c r="F53" s="144"/>
      <c r="G53" s="57"/>
      <c r="H53" s="14"/>
      <c r="I53" s="14"/>
      <c r="J53" s="14"/>
      <c r="K53" s="14"/>
      <c r="L53" s="1706"/>
      <c r="M53" s="234">
        <v>60</v>
      </c>
      <c r="N53" s="235" t="s">
        <v>363</v>
      </c>
      <c r="O53" s="235" t="s">
        <v>363</v>
      </c>
      <c r="P53" s="235" t="s">
        <v>363</v>
      </c>
      <c r="Q53" s="235" t="s">
        <v>363</v>
      </c>
      <c r="R53" s="235" t="s">
        <v>363</v>
      </c>
      <c r="S53" s="235" t="s">
        <v>363</v>
      </c>
      <c r="T53" s="235" t="s">
        <v>364</v>
      </c>
      <c r="U53" s="235" t="s">
        <v>365</v>
      </c>
      <c r="V53" s="235" t="s">
        <v>364</v>
      </c>
      <c r="W53" s="235" t="s">
        <v>363</v>
      </c>
      <c r="X53" s="235" t="s">
        <v>363</v>
      </c>
      <c r="Y53" s="235" t="s">
        <v>363</v>
      </c>
      <c r="Z53" s="141"/>
      <c r="AA53" s="146"/>
      <c r="AE53" s="81"/>
      <c r="AG53" s="1731"/>
      <c r="AH53" s="236">
        <v>90</v>
      </c>
      <c r="AI53" s="238" t="str">
        <f>HLOOKUP($AI$49,$N$48:$Y$54,4,FALSE)</f>
        <v>0°0,1'</v>
      </c>
      <c r="AK53" s="239">
        <f>J30</f>
        <v>44.27152158795613</v>
      </c>
      <c r="AL53" s="2058" t="str">
        <f>IF(D45=$AG$50,VLOOKUP($AK53,$AH$50:$AI$53,2,TRUE),0)</f>
        <v>0°0,1'</v>
      </c>
      <c r="AM53" s="225">
        <f>IF(D45=$AG$54,VLOOKUP($AK53,$AH$54:$AI$57,2,TRUE),0)</f>
        <v>0</v>
      </c>
      <c r="AN53" s="225">
        <f>angleConvert2Decimal(AL53)+angleConvert2Decimal(AM53)</f>
        <v>1.6666666666666668E-3</v>
      </c>
      <c r="BO53" s="22"/>
      <c r="BP53" s="14"/>
    </row>
    <row r="54" spans="1:68" customFormat="1" ht="17.25" customHeight="1">
      <c r="A54" s="14"/>
      <c r="B54" s="14"/>
      <c r="C54" s="57"/>
      <c r="D54" s="57"/>
      <c r="E54" s="183"/>
      <c r="F54" s="144"/>
      <c r="G54" s="57"/>
      <c r="H54" s="14"/>
      <c r="I54" s="14"/>
      <c r="J54" s="14"/>
      <c r="K54" s="14"/>
      <c r="L54" s="1706"/>
      <c r="M54" s="234">
        <v>90</v>
      </c>
      <c r="N54" s="235" t="s">
        <v>363</v>
      </c>
      <c r="O54" s="235" t="s">
        <v>363</v>
      </c>
      <c r="P54" s="235" t="s">
        <v>363</v>
      </c>
      <c r="Q54" s="235" t="s">
        <v>363</v>
      </c>
      <c r="R54" s="235" t="s">
        <v>363</v>
      </c>
      <c r="S54" s="235" t="s">
        <v>363</v>
      </c>
      <c r="T54" s="235" t="s">
        <v>363</v>
      </c>
      <c r="U54" s="235" t="s">
        <v>364</v>
      </c>
      <c r="V54" s="235" t="s">
        <v>363</v>
      </c>
      <c r="W54" s="235" t="s">
        <v>363</v>
      </c>
      <c r="X54" s="235" t="s">
        <v>363</v>
      </c>
      <c r="Y54" s="235" t="s">
        <v>363</v>
      </c>
      <c r="Z54" s="141"/>
      <c r="AA54" s="146"/>
      <c r="AE54" s="81"/>
      <c r="AG54" s="1732" t="str">
        <f>I50</f>
        <v>Venus</v>
      </c>
      <c r="AH54" s="236">
        <v>0</v>
      </c>
      <c r="AI54" s="236" t="str">
        <f>AI55</f>
        <v>0°0,2'</v>
      </c>
      <c r="AK54" s="239">
        <f>J23</f>
        <v>-9.3478412043877315E-2</v>
      </c>
      <c r="AL54" s="2058">
        <f>IF(D46=$AG$50,VLOOKUP($AK54,$AH$50:$AI$53,2,TRUE),0)</f>
        <v>0</v>
      </c>
      <c r="AM54" s="225">
        <f>IF(D46=$AG$54,VLOOKUP($AK54,$AH$54:$AI$57,2,TRUE),0)</f>
        <v>0</v>
      </c>
      <c r="AN54" s="225">
        <f>angleConvert2Decimal(AL54)+angleConvert2Decimal(AM54)</f>
        <v>0</v>
      </c>
      <c r="BO54" s="22"/>
      <c r="BP54" s="14"/>
    </row>
    <row r="55" spans="1:68" customFormat="1" ht="17.25" customHeight="1">
      <c r="A55" s="14"/>
      <c r="B55" s="14"/>
      <c r="C55" s="57"/>
      <c r="D55" s="57"/>
      <c r="E55" s="183"/>
      <c r="F55" s="144"/>
      <c r="G55" s="57"/>
      <c r="H55" s="14"/>
      <c r="I55" s="14"/>
      <c r="J55" s="14"/>
      <c r="K55" s="14"/>
      <c r="L55" s="14"/>
      <c r="M55" s="146"/>
      <c r="N55" s="14"/>
      <c r="O55" s="14"/>
      <c r="P55" s="14"/>
      <c r="Q55" s="14"/>
      <c r="R55" s="14"/>
      <c r="S55" s="14"/>
      <c r="T55" s="14"/>
      <c r="U55" s="14"/>
      <c r="V55" s="14"/>
      <c r="W55" s="141"/>
      <c r="X55" s="141"/>
      <c r="Y55" s="141"/>
      <c r="Z55" s="141"/>
      <c r="AA55" s="146"/>
      <c r="AE55" s="81"/>
      <c r="AG55" s="1732"/>
      <c r="AH55" s="236">
        <v>40</v>
      </c>
      <c r="AI55" s="238" t="str">
        <f>HLOOKUP($AI$49,$N$48:$Y$54,5,FALSE)</f>
        <v>0°0,2'</v>
      </c>
      <c r="BO55" s="22"/>
      <c r="BP55" s="14"/>
    </row>
    <row r="56" spans="1:68" customFormat="1" ht="17.25" customHeight="1">
      <c r="E56" s="187"/>
      <c r="L56" s="14"/>
      <c r="M56" s="146"/>
      <c r="N56" s="14"/>
      <c r="O56" s="14"/>
      <c r="P56" s="14"/>
      <c r="Q56" s="14"/>
      <c r="R56" s="14"/>
      <c r="S56" s="14"/>
      <c r="T56" s="14"/>
      <c r="U56" s="14"/>
      <c r="V56" s="14"/>
      <c r="W56" s="141"/>
      <c r="X56" s="141"/>
      <c r="Y56" s="141"/>
      <c r="Z56" s="141"/>
      <c r="AE56" s="81"/>
      <c r="AG56" s="1732"/>
      <c r="AH56" s="236">
        <v>60</v>
      </c>
      <c r="AI56" s="238" t="str">
        <f>HLOOKUP($AI$49,$N$48:$Y$54,6,FALSE)</f>
        <v>0°0,1'</v>
      </c>
      <c r="AJ56" s="224"/>
      <c r="AK56" s="224"/>
      <c r="AL56" s="224"/>
      <c r="AM56" s="224"/>
    </row>
    <row r="57" spans="1:68" customFormat="1" ht="17.25" customHeight="1">
      <c r="E57" s="187"/>
      <c r="L57" s="14"/>
      <c r="M57" s="146"/>
      <c r="N57" s="14"/>
      <c r="O57" s="14"/>
      <c r="P57" s="14"/>
      <c r="Q57" s="14"/>
      <c r="R57" s="14"/>
      <c r="S57" s="14"/>
      <c r="T57" s="14"/>
      <c r="U57" s="14"/>
      <c r="V57" s="14"/>
      <c r="W57" s="141"/>
      <c r="X57" s="141"/>
      <c r="Y57" s="141"/>
      <c r="Z57" s="141"/>
      <c r="AE57" s="81"/>
      <c r="AF57" s="11"/>
      <c r="AG57" s="1732"/>
      <c r="AH57" s="236">
        <v>90</v>
      </c>
      <c r="AI57" s="238" t="str">
        <f>HLOOKUP($AI$49,$N$48:$Y$54,7,FALSE)</f>
        <v>0°0,1'</v>
      </c>
      <c r="AJ57" s="224"/>
      <c r="AK57" s="224"/>
      <c r="AL57" s="224"/>
      <c r="AM57" s="224"/>
    </row>
    <row r="58" spans="1:68" ht="17.25" customHeight="1" thickBot="1">
      <c r="D58" s="14"/>
      <c r="E58" s="14"/>
      <c r="F58" s="14"/>
      <c r="G58" s="14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/>
      <c r="AH58" s="14"/>
      <c r="AI58" s="14"/>
      <c r="AJ58" s="14"/>
      <c r="AK58" s="14"/>
      <c r="AL58" s="14"/>
      <c r="AM58" s="75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</row>
    <row r="59" spans="1:68" customFormat="1" ht="15.75" thickBot="1">
      <c r="B59" s="107" t="s">
        <v>493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9"/>
      <c r="AB59" s="154"/>
      <c r="AC59" s="154"/>
      <c r="AE59" s="81"/>
    </row>
    <row r="60" spans="1:68" customFormat="1" ht="15">
      <c r="K60" s="90"/>
      <c r="L60" s="90"/>
      <c r="AE60" s="81"/>
    </row>
    <row r="61" spans="1:68" customFormat="1" ht="15">
      <c r="B61" s="1379" t="s">
        <v>1</v>
      </c>
      <c r="C61" s="1379"/>
      <c r="D61" s="1379" t="str">
        <f>E6</f>
        <v>2024/06/28</v>
      </c>
      <c r="E61" s="1379"/>
      <c r="F61" s="1379"/>
      <c r="G61" s="1379"/>
      <c r="H61" s="1379"/>
      <c r="I61" s="1379"/>
      <c r="AE61" s="81"/>
    </row>
    <row r="62" spans="1:68" customFormat="1" ht="15">
      <c r="B62" s="1381" t="s">
        <v>30</v>
      </c>
      <c r="C62" s="1381"/>
      <c r="D62" s="1382" t="s">
        <v>458</v>
      </c>
      <c r="E62" s="1382"/>
      <c r="F62" s="1382"/>
      <c r="G62" s="1382"/>
      <c r="H62" s="1382"/>
      <c r="I62" s="1382"/>
      <c r="J62" s="200"/>
      <c r="K62" s="200"/>
      <c r="L62" s="200"/>
      <c r="AE62" s="81"/>
    </row>
    <row r="63" spans="1:68" customFormat="1" ht="15">
      <c r="H63" s="200"/>
      <c r="I63" s="200"/>
      <c r="J63" s="200"/>
      <c r="K63" s="200"/>
      <c r="L63" s="200"/>
      <c r="AE63" s="81"/>
    </row>
    <row r="64" spans="1:68" customFormat="1" ht="15">
      <c r="B64" s="1377" t="s">
        <v>393</v>
      </c>
      <c r="C64" s="1377"/>
      <c r="D64" s="1378" t="str" cm="1">
        <f t="array" ref="D64">angleDecimal2Txt(angleConvert2Decimal(H13))</f>
        <v>-00°01.19 (-00.0200) [-00°01'12.00]</v>
      </c>
      <c r="E64" s="1378"/>
      <c r="F64" s="1378"/>
      <c r="G64" s="1378"/>
      <c r="H64" s="1378"/>
      <c r="I64" s="1378"/>
      <c r="J64" s="200"/>
      <c r="K64" s="200"/>
      <c r="L64" s="200"/>
      <c r="AE64" s="81"/>
    </row>
    <row r="65" spans="2:66" customFormat="1" ht="15">
      <c r="B65" s="1379" t="s">
        <v>394</v>
      </c>
      <c r="C65" s="1379"/>
      <c r="D65" s="1378" t="str">
        <f>CONCATENATE(H12, " m")</f>
        <v>15 m</v>
      </c>
      <c r="E65" s="1378"/>
      <c r="F65" s="1378"/>
      <c r="G65" s="1378"/>
      <c r="H65" s="1378"/>
      <c r="I65" s="1378"/>
      <c r="J65" s="200"/>
      <c r="K65" s="200"/>
      <c r="L65" s="200"/>
      <c r="AE65" s="81"/>
    </row>
    <row r="66" spans="2:66" customFormat="1" ht="15">
      <c r="J66" s="200"/>
      <c r="K66" s="200"/>
      <c r="L66" s="200"/>
      <c r="AE66" s="81"/>
    </row>
    <row r="67" spans="2:66" customFormat="1" ht="15">
      <c r="B67" s="1357" t="s">
        <v>404</v>
      </c>
      <c r="C67" s="1357"/>
      <c r="D67" s="1357" t="str" cm="1">
        <f t="array" ref="D67">latitudeDecimal2Txt(F10)</f>
        <v>S 10°00.00 (S 10.0000) [S 10°00'00.00]</v>
      </c>
      <c r="E67" s="1357"/>
      <c r="F67" s="1357"/>
      <c r="G67" s="1357"/>
      <c r="H67" s="1357"/>
      <c r="I67" s="1357"/>
      <c r="J67" s="200"/>
      <c r="K67" s="200"/>
      <c r="L67" s="200"/>
      <c r="AE67" s="81"/>
    </row>
    <row r="68" spans="2:66" customFormat="1" ht="15">
      <c r="B68" s="1357" t="s">
        <v>405</v>
      </c>
      <c r="C68" s="1357"/>
      <c r="D68" s="1357" t="str" cm="1">
        <f t="array" ref="D68">longitudeDecimal2Txt(F11)</f>
        <v>E 44°36.00 (E 44.6000) [E 44°36'00.00]</v>
      </c>
      <c r="E68" s="1357"/>
      <c r="F68" s="1357"/>
      <c r="G68" s="1357"/>
      <c r="H68" s="1357"/>
      <c r="I68" s="1357"/>
      <c r="J68" s="200"/>
      <c r="K68" s="200"/>
      <c r="L68" s="200"/>
      <c r="AE68" s="81"/>
    </row>
    <row r="69" spans="2:66" customFormat="1" ht="15">
      <c r="B69" s="196"/>
      <c r="C69" s="196"/>
      <c r="D69" s="199"/>
      <c r="E69" s="196"/>
      <c r="AE69" s="81"/>
    </row>
    <row r="70" spans="2:66" s="90" customFormat="1" ht="17.25" customHeight="1" thickBot="1">
      <c r="B70" s="203" t="s">
        <v>391</v>
      </c>
      <c r="C70" s="203"/>
      <c r="D70" s="203"/>
      <c r="E70"/>
      <c r="F70" s="198"/>
      <c r="G70" s="198"/>
      <c r="AB70"/>
      <c r="AC70"/>
      <c r="AD70"/>
      <c r="AE70" s="81"/>
      <c r="AF70"/>
      <c r="AG70"/>
      <c r="BF70"/>
      <c r="BG70"/>
      <c r="BH70"/>
      <c r="BI70"/>
      <c r="BJ70"/>
      <c r="BK70"/>
      <c r="BL70"/>
      <c r="BM70"/>
      <c r="BN70"/>
    </row>
    <row r="71" spans="2:66" s="90" customFormat="1" ht="17.25" customHeight="1" thickTop="1" thickBot="1">
      <c r="C71"/>
      <c r="D71" s="1717" t="s">
        <v>464</v>
      </c>
      <c r="E71" s="1718"/>
      <c r="F71" s="1723" t="str">
        <f>C19</f>
        <v>Achernar</v>
      </c>
      <c r="G71" s="1724"/>
      <c r="H71" s="1724"/>
      <c r="I71" s="1725"/>
      <c r="J71" s="1738" t="str">
        <f>C20</f>
        <v>Enif</v>
      </c>
      <c r="K71" s="1739"/>
      <c r="L71" s="1739"/>
      <c r="M71" s="1740"/>
      <c r="N71" s="1738" t="str">
        <f>C21</f>
        <v>x</v>
      </c>
      <c r="O71" s="1739"/>
      <c r="P71" s="1739"/>
      <c r="Q71" s="1740"/>
      <c r="R71" s="1738" t="str">
        <f>C22</f>
        <v>x</v>
      </c>
      <c r="S71" s="1739"/>
      <c r="T71" s="1739"/>
      <c r="U71" s="1740"/>
      <c r="V71" s="1738" t="str">
        <f>C23</f>
        <v>x</v>
      </c>
      <c r="W71" s="1739"/>
      <c r="X71" s="1739"/>
      <c r="Y71" s="1740"/>
      <c r="AB71"/>
      <c r="AC71"/>
      <c r="AD71"/>
      <c r="AE71" s="81"/>
      <c r="AF71"/>
      <c r="AG71"/>
      <c r="BF71"/>
      <c r="BG71"/>
      <c r="BH71"/>
      <c r="BI71"/>
      <c r="BJ71"/>
      <c r="BK71"/>
      <c r="BL71"/>
      <c r="BM71"/>
      <c r="BN71"/>
    </row>
    <row r="72" spans="2:66" s="90" customFormat="1" ht="17.25" customHeight="1">
      <c r="C72"/>
      <c r="D72" s="1748" t="s">
        <v>490</v>
      </c>
      <c r="E72" s="1713"/>
      <c r="F72" s="1697" t="str">
        <f>$D$61</f>
        <v>2024/06/28</v>
      </c>
      <c r="G72" s="1698"/>
      <c r="H72" s="1712" t="str" cm="1">
        <f t="array" ref="H72">heureDecimal2Txt($G$19,0)</f>
        <v>02:40:15.00</v>
      </c>
      <c r="I72" s="1713"/>
      <c r="J72" s="1697" t="str">
        <f>$D$61</f>
        <v>2024/06/28</v>
      </c>
      <c r="K72" s="1698"/>
      <c r="L72" s="1712" t="str" cm="1">
        <f t="array" ref="L72">heureDecimal2Txt($G$20,0)</f>
        <v>02:43:07.00</v>
      </c>
      <c r="M72" s="1713"/>
      <c r="N72" s="1697" t="str">
        <f>$D$61</f>
        <v>2024/06/28</v>
      </c>
      <c r="O72" s="1698"/>
      <c r="P72" s="1712" t="str" cm="1">
        <f t="array" ref="P72">heureDecimal2Txt($G$21,0)</f>
        <v>02:47:15.00</v>
      </c>
      <c r="Q72" s="1713"/>
      <c r="R72" s="1697" t="str">
        <f>$D$61</f>
        <v>2024/06/28</v>
      </c>
      <c r="S72" s="1698"/>
      <c r="T72" s="1712" t="str" cm="1">
        <f t="array" ref="T72">heureDecimal2Txt($G$22,0)</f>
        <v>00:00:05.00</v>
      </c>
      <c r="U72" s="1713"/>
      <c r="V72" s="1697" t="str">
        <f>$D$61</f>
        <v>2024/06/28</v>
      </c>
      <c r="W72" s="1698"/>
      <c r="X72" s="1712" t="str" cm="1">
        <f t="array" ref="X72">heureDecimal2Txt($G$23,0)</f>
        <v>00:00:05.00</v>
      </c>
      <c r="Y72" s="1713"/>
      <c r="AB72"/>
      <c r="AC72"/>
      <c r="AD72"/>
      <c r="AE72" s="81"/>
      <c r="AF72"/>
      <c r="AG72"/>
      <c r="BF72"/>
      <c r="BG72"/>
      <c r="BH72"/>
      <c r="BI72"/>
      <c r="BJ72"/>
      <c r="BK72"/>
      <c r="BL72"/>
      <c r="BM72"/>
      <c r="BN72"/>
    </row>
    <row r="73" spans="2:66" s="90" customFormat="1" ht="17.25" customHeight="1">
      <c r="D73" s="1383" t="s">
        <v>392</v>
      </c>
      <c r="E73" s="1750"/>
      <c r="F73" s="1741" t="str" cm="1">
        <f t="array" ref="F73">angleDecimal2Txt(angleConvert2Decimal(H19))</f>
        <v>+39°45.00 (+39.7500) [+39°45'00.00]</v>
      </c>
      <c r="G73" s="1742"/>
      <c r="H73" s="1742"/>
      <c r="I73" s="1743"/>
      <c r="J73" s="1741" t="str" cm="1">
        <f t="array" ref="J73">angleDecimal2Txt(angleConvert2Decimal(H20))</f>
        <v>+49°16.69 (+49.2783) [+49°16'42.00]</v>
      </c>
      <c r="K73" s="1742"/>
      <c r="L73" s="1742"/>
      <c r="M73" s="1743"/>
      <c r="N73" s="1741" t="str" cm="1">
        <f t="array" ref="N73">angleDecimal2Txt(angleConvert2Decimal(H21))</f>
        <v>+44°21.89 (+44.3650) [+44°21'54.00]</v>
      </c>
      <c r="O73" s="1742"/>
      <c r="P73" s="1742"/>
      <c r="Q73" s="1743"/>
      <c r="R73" s="1741" t="str" cm="1">
        <f t="array" ref="R73">angleDecimal2Txt(angleConvert2Decimal(H22))</f>
        <v>+00°00.00 (+00.0000) [+00°00'00.00]</v>
      </c>
      <c r="S73" s="1742"/>
      <c r="T73" s="1742"/>
      <c r="U73" s="1743"/>
      <c r="V73" s="1741" t="str" cm="1">
        <f t="array" ref="V73">angleDecimal2Txt(angleConvert2Decimal(H23))</f>
        <v>+00°00.00 (+00.0000) [+00°00'00.00]</v>
      </c>
      <c r="W73" s="1742"/>
      <c r="X73" s="1742"/>
      <c r="Y73" s="1743"/>
      <c r="AB73"/>
      <c r="AC73"/>
      <c r="AD73"/>
      <c r="AE73" s="81"/>
      <c r="AF73"/>
      <c r="AG73"/>
      <c r="BF73"/>
      <c r="BG73"/>
      <c r="BH73"/>
      <c r="BI73"/>
      <c r="BJ73"/>
      <c r="BK73"/>
      <c r="BL73"/>
      <c r="BM73"/>
      <c r="BN73"/>
    </row>
    <row r="74" spans="2:66" s="90" customFormat="1" ht="17.25" customHeight="1">
      <c r="D74" s="1719" t="s">
        <v>396</v>
      </c>
      <c r="E74" s="1720"/>
      <c r="F74" s="1744" t="str" cm="1">
        <f t="array" ref="F74">angleDecimal2Txt(J19)</f>
        <v>+39°39.39 (+39.6565) [+39°39'23.47]</v>
      </c>
      <c r="G74" s="1720"/>
      <c r="H74" s="1720"/>
      <c r="I74" s="1745"/>
      <c r="J74" s="1744" t="str" cm="1">
        <f t="array" ref="J74">angleDecimal2Txt(J20)</f>
        <v>+49°11.09 (+49.1848) [+49°11'05.47]</v>
      </c>
      <c r="K74" s="1720"/>
      <c r="L74" s="1720"/>
      <c r="M74" s="1745"/>
      <c r="N74" s="1744" t="str" cm="1">
        <f t="array" ref="N74">angleDecimal2Txt(J21)</f>
        <v>+44°16.29 (+44.2715) [+44°16'17.47]</v>
      </c>
      <c r="O74" s="1720"/>
      <c r="P74" s="1720"/>
      <c r="Q74" s="1745"/>
      <c r="R74" s="1744" t="str" cm="1">
        <f t="array" ref="R74">angleDecimal2Txt(J22)</f>
        <v>-00°05.60 (-00.0934) [-00°05'36.52]</v>
      </c>
      <c r="S74" s="1720"/>
      <c r="T74" s="1720"/>
      <c r="U74" s="1745"/>
      <c r="V74" s="1744" t="str" cm="1">
        <f t="array" ref="V74">angleDecimal2Txt(J23)</f>
        <v>-00°05.60 (-00.0934) [-00°05'36.52]</v>
      </c>
      <c r="W74" s="1720"/>
      <c r="X74" s="1720"/>
      <c r="Y74" s="1745"/>
      <c r="AB74"/>
      <c r="AC74"/>
      <c r="AD74"/>
      <c r="AE74" s="81"/>
      <c r="AF74"/>
      <c r="AG74"/>
      <c r="BF74"/>
      <c r="BG74"/>
      <c r="BH74"/>
      <c r="BI74"/>
      <c r="BJ74"/>
      <c r="BK74"/>
      <c r="BL74"/>
      <c r="BM74"/>
      <c r="BN74"/>
    </row>
    <row r="75" spans="2:66" s="90" customFormat="1" ht="17.25" customHeight="1">
      <c r="D75" s="1361" t="s">
        <v>394</v>
      </c>
      <c r="E75" s="1355"/>
      <c r="F75" s="1746" t="str" cm="1">
        <f t="array" ref="F75">angleDecimal2Txt($F$12)</f>
        <v>+00°06.80 (+00.1134) [+00°06'48.52]</v>
      </c>
      <c r="G75" s="1362"/>
      <c r="H75" s="1362"/>
      <c r="I75" s="1362"/>
      <c r="J75" s="1362"/>
      <c r="K75" s="1362"/>
      <c r="L75" s="1362"/>
      <c r="M75" s="1362"/>
      <c r="N75" s="1362"/>
      <c r="O75" s="1362"/>
      <c r="P75" s="1362"/>
      <c r="Q75" s="1362"/>
      <c r="R75" s="1362"/>
      <c r="S75" s="1362"/>
      <c r="T75" s="1362"/>
      <c r="U75" s="1362"/>
      <c r="V75" s="1362"/>
      <c r="W75" s="1362"/>
      <c r="X75" s="1362"/>
      <c r="Y75" s="1747"/>
      <c r="AB75"/>
      <c r="AC75"/>
      <c r="AD75"/>
      <c r="AE75" s="81"/>
      <c r="AF75"/>
      <c r="AG75"/>
      <c r="BF75"/>
      <c r="BG75"/>
      <c r="BH75"/>
      <c r="BI75"/>
      <c r="BJ75"/>
      <c r="BK75"/>
      <c r="BL75"/>
      <c r="BM75"/>
      <c r="BN75"/>
    </row>
    <row r="76" spans="2:66" s="90" customFormat="1" ht="17.25" customHeight="1">
      <c r="D76" s="1361" t="s">
        <v>401</v>
      </c>
      <c r="E76" s="1355"/>
      <c r="F76" s="1746" t="str" cm="1">
        <f t="array" ref="F76">angleDecimal2Txt(J36)</f>
        <v>+00°01.19 (+00.0199) [+00°01'11.90]</v>
      </c>
      <c r="G76" s="1362"/>
      <c r="H76" s="1362"/>
      <c r="I76" s="1747"/>
      <c r="J76" s="1746" t="str" cm="1">
        <f t="array" ref="J76">angleDecimal2Txt(J37)</f>
        <v>+00°00.85 (+00.0143) [+00°00'51.53]</v>
      </c>
      <c r="K76" s="1362"/>
      <c r="L76" s="1362"/>
      <c r="M76" s="1747"/>
      <c r="N76" s="1746" t="str" cm="1">
        <f t="array" ref="N76">angleDecimal2Txt(J38)</f>
        <v>+00°01.01 (+00.0169) [+00°01'01.18]</v>
      </c>
      <c r="O76" s="1362"/>
      <c r="P76" s="1362"/>
      <c r="Q76" s="1747"/>
      <c r="R76" s="1746" t="str" cm="1">
        <f t="array" ref="R76">angleDecimal2Txt(J39)</f>
        <v>+00°35.68 (+00.5947) [+00°35'41.22]</v>
      </c>
      <c r="S76" s="1362"/>
      <c r="T76" s="1362"/>
      <c r="U76" s="1747"/>
      <c r="V76" s="1746" t="str" cm="1">
        <f t="array" ref="V76">angleDecimal2Txt(J45)</f>
        <v>+00°01.01 (+00.0169) [+00°01'01.18]</v>
      </c>
      <c r="W76" s="1362"/>
      <c r="X76" s="1362"/>
      <c r="Y76" s="1747"/>
      <c r="AB76"/>
      <c r="AC76"/>
      <c r="AD76"/>
      <c r="AE76" s="81"/>
      <c r="AF76"/>
      <c r="AG76"/>
      <c r="BF76"/>
      <c r="BG76"/>
      <c r="BH76"/>
      <c r="BI76"/>
      <c r="BJ76"/>
      <c r="BK76"/>
      <c r="BL76"/>
      <c r="BM76"/>
      <c r="BN76"/>
    </row>
    <row r="77" spans="2:66" s="90" customFormat="1" ht="17.25" customHeight="1">
      <c r="D77" s="1719" t="s">
        <v>395</v>
      </c>
      <c r="E77" s="1720"/>
      <c r="F77" s="1744" t="str" cm="1">
        <f t="array" ref="F77">angleDecimal2Txt(M36)</f>
        <v>+39°38.29 (+39.6382) [+39°38'17.57]</v>
      </c>
      <c r="G77" s="1720"/>
      <c r="H77" s="1720"/>
      <c r="I77" s="1745"/>
      <c r="J77" s="1744" t="str" cm="1">
        <f t="array" ref="J77">angleDecimal2Txt(M37)</f>
        <v>+49°10.43 (+49.1738) [+49°10'25.94]</v>
      </c>
      <c r="K77" s="1720"/>
      <c r="L77" s="1720"/>
      <c r="M77" s="1745"/>
      <c r="N77" s="1744" t="str" cm="1">
        <f t="array" ref="N77">angleDecimal2Txt(M38)</f>
        <v>+44°15.37 (+44.2561) [+44°15'22.29]</v>
      </c>
      <c r="O77" s="1720"/>
      <c r="P77" s="1720"/>
      <c r="Q77" s="1745"/>
      <c r="R77" s="1744" t="str" cm="1">
        <f t="array" ref="R77">angleDecimal2Txt(M39)</f>
        <v>-00°41.19 (-00.6865) [-00°41'11.75]</v>
      </c>
      <c r="S77" s="1720"/>
      <c r="T77" s="1720"/>
      <c r="U77" s="1745"/>
      <c r="V77" s="1744" t="str" cm="1">
        <f t="array" ref="V77">angleDecimal2Txt(M45)</f>
        <v>+44°15.18 (+44.2531) [+44°15'11.18]</v>
      </c>
      <c r="W77" s="1720"/>
      <c r="X77" s="1720"/>
      <c r="Y77" s="1745"/>
      <c r="AB77"/>
      <c r="AC77"/>
      <c r="AD77"/>
      <c r="AE77" s="81"/>
      <c r="AF77"/>
      <c r="AG77"/>
      <c r="BF77"/>
      <c r="BG77"/>
      <c r="BH77"/>
      <c r="BI77"/>
      <c r="BJ77"/>
      <c r="BK77"/>
      <c r="BL77"/>
      <c r="BM77"/>
      <c r="BN77"/>
    </row>
    <row r="78" spans="2:66" s="90" customFormat="1" ht="17.25" customHeight="1">
      <c r="B78" s="1492" t="s">
        <v>418</v>
      </c>
      <c r="C78" s="1751"/>
      <c r="D78" s="1721" t="s">
        <v>403</v>
      </c>
      <c r="E78" s="1722"/>
      <c r="F78" s="1715" t="str" cm="1">
        <f t="array" ref="F78">angleDecimal2Txt(G36-J36-$F$12)</f>
        <v>-00°08.00 (-00.1334) [-00°08'00.42]</v>
      </c>
      <c r="G78" s="1355"/>
      <c r="H78" s="1355"/>
      <c r="I78" s="1716"/>
      <c r="J78" s="1715" t="str" cm="1">
        <f t="array" ref="J78">angleDecimal2Txt(G37-J37-$F$12)</f>
        <v>-00°07.66 (-00.1277) [-00°07'40.05]</v>
      </c>
      <c r="K78" s="1355"/>
      <c r="L78" s="1355"/>
      <c r="M78" s="1716"/>
      <c r="N78" s="1715" t="str" cm="1">
        <f t="array" ref="N78">angleDecimal2Txt(G38-J38-$F$12)</f>
        <v>-00°07.82 (-00.1304) [-00°07'49.70]</v>
      </c>
      <c r="O78" s="1355"/>
      <c r="P78" s="1355"/>
      <c r="Q78" s="1716"/>
      <c r="R78" s="1715" t="str" cm="1">
        <f t="array" ref="R78">angleDecimal2Txt(G39-J39-$F$12)</f>
        <v>-00°42.49 (-00.7082) [-00°42'29.75]</v>
      </c>
      <c r="S78" s="1355"/>
      <c r="T78" s="1355"/>
      <c r="U78" s="1716"/>
      <c r="V78" s="1715" t="str" cm="1">
        <f t="array" ref="V78">angleDecimal2Txt(G45-J45-$F$12)</f>
        <v>-00°07.61 (-00.1268) [-00°07'36.81]</v>
      </c>
      <c r="W78" s="1355"/>
      <c r="X78" s="1355"/>
      <c r="Y78" s="1716"/>
      <c r="AB78"/>
      <c r="AC78"/>
      <c r="AD78"/>
      <c r="AE78" s="81"/>
      <c r="AF78"/>
      <c r="AG78"/>
      <c r="BF78"/>
      <c r="BG78"/>
      <c r="BH78"/>
      <c r="BI78"/>
      <c r="BJ78"/>
      <c r="BK78"/>
      <c r="BL78"/>
      <c r="BM78"/>
      <c r="BN78"/>
    </row>
    <row r="79" spans="2:66" s="90" customFormat="1" ht="17.25" customHeight="1">
      <c r="B79" s="1752"/>
      <c r="C79" s="1753"/>
      <c r="D79" s="1721" t="s">
        <v>399</v>
      </c>
      <c r="E79" s="1722"/>
      <c r="F79" s="1715" t="str" cm="1">
        <f t="array" ref="F79">angleDecimal2Txt(G36-J36-$F$12+angleConvert2Decimal(L36))</f>
        <v>-00°07.90 (-00.1317) [-00°07'54.42]</v>
      </c>
      <c r="G79" s="1355"/>
      <c r="H79" s="1355"/>
      <c r="I79" s="1716"/>
      <c r="J79" s="1715" t="str" cm="1">
        <f t="array" ref="J79">angleDecimal2Txt(G37-J37-$F$12+angleConvert2Decimal(L37))</f>
        <v>-00°07.46 (-00.1244) [-00°07'28.05]</v>
      </c>
      <c r="K79" s="1355"/>
      <c r="L79" s="1355"/>
      <c r="M79" s="1716"/>
      <c r="N79" s="1715" t="str" cm="1">
        <f t="array" ref="N79">angleDecimal2Txt(G38-J38-$F$12+angleConvert2Decimal(L38))</f>
        <v>-00°07.72 (-00.1288) [-00°07'43.70]</v>
      </c>
      <c r="O79" s="1355"/>
      <c r="P79" s="1355"/>
      <c r="Q79" s="1716"/>
      <c r="R79" s="1715" t="str" cm="1">
        <f t="array" ref="R79">angleDecimal2Txt(G39-J39-$F$12+angleConvert2Decimal(L39))</f>
        <v>-00°42.39 (-00.7065) [-00°42'23.75]</v>
      </c>
      <c r="S79" s="1355"/>
      <c r="T79" s="1355"/>
      <c r="U79" s="1716"/>
      <c r="V79" s="1715" t="str" cm="1">
        <f t="array" ref="V79">angleDecimal2Txt(G45-J45-$F$12+angleConvert2Decimal(L45))</f>
        <v>-00°07.61 (-00.1268) [-00°07'36.81]</v>
      </c>
      <c r="W79" s="1355"/>
      <c r="X79" s="1355"/>
      <c r="Y79" s="1716"/>
      <c r="AB79"/>
      <c r="AC79"/>
      <c r="AD79"/>
      <c r="AE79" s="81"/>
      <c r="AF79"/>
      <c r="AG79"/>
      <c r="BF79"/>
      <c r="BG79"/>
      <c r="BH79"/>
      <c r="BI79"/>
      <c r="BJ79"/>
      <c r="BK79"/>
      <c r="BL79"/>
      <c r="BM79"/>
      <c r="BN79"/>
    </row>
    <row r="80" spans="2:66" s="90" customFormat="1" ht="17.25" customHeight="1">
      <c r="B80" s="1494"/>
      <c r="C80" s="1754"/>
      <c r="D80" s="1721" t="s">
        <v>400</v>
      </c>
      <c r="E80" s="1722"/>
      <c r="F80" s="1715" t="str" cm="1">
        <f t="array" ref="F80">angleDecimal2Txt(G36-J36+angleConvert2Decimal(L36))</f>
        <v>-00°01.09 (-00.0183) [-00°01'05.90]</v>
      </c>
      <c r="G80" s="1355"/>
      <c r="H80" s="1355"/>
      <c r="I80" s="1716"/>
      <c r="J80" s="1715" t="str" cm="1">
        <f t="array" ref="J80">angleDecimal2Txt(G37-J37+angleConvert2Decimal(L37))</f>
        <v>-00°00.65 (-00.0109) [-00°00'39.53]</v>
      </c>
      <c r="K80" s="1355"/>
      <c r="L80" s="1355"/>
      <c r="M80" s="1716"/>
      <c r="N80" s="1715" t="str" cm="1">
        <f t="array" ref="N80">angleDecimal2Txt(G38-J38+angleConvert2Decimal(L38))</f>
        <v>-00°00.91 (-00.0153) [-00°00'55.18]</v>
      </c>
      <c r="O80" s="1355"/>
      <c r="P80" s="1355"/>
      <c r="Q80" s="1716"/>
      <c r="R80" s="1715" t="str" cm="1">
        <f t="array" ref="R80">angleDecimal2Txt(G39-J39-angleConvert2Decimal(L39))</f>
        <v>-00°35.78 (-00.5964) [-00°35'47.22]</v>
      </c>
      <c r="S80" s="1355"/>
      <c r="T80" s="1355"/>
      <c r="U80" s="1716"/>
      <c r="V80" s="1715" t="str" cm="1">
        <f t="array" ref="V80">angleDecimal2Txt(G45-J45+angleConvert2Decimal(L45))</f>
        <v>-00°00.80 (-00.0134) [-00°00'48.29]</v>
      </c>
      <c r="W80" s="1355"/>
      <c r="X80" s="1355"/>
      <c r="Y80" s="1716"/>
      <c r="AB80"/>
      <c r="AC80"/>
      <c r="AD80"/>
      <c r="AE80" s="81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</row>
    <row r="81" spans="2:66" s="90" customFormat="1" ht="17.25" customHeight="1">
      <c r="D81" s="198"/>
      <c r="AB81"/>
      <c r="AC81"/>
      <c r="AD81"/>
      <c r="AE81" s="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</row>
    <row r="82" spans="2:66" s="90" customFormat="1" ht="17.25" customHeight="1" thickBot="1">
      <c r="B82" s="201" t="s">
        <v>62</v>
      </c>
      <c r="C82" s="202"/>
      <c r="D82" s="202"/>
      <c r="E82" s="202"/>
      <c r="F82" s="202"/>
      <c r="G82" s="202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AB82"/>
      <c r="AC82"/>
      <c r="AD82"/>
      <c r="AE82" s="81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</row>
    <row r="83" spans="2:66" s="90" customFormat="1" ht="17.25" customHeight="1" thickTop="1">
      <c r="D83" s="1765" t="s">
        <v>429</v>
      </c>
      <c r="E83" s="1749" t="str">
        <f>CONCATENATE(" -", "Interval")</f>
        <v xml:space="preserve"> -Interval</v>
      </c>
      <c r="F83" s="1758">
        <f>O36</f>
        <v>2</v>
      </c>
      <c r="G83" s="1755"/>
      <c r="H83" s="1755" t="str" cm="1">
        <f t="array" ref="H83">angleDecimal2Txt(VLOOKUP(F83,$R$19:$T$21,3),0)</f>
        <v>+306°39.89</v>
      </c>
      <c r="I83" s="1756"/>
      <c r="J83" s="1762">
        <f>O37</f>
        <v>2</v>
      </c>
      <c r="K83" s="1755"/>
      <c r="L83" s="1755" t="str" cm="1">
        <f t="array" ref="L83">angleDecimal2Txt(VLOOKUP(J83,$R$19:$T$21,3),0)</f>
        <v>+306°39.89</v>
      </c>
      <c r="M83" s="1757"/>
      <c r="N83" s="1758">
        <f>O38</f>
        <v>2</v>
      </c>
      <c r="O83" s="1755"/>
      <c r="P83" s="1755" t="str" cm="1">
        <f t="array" ref="P83">angleDecimal2Txt(VLOOKUP(N83,$R$19:$T$21,3),0)</f>
        <v>+306°39.89</v>
      </c>
      <c r="Q83" s="1756"/>
      <c r="R83" s="1762">
        <f>O39</f>
        <v>0</v>
      </c>
      <c r="S83" s="1755"/>
      <c r="T83" s="1755" t="e" cm="1">
        <f t="array" ref="T83">angleDecimal2Txt(VLOOKUP(R83,$R$19:$T$21,3),0)</f>
        <v>#VALUE!</v>
      </c>
      <c r="U83" s="1757"/>
      <c r="V83" s="1758" t="str">
        <f>O45</f>
        <v>-</v>
      </c>
      <c r="W83" s="1755"/>
      <c r="X83" s="1755" t="e" cm="1">
        <f t="array" ref="X83">angleDecimal2Txt(VLOOKUP(V83,$R$19:$T$21,3),0)</f>
        <v>#VALUE!</v>
      </c>
      <c r="Y83" s="1756"/>
      <c r="AB83"/>
      <c r="AC83"/>
      <c r="AD83"/>
      <c r="AE83" s="81"/>
      <c r="AF83"/>
      <c r="BC83"/>
      <c r="BD83"/>
      <c r="BE83"/>
      <c r="BF83"/>
      <c r="BG83"/>
      <c r="BH83"/>
      <c r="BI83"/>
      <c r="BJ83"/>
      <c r="BK83"/>
      <c r="BL83"/>
      <c r="BM83"/>
      <c r="BN83"/>
    </row>
    <row r="84" spans="2:66" s="90" customFormat="1" ht="17.25" customHeight="1">
      <c r="D84" s="1765"/>
      <c r="E84" s="1749"/>
      <c r="F84" s="1758">
        <f>F83+1</f>
        <v>3</v>
      </c>
      <c r="G84" s="1755"/>
      <c r="H84" s="1755" t="str" cm="1">
        <f t="array" ref="H84">angleDecimal2Txt(VLOOKUP(F84,$R$19:$T$21,3),0)</f>
        <v>+321°42.39</v>
      </c>
      <c r="I84" s="1756"/>
      <c r="J84" s="1762">
        <f>J83+1</f>
        <v>3</v>
      </c>
      <c r="K84" s="1755"/>
      <c r="L84" s="1755" t="str" cm="1">
        <f t="array" ref="L84">angleDecimal2Txt(VLOOKUP(J84,$R$19:$T$21,3),0)</f>
        <v>+321°42.39</v>
      </c>
      <c r="M84" s="1757"/>
      <c r="N84" s="1758">
        <f>N83+1</f>
        <v>3</v>
      </c>
      <c r="O84" s="1755"/>
      <c r="P84" s="1755" t="str" cm="1">
        <f t="array" ref="P84">angleDecimal2Txt(VLOOKUP(N84,$R$19:$T$21,3),0)</f>
        <v>+321°42.39</v>
      </c>
      <c r="Q84" s="1756"/>
      <c r="R84" s="1762">
        <f>R83+1</f>
        <v>1</v>
      </c>
      <c r="S84" s="1755"/>
      <c r="T84" s="1755" t="e" cm="1">
        <f t="array" ref="T84">angleDecimal2Txt(VLOOKUP(R84,$R$19:$T$21,3),0)</f>
        <v>#VALUE!</v>
      </c>
      <c r="U84" s="1757"/>
      <c r="V84" s="1758" t="e">
        <f>V83+1</f>
        <v>#VALUE!</v>
      </c>
      <c r="W84" s="1755"/>
      <c r="X84" s="1755" t="e" cm="1">
        <f t="array" ref="X84">angleDecimal2Txt(VLOOKUP(V84,$R$19:$T$21,3),0)</f>
        <v>#VALUE!</v>
      </c>
      <c r="Y84" s="1756"/>
      <c r="AB84"/>
      <c r="AC84"/>
      <c r="AD84"/>
      <c r="AE84" s="81"/>
      <c r="AF84"/>
      <c r="BD84"/>
      <c r="BE84"/>
      <c r="BF84"/>
      <c r="BG84"/>
      <c r="BH84"/>
      <c r="BI84"/>
      <c r="BJ84"/>
      <c r="BK84"/>
      <c r="BL84"/>
      <c r="BM84"/>
      <c r="BN84"/>
    </row>
    <row r="85" spans="2:66" s="90" customFormat="1" ht="17.25" customHeight="1">
      <c r="D85" s="1516" t="s">
        <v>430</v>
      </c>
      <c r="E85" s="1726"/>
      <c r="F85" s="1727" t="str" cm="1">
        <f t="array" ref="F85">angleDecimal2Txt(T36,0)</f>
        <v>+316°45.32</v>
      </c>
      <c r="G85" s="1516"/>
      <c r="H85" s="1516"/>
      <c r="I85" s="1728"/>
      <c r="J85" s="1729" t="str" cm="1">
        <f t="array" ref="J85">angleDecimal2Txt(T37,0)</f>
        <v>+317°28.44</v>
      </c>
      <c r="K85" s="1516"/>
      <c r="L85" s="1516"/>
      <c r="M85" s="1726"/>
      <c r="N85" s="1727" t="str" cm="1">
        <f t="array" ref="N85">angleDecimal2Txt(T38,0)</f>
        <v>+318°30.61</v>
      </c>
      <c r="O85" s="1516"/>
      <c r="P85" s="1516"/>
      <c r="Q85" s="1728"/>
      <c r="R85" s="1729" t="e" cm="1">
        <f t="array" ref="R85">angleDecimal2Txt(T39,0)</f>
        <v>#VALUE!</v>
      </c>
      <c r="S85" s="1516"/>
      <c r="T85" s="1516"/>
      <c r="U85" s="1726"/>
      <c r="V85" s="1727" t="e" cm="1">
        <f t="array" ref="V85">angleDecimal2Txt(T45,0)</f>
        <v>#VALUE!</v>
      </c>
      <c r="W85" s="1516"/>
      <c r="X85" s="1516"/>
      <c r="Y85" s="1728"/>
      <c r="AB85"/>
      <c r="AC85" s="212"/>
      <c r="AD85"/>
      <c r="AE85" s="81"/>
      <c r="AF85"/>
      <c r="BD85"/>
      <c r="BE85"/>
      <c r="BF85"/>
      <c r="BG85"/>
      <c r="BH85"/>
      <c r="BI85"/>
      <c r="BJ85"/>
      <c r="BK85"/>
      <c r="BL85"/>
      <c r="BM85"/>
      <c r="BN85"/>
    </row>
    <row r="86" spans="2:66" s="90" customFormat="1" ht="17.25" customHeight="1">
      <c r="D86" s="1516" t="s">
        <v>462</v>
      </c>
      <c r="E86" s="1726"/>
      <c r="F86" s="1727" t="str" cm="1">
        <f t="array" ref="F86">angleDecimal2Txt(V36,0)</f>
        <v>+361°21.32</v>
      </c>
      <c r="G86" s="1516"/>
      <c r="H86" s="1516"/>
      <c r="I86" s="1728"/>
      <c r="J86" s="1729" t="str" cm="1">
        <f t="array" ref="J86">angleDecimal2Txt(V37,0)</f>
        <v>+362°04.44</v>
      </c>
      <c r="K86" s="1516"/>
      <c r="L86" s="1516"/>
      <c r="M86" s="1726"/>
      <c r="N86" s="1727" t="str" cm="1">
        <f t="array" ref="N86">angleDecimal2Txt(V38,0)</f>
        <v>+363°06.61</v>
      </c>
      <c r="O86" s="1516"/>
      <c r="P86" s="1516"/>
      <c r="Q86" s="1728"/>
      <c r="R86" s="1729" t="e" cm="1">
        <f t="array" ref="R86">angleDecimal2Txt(V39,0)</f>
        <v>#VALUE!</v>
      </c>
      <c r="S86" s="1516"/>
      <c r="T86" s="1516"/>
      <c r="U86" s="1726"/>
      <c r="V86" s="1727" t="e" cm="1">
        <f t="array" ref="V86">angleDecimal2Txt(V45,0)</f>
        <v>#VALUE!</v>
      </c>
      <c r="W86" s="1516"/>
      <c r="X86" s="1516"/>
      <c r="Y86" s="1728"/>
      <c r="AB86"/>
      <c r="AC86"/>
      <c r="AD86"/>
      <c r="AE86" s="81"/>
      <c r="AF86"/>
      <c r="BD86"/>
      <c r="BE86"/>
      <c r="BF86"/>
      <c r="BG86"/>
      <c r="BH86"/>
      <c r="BI86"/>
      <c r="BJ86"/>
      <c r="BK86"/>
      <c r="BL86"/>
      <c r="BM86"/>
      <c r="BN86"/>
    </row>
    <row r="87" spans="2:66" s="90" customFormat="1" ht="17.25" customHeight="1">
      <c r="D87" s="1516" t="s">
        <v>459</v>
      </c>
      <c r="E87" s="1726"/>
      <c r="F87" s="1727" t="str" cm="1">
        <f t="array" ref="F87">angleDecimal2Txt(M19,0)</f>
        <v>+335°20.69</v>
      </c>
      <c r="G87" s="1516"/>
      <c r="H87" s="1516"/>
      <c r="I87" s="1728"/>
      <c r="J87" s="1729" t="str" cm="1">
        <f t="array" ref="J87">angleDecimal2Txt(M20,0)</f>
        <v>+33°39.00</v>
      </c>
      <c r="K87" s="1516"/>
      <c r="L87" s="1516"/>
      <c r="M87" s="1726"/>
      <c r="N87" s="1727" t="str" cm="1">
        <f t="array" ref="N87">angleDecimal2Txt(M21,0)</f>
        <v>+62°00.10</v>
      </c>
      <c r="O87" s="1516"/>
      <c r="P87" s="1516"/>
      <c r="Q87" s="1728"/>
      <c r="R87" s="1729" t="str" cm="1">
        <f t="array" ref="R87">angleDecimal2Txt(M22,0)</f>
        <v>+80°33.10</v>
      </c>
      <c r="S87" s="1516"/>
      <c r="T87" s="1516"/>
      <c r="U87" s="1726"/>
      <c r="V87" s="1727" t="str" cm="1">
        <f t="array" ref="V87">angleDecimal2Txt(M23,0)</f>
        <v>+137°19.00</v>
      </c>
      <c r="W87" s="1516"/>
      <c r="X87" s="1516"/>
      <c r="Y87" s="1728"/>
      <c r="AB87"/>
      <c r="AC87"/>
      <c r="AD87"/>
      <c r="AE87" s="81"/>
      <c r="AF87"/>
      <c r="BD87"/>
      <c r="BE87"/>
      <c r="BF87"/>
      <c r="BG87"/>
      <c r="BH87"/>
      <c r="BI87"/>
      <c r="BJ87"/>
      <c r="BK87"/>
      <c r="BL87"/>
      <c r="BM87"/>
      <c r="BN87"/>
    </row>
    <row r="88" spans="2:66" s="90" customFormat="1" ht="17.25" customHeight="1">
      <c r="D88" s="1516" t="s">
        <v>460</v>
      </c>
      <c r="E88" s="1726"/>
      <c r="F88" s="1727" t="str" cm="1">
        <f t="array" ref="F88">angleDecimal2Txt(W36,0)</f>
        <v>+292°06.02</v>
      </c>
      <c r="G88" s="1516"/>
      <c r="H88" s="1516"/>
      <c r="I88" s="1728"/>
      <c r="J88" s="1729" t="str" cm="1">
        <f t="array" ref="J88">angleDecimal2Txt(W37,0)</f>
        <v>+351°07.44</v>
      </c>
      <c r="K88" s="1516"/>
      <c r="L88" s="1516"/>
      <c r="M88" s="1726"/>
      <c r="N88" s="1727" t="str" cm="1">
        <f t="array" ref="N88">angleDecimal2Txt(W38,0)</f>
        <v>+20°30.71</v>
      </c>
      <c r="O88" s="1516"/>
      <c r="P88" s="1516"/>
      <c r="Q88" s="1728"/>
      <c r="R88" s="1729" t="e" cm="1">
        <f t="array" ref="R88">angleDecimal2Txt(W39,0)</f>
        <v>#VALUE!</v>
      </c>
      <c r="S88" s="1516"/>
      <c r="T88" s="1516"/>
      <c r="U88" s="1726"/>
      <c r="V88" s="1727" t="str" cm="1">
        <f t="array" ref="V88">angleDecimal2Txt(W45,0)</f>
        <v>+276°47.10</v>
      </c>
      <c r="W88" s="1516"/>
      <c r="X88" s="1516"/>
      <c r="Y88" s="1728"/>
      <c r="AB88"/>
      <c r="AD88"/>
      <c r="AE88" s="81"/>
      <c r="AF88"/>
      <c r="BD88"/>
      <c r="BE88"/>
      <c r="BF88"/>
      <c r="BG88"/>
      <c r="BH88"/>
      <c r="BI88"/>
      <c r="BJ88"/>
      <c r="BK88"/>
      <c r="BL88"/>
      <c r="BM88"/>
      <c r="BN88"/>
    </row>
    <row r="89" spans="2:66" s="90" customFormat="1" ht="17.25" customHeight="1">
      <c r="D89" s="1516" t="s">
        <v>461</v>
      </c>
      <c r="E89" s="1726"/>
      <c r="F89" s="1727" t="str" cm="1">
        <f t="array" ref="F89">angleDecimal2Txt(X36,0)</f>
        <v>+336°42.02</v>
      </c>
      <c r="G89" s="1516"/>
      <c r="H89" s="1516"/>
      <c r="I89" s="1728"/>
      <c r="J89" s="1729" t="str" cm="1">
        <f t="array" ref="J89">angleDecimal2Txt(X37,0)</f>
        <v>+35°43.44</v>
      </c>
      <c r="K89" s="1516"/>
      <c r="L89" s="1516"/>
      <c r="M89" s="1726"/>
      <c r="N89" s="1727" t="str" cm="1">
        <f t="array" ref="N89">angleDecimal2Txt(X38,0)</f>
        <v>+65°06.71</v>
      </c>
      <c r="O89" s="1516"/>
      <c r="P89" s="1516"/>
      <c r="Q89" s="1728"/>
      <c r="R89" s="1729" t="e" cm="1">
        <f t="array" ref="R89">angleDecimal2Txt(X39,0)</f>
        <v>#VALUE!</v>
      </c>
      <c r="S89" s="1516"/>
      <c r="T89" s="1516"/>
      <c r="U89" s="1726"/>
      <c r="V89" s="1727" t="str" cm="1">
        <f t="array" ref="V89">angleDecimal2Txt(X45,0)</f>
        <v>+321°23.10</v>
      </c>
      <c r="W89" s="1516"/>
      <c r="X89" s="1516"/>
      <c r="Y89" s="1728"/>
      <c r="AB89"/>
      <c r="AD89"/>
      <c r="AE89" s="81"/>
      <c r="AF89"/>
      <c r="BD89"/>
      <c r="BE89"/>
      <c r="BF89"/>
      <c r="BG89"/>
      <c r="BH89"/>
      <c r="BI89"/>
      <c r="BJ89"/>
      <c r="BK89"/>
      <c r="BL89"/>
      <c r="BM89"/>
      <c r="BN89"/>
    </row>
    <row r="90" spans="2:66" s="90" customFormat="1" ht="17.25" customHeight="1">
      <c r="D90" s="1516" t="s">
        <v>463</v>
      </c>
      <c r="E90" s="1726"/>
      <c r="F90" s="1727" t="str" cm="1">
        <f t="array" ref="F90">angleDecimal2Txt(O19,0)</f>
        <v>-57°06.50</v>
      </c>
      <c r="G90" s="1516"/>
      <c r="H90" s="1516"/>
      <c r="I90" s="1728"/>
      <c r="J90" s="1729" t="str" cm="1">
        <f t="array" ref="J90">angleDecimal2Txt(O20,0)</f>
        <v>+09°59.20</v>
      </c>
      <c r="K90" s="1516"/>
      <c r="L90" s="1516"/>
      <c r="M90" s="1726"/>
      <c r="N90" s="1727" t="str" cm="1">
        <f t="array" ref="N90">angleDecimal2Txt(O21,0)</f>
        <v>+08°55.89</v>
      </c>
      <c r="O90" s="1516"/>
      <c r="P90" s="1516"/>
      <c r="Q90" s="1728"/>
      <c r="R90" s="1729" t="str" cm="1">
        <f t="array" ref="R90">angleDecimal2Txt(O22,0)</f>
        <v>+38°48.29</v>
      </c>
      <c r="S90" s="1516"/>
      <c r="T90" s="1516"/>
      <c r="U90" s="1726"/>
      <c r="V90" s="1727" t="str" cm="1">
        <f t="array" ref="V90">angleDecimal2Txt(O23,0)</f>
        <v>+74°03.50</v>
      </c>
      <c r="W90" s="1516"/>
      <c r="X90" s="1516"/>
      <c r="Y90" s="1728"/>
      <c r="AB90"/>
      <c r="AD90"/>
      <c r="AE90" s="81"/>
      <c r="AF90"/>
      <c r="BD90"/>
      <c r="BE90"/>
      <c r="BF90"/>
      <c r="BG90"/>
      <c r="BH90"/>
      <c r="BI90"/>
      <c r="BJ90"/>
      <c r="BK90"/>
      <c r="BL90"/>
      <c r="BM90"/>
      <c r="BN90"/>
    </row>
    <row r="91" spans="2:66" s="90" customFormat="1" ht="17.25" customHeight="1">
      <c r="D91" s="1785" t="s">
        <v>408</v>
      </c>
      <c r="E91" s="1765"/>
      <c r="F91" s="242">
        <f>SIN(O19*Outils!$F$4)</f>
        <v>-0.83969885717485016</v>
      </c>
      <c r="G91" s="243">
        <f>SIN($F$10*Outils!$F$4)</f>
        <v>-0.17364817766693033</v>
      </c>
      <c r="H91" s="1786" t="s">
        <v>409</v>
      </c>
      <c r="I91" s="1787"/>
      <c r="J91" s="244">
        <f>SIN(O20*Outils!$F$4)</f>
        <v>0.17341899779658598</v>
      </c>
      <c r="K91" s="243">
        <f>SIN($F$10*Outils!$F$4)</f>
        <v>-0.17364817766693033</v>
      </c>
      <c r="L91" s="1786" t="s">
        <v>409</v>
      </c>
      <c r="M91" s="1790"/>
      <c r="N91" s="242">
        <f>SIN(O21*Outils!$F$4)</f>
        <v>0.15525639580609149</v>
      </c>
      <c r="O91" s="243">
        <f>SIN($F$10*Outils!$F$4)</f>
        <v>-0.17364817766693033</v>
      </c>
      <c r="P91" s="1786" t="s">
        <v>409</v>
      </c>
      <c r="Q91" s="1787"/>
      <c r="R91" s="244">
        <f>SIN(O22*Outils!$F$4)</f>
        <v>0.62667181904581304</v>
      </c>
      <c r="S91" s="243">
        <f>SIN($F$10*Outils!$F$4)</f>
        <v>-0.17364817766693033</v>
      </c>
      <c r="T91" s="1786" t="s">
        <v>409</v>
      </c>
      <c r="U91" s="1790"/>
      <c r="V91" s="242">
        <f>SIN(O23*Outils!$F$4)</f>
        <v>0.96154182649255537</v>
      </c>
      <c r="W91" s="243">
        <f>SIN($F$10*Outils!$F$4)</f>
        <v>-0.17364817766693033</v>
      </c>
      <c r="X91" s="1786" t="s">
        <v>409</v>
      </c>
      <c r="Y91" s="1787"/>
      <c r="AB91"/>
      <c r="AD91"/>
      <c r="AE91" s="81"/>
      <c r="AF91"/>
      <c r="BD91"/>
      <c r="BE91"/>
      <c r="BF91"/>
      <c r="BG91"/>
      <c r="BH91"/>
      <c r="BI91"/>
      <c r="BJ91"/>
      <c r="BK91"/>
      <c r="BL91"/>
      <c r="BM91"/>
      <c r="BN91"/>
    </row>
    <row r="92" spans="2:66" s="90" customFormat="1" ht="17.25" customHeight="1">
      <c r="D92" s="1785" t="s">
        <v>407</v>
      </c>
      <c r="E92" s="1765"/>
      <c r="F92" s="242">
        <f>COS(O19*Outils!$F$4)</f>
        <v>0.54305232644677115</v>
      </c>
      <c r="G92" s="243">
        <f>COS($F$10*Outils!$F$4)</f>
        <v>0.98480775301220802</v>
      </c>
      <c r="H92" s="1786" t="s">
        <v>410</v>
      </c>
      <c r="I92" s="1787"/>
      <c r="J92" s="244">
        <f>COS(O20*Outils!$F$4)</f>
        <v>0.98484813611197319</v>
      </c>
      <c r="K92" s="243">
        <f>COS($F$10*Outils!$F$4)</f>
        <v>0.98480775301220802</v>
      </c>
      <c r="L92" s="1786" t="s">
        <v>410</v>
      </c>
      <c r="M92" s="1790"/>
      <c r="N92" s="242">
        <f>COS(O21*Outils!$F$4)</f>
        <v>0.98787420836931572</v>
      </c>
      <c r="O92" s="243">
        <f>COS($F$10*Outils!$F$4)</f>
        <v>0.98480775301220802</v>
      </c>
      <c r="P92" s="1786" t="s">
        <v>410</v>
      </c>
      <c r="Q92" s="1787"/>
      <c r="R92" s="244">
        <f>COS(O22*Outils!$F$4)</f>
        <v>0.77928328046597528</v>
      </c>
      <c r="S92" s="243">
        <f>COS($F$10*Outils!$F$4)</f>
        <v>0.98480775301220802</v>
      </c>
      <c r="T92" s="1786" t="s">
        <v>410</v>
      </c>
      <c r="U92" s="1790"/>
      <c r="V92" s="242">
        <f>COS(O23*Outils!$F$4)</f>
        <v>0.2746585442060025</v>
      </c>
      <c r="W92" s="243">
        <f>COS($F$10*Outils!$F$4)</f>
        <v>0.98480775301220802</v>
      </c>
      <c r="X92" s="1786" t="s">
        <v>410</v>
      </c>
      <c r="Y92" s="1787"/>
      <c r="AB92"/>
      <c r="AD92"/>
      <c r="AE92" s="81"/>
      <c r="AF92"/>
      <c r="BD92"/>
      <c r="BE92"/>
      <c r="BF92"/>
      <c r="BG92"/>
      <c r="BH92"/>
      <c r="BI92"/>
      <c r="BJ92"/>
      <c r="BK92"/>
      <c r="BL92"/>
      <c r="BM92"/>
      <c r="BN92"/>
    </row>
    <row r="93" spans="2:66" customFormat="1" ht="17.25" customHeight="1">
      <c r="B93" s="14"/>
      <c r="C93" s="57"/>
      <c r="D93" s="1755" t="s">
        <v>411</v>
      </c>
      <c r="E93" s="1757"/>
      <c r="F93" s="1758">
        <f>COS(X36*Outils!$F$4)</f>
        <v>0.91844949750999139</v>
      </c>
      <c r="G93" s="1755"/>
      <c r="H93" s="1755"/>
      <c r="I93" s="1756"/>
      <c r="J93" s="1762">
        <f>COS(X37*Outils!$F$4)</f>
        <v>0.8118379137773839</v>
      </c>
      <c r="K93" s="1755"/>
      <c r="L93" s="1755"/>
      <c r="M93" s="1757"/>
      <c r="N93" s="1758">
        <f>COS(X38*Outils!$F$4)</f>
        <v>0.42084616312295148</v>
      </c>
      <c r="O93" s="1755"/>
      <c r="P93" s="1755"/>
      <c r="Q93" s="1756"/>
      <c r="R93" s="1762" t="e">
        <f>COS(X39*Outils!$F$4)</f>
        <v>#N/A</v>
      </c>
      <c r="S93" s="1755"/>
      <c r="T93" s="1755"/>
      <c r="U93" s="1757"/>
      <c r="V93" s="1758">
        <f>COS(X45*Outils!$F$4)</f>
        <v>0.78135734126528045</v>
      </c>
      <c r="W93" s="1755"/>
      <c r="X93" s="1755"/>
      <c r="Y93" s="1756"/>
      <c r="Z93" s="141"/>
      <c r="AA93" s="90"/>
      <c r="AC93" s="90"/>
      <c r="AE93" s="81"/>
    </row>
    <row r="94" spans="2:66" customFormat="1" ht="17.25" customHeight="1">
      <c r="B94" s="14"/>
      <c r="C94" s="57"/>
      <c r="D94" s="183"/>
      <c r="I94" s="1789" t="s">
        <v>412</v>
      </c>
      <c r="J94" s="1789"/>
      <c r="K94" s="1789"/>
      <c r="L94" s="1789"/>
      <c r="M94" s="1789"/>
      <c r="N94" s="1789"/>
      <c r="O94" s="1789"/>
      <c r="P94" s="1789"/>
      <c r="Q94" s="1789"/>
      <c r="R94" s="1789"/>
      <c r="S94" s="1789"/>
      <c r="T94" s="1789"/>
      <c r="Z94" s="141"/>
      <c r="AA94" s="90"/>
      <c r="AC94" s="90"/>
      <c r="AE94" s="81"/>
    </row>
    <row r="95" spans="2:66" customFormat="1" ht="17.25" customHeight="1">
      <c r="B95" s="14"/>
      <c r="C95" s="57"/>
      <c r="D95" s="1755" t="s">
        <v>419</v>
      </c>
      <c r="E95" s="1757"/>
      <c r="F95" s="1758">
        <f>F91*G91+F92*G92*F93</f>
        <v>0.63700093435156013</v>
      </c>
      <c r="G95" s="1755"/>
      <c r="H95" s="1755"/>
      <c r="I95" s="1756"/>
      <c r="J95" s="1762">
        <f>J91*K91+J92*K92*J93</f>
        <v>0.75727639883467213</v>
      </c>
      <c r="K95" s="1755"/>
      <c r="L95" s="1755"/>
      <c r="M95" s="1757"/>
      <c r="N95" s="1758">
        <f>N91*O91+N92*O92*N93</f>
        <v>0.3824670086309318</v>
      </c>
      <c r="O95" s="1755"/>
      <c r="P95" s="1755"/>
      <c r="Q95" s="1756"/>
      <c r="R95" s="1762" t="e">
        <f>R91*S91+R92*S92*R93</f>
        <v>#N/A</v>
      </c>
      <c r="S95" s="1755"/>
      <c r="T95" s="1755"/>
      <c r="U95" s="1757"/>
      <c r="V95" s="1758">
        <f>V91*W91+V92*W92*V93</f>
        <v>4.4376129440391127E-2</v>
      </c>
      <c r="W95" s="1755"/>
      <c r="X95" s="1755"/>
      <c r="Y95" s="1756"/>
      <c r="Z95" s="141"/>
      <c r="AA95" s="90"/>
      <c r="AC95" s="90"/>
      <c r="AE95" s="81"/>
    </row>
    <row r="96" spans="2:66" customFormat="1" ht="17.25" customHeight="1">
      <c r="B96" s="14"/>
      <c r="C96" s="57"/>
      <c r="D96" s="1760" t="s">
        <v>413</v>
      </c>
      <c r="E96" s="1779"/>
      <c r="F96" s="1759" t="str" cm="1">
        <f t="array" ref="F96">angleDecimal2Txt(Outils!$F$5*ASIN(F95))</f>
        <v>+39°34.11 (+39.5685) [+39°34'06.77]</v>
      </c>
      <c r="G96" s="1760"/>
      <c r="H96" s="1760"/>
      <c r="I96" s="1761"/>
      <c r="J96" s="1778" t="str" cm="1">
        <f t="array" ref="J96">angleDecimal2Txt(Outils!$F$5*ASIN(J95))</f>
        <v>+49°13.48 (+49.2246) [+49°13'28.83]</v>
      </c>
      <c r="K96" s="1760"/>
      <c r="L96" s="1760"/>
      <c r="M96" s="1779"/>
      <c r="N96" s="1759" t="str" cm="1">
        <f t="array" ref="N96">angleDecimal2Txt(Outils!$F$5*ASIN(N95))</f>
        <v>+22°29.19 (+22.4865) [+22°29'11.68]</v>
      </c>
      <c r="O96" s="1760"/>
      <c r="P96" s="1760"/>
      <c r="Q96" s="1761"/>
      <c r="R96" s="1778" t="e" cm="1">
        <f t="array" ref="R96">angleDecimal2Txt(Outils!$F$5*ASIN(R95))</f>
        <v>#VALUE!</v>
      </c>
      <c r="S96" s="1760"/>
      <c r="T96" s="1760"/>
      <c r="U96" s="1779"/>
      <c r="V96" s="1759" t="str" cm="1">
        <f t="array" ref="V96">angleDecimal2Txt(Outils!$F$5*ASIN(V95))</f>
        <v>+02°32.60 (+02.5434) [+02°32'36.24]</v>
      </c>
      <c r="W96" s="1760"/>
      <c r="X96" s="1760"/>
      <c r="Y96" s="1761"/>
      <c r="Z96" s="141"/>
      <c r="AA96" s="146"/>
      <c r="AE96" s="81"/>
    </row>
    <row r="97" spans="1:55" customFormat="1" ht="17.25" customHeight="1">
      <c r="A97" s="147">
        <f>AB36</f>
        <v>4.1799503972356433</v>
      </c>
      <c r="B97" s="14"/>
      <c r="C97" s="57"/>
      <c r="D97" s="1679" t="s">
        <v>612</v>
      </c>
      <c r="E97" s="1782"/>
      <c r="F97" s="1759" t="str" cm="1">
        <f t="array" ref="F97">angleDecimal2Txt((M36-Z36),0)</f>
        <v>+00°04.17</v>
      </c>
      <c r="G97" s="1760"/>
      <c r="H97" s="1760"/>
      <c r="I97" s="1761"/>
      <c r="J97" s="1778" t="str" cm="1">
        <f t="array" ref="J97">angleDecimal2Txt((M37-Z37),0)</f>
        <v>-00°03.04</v>
      </c>
      <c r="K97" s="1760"/>
      <c r="L97" s="1760"/>
      <c r="M97" s="1779"/>
      <c r="N97" s="1759" t="str" cm="1">
        <f t="array" ref="N97">angleDecimal2Txt((M38-Z38),0)</f>
        <v>+21°46.17</v>
      </c>
      <c r="O97" s="1760"/>
      <c r="P97" s="1760"/>
      <c r="Q97" s="1761"/>
      <c r="R97" s="1778" t="e" cm="1">
        <f t="array" ref="R97">angleDecimal2Txt((M39-Z39),0)</f>
        <v>#VALUE!</v>
      </c>
      <c r="S97" s="1760"/>
      <c r="T97" s="1760"/>
      <c r="U97" s="1779"/>
      <c r="V97" s="1759" t="str" cm="1">
        <f t="array" ref="V97">angleDecimal2Txt((M45-Z45),0)</f>
        <v>-00°00.17</v>
      </c>
      <c r="W97" s="1760"/>
      <c r="X97" s="1760"/>
      <c r="Y97" s="1761"/>
      <c r="Z97" s="141"/>
      <c r="AA97" s="146"/>
      <c r="AE97" s="81"/>
    </row>
    <row r="98" spans="1:55" customFormat="1" ht="17.25" customHeight="1">
      <c r="B98" s="14"/>
      <c r="C98" s="57"/>
      <c r="D98" s="1681"/>
      <c r="E98" s="1783"/>
      <c r="F98" s="1763" t="str">
        <f>CONCATENATE(AB36,"  Mn")</f>
        <v>4,17995039723564  Mn</v>
      </c>
      <c r="G98" s="1505"/>
      <c r="H98" s="1505"/>
      <c r="I98" s="1764"/>
      <c r="J98" s="1763" t="str">
        <f>CONCATENATE(AB37,"  Mn")</f>
        <v>-3,04814657111208  Mn</v>
      </c>
      <c r="K98" s="1505"/>
      <c r="L98" s="1505"/>
      <c r="M98" s="1764"/>
      <c r="N98" s="1763" t="str">
        <f>CONCATENATE(AB38,"  Mn")</f>
        <v>1306,17689538571  Mn</v>
      </c>
      <c r="O98" s="1505"/>
      <c r="P98" s="1505"/>
      <c r="Q98" s="1764"/>
      <c r="R98" s="1763" t="e">
        <f>CONCATENATE(AB39,"  Mn")</f>
        <v>#VALUE!</v>
      </c>
      <c r="S98" s="1505"/>
      <c r="T98" s="1505"/>
      <c r="U98" s="1764"/>
      <c r="V98" s="1763" t="e">
        <f>CONCATENATE(AB40,"  Mn")</f>
        <v>#VALUE!</v>
      </c>
      <c r="W98" s="1505"/>
      <c r="X98" s="1505"/>
      <c r="Y98" s="1764"/>
      <c r="Z98" s="141"/>
      <c r="AA98" s="146"/>
      <c r="AE98" s="81"/>
    </row>
    <row r="99" spans="1:55" customFormat="1" ht="17.25" customHeight="1">
      <c r="B99" s="14"/>
      <c r="C99" s="57"/>
      <c r="D99" s="1683"/>
      <c r="E99" s="1784"/>
      <c r="F99" s="1763" t="str">
        <f>AC36</f>
        <v>Vers Pg</v>
      </c>
      <c r="G99" s="1505"/>
      <c r="H99" s="1505"/>
      <c r="I99" s="1764"/>
      <c r="J99" s="1504" t="str">
        <f>AC37</f>
        <v>Oppose de Pg</v>
      </c>
      <c r="K99" s="1505"/>
      <c r="L99" s="1505"/>
      <c r="M99" s="1502"/>
      <c r="N99" s="1763" t="str">
        <f>AC38</f>
        <v>Vers Pg</v>
      </c>
      <c r="O99" s="1505"/>
      <c r="P99" s="1505"/>
      <c r="Q99" s="1764"/>
      <c r="R99" s="1504" t="e">
        <f>AC39</f>
        <v>#VALUE!</v>
      </c>
      <c r="S99" s="1505"/>
      <c r="T99" s="1505"/>
      <c r="U99" s="1502"/>
      <c r="V99" s="1763" t="str">
        <f>AC45</f>
        <v>Oppose de Pg</v>
      </c>
      <c r="W99" s="1505"/>
      <c r="X99" s="1505"/>
      <c r="Y99" s="1764"/>
      <c r="Z99" s="141"/>
      <c r="AA99" s="146"/>
      <c r="AE99" s="81"/>
    </row>
    <row r="100" spans="1:55" ht="17.25" customHeight="1">
      <c r="D100" s="1774" t="s">
        <v>357</v>
      </c>
      <c r="E100" s="1775"/>
      <c r="F100" s="1769" t="str" cm="1">
        <f t="array" ref="F100">latitudeDecimal2Txt(O19,0)</f>
        <v>S 57°06.50</v>
      </c>
      <c r="G100" s="1770"/>
      <c r="H100" s="1770"/>
      <c r="I100" s="1771"/>
      <c r="J100" s="1780" t="str" cm="1">
        <f t="array" ref="J100">latitudeDecimal2Txt(O20,0)</f>
        <v>N 09°59.20</v>
      </c>
      <c r="K100" s="1770"/>
      <c r="L100" s="1770"/>
      <c r="M100" s="1781"/>
      <c r="N100" s="1769" t="str" cm="1">
        <f t="array" ref="N100">latitudeDecimal2Txt(O21,0)</f>
        <v>N 08°55.89</v>
      </c>
      <c r="O100" s="1770"/>
      <c r="P100" s="1770"/>
      <c r="Q100" s="1771"/>
      <c r="R100" s="1780" t="str" cm="1">
        <f t="array" ref="R100">latitudeDecimal2Txt(O22,0)</f>
        <v>N 38°48.29</v>
      </c>
      <c r="S100" s="1770"/>
      <c r="T100" s="1770"/>
      <c r="U100" s="1781"/>
      <c r="V100" s="1769" t="str" cm="1">
        <f t="array" ref="V100">latitudeDecimal2Txt(O23,0)</f>
        <v>N 74°03.50</v>
      </c>
      <c r="W100" s="1770"/>
      <c r="X100" s="1770"/>
      <c r="Y100" s="1771"/>
    </row>
    <row r="101" spans="1:55" ht="17.25" customHeight="1">
      <c r="D101" s="1776"/>
      <c r="E101" s="1777"/>
      <c r="F101" s="1772" t="str" cm="1">
        <f t="array" ref="F101">longitudeDecimal2Txt(longitudeHoraire2longitude(W36),0)</f>
        <v>E 67°53.97</v>
      </c>
      <c r="G101" s="1767"/>
      <c r="H101" s="1767"/>
      <c r="I101" s="1773"/>
      <c r="J101" s="1766" t="str" cm="1">
        <f t="array" ref="J101">longitudeDecimal2Txt(longitudeHoraire2longitude(W37),0)</f>
        <v>E 08°52.55</v>
      </c>
      <c r="K101" s="1767"/>
      <c r="L101" s="1767"/>
      <c r="M101" s="1768"/>
      <c r="N101" s="1772" t="str" cm="1">
        <f t="array" ref="N101">longitudeDecimal2Txt(longitudeHoraire2longitude(W38),0)</f>
        <v>W 20°30.71</v>
      </c>
      <c r="O101" s="1767"/>
      <c r="P101" s="1767"/>
      <c r="Q101" s="1773"/>
      <c r="R101" s="1766" t="e" cm="1">
        <f t="array" ref="R101">longitudeDecimal2Txt(longitudeHoraire2longitude(W39),0)</f>
        <v>#VALUE!</v>
      </c>
      <c r="S101" s="1767"/>
      <c r="T101" s="1767"/>
      <c r="U101" s="1768"/>
      <c r="V101" s="1772" t="str" cm="1">
        <f t="array" ref="V101">longitudeDecimal2Txt(longitudeHoraire2longitude(W45),0)</f>
        <v>E 83°12.89</v>
      </c>
      <c r="W101" s="1767"/>
      <c r="X101" s="1767"/>
      <c r="Y101" s="1773"/>
    </row>
    <row r="102" spans="1:55" ht="17.25" customHeight="1">
      <c r="D102" s="183"/>
      <c r="E102"/>
      <c r="F102"/>
      <c r="G102"/>
      <c r="H102"/>
      <c r="I102" s="1788" t="s">
        <v>491</v>
      </c>
      <c r="J102" s="1788"/>
      <c r="K102" s="1788"/>
      <c r="L102" s="1788"/>
      <c r="M102" s="1788"/>
      <c r="N102" s="1788"/>
      <c r="O102" s="1788"/>
      <c r="P102" s="1788"/>
      <c r="Q102" s="1788"/>
      <c r="R102" s="1788"/>
      <c r="S102" s="1788"/>
      <c r="T102" s="1788"/>
      <c r="U102"/>
      <c r="V102"/>
      <c r="W102"/>
      <c r="X102"/>
      <c r="Y102"/>
    </row>
    <row r="103" spans="1:55" ht="17.25" customHeight="1">
      <c r="D103" s="1755" t="s">
        <v>414</v>
      </c>
      <c r="E103" s="1757"/>
      <c r="F103" s="1758">
        <f>(F91-G91*SIN(Z36*Outils!$F$4))/(G92*COS(Z36*Outils!$F$4))</f>
        <v>-0.9603938522590848</v>
      </c>
      <c r="G103" s="1755"/>
      <c r="H103" s="1755"/>
      <c r="I103" s="1756"/>
      <c r="J103" s="1762">
        <f>(J91-K91*SIN(Z37*Outils!$F$4))/(K92*COS(Z37*Outils!$F$4))</f>
        <v>0.47408532074272114</v>
      </c>
      <c r="K103" s="1755"/>
      <c r="L103" s="1755"/>
      <c r="M103" s="1757"/>
      <c r="N103" s="1758">
        <f>(N91-O91*SIN(Z38*Outils!$F$4))/(O92*COS(Z38*Outils!$F$4))</f>
        <v>0.24361281888494846</v>
      </c>
      <c r="O103" s="1755"/>
      <c r="P103" s="1755"/>
      <c r="Q103" s="1756"/>
      <c r="R103" s="1762" t="e">
        <f>(R91-S91*SIN(Z39*Outils!$F$4))/(S92*COS(Z39*Outils!$F$4))</f>
        <v>#VALUE!</v>
      </c>
      <c r="S103" s="1755"/>
      <c r="T103" s="1755"/>
      <c r="U103" s="1757"/>
      <c r="V103" s="1758">
        <f>(V91-W91*SIN(Z45*Outils!$F$4))/(W92*COS(Z45*Outils!$F$4))</f>
        <v>1.5350215090796333</v>
      </c>
      <c r="W103" s="1755"/>
      <c r="X103" s="1755"/>
      <c r="Y103" s="1756"/>
    </row>
    <row r="104" spans="1:55" ht="17.25" customHeight="1">
      <c r="C104" s="14"/>
      <c r="D104" s="1755" t="s">
        <v>92</v>
      </c>
      <c r="E104" s="1757"/>
      <c r="F104" s="1758" t="str" cm="1">
        <f t="array" ref="F104">angleDecimal2Txt(Outils!$F$5*ACOS(F103),0)</f>
        <v>+163°49.23</v>
      </c>
      <c r="G104" s="1755"/>
      <c r="H104" s="1755"/>
      <c r="I104" s="1756"/>
      <c r="J104" s="1758" t="str" cm="1">
        <f t="array" ref="J104">angleDecimal2Txt(Outils!$F$5*ACOS(J103),0)</f>
        <v>+61°42.01</v>
      </c>
      <c r="K104" s="1755"/>
      <c r="L104" s="1755"/>
      <c r="M104" s="1756"/>
      <c r="N104" s="1758" t="str" cm="1">
        <f t="array" ref="N104">angleDecimal2Txt(Outils!$F$5*ACOS(N103),0)</f>
        <v>+75°54.00</v>
      </c>
      <c r="O104" s="1755"/>
      <c r="P104" s="1755"/>
      <c r="Q104" s="1756"/>
      <c r="R104" s="1758" t="e" cm="1">
        <f t="array" ref="R104">angleDecimal2Txt(Outils!$F$5*ACOS(R103),0)</f>
        <v>#VALUE!</v>
      </c>
      <c r="S104" s="1755"/>
      <c r="T104" s="1755"/>
      <c r="U104" s="1756"/>
      <c r="V104" s="1758" t="e" cm="1">
        <f t="array" ref="V104">angleDecimal2Txt(Outils!$F$5*ACOS(V103),0)</f>
        <v>#VALUE!</v>
      </c>
      <c r="W104" s="1755"/>
      <c r="X104" s="1755"/>
      <c r="Y104" s="1756"/>
      <c r="Z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</row>
    <row r="105" spans="1:55" ht="17.25" customHeight="1">
      <c r="C105" s="14"/>
      <c r="D105" s="183"/>
      <c r="E105" s="144"/>
      <c r="F105" s="57"/>
      <c r="G105" s="14"/>
      <c r="I105" s="1798" t="s">
        <v>143</v>
      </c>
      <c r="J105" s="1799"/>
      <c r="K105" s="1799"/>
      <c r="L105" s="1799"/>
      <c r="M105" s="1799"/>
      <c r="N105" s="1800"/>
      <c r="O105" s="1798" t="s">
        <v>144</v>
      </c>
      <c r="P105" s="1799"/>
      <c r="Q105" s="1799"/>
      <c r="R105" s="1799"/>
      <c r="S105" s="1799"/>
      <c r="T105" s="1800"/>
      <c r="W105" s="14"/>
      <c r="X105" s="14"/>
      <c r="Y105" s="14"/>
      <c r="Z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</row>
    <row r="106" spans="1:55" ht="17.25" customHeight="1">
      <c r="C106" s="14"/>
      <c r="D106" s="183"/>
      <c r="E106" s="144"/>
      <c r="F106" s="57"/>
      <c r="G106" s="14"/>
      <c r="I106" s="268"/>
      <c r="J106" s="1791" t="s">
        <v>117</v>
      </c>
      <c r="K106" s="1791"/>
      <c r="L106" s="269"/>
      <c r="M106" s="1791" t="s">
        <v>118</v>
      </c>
      <c r="N106" s="1792"/>
      <c r="O106" s="268"/>
      <c r="P106" s="1791" t="s">
        <v>117</v>
      </c>
      <c r="Q106" s="1791"/>
      <c r="R106" s="269"/>
      <c r="S106" s="1791" t="s">
        <v>119</v>
      </c>
      <c r="T106" s="1792"/>
      <c r="V106" s="141"/>
      <c r="Z106" s="14"/>
      <c r="AA106" s="14"/>
      <c r="AC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</row>
    <row r="107" spans="1:55" ht="17.25" customHeight="1">
      <c r="C107" s="14"/>
      <c r="D107" s="183"/>
      <c r="E107" s="144"/>
      <c r="F107" s="57"/>
      <c r="G107" s="14"/>
      <c r="I107" s="270"/>
      <c r="J107" s="1793" t="s">
        <v>87</v>
      </c>
      <c r="K107" s="1793"/>
      <c r="L107" s="271"/>
      <c r="M107" s="1793" t="s">
        <v>88</v>
      </c>
      <c r="N107" s="1794"/>
      <c r="O107" s="270"/>
      <c r="P107" s="1793" t="s">
        <v>87</v>
      </c>
      <c r="Q107" s="1793"/>
      <c r="R107" s="271"/>
      <c r="S107" s="1793" t="s">
        <v>89</v>
      </c>
      <c r="T107" s="1794"/>
      <c r="V107" s="141"/>
      <c r="Z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</row>
    <row r="108" spans="1:55" ht="17.25" customHeight="1">
      <c r="C108" s="14"/>
      <c r="D108" s="1755" t="s">
        <v>417</v>
      </c>
      <c r="E108" s="1757"/>
      <c r="F108" s="1795" t="str">
        <f>IF($F$10&gt;0,"Nord","Sud")</f>
        <v>Sud</v>
      </c>
      <c r="G108" s="1796"/>
      <c r="H108" s="1796"/>
      <c r="I108" s="1796"/>
      <c r="J108" s="1796"/>
      <c r="K108" s="1796"/>
      <c r="L108" s="1796"/>
      <c r="M108" s="1796"/>
      <c r="N108" s="1796"/>
      <c r="O108" s="1796"/>
      <c r="P108" s="1796"/>
      <c r="Q108" s="1796"/>
      <c r="R108" s="1796"/>
      <c r="S108" s="1796"/>
      <c r="T108" s="1796"/>
      <c r="U108" s="1796"/>
      <c r="V108" s="1796"/>
      <c r="W108" s="1796"/>
      <c r="X108" s="1796"/>
      <c r="Y108" s="1797"/>
      <c r="Z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</row>
    <row r="109" spans="1:55" ht="17.25" customHeight="1">
      <c r="C109" s="14"/>
      <c r="D109" s="1755" t="s">
        <v>416</v>
      </c>
      <c r="E109" s="1757"/>
      <c r="F109" s="1758" t="b">
        <f>(X36&gt;180)</f>
        <v>1</v>
      </c>
      <c r="G109" s="1755"/>
      <c r="H109" s="1755"/>
      <c r="I109" s="1756"/>
      <c r="J109" s="1762" t="b">
        <f>(X37&gt;180)</f>
        <v>0</v>
      </c>
      <c r="K109" s="1755"/>
      <c r="L109" s="1755"/>
      <c r="M109" s="1757"/>
      <c r="N109" s="1758" t="b">
        <f>(X38&gt;180)</f>
        <v>0</v>
      </c>
      <c r="O109" s="1755"/>
      <c r="P109" s="1755"/>
      <c r="Q109" s="1756"/>
      <c r="R109" s="1762" t="e">
        <f>(X39&gt;180)</f>
        <v>#N/A</v>
      </c>
      <c r="S109" s="1755"/>
      <c r="T109" s="1755"/>
      <c r="U109" s="1757"/>
      <c r="V109" s="1758" t="b">
        <f>(X45&gt;180)</f>
        <v>1</v>
      </c>
      <c r="W109" s="1755"/>
      <c r="X109" s="1755"/>
      <c r="Y109" s="1756"/>
      <c r="Z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</row>
    <row r="110" spans="1:55" ht="17.25" customHeight="1">
      <c r="C110" s="14"/>
      <c r="D110" s="1505" t="s">
        <v>415</v>
      </c>
      <c r="E110" s="1502"/>
      <c r="F110" s="1763" t="str" cm="1">
        <f t="array" ref="F110">angleDecimal2Txt(AD36,0)</f>
        <v>+163°49.23</v>
      </c>
      <c r="G110" s="1505"/>
      <c r="H110" s="1505"/>
      <c r="I110" s="1764"/>
      <c r="J110" s="1504" t="str" cm="1">
        <f t="array" ref="J110">angleDecimal2Txt(AD37,0)</f>
        <v>+298°17.98</v>
      </c>
      <c r="K110" s="1505"/>
      <c r="L110" s="1505"/>
      <c r="M110" s="1502"/>
      <c r="N110" s="1763" t="str" cm="1">
        <f t="array" ref="N110">angleDecimal2Txt(AD38,0)</f>
        <v>+284°05.99</v>
      </c>
      <c r="O110" s="1505"/>
      <c r="P110" s="1505"/>
      <c r="Q110" s="1764"/>
      <c r="R110" s="1504" t="e" cm="1">
        <f t="array" ref="R110">angleDecimal2Txt(AD39,0)</f>
        <v>#VALUE!</v>
      </c>
      <c r="S110" s="1505"/>
      <c r="T110" s="1505"/>
      <c r="U110" s="1502"/>
      <c r="V110" s="1763" t="str" cm="1">
        <f t="array" ref="V110">angleDecimal2Txt(AD45,0)</f>
        <v>+57°17.12</v>
      </c>
      <c r="W110" s="1505"/>
      <c r="X110" s="1505"/>
      <c r="Y110" s="1764"/>
      <c r="Z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</row>
    <row r="111" spans="1:55" ht="17.25" customHeight="1">
      <c r="E111" s="14"/>
      <c r="F111" s="14"/>
      <c r="G111" s="14"/>
      <c r="M111" s="14"/>
      <c r="W111" s="14"/>
      <c r="X111" s="14"/>
      <c r="Y111" s="14"/>
      <c r="Z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</row>
    <row r="112" spans="1:55" ht="17.25" customHeight="1" thickBot="1">
      <c r="B112" s="203" t="s">
        <v>391</v>
      </c>
      <c r="C112" s="203"/>
      <c r="D112" s="203"/>
      <c r="E112"/>
      <c r="F112" s="554"/>
      <c r="G112" s="554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</row>
    <row r="113" spans="2:25" ht="17.25" customHeight="1" thickTop="1" thickBot="1">
      <c r="B113" s="90"/>
      <c r="C113"/>
      <c r="D113" s="1717" t="s">
        <v>464</v>
      </c>
      <c r="E113" s="1718"/>
      <c r="F113" s="2046" t="str">
        <f>C27</f>
        <v>Mars</v>
      </c>
      <c r="G113" s="1724"/>
      <c r="H113" s="1724"/>
      <c r="I113" s="1725"/>
      <c r="J113" s="1738" t="str">
        <f>C28</f>
        <v>Venus</v>
      </c>
      <c r="K113" s="1739"/>
      <c r="L113" s="1739"/>
      <c r="M113" s="1740"/>
      <c r="N113" s="1738" t="str">
        <f>C29</f>
        <v>Mars</v>
      </c>
      <c r="O113" s="1739"/>
      <c r="P113" s="1739"/>
      <c r="Q113" s="1740"/>
      <c r="R113" s="1738" t="str">
        <f>C30</f>
        <v>Mars</v>
      </c>
      <c r="S113" s="1739"/>
      <c r="T113" s="1739"/>
      <c r="U113" s="1740"/>
      <c r="V113"/>
      <c r="W113"/>
      <c r="X113"/>
      <c r="Y113"/>
    </row>
    <row r="114" spans="2:25" customFormat="1" ht="17.25" customHeight="1">
      <c r="B114" s="90"/>
      <c r="D114" s="1748" t="s">
        <v>490</v>
      </c>
      <c r="E114" s="1713"/>
      <c r="F114" s="1697" t="str">
        <f>$D$61</f>
        <v>2024/06/28</v>
      </c>
      <c r="G114" s="1698"/>
      <c r="H114" s="1712" t="str" cm="1">
        <f t="array" ref="H114">heureDecimal2Txt($G$19,0)</f>
        <v>02:40:15.00</v>
      </c>
      <c r="I114" s="1713"/>
      <c r="J114" s="1697" t="str">
        <f>$D$61</f>
        <v>2024/06/28</v>
      </c>
      <c r="K114" s="1698"/>
      <c r="L114" s="1712" t="str" cm="1">
        <f t="array" ref="L114">heureDecimal2Txt($G$20,0)</f>
        <v>02:43:07.00</v>
      </c>
      <c r="M114" s="1713"/>
      <c r="N114" s="1697" t="str">
        <f>$D$61</f>
        <v>2024/06/28</v>
      </c>
      <c r="O114" s="1698"/>
      <c r="P114" s="1712" t="str" cm="1">
        <f t="array" ref="P114">heureDecimal2Txt($G$21,0)</f>
        <v>02:47:15.00</v>
      </c>
      <c r="Q114" s="1713"/>
      <c r="R114" s="1697" t="str">
        <f>$D$61</f>
        <v>2024/06/28</v>
      </c>
      <c r="S114" s="1698"/>
      <c r="T114" s="1712" t="str" cm="1">
        <f t="array" ref="T114">heureDecimal2Txt($G$22,0)</f>
        <v>00:00:05.00</v>
      </c>
      <c r="U114" s="1713"/>
    </row>
    <row r="115" spans="2:25" ht="17.25" customHeight="1">
      <c r="B115" s="90"/>
      <c r="C115" s="90"/>
      <c r="D115" s="1383" t="s">
        <v>392</v>
      </c>
      <c r="E115" s="1750"/>
      <c r="F115" s="1741" t="str" cm="1">
        <f t="array" ref="F115">angleDecimal2Txt(angleConvert2Decimal(H27))</f>
        <v>+44°21.89 (+44.3650) [+44°21'54.00]</v>
      </c>
      <c r="G115" s="1742"/>
      <c r="H115" s="1742"/>
      <c r="I115" s="1743"/>
      <c r="J115" s="1741" t="str" cm="1">
        <f t="array" ref="J115">angleDecimal2Txt(angleConvert2Decimal(H28))</f>
        <v>+44°21.89 (+44.3650) [+44°21'54.00]</v>
      </c>
      <c r="K115" s="1742"/>
      <c r="L115" s="1742"/>
      <c r="M115" s="1743"/>
      <c r="N115" s="1741" t="str" cm="1">
        <f t="array" ref="N115">angleDecimal2Txt(angleConvert2Decimal(H29))</f>
        <v>+44°21.89 (+44.3650) [+44°21'54.00]</v>
      </c>
      <c r="O115" s="1742"/>
      <c r="P115" s="1742"/>
      <c r="Q115" s="1743"/>
      <c r="R115" s="1741" t="str" cm="1">
        <f t="array" ref="R115">angleDecimal2Txt(angleConvert2Decimal(H30))</f>
        <v>+44°21.89 (+44.3650) [+44°21'54.00]</v>
      </c>
      <c r="S115" s="1742"/>
      <c r="T115" s="1742"/>
      <c r="U115" s="1743"/>
      <c r="V115"/>
      <c r="W115"/>
      <c r="X115"/>
      <c r="Y115"/>
    </row>
    <row r="116" spans="2:25" ht="17.25" customHeight="1">
      <c r="B116" s="90"/>
      <c r="C116" s="90"/>
      <c r="D116" s="1719" t="s">
        <v>396</v>
      </c>
      <c r="E116" s="1720"/>
      <c r="F116" s="1744" t="str" cm="1">
        <f t="array" ref="F116">angleDecimal2Txt(J27)</f>
        <v>+44°16.29 (+44.2715) [+44°16'17.47]</v>
      </c>
      <c r="G116" s="1720"/>
      <c r="H116" s="1720"/>
      <c r="I116" s="1745"/>
      <c r="J116" s="1744" t="str" cm="1">
        <f t="array" ref="J116">angleDecimal2Txt(J28)</f>
        <v>+44°16.29 (+44.2715) [+44°16'17.47]</v>
      </c>
      <c r="K116" s="1720"/>
      <c r="L116" s="1720"/>
      <c r="M116" s="1745"/>
      <c r="N116" s="1744" t="str" cm="1">
        <f t="array" ref="N116">angleDecimal2Txt(J29)</f>
        <v>+44°16.29 (+44.2715) [+44°16'17.47]</v>
      </c>
      <c r="O116" s="1720"/>
      <c r="P116" s="1720"/>
      <c r="Q116" s="1745"/>
      <c r="R116" s="1744" t="str" cm="1">
        <f t="array" ref="R116">angleDecimal2Txt(J30)</f>
        <v>+44°16.29 (+44.2715) [+44°16'17.47]</v>
      </c>
      <c r="S116" s="1720"/>
      <c r="T116" s="1720"/>
      <c r="U116" s="1745"/>
      <c r="V116"/>
      <c r="W116"/>
      <c r="X116"/>
      <c r="Y116"/>
    </row>
    <row r="117" spans="2:25" ht="17.25" customHeight="1">
      <c r="B117" s="90"/>
      <c r="C117" s="90"/>
      <c r="D117" s="1361" t="s">
        <v>394</v>
      </c>
      <c r="E117" s="1355"/>
      <c r="F117" s="1746" t="str" cm="1">
        <f t="array" ref="F117">angleDecimal2Txt($F$12)</f>
        <v>+00°06.80 (+00.1134) [+00°06'48.52]</v>
      </c>
      <c r="G117" s="1362"/>
      <c r="H117" s="1362"/>
      <c r="I117" s="1362"/>
      <c r="J117" s="1362"/>
      <c r="K117" s="1362"/>
      <c r="L117" s="1362"/>
      <c r="M117" s="1362"/>
      <c r="N117" s="1362"/>
      <c r="O117" s="1362"/>
      <c r="P117" s="1362"/>
      <c r="Q117" s="1362"/>
      <c r="R117" s="1362"/>
      <c r="S117" s="1362"/>
      <c r="T117" s="1362"/>
      <c r="U117" s="1362"/>
      <c r="V117" s="1362"/>
      <c r="W117" s="1362"/>
      <c r="X117" s="1362"/>
      <c r="Y117" s="1747"/>
    </row>
    <row r="118" spans="2:25" ht="17.25" customHeight="1">
      <c r="B118" s="90"/>
      <c r="C118" s="90"/>
      <c r="D118" s="1361" t="s">
        <v>401</v>
      </c>
      <c r="E118" s="1355"/>
      <c r="F118" s="1746" t="str" cm="1">
        <f t="array" ref="F118">angleDecimal2Txt(J42)</f>
        <v>+00°01.01 (+00.0169) [+00°01'01.18]</v>
      </c>
      <c r="G118" s="1362"/>
      <c r="H118" s="1362"/>
      <c r="I118" s="1747"/>
      <c r="J118" s="1746" t="str" cm="1">
        <f t="array" ref="J118">angleDecimal2Txt(J43)</f>
        <v>+00°01.01 (+00.0169) [+00°01'01.18]</v>
      </c>
      <c r="K118" s="1362"/>
      <c r="L118" s="1362"/>
      <c r="M118" s="1747"/>
      <c r="N118" s="1746" t="str" cm="1">
        <f t="array" ref="N118">angleDecimal2Txt(J44)</f>
        <v>+00°01.01 (+00.0169) [+00°01'01.18]</v>
      </c>
      <c r="O118" s="1362"/>
      <c r="P118" s="1362"/>
      <c r="Q118" s="1747"/>
      <c r="R118" s="1746" t="str" cm="1">
        <f t="array" ref="R118">angleDecimal2Txt(J45)</f>
        <v>+00°01.01 (+00.0169) [+00°01'01.18]</v>
      </c>
      <c r="S118" s="1362"/>
      <c r="T118" s="1362"/>
      <c r="U118" s="1747"/>
      <c r="V118"/>
      <c r="W118"/>
      <c r="X118"/>
      <c r="Y118"/>
    </row>
    <row r="119" spans="2:25" ht="17.25" customHeight="1">
      <c r="B119" s="90"/>
      <c r="C119" s="90"/>
      <c r="D119" s="1719" t="s">
        <v>395</v>
      </c>
      <c r="E119" s="1720"/>
      <c r="F119" s="1744" t="str" cm="1">
        <f t="array" ref="F119">angleDecimal2Txt(M42)</f>
        <v>+44°15.18 (+44.2531) [+44°15'11.18]</v>
      </c>
      <c r="G119" s="1720"/>
      <c r="H119" s="1720"/>
      <c r="I119" s="1745"/>
      <c r="J119" s="1744" t="str" cm="1">
        <f t="array" ref="J119">angleDecimal2Txt(M43)</f>
        <v>+44°15.24 (+44.2540) [+44°15'14.59]</v>
      </c>
      <c r="K119" s="1720"/>
      <c r="L119" s="1720"/>
      <c r="M119" s="1745"/>
      <c r="N119" s="1744" t="str" cm="1">
        <f t="array" ref="N119">angleDecimal2Txt(M44)</f>
        <v>+44°15.28 (+44.2547) [+44°15'17.18]</v>
      </c>
      <c r="O119" s="1720"/>
      <c r="P119" s="1720"/>
      <c r="Q119" s="1745"/>
      <c r="R119" s="1744" t="str" cm="1">
        <f t="array" ref="R119">angleDecimal2Txt(M45)</f>
        <v>+44°15.18 (+44.2531) [+44°15'11.18]</v>
      </c>
      <c r="S119" s="1720"/>
      <c r="T119" s="1720"/>
      <c r="U119" s="1745"/>
      <c r="V119"/>
      <c r="W119"/>
      <c r="X119"/>
      <c r="Y119"/>
    </row>
    <row r="120" spans="2:25" ht="17.25" customHeight="1">
      <c r="B120" s="1492" t="s">
        <v>418</v>
      </c>
      <c r="C120" s="1751"/>
      <c r="D120" s="1721" t="s">
        <v>403</v>
      </c>
      <c r="E120" s="1722"/>
      <c r="F120" s="1715" t="str" cm="1">
        <f t="array" ref="F120">angleDecimal2Txt(G42-J42-$F$12)</f>
        <v>-00°07.61 (-00.1268) [-00°07'36.81]</v>
      </c>
      <c r="G120" s="1355"/>
      <c r="H120" s="1355"/>
      <c r="I120" s="1716"/>
      <c r="J120" s="1715" t="str" cm="1">
        <f t="array" ref="J120">angleDecimal2Txt(G43-J43-$F$12)</f>
        <v>-00°07.75 (-00.1292) [-00°07'45.40]</v>
      </c>
      <c r="K120" s="1355"/>
      <c r="L120" s="1355"/>
      <c r="M120" s="1716"/>
      <c r="N120" s="1715" t="str" cm="1">
        <f t="array" ref="N120">angleDecimal2Txt(G44-J44-$F$12)</f>
        <v>-00°07.61 (-00.1268) [-00°07'36.81]</v>
      </c>
      <c r="O120" s="1355"/>
      <c r="P120" s="1355"/>
      <c r="Q120" s="1716"/>
      <c r="R120" s="1715" t="str" cm="1">
        <f t="array" ref="R120">angleDecimal2Txt(G45-J45-$F$12)</f>
        <v>-00°07.61 (-00.1268) [-00°07'36.81]</v>
      </c>
      <c r="S120" s="1355"/>
      <c r="T120" s="1355"/>
      <c r="U120" s="1716"/>
      <c r="V120"/>
      <c r="W120"/>
      <c r="X120"/>
      <c r="Y120"/>
    </row>
    <row r="121" spans="2:25" ht="17.25" customHeight="1">
      <c r="B121" s="1752"/>
      <c r="C121" s="1753"/>
      <c r="D121" s="1721" t="s">
        <v>399</v>
      </c>
      <c r="E121" s="1722"/>
      <c r="F121" s="1715" t="str" cm="1">
        <f t="array" ref="F121">angleDecimal2Txt(G42-J42-$F$12+angleConvert2Decimal(L42))</f>
        <v>-00°07.61 (-00.1268) [-00°07'36.81]</v>
      </c>
      <c r="G121" s="1355"/>
      <c r="H121" s="1355"/>
      <c r="I121" s="1716"/>
      <c r="J121" s="1715" t="str" cm="1">
        <f t="array" ref="J121">angleDecimal2Txt(G43-J43-$F$12+angleConvert2Decimal(L43))</f>
        <v>-00°07.75 (-00.1292) [-00°07'45.40]</v>
      </c>
      <c r="K121" s="1355"/>
      <c r="L121" s="1355"/>
      <c r="M121" s="1716"/>
      <c r="N121" s="1715" t="str" cm="1">
        <f t="array" ref="N121">angleDecimal2Txt(G44-J44-$F$12+angleConvert2Decimal(L44))</f>
        <v>-00°07.51 (-00.1252) [-00°07'30.81]</v>
      </c>
      <c r="O121" s="1355"/>
      <c r="P121" s="1355"/>
      <c r="Q121" s="1716"/>
      <c r="R121" s="1715" t="str" cm="1">
        <f t="array" ref="R121">angleDecimal2Txt(G45-J45-$F$12+angleConvert2Decimal(L45))</f>
        <v>-00°07.61 (-00.1268) [-00°07'36.81]</v>
      </c>
      <c r="S121" s="1355"/>
      <c r="T121" s="1355"/>
      <c r="U121" s="1716"/>
      <c r="V121"/>
      <c r="W121"/>
      <c r="X121"/>
      <c r="Y121"/>
    </row>
    <row r="122" spans="2:25" ht="17.25" customHeight="1">
      <c r="B122" s="1494"/>
      <c r="C122" s="1754"/>
      <c r="D122" s="1721" t="s">
        <v>400</v>
      </c>
      <c r="E122" s="1722"/>
      <c r="F122" s="1715" t="str" cm="1">
        <f t="array" ref="F122">angleDecimal2Txt(G42-J42+angleConvert2Decimal(L42))</f>
        <v>-00°00.80 (-00.0134) [-00°00'48.29]</v>
      </c>
      <c r="G122" s="1355"/>
      <c r="H122" s="1355"/>
      <c r="I122" s="1716"/>
      <c r="J122" s="1715" t="str" cm="1">
        <f t="array" ref="J122">angleDecimal2Txt(G43-J43+angleConvert2Decimal(L43))</f>
        <v>-00°00.94 (-00.0158) [-00°00'56.88]</v>
      </c>
      <c r="K122" s="1355"/>
      <c r="L122" s="1355"/>
      <c r="M122" s="1716"/>
      <c r="N122" s="1715" t="str" cm="1">
        <f t="array" ref="N122">angleDecimal2Txt(G44-J44+angleConvert2Decimal(L44))</f>
        <v>-00°00.70 (-00.0117) [-00°00'42.29]</v>
      </c>
      <c r="O122" s="1355"/>
      <c r="P122" s="1355"/>
      <c r="Q122" s="1716"/>
      <c r="R122" s="1715" t="str" cm="1">
        <f t="array" ref="R122">angleDecimal2Txt(G45-J45-angleConvert2Decimal(L45))</f>
        <v>-00°00.80 (-00.0134) [-00°00'48.29]</v>
      </c>
      <c r="S122" s="1355"/>
      <c r="T122" s="1355"/>
      <c r="U122" s="1716"/>
      <c r="V122"/>
      <c r="W122"/>
      <c r="X122"/>
      <c r="Y122"/>
    </row>
    <row r="123" spans="2:25" ht="17.25" customHeight="1">
      <c r="B123" s="90"/>
      <c r="C123" s="90"/>
      <c r="D123" s="554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</row>
    <row r="124" spans="2:25" ht="17.25" customHeight="1" thickBot="1">
      <c r="B124" s="201" t="s">
        <v>62</v>
      </c>
      <c r="C124" s="202"/>
      <c r="D124" s="202"/>
      <c r="E124" s="202"/>
      <c r="F124" s="202"/>
      <c r="G124" s="202"/>
      <c r="H124" s="201"/>
      <c r="I124" s="201"/>
      <c r="J124" s="201"/>
      <c r="K124" s="201"/>
      <c r="L124" s="201"/>
      <c r="M124" s="201"/>
      <c r="N124" s="201"/>
      <c r="O124" s="201"/>
      <c r="P124" s="201"/>
      <c r="Q124" s="201"/>
      <c r="R124" s="90"/>
      <c r="S124" s="90"/>
      <c r="T124" s="90"/>
      <c r="U124" s="90"/>
      <c r="V124" s="90"/>
      <c r="W124" s="90"/>
      <c r="X124" s="90"/>
      <c r="Y124" s="90"/>
    </row>
    <row r="125" spans="2:25" ht="17.25" customHeight="1" thickTop="1">
      <c r="B125" s="90"/>
      <c r="C125" s="90"/>
      <c r="D125" s="1516" t="s">
        <v>460</v>
      </c>
      <c r="E125" s="1726"/>
      <c r="F125" s="1729" t="str" cm="1">
        <f t="array" ref="F125">angleDecimal2Txt(W42,0)</f>
        <v>+276°47.10</v>
      </c>
      <c r="G125" s="1516"/>
      <c r="H125" s="1516"/>
      <c r="I125" s="1726"/>
      <c r="J125" s="1729" t="str" cm="1">
        <f t="array" ref="J125">angleDecimal2Txt(W43,0)</f>
        <v>+276°47.10</v>
      </c>
      <c r="K125" s="1516"/>
      <c r="L125" s="1516"/>
      <c r="M125" s="1726"/>
      <c r="N125" s="1727" t="str" cm="1">
        <f t="array" ref="N125">angleDecimal2Txt(W44,0)</f>
        <v>+276°47.10</v>
      </c>
      <c r="O125" s="1516"/>
      <c r="P125" s="1516"/>
      <c r="Q125" s="1728"/>
      <c r="R125" s="1729" t="str" cm="1">
        <f t="array" ref="R125">angleDecimal2Txt(W45,0)</f>
        <v>+276°47.10</v>
      </c>
      <c r="S125" s="1516"/>
      <c r="T125" s="1516"/>
      <c r="U125" s="1726"/>
      <c r="V125"/>
      <c r="W125"/>
      <c r="X125"/>
      <c r="Y125"/>
    </row>
    <row r="126" spans="2:25" ht="17.25" customHeight="1">
      <c r="B126" s="90"/>
      <c r="C126" s="90"/>
      <c r="D126" s="1516" t="s">
        <v>461</v>
      </c>
      <c r="E126" s="1726"/>
      <c r="F126" s="1727" t="str" cm="1">
        <f t="array" ref="F126">angleDecimal2Txt(X42,0)</f>
        <v>+321°23.10</v>
      </c>
      <c r="G126" s="1516"/>
      <c r="H126" s="1516"/>
      <c r="I126" s="1728"/>
      <c r="J126" s="1729" t="str" cm="1">
        <f t="array" ref="J126">angleDecimal2Txt(X43,0)</f>
        <v>+321°23.10</v>
      </c>
      <c r="K126" s="1516"/>
      <c r="L126" s="1516"/>
      <c r="M126" s="1726"/>
      <c r="N126" s="1727" t="str" cm="1">
        <f t="array" ref="N126">angleDecimal2Txt(X44,0)</f>
        <v>+321°23.10</v>
      </c>
      <c r="O126" s="1516"/>
      <c r="P126" s="1516"/>
      <c r="Q126" s="1728"/>
      <c r="R126" s="1729" t="str" cm="1">
        <f t="array" ref="R126">angleDecimal2Txt(X45,0)</f>
        <v>+321°23.10</v>
      </c>
      <c r="S126" s="1516"/>
      <c r="T126" s="1516"/>
      <c r="U126" s="1726"/>
      <c r="V126"/>
      <c r="W126"/>
      <c r="X126"/>
      <c r="Y126"/>
    </row>
    <row r="127" spans="2:25" ht="17.25" customHeight="1">
      <c r="B127" s="90"/>
      <c r="C127" s="90"/>
      <c r="D127" s="1516" t="s">
        <v>463</v>
      </c>
      <c r="E127" s="1726"/>
      <c r="F127" s="1727" t="str" cm="1">
        <f t="array" ref="F127">angleDecimal2Txt(P27,0)</f>
        <v>+15°04.29</v>
      </c>
      <c r="G127" s="1516"/>
      <c r="H127" s="1516"/>
      <c r="I127" s="1728"/>
      <c r="J127" s="1729" t="str" cm="1">
        <f t="array" ref="J127">angleDecimal2Txt(P28,0)</f>
        <v>+15°04.29</v>
      </c>
      <c r="K127" s="1516"/>
      <c r="L127" s="1516"/>
      <c r="M127" s="1726"/>
      <c r="N127" s="1727" t="str" cm="1">
        <f t="array" ref="N127">angleDecimal2Txt(P29,0)</f>
        <v>+15°04.29</v>
      </c>
      <c r="O127" s="1516"/>
      <c r="P127" s="1516"/>
      <c r="Q127" s="1728"/>
      <c r="R127" s="1729" t="str" cm="1">
        <f t="array" ref="R127">angleDecimal2Txt(P30,0)</f>
        <v>+15°04.29</v>
      </c>
      <c r="S127" s="1516"/>
      <c r="T127" s="1516"/>
      <c r="U127" s="1726"/>
      <c r="V127"/>
      <c r="W127"/>
      <c r="X127"/>
      <c r="Y127"/>
    </row>
    <row r="128" spans="2:25" ht="17.25" customHeight="1">
      <c r="B128" s="90"/>
      <c r="C128" s="90"/>
      <c r="D128" s="1785" t="s">
        <v>408</v>
      </c>
      <c r="E128" s="1765"/>
      <c r="F128" s="242">
        <f>SIN(P27*Outils!$F$4)</f>
        <v>0.26002528547002229</v>
      </c>
      <c r="G128" s="243">
        <f>SIN($F$10*Outils!$F$4)</f>
        <v>-0.17364817766693033</v>
      </c>
      <c r="H128" s="1786" t="s">
        <v>409</v>
      </c>
      <c r="I128" s="1787"/>
      <c r="J128" s="244">
        <f>SIN(P28*Outils!$F$4)</f>
        <v>0.26002528547002229</v>
      </c>
      <c r="K128" s="243">
        <f>SIN($F$10*Outils!$F$4)</f>
        <v>-0.17364817766693033</v>
      </c>
      <c r="L128" s="1786" t="s">
        <v>409</v>
      </c>
      <c r="M128" s="1790"/>
      <c r="N128" s="242">
        <f>SIN(P29*Outils!$F$4)</f>
        <v>0.26002528547002229</v>
      </c>
      <c r="O128" s="243">
        <f>SIN($F$10*Outils!$F$4)</f>
        <v>-0.17364817766693033</v>
      </c>
      <c r="P128" s="1786" t="s">
        <v>409</v>
      </c>
      <c r="Q128" s="1787"/>
      <c r="R128" s="244">
        <f>SIN(P30*Outils!$F$4)</f>
        <v>0.26002528547002229</v>
      </c>
      <c r="S128" s="243">
        <f>SIN($F$10*Outils!$F$4)</f>
        <v>-0.17364817766693033</v>
      </c>
      <c r="T128" s="1786" t="s">
        <v>409</v>
      </c>
      <c r="U128" s="1790"/>
      <c r="V128"/>
      <c r="W128"/>
      <c r="X128"/>
      <c r="Y128"/>
    </row>
    <row r="129" spans="2:25" ht="17.25" customHeight="1">
      <c r="B129" s="90"/>
      <c r="C129" s="90"/>
      <c r="D129" s="1785" t="s">
        <v>407</v>
      </c>
      <c r="E129" s="1765"/>
      <c r="F129" s="242">
        <f>COS(P27*Outils!$F$4)</f>
        <v>0.96560180763927395</v>
      </c>
      <c r="G129" s="243">
        <f>COS($F$10*Outils!$F$4)</f>
        <v>0.98480775301220802</v>
      </c>
      <c r="H129" s="1786" t="s">
        <v>410</v>
      </c>
      <c r="I129" s="1787"/>
      <c r="J129" s="244">
        <f>COS(P28*Outils!$F$4)</f>
        <v>0.96560180763927395</v>
      </c>
      <c r="K129" s="243">
        <f>COS($F$10*Outils!$F$4)</f>
        <v>0.98480775301220802</v>
      </c>
      <c r="L129" s="1786" t="s">
        <v>410</v>
      </c>
      <c r="M129" s="1790"/>
      <c r="N129" s="242">
        <f>COS(P29*Outils!$F$4)</f>
        <v>0.96560180763927395</v>
      </c>
      <c r="O129" s="243">
        <f>COS($F$10*Outils!$F$4)</f>
        <v>0.98480775301220802</v>
      </c>
      <c r="P129" s="1786" t="s">
        <v>410</v>
      </c>
      <c r="Q129" s="1787"/>
      <c r="R129" s="244">
        <f>COS(P30*Outils!$F$4)</f>
        <v>0.96560180763927395</v>
      </c>
      <c r="S129" s="243">
        <f>COS($F$10*Outils!$F$4)</f>
        <v>0.98480775301220802</v>
      </c>
      <c r="T129" s="1786" t="s">
        <v>410</v>
      </c>
      <c r="U129" s="1790"/>
      <c r="V129"/>
      <c r="W129"/>
      <c r="X129"/>
      <c r="Y129"/>
    </row>
    <row r="130" spans="2:25" ht="17.25" customHeight="1">
      <c r="C130" s="549"/>
      <c r="D130" s="1755" t="s">
        <v>411</v>
      </c>
      <c r="E130" s="1757"/>
      <c r="F130" s="1758">
        <f>COS(X42*Outils!$F$4)</f>
        <v>0.78135734126528045</v>
      </c>
      <c r="G130" s="1755"/>
      <c r="H130" s="1755"/>
      <c r="I130" s="1756"/>
      <c r="J130" s="1762">
        <f>COS(X43*Outils!$F$4)</f>
        <v>0.78135734126528045</v>
      </c>
      <c r="K130" s="1755"/>
      <c r="L130" s="1755"/>
      <c r="M130" s="1757"/>
      <c r="N130" s="1758">
        <f>COS(X44*Outils!$F$4)</f>
        <v>0.78135734126528045</v>
      </c>
      <c r="O130" s="1755"/>
      <c r="P130" s="1755"/>
      <c r="Q130" s="1756"/>
      <c r="R130" s="1762">
        <f>COS(X45*Outils!$F$4)</f>
        <v>0.78135734126528045</v>
      </c>
      <c r="S130" s="1755"/>
      <c r="T130" s="1755"/>
      <c r="U130" s="1757"/>
      <c r="V130"/>
      <c r="W130"/>
      <c r="X130"/>
      <c r="Y130"/>
    </row>
    <row r="131" spans="2:25" ht="17.25" customHeight="1">
      <c r="C131" s="549"/>
      <c r="D131" s="183"/>
      <c r="E131"/>
      <c r="F131"/>
      <c r="G131"/>
      <c r="H131"/>
      <c r="I131" s="1789" t="s">
        <v>412</v>
      </c>
      <c r="J131" s="1789"/>
      <c r="K131" s="1789"/>
      <c r="L131" s="1789"/>
      <c r="M131" s="1789"/>
      <c r="N131" s="1789"/>
      <c r="O131" s="1789"/>
      <c r="P131" s="1789"/>
      <c r="Q131" s="1789"/>
      <c r="R131" s="1789"/>
      <c r="S131" s="1789"/>
      <c r="T131" s="1789"/>
      <c r="U131"/>
      <c r="V131"/>
      <c r="W131"/>
      <c r="X131"/>
      <c r="Y131"/>
    </row>
    <row r="132" spans="2:25" ht="17.25" customHeight="1">
      <c r="C132" s="549"/>
      <c r="D132" s="1755" t="s">
        <v>419</v>
      </c>
      <c r="E132" s="1757"/>
      <c r="F132" s="1758">
        <f>F128*G128+F129*G129*F130</f>
        <v>0.69786489673260677</v>
      </c>
      <c r="G132" s="1755"/>
      <c r="H132" s="1755"/>
      <c r="I132" s="1756"/>
      <c r="J132" s="1762">
        <f>J128*K128+J129*K129*J130</f>
        <v>0.69786489673260677</v>
      </c>
      <c r="K132" s="1755"/>
      <c r="L132" s="1755"/>
      <c r="M132" s="1757"/>
      <c r="N132" s="1758">
        <f>N128*O128+N129*O129*N130</f>
        <v>0.69786489673260677</v>
      </c>
      <c r="O132" s="1755"/>
      <c r="P132" s="1755"/>
      <c r="Q132" s="1756"/>
      <c r="R132" s="1762">
        <f>R128*S128+R129*S129*R130</f>
        <v>0.69786489673260677</v>
      </c>
      <c r="S132" s="1755"/>
      <c r="T132" s="1755"/>
      <c r="U132" s="1757"/>
      <c r="V132"/>
      <c r="W132"/>
      <c r="X132"/>
      <c r="Y132"/>
    </row>
    <row r="133" spans="2:25" ht="17.25" customHeight="1">
      <c r="C133" s="549"/>
      <c r="D133" s="1760" t="s">
        <v>413</v>
      </c>
      <c r="E133" s="1779"/>
      <c r="F133" s="1759" t="str" cm="1">
        <f t="array" ref="F133">angleDecimal2Txt(Outils!$F$5*ASIN(F132))</f>
        <v>+44°15.35 (+44.2559) [+44°15'21.43]</v>
      </c>
      <c r="G133" s="1760"/>
      <c r="H133" s="1760"/>
      <c r="I133" s="1761"/>
      <c r="J133" s="1778" t="str" cm="1">
        <f t="array" ref="J133">angleDecimal2Txt(Outils!$F$5*ASIN(J132))</f>
        <v>+44°15.35 (+44.2559) [+44°15'21.43]</v>
      </c>
      <c r="K133" s="1760"/>
      <c r="L133" s="1760"/>
      <c r="M133" s="1779"/>
      <c r="N133" s="1759" t="str" cm="1">
        <f t="array" ref="N133">angleDecimal2Txt(Outils!$F$5*ASIN(N132))</f>
        <v>+44°15.35 (+44.2559) [+44°15'21.43]</v>
      </c>
      <c r="O133" s="1760"/>
      <c r="P133" s="1760"/>
      <c r="Q133" s="1761"/>
      <c r="R133" s="1778" t="str" cm="1">
        <f t="array" ref="R133">angleDecimal2Txt(Outils!$F$5*ASIN(R132))</f>
        <v>+44°15.35 (+44.2559) [+44°15'21.43]</v>
      </c>
      <c r="S133" s="1760"/>
      <c r="T133" s="1760"/>
      <c r="U133" s="1779"/>
      <c r="V133"/>
      <c r="W133"/>
      <c r="X133"/>
      <c r="Y133"/>
    </row>
    <row r="134" spans="2:25" ht="17.25" customHeight="1">
      <c r="C134" s="549"/>
      <c r="D134" s="1679" t="s">
        <v>612</v>
      </c>
      <c r="E134" s="1782"/>
      <c r="F134" s="1759" t="str" cm="1">
        <f t="array" ref="F134">angleDecimal2Txt((M42-Z42),0)</f>
        <v>-00°00.17</v>
      </c>
      <c r="G134" s="1760"/>
      <c r="H134" s="1760"/>
      <c r="I134" s="1761"/>
      <c r="J134" s="1778" t="str" cm="1">
        <f t="array" ref="J134">angleDecimal2Txt((M43-Z43),0)</f>
        <v>-00°00.11</v>
      </c>
      <c r="K134" s="1760"/>
      <c r="L134" s="1760"/>
      <c r="M134" s="1779"/>
      <c r="N134" s="1759" t="str" cm="1">
        <f t="array" ref="N134">angleDecimal2Txt((M44-Z44),0)</f>
        <v>-00°00.07</v>
      </c>
      <c r="O134" s="1760"/>
      <c r="P134" s="1760"/>
      <c r="Q134" s="1761"/>
      <c r="R134" s="1778" t="str" cm="1">
        <f t="array" ref="R134">angleDecimal2Txt((M45-Z45),0)</f>
        <v>-00°00.17</v>
      </c>
      <c r="S134" s="1760"/>
      <c r="T134" s="1760"/>
      <c r="U134" s="1779"/>
      <c r="V134"/>
      <c r="W134"/>
      <c r="X134"/>
      <c r="Y134"/>
    </row>
    <row r="135" spans="2:25" ht="17.25" customHeight="1">
      <c r="C135" s="549"/>
      <c r="D135" s="1681"/>
      <c r="E135" s="1783"/>
      <c r="F135" s="1763" t="str">
        <f>CONCATENATE(AB42,"  Mn")</f>
        <v>-0,170827169136487  Mn</v>
      </c>
      <c r="G135" s="1505"/>
      <c r="H135" s="1505"/>
      <c r="I135" s="1764"/>
      <c r="J135" s="1504" t="str">
        <f>CONCATENATE(AB43,"  Mn")</f>
        <v>-0,114035126419054  Mn</v>
      </c>
      <c r="K135" s="1505"/>
      <c r="L135" s="1505"/>
      <c r="M135" s="1502"/>
      <c r="N135" s="1763" t="str">
        <f>CONCATENATE(AB44,"  Mn")</f>
        <v>-0,070827169136578  Mn</v>
      </c>
      <c r="O135" s="1505"/>
      <c r="P135" s="1505"/>
      <c r="Q135" s="1764"/>
      <c r="R135" s="1504" t="str">
        <f>CONCATENATE(AB45,"  Mn")</f>
        <v>-0,170827169136487  Mn</v>
      </c>
      <c r="S135" s="1505"/>
      <c r="T135" s="1505"/>
      <c r="U135" s="1502"/>
      <c r="V135"/>
      <c r="W135"/>
      <c r="X135"/>
      <c r="Y135"/>
    </row>
    <row r="136" spans="2:25" ht="17.25" customHeight="1">
      <c r="C136" s="549"/>
      <c r="D136" s="1683"/>
      <c r="E136" s="1784"/>
      <c r="F136" s="1763" t="str">
        <f>AC42</f>
        <v>Oppose de Pg</v>
      </c>
      <c r="G136" s="1505"/>
      <c r="H136" s="1505"/>
      <c r="I136" s="1764"/>
      <c r="J136" s="1504" t="str">
        <f>AC43</f>
        <v>Oppose de Pg</v>
      </c>
      <c r="K136" s="1505"/>
      <c r="L136" s="1505"/>
      <c r="M136" s="1502"/>
      <c r="N136" s="1763" t="str">
        <f>AC44</f>
        <v>Oppose de Pg</v>
      </c>
      <c r="O136" s="1505"/>
      <c r="P136" s="1505"/>
      <c r="Q136" s="1764"/>
      <c r="R136" s="1504" t="str">
        <f>AC45</f>
        <v>Oppose de Pg</v>
      </c>
      <c r="S136" s="1505"/>
      <c r="T136" s="1505"/>
      <c r="U136" s="1502"/>
      <c r="V136"/>
      <c r="W136"/>
      <c r="X136"/>
      <c r="Y136"/>
    </row>
    <row r="137" spans="2:25" ht="17.25" customHeight="1">
      <c r="C137" s="549"/>
      <c r="D137" s="1774" t="s">
        <v>357</v>
      </c>
      <c r="E137" s="1775"/>
      <c r="F137" s="1769" t="str" cm="1">
        <f t="array" ref="F137">latitudeDecimal2Txt(P27,0)</f>
        <v>N 15°04.29</v>
      </c>
      <c r="G137" s="1770"/>
      <c r="H137" s="1770"/>
      <c r="I137" s="1771"/>
      <c r="J137" s="1780" t="str" cm="1">
        <f t="array" ref="J137">latitudeDecimal2Txt(P28,0)</f>
        <v>N 15°04.29</v>
      </c>
      <c r="K137" s="1770"/>
      <c r="L137" s="1770"/>
      <c r="M137" s="1781"/>
      <c r="N137" s="1769" t="str" cm="1">
        <f t="array" ref="N137">latitudeDecimal2Txt(P29,0)</f>
        <v>N 15°04.29</v>
      </c>
      <c r="O137" s="1770"/>
      <c r="P137" s="1770"/>
      <c r="Q137" s="1771"/>
      <c r="R137" s="1780" t="str" cm="1">
        <f t="array" ref="R137">latitudeDecimal2Txt(P30,0)</f>
        <v>N 15°04.29</v>
      </c>
      <c r="S137" s="1770"/>
      <c r="T137" s="1770"/>
      <c r="U137" s="1781"/>
      <c r="V137"/>
      <c r="W137"/>
      <c r="X137"/>
      <c r="Y137"/>
    </row>
    <row r="138" spans="2:25" ht="17.25" customHeight="1">
      <c r="C138" s="549"/>
      <c r="D138" s="1776"/>
      <c r="E138" s="1777"/>
      <c r="F138" s="1772" t="str" cm="1">
        <f t="array" ref="F138">longitudeDecimal2Txt(longitudeHoraire2longitude(W42),0)</f>
        <v>E 83°12.89</v>
      </c>
      <c r="G138" s="1767"/>
      <c r="H138" s="1767"/>
      <c r="I138" s="1773"/>
      <c r="J138" s="1766" t="str" cm="1">
        <f t="array" ref="J138">longitudeDecimal2Txt(longitudeHoraire2longitude(W43),0)</f>
        <v>E 83°12.89</v>
      </c>
      <c r="K138" s="1767"/>
      <c r="L138" s="1767"/>
      <c r="M138" s="1768"/>
      <c r="N138" s="1772" t="str" cm="1">
        <f t="array" ref="N138">longitudeDecimal2Txt(longitudeHoraire2longitude(W44),0)</f>
        <v>E 83°12.89</v>
      </c>
      <c r="O138" s="1767"/>
      <c r="P138" s="1767"/>
      <c r="Q138" s="1773"/>
      <c r="R138" s="1766" t="str" cm="1">
        <f t="array" ref="R138">longitudeDecimal2Txt(longitudeHoraire2longitude(W45),0)</f>
        <v>E 83°12.89</v>
      </c>
      <c r="S138" s="1767"/>
      <c r="T138" s="1767"/>
      <c r="U138" s="1768"/>
      <c r="V138"/>
      <c r="W138"/>
      <c r="X138"/>
      <c r="Y138"/>
    </row>
    <row r="139" spans="2:25" ht="17.25" customHeight="1">
      <c r="C139" s="549"/>
      <c r="D139" s="183"/>
      <c r="E139"/>
      <c r="F139"/>
      <c r="G139"/>
      <c r="H139"/>
      <c r="I139" s="1788" t="s">
        <v>491</v>
      </c>
      <c r="J139" s="1788"/>
      <c r="K139" s="1788"/>
      <c r="L139" s="1788"/>
      <c r="M139" s="1788"/>
      <c r="N139" s="1788"/>
      <c r="O139" s="1788"/>
      <c r="P139" s="1788"/>
      <c r="Q139" s="1788"/>
      <c r="R139" s="1788"/>
      <c r="S139" s="1788"/>
      <c r="T139" s="1788"/>
      <c r="U139"/>
      <c r="V139"/>
      <c r="W139"/>
      <c r="X139"/>
      <c r="Y139"/>
    </row>
    <row r="140" spans="2:25" ht="17.25" customHeight="1">
      <c r="C140" s="549"/>
      <c r="D140" s="1755" t="s">
        <v>414</v>
      </c>
      <c r="E140" s="1757"/>
      <c r="F140" s="1758">
        <f>(F128-G128*SIN(Z42*Outils!$F$4))/(G129*COS(Z42*Outils!$F$4))</f>
        <v>0.54045392796888914</v>
      </c>
      <c r="G140" s="1755"/>
      <c r="H140" s="1755"/>
      <c r="I140" s="1756"/>
      <c r="J140" s="1762">
        <f>(J128-K128*SIN(Z43*Outils!$F$4))/(K129*COS(Z43*Outils!$F$4))</f>
        <v>0.54045392796888914</v>
      </c>
      <c r="K140" s="1755"/>
      <c r="L140" s="1755"/>
      <c r="M140" s="1757"/>
      <c r="N140" s="1758">
        <f>(N128-O128*SIN(Z44*Outils!$F$4))/(O129*COS(Z44*Outils!$F$4))</f>
        <v>0.54045392796888914</v>
      </c>
      <c r="O140" s="1755"/>
      <c r="P140" s="1755"/>
      <c r="Q140" s="1756"/>
      <c r="R140" s="1762">
        <f>(R128-S128*SIN(Z45*Outils!$F$4))/(S129*COS(Z45*Outils!$F$4))</f>
        <v>0.54045392796888914</v>
      </c>
      <c r="S140" s="1755"/>
      <c r="T140" s="1755"/>
      <c r="U140" s="1757"/>
      <c r="V140"/>
      <c r="W140"/>
      <c r="X140"/>
      <c r="Y140"/>
    </row>
    <row r="141" spans="2:25" ht="17.25" customHeight="1">
      <c r="C141" s="14"/>
      <c r="D141" s="1755" t="s">
        <v>92</v>
      </c>
      <c r="E141" s="1757"/>
      <c r="F141" s="1758" t="str" cm="1">
        <f t="array" ref="F141">angleDecimal2Txt(Outils!$F$5*ACOS(F140),0)</f>
        <v>+57°17.12</v>
      </c>
      <c r="G141" s="1755"/>
      <c r="H141" s="1755"/>
      <c r="I141" s="1756"/>
      <c r="J141" s="1758" t="str" cm="1">
        <f t="array" ref="J141">angleDecimal2Txt(Outils!$F$5*ACOS(J140),0)</f>
        <v>+57°17.12</v>
      </c>
      <c r="K141" s="1755"/>
      <c r="L141" s="1755"/>
      <c r="M141" s="1756"/>
      <c r="N141" s="1758" t="str" cm="1">
        <f t="array" ref="N141">angleDecimal2Txt(Outils!$F$5*ACOS(N140),0)</f>
        <v>+57°17.12</v>
      </c>
      <c r="O141" s="1755"/>
      <c r="P141" s="1755"/>
      <c r="Q141" s="1756"/>
      <c r="R141" s="1758" t="str" cm="1">
        <f t="array" ref="R141">angleDecimal2Txt(Outils!$F$5*ACOS(R140),0)</f>
        <v>+57°17.12</v>
      </c>
      <c r="S141" s="1755"/>
      <c r="T141" s="1755"/>
      <c r="U141" s="1756"/>
      <c r="V141"/>
      <c r="W141"/>
      <c r="X141"/>
      <c r="Y141"/>
    </row>
    <row r="142" spans="2:25" ht="17.25" customHeight="1">
      <c r="C142" s="14"/>
      <c r="D142" s="183"/>
      <c r="E142" s="144"/>
      <c r="F142" s="549"/>
      <c r="G142" s="14"/>
      <c r="I142" s="1798" t="s">
        <v>143</v>
      </c>
      <c r="J142" s="1799"/>
      <c r="K142" s="1799"/>
      <c r="L142" s="1799"/>
      <c r="M142" s="1799"/>
      <c r="N142" s="1800"/>
      <c r="O142" s="1798" t="s">
        <v>144</v>
      </c>
      <c r="P142" s="1799"/>
      <c r="Q142" s="1799"/>
      <c r="R142" s="1799"/>
      <c r="S142" s="1799"/>
      <c r="T142" s="1800"/>
      <c r="W142" s="14"/>
      <c r="X142" s="14"/>
      <c r="Y142" s="14"/>
    </row>
    <row r="143" spans="2:25" ht="17.25" customHeight="1">
      <c r="C143" s="14"/>
      <c r="D143" s="183"/>
      <c r="E143" s="144"/>
      <c r="F143" s="549"/>
      <c r="G143" s="14"/>
      <c r="I143" s="268"/>
      <c r="J143" s="1791" t="s">
        <v>117</v>
      </c>
      <c r="K143" s="1791"/>
      <c r="L143" s="269"/>
      <c r="M143" s="1791" t="s">
        <v>118</v>
      </c>
      <c r="N143" s="1792"/>
      <c r="O143" s="268"/>
      <c r="P143" s="1791" t="s">
        <v>117</v>
      </c>
      <c r="Q143" s="1791"/>
      <c r="R143" s="269"/>
      <c r="S143" s="1791" t="s">
        <v>119</v>
      </c>
      <c r="T143" s="1792"/>
      <c r="V143" s="141"/>
    </row>
    <row r="144" spans="2:25" ht="17.25" customHeight="1">
      <c r="C144" s="14"/>
      <c r="D144" s="183"/>
      <c r="E144" s="144"/>
      <c r="F144" s="549"/>
      <c r="G144" s="14"/>
      <c r="I144" s="270"/>
      <c r="J144" s="1793" t="s">
        <v>87</v>
      </c>
      <c r="K144" s="1793"/>
      <c r="L144" s="271"/>
      <c r="M144" s="1793" t="s">
        <v>88</v>
      </c>
      <c r="N144" s="1794"/>
      <c r="O144" s="270"/>
      <c r="P144" s="1793" t="s">
        <v>87</v>
      </c>
      <c r="Q144" s="1793"/>
      <c r="R144" s="271"/>
      <c r="S144" s="1793" t="s">
        <v>89</v>
      </c>
      <c r="T144" s="1794"/>
      <c r="V144" s="141"/>
    </row>
    <row r="145" spans="3:25" ht="17.25" customHeight="1">
      <c r="C145" s="14"/>
      <c r="D145" s="1755" t="s">
        <v>417</v>
      </c>
      <c r="E145" s="1757"/>
      <c r="F145" s="1795" t="str">
        <f>IF($F$10&gt;0,"Nord","Sud")</f>
        <v>Sud</v>
      </c>
      <c r="G145" s="1796"/>
      <c r="H145" s="1796"/>
      <c r="I145" s="1796"/>
      <c r="J145" s="1796"/>
      <c r="K145" s="1796"/>
      <c r="L145" s="1796"/>
      <c r="M145" s="1796"/>
      <c r="N145" s="1796"/>
      <c r="O145" s="1796"/>
      <c r="P145" s="1796"/>
      <c r="Q145" s="1796"/>
      <c r="R145" s="1796"/>
      <c r="S145" s="1796"/>
      <c r="T145" s="1796"/>
      <c r="U145" s="1796"/>
      <c r="V145" s="1796"/>
      <c r="W145" s="1796"/>
      <c r="X145" s="1796"/>
      <c r="Y145" s="1797"/>
    </row>
    <row r="146" spans="3:25" ht="17.25" customHeight="1">
      <c r="C146" s="14"/>
      <c r="D146" s="1755" t="s">
        <v>416</v>
      </c>
      <c r="E146" s="1757"/>
      <c r="F146" s="1758" t="b">
        <f>(X42&gt;180)</f>
        <v>1</v>
      </c>
      <c r="G146" s="1755"/>
      <c r="H146" s="1755"/>
      <c r="I146" s="1756"/>
      <c r="J146" s="1762" t="b">
        <f>(X43&gt;180)</f>
        <v>1</v>
      </c>
      <c r="K146" s="1755"/>
      <c r="L146" s="1755"/>
      <c r="M146" s="1757"/>
      <c r="N146" s="1758" t="b">
        <f>(X44&gt;180)</f>
        <v>1</v>
      </c>
      <c r="O146" s="1755"/>
      <c r="P146" s="1755"/>
      <c r="Q146" s="1756"/>
      <c r="R146" s="1762" t="b">
        <f>(X45&gt;180)</f>
        <v>1</v>
      </c>
      <c r="S146" s="1755"/>
      <c r="T146" s="1755"/>
      <c r="U146" s="1757"/>
      <c r="V146"/>
      <c r="W146"/>
      <c r="X146"/>
      <c r="Y146"/>
    </row>
    <row r="147" spans="3:25" ht="17.25" customHeight="1">
      <c r="C147" s="14"/>
      <c r="D147" s="1505" t="s">
        <v>415</v>
      </c>
      <c r="E147" s="1502"/>
      <c r="F147" s="1763" t="str" cm="1">
        <f t="array" ref="F147">angleDecimal2Txt(AD42,0)</f>
        <v>+57°17.12</v>
      </c>
      <c r="G147" s="1505"/>
      <c r="H147" s="1505"/>
      <c r="I147" s="1764"/>
      <c r="J147" s="1504" t="str" cm="1">
        <f t="array" ref="J147">angleDecimal2Txt(AD43,0)</f>
        <v>+57°17.12</v>
      </c>
      <c r="K147" s="1505"/>
      <c r="L147" s="1505"/>
      <c r="M147" s="1502"/>
      <c r="N147" s="1763" t="str" cm="1">
        <f t="array" ref="N147">angleDecimal2Txt(AD44,0)</f>
        <v>+57°17.12</v>
      </c>
      <c r="O147" s="1505"/>
      <c r="P147" s="1505"/>
      <c r="Q147" s="1764"/>
      <c r="R147" s="1504" t="str" cm="1">
        <f t="array" ref="R147">angleDecimal2Txt(AD45,0)</f>
        <v>+57°17.12</v>
      </c>
      <c r="S147" s="1505"/>
      <c r="T147" s="1505"/>
      <c r="U147" s="1502"/>
      <c r="V147"/>
      <c r="W147"/>
      <c r="X147"/>
      <c r="Y147"/>
    </row>
    <row r="150" spans="3:25" ht="17.25" customHeight="1">
      <c r="J150" s="2001"/>
    </row>
  </sheetData>
  <sheetProtection sheet="1" formatRows="0" insertRows="0" deleteRows="0" autoFilter="0"/>
  <dataConsolidate link="1"/>
  <mergeCells count="432">
    <mergeCell ref="D145:E145"/>
    <mergeCell ref="F145:Y145"/>
    <mergeCell ref="D146:E146"/>
    <mergeCell ref="F146:I146"/>
    <mergeCell ref="J146:M146"/>
    <mergeCell ref="N146:Q146"/>
    <mergeCell ref="R146:U146"/>
    <mergeCell ref="D147:E147"/>
    <mergeCell ref="F147:I147"/>
    <mergeCell ref="J147:M147"/>
    <mergeCell ref="N147:Q147"/>
    <mergeCell ref="R147:U147"/>
    <mergeCell ref="I142:N142"/>
    <mergeCell ref="O142:T142"/>
    <mergeCell ref="J143:K143"/>
    <mergeCell ref="M143:N143"/>
    <mergeCell ref="P143:Q143"/>
    <mergeCell ref="S143:T143"/>
    <mergeCell ref="J144:K144"/>
    <mergeCell ref="M144:N144"/>
    <mergeCell ref="P144:Q144"/>
    <mergeCell ref="S144:T144"/>
    <mergeCell ref="I139:T139"/>
    <mergeCell ref="D140:E140"/>
    <mergeCell ref="F140:I140"/>
    <mergeCell ref="J140:M140"/>
    <mergeCell ref="N140:Q140"/>
    <mergeCell ref="R140:U140"/>
    <mergeCell ref="D141:E141"/>
    <mergeCell ref="F141:I141"/>
    <mergeCell ref="J141:M141"/>
    <mergeCell ref="N141:Q141"/>
    <mergeCell ref="R141:U141"/>
    <mergeCell ref="D137:E138"/>
    <mergeCell ref="F137:I137"/>
    <mergeCell ref="J137:M137"/>
    <mergeCell ref="N137:Q137"/>
    <mergeCell ref="R137:U137"/>
    <mergeCell ref="F138:I138"/>
    <mergeCell ref="J138:M138"/>
    <mergeCell ref="N138:Q138"/>
    <mergeCell ref="R138:U138"/>
    <mergeCell ref="D133:E133"/>
    <mergeCell ref="F133:I133"/>
    <mergeCell ref="J133:M133"/>
    <mergeCell ref="N133:Q133"/>
    <mergeCell ref="R133:U133"/>
    <mergeCell ref="D134:E136"/>
    <mergeCell ref="F134:I134"/>
    <mergeCell ref="J134:M134"/>
    <mergeCell ref="N134:Q134"/>
    <mergeCell ref="R134:U134"/>
    <mergeCell ref="F135:I135"/>
    <mergeCell ref="J135:M135"/>
    <mergeCell ref="N135:Q135"/>
    <mergeCell ref="R135:U135"/>
    <mergeCell ref="F136:I136"/>
    <mergeCell ref="J136:M136"/>
    <mergeCell ref="N136:Q136"/>
    <mergeCell ref="R136:U136"/>
    <mergeCell ref="D130:E130"/>
    <mergeCell ref="F130:I130"/>
    <mergeCell ref="J130:M130"/>
    <mergeCell ref="N130:Q130"/>
    <mergeCell ref="R130:U130"/>
    <mergeCell ref="I131:T131"/>
    <mergeCell ref="D132:E132"/>
    <mergeCell ref="F132:I132"/>
    <mergeCell ref="J132:M132"/>
    <mergeCell ref="N132:Q132"/>
    <mergeCell ref="R132:U132"/>
    <mergeCell ref="D128:E128"/>
    <mergeCell ref="H128:I128"/>
    <mergeCell ref="L128:M128"/>
    <mergeCell ref="P128:Q128"/>
    <mergeCell ref="T128:U128"/>
    <mergeCell ref="D129:E129"/>
    <mergeCell ref="H129:I129"/>
    <mergeCell ref="L129:M129"/>
    <mergeCell ref="P129:Q129"/>
    <mergeCell ref="T129:U129"/>
    <mergeCell ref="D126:E126"/>
    <mergeCell ref="F126:I126"/>
    <mergeCell ref="J126:M126"/>
    <mergeCell ref="N126:Q126"/>
    <mergeCell ref="R126:U126"/>
    <mergeCell ref="D127:E127"/>
    <mergeCell ref="F127:I127"/>
    <mergeCell ref="J127:M127"/>
    <mergeCell ref="N127:Q127"/>
    <mergeCell ref="R127:U127"/>
    <mergeCell ref="D125:E125"/>
    <mergeCell ref="F125:I125"/>
    <mergeCell ref="J125:M125"/>
    <mergeCell ref="N125:Q125"/>
    <mergeCell ref="R125:U125"/>
    <mergeCell ref="B120:C122"/>
    <mergeCell ref="D120:E120"/>
    <mergeCell ref="F120:I120"/>
    <mergeCell ref="J120:M120"/>
    <mergeCell ref="N120:Q120"/>
    <mergeCell ref="R120:U120"/>
    <mergeCell ref="D121:E121"/>
    <mergeCell ref="F121:I121"/>
    <mergeCell ref="J121:M121"/>
    <mergeCell ref="N121:Q121"/>
    <mergeCell ref="R121:U121"/>
    <mergeCell ref="D122:E122"/>
    <mergeCell ref="F122:I122"/>
    <mergeCell ref="J122:M122"/>
    <mergeCell ref="N122:Q122"/>
    <mergeCell ref="R122:U122"/>
    <mergeCell ref="D117:E117"/>
    <mergeCell ref="F117:Y117"/>
    <mergeCell ref="D118:E118"/>
    <mergeCell ref="F118:I118"/>
    <mergeCell ref="J118:M118"/>
    <mergeCell ref="N118:Q118"/>
    <mergeCell ref="R118:U118"/>
    <mergeCell ref="D119:E119"/>
    <mergeCell ref="F119:I119"/>
    <mergeCell ref="J119:M119"/>
    <mergeCell ref="N119:Q119"/>
    <mergeCell ref="R119:U119"/>
    <mergeCell ref="D115:E115"/>
    <mergeCell ref="F115:I115"/>
    <mergeCell ref="J115:M115"/>
    <mergeCell ref="N115:Q115"/>
    <mergeCell ref="R115:U115"/>
    <mergeCell ref="D116:E116"/>
    <mergeCell ref="F116:I116"/>
    <mergeCell ref="J116:M116"/>
    <mergeCell ref="N116:Q116"/>
    <mergeCell ref="R116:U116"/>
    <mergeCell ref="D114:E114"/>
    <mergeCell ref="F114:G114"/>
    <mergeCell ref="H114:I114"/>
    <mergeCell ref="J114:K114"/>
    <mergeCell ref="L114:M114"/>
    <mergeCell ref="N114:O114"/>
    <mergeCell ref="P114:Q114"/>
    <mergeCell ref="R114:S114"/>
    <mergeCell ref="T114:U114"/>
    <mergeCell ref="L25:O25"/>
    <mergeCell ref="R25:U25"/>
    <mergeCell ref="U19:U21"/>
    <mergeCell ref="D113:E113"/>
    <mergeCell ref="F113:I113"/>
    <mergeCell ref="J113:M113"/>
    <mergeCell ref="N113:Q113"/>
    <mergeCell ref="R113:U113"/>
    <mergeCell ref="T35:U35"/>
    <mergeCell ref="O34:U34"/>
    <mergeCell ref="X34:Y35"/>
    <mergeCell ref="Z34:AA35"/>
    <mergeCell ref="F108:Y108"/>
    <mergeCell ref="I105:N105"/>
    <mergeCell ref="O105:T105"/>
    <mergeCell ref="V97:Y97"/>
    <mergeCell ref="V98:Y98"/>
    <mergeCell ref="V99:Y99"/>
    <mergeCell ref="R95:U95"/>
    <mergeCell ref="R96:U96"/>
    <mergeCell ref="R97:U97"/>
    <mergeCell ref="R98:U98"/>
    <mergeCell ref="R99:U99"/>
    <mergeCell ref="N97:Q97"/>
    <mergeCell ref="T91:U91"/>
    <mergeCell ref="T92:U92"/>
    <mergeCell ref="V83:W83"/>
    <mergeCell ref="X83:Y83"/>
    <mergeCell ref="V84:W84"/>
    <mergeCell ref="X84:Y84"/>
    <mergeCell ref="V85:Y85"/>
    <mergeCell ref="R109:U109"/>
    <mergeCell ref="R110:U110"/>
    <mergeCell ref="V109:Y109"/>
    <mergeCell ref="V110:Y110"/>
    <mergeCell ref="J109:M109"/>
    <mergeCell ref="J110:M110"/>
    <mergeCell ref="N109:Q109"/>
    <mergeCell ref="N110:Q110"/>
    <mergeCell ref="N101:Q101"/>
    <mergeCell ref="V104:Y104"/>
    <mergeCell ref="S106:T106"/>
    <mergeCell ref="M107:N107"/>
    <mergeCell ref="S107:T107"/>
    <mergeCell ref="J106:K106"/>
    <mergeCell ref="J107:K107"/>
    <mergeCell ref="P106:Q106"/>
    <mergeCell ref="P107:Q107"/>
    <mergeCell ref="M106:N106"/>
    <mergeCell ref="V87:Y87"/>
    <mergeCell ref="V88:Y88"/>
    <mergeCell ref="V89:Y89"/>
    <mergeCell ref="V90:Y90"/>
    <mergeCell ref="X91:Y91"/>
    <mergeCell ref="X92:Y92"/>
    <mergeCell ref="R86:U86"/>
    <mergeCell ref="R87:U87"/>
    <mergeCell ref="R88:U88"/>
    <mergeCell ref="R89:U89"/>
    <mergeCell ref="R90:U90"/>
    <mergeCell ref="V93:Y93"/>
    <mergeCell ref="V95:Y95"/>
    <mergeCell ref="V96:Y96"/>
    <mergeCell ref="T83:U83"/>
    <mergeCell ref="R84:S84"/>
    <mergeCell ref="T84:U84"/>
    <mergeCell ref="R85:U85"/>
    <mergeCell ref="L91:M91"/>
    <mergeCell ref="L92:M92"/>
    <mergeCell ref="N83:O83"/>
    <mergeCell ref="P83:Q83"/>
    <mergeCell ref="N84:O84"/>
    <mergeCell ref="P84:Q84"/>
    <mergeCell ref="N85:Q85"/>
    <mergeCell ref="N86:Q86"/>
    <mergeCell ref="N87:Q87"/>
    <mergeCell ref="N88:Q88"/>
    <mergeCell ref="N89:Q89"/>
    <mergeCell ref="N90:Q90"/>
    <mergeCell ref="P91:Q91"/>
    <mergeCell ref="P92:Q92"/>
    <mergeCell ref="J86:M86"/>
    <mergeCell ref="J87:M87"/>
    <mergeCell ref="V86:Y86"/>
    <mergeCell ref="V77:Y77"/>
    <mergeCell ref="V78:Y78"/>
    <mergeCell ref="V79:Y79"/>
    <mergeCell ref="V80:Y80"/>
    <mergeCell ref="F75:Y75"/>
    <mergeCell ref="N78:Q78"/>
    <mergeCell ref="N79:Q79"/>
    <mergeCell ref="N80:Q80"/>
    <mergeCell ref="R83:S83"/>
    <mergeCell ref="R71:U71"/>
    <mergeCell ref="R73:U73"/>
    <mergeCell ref="R74:U74"/>
    <mergeCell ref="R76:U76"/>
    <mergeCell ref="R77:U77"/>
    <mergeCell ref="R78:U78"/>
    <mergeCell ref="R79:U79"/>
    <mergeCell ref="R80:U80"/>
    <mergeCell ref="N71:Q71"/>
    <mergeCell ref="N73:Q73"/>
    <mergeCell ref="N74:Q74"/>
    <mergeCell ref="T72:U72"/>
    <mergeCell ref="V71:Y71"/>
    <mergeCell ref="V73:Y73"/>
    <mergeCell ref="V74:Y74"/>
    <mergeCell ref="V76:Y76"/>
    <mergeCell ref="N76:Q76"/>
    <mergeCell ref="F99:I99"/>
    <mergeCell ref="F100:I100"/>
    <mergeCell ref="F88:I88"/>
    <mergeCell ref="F89:I89"/>
    <mergeCell ref="F90:I90"/>
    <mergeCell ref="H91:I91"/>
    <mergeCell ref="F95:I95"/>
    <mergeCell ref="F96:I96"/>
    <mergeCell ref="I94:T94"/>
    <mergeCell ref="F93:I93"/>
    <mergeCell ref="J93:M93"/>
    <mergeCell ref="N93:Q93"/>
    <mergeCell ref="R93:U93"/>
    <mergeCell ref="N98:Q98"/>
    <mergeCell ref="N99:Q99"/>
    <mergeCell ref="N100:Q100"/>
    <mergeCell ref="R100:U100"/>
    <mergeCell ref="P72:Q72"/>
    <mergeCell ref="R72:S72"/>
    <mergeCell ref="D110:E110"/>
    <mergeCell ref="D100:E101"/>
    <mergeCell ref="D88:E88"/>
    <mergeCell ref="J95:M95"/>
    <mergeCell ref="J96:M96"/>
    <mergeCell ref="J97:M97"/>
    <mergeCell ref="J98:M98"/>
    <mergeCell ref="J99:M99"/>
    <mergeCell ref="J100:M100"/>
    <mergeCell ref="J101:M101"/>
    <mergeCell ref="D108:E108"/>
    <mergeCell ref="D109:E109"/>
    <mergeCell ref="D96:E96"/>
    <mergeCell ref="D97:E99"/>
    <mergeCell ref="D93:E93"/>
    <mergeCell ref="D95:E95"/>
    <mergeCell ref="D91:E91"/>
    <mergeCell ref="D92:E92"/>
    <mergeCell ref="H92:I92"/>
    <mergeCell ref="F109:I109"/>
    <mergeCell ref="F110:I110"/>
    <mergeCell ref="F101:I101"/>
    <mergeCell ref="D104:E104"/>
    <mergeCell ref="I102:T102"/>
    <mergeCell ref="F104:I104"/>
    <mergeCell ref="J103:M103"/>
    <mergeCell ref="J104:M104"/>
    <mergeCell ref="N103:Q103"/>
    <mergeCell ref="N104:Q104"/>
    <mergeCell ref="R104:U104"/>
    <mergeCell ref="R101:U101"/>
    <mergeCell ref="V100:Y100"/>
    <mergeCell ref="V101:Y101"/>
    <mergeCell ref="R103:U103"/>
    <mergeCell ref="V103:Y103"/>
    <mergeCell ref="D103:E103"/>
    <mergeCell ref="N77:Q77"/>
    <mergeCell ref="N95:Q95"/>
    <mergeCell ref="N96:Q96"/>
    <mergeCell ref="F83:G83"/>
    <mergeCell ref="F84:G84"/>
    <mergeCell ref="H83:I83"/>
    <mergeCell ref="F77:I77"/>
    <mergeCell ref="F78:I78"/>
    <mergeCell ref="F79:I79"/>
    <mergeCell ref="F80:I80"/>
    <mergeCell ref="J80:M80"/>
    <mergeCell ref="J83:K83"/>
    <mergeCell ref="L83:M83"/>
    <mergeCell ref="J84:K84"/>
    <mergeCell ref="L84:M84"/>
    <mergeCell ref="F97:I97"/>
    <mergeCell ref="F98:I98"/>
    <mergeCell ref="D90:E90"/>
    <mergeCell ref="F103:I103"/>
    <mergeCell ref="J88:M88"/>
    <mergeCell ref="J89:M89"/>
    <mergeCell ref="J90:M90"/>
    <mergeCell ref="D83:D84"/>
    <mergeCell ref="E83:E84"/>
    <mergeCell ref="D75:E75"/>
    <mergeCell ref="D76:E76"/>
    <mergeCell ref="D73:E73"/>
    <mergeCell ref="B78:C80"/>
    <mergeCell ref="D80:E80"/>
    <mergeCell ref="H84:I84"/>
    <mergeCell ref="F73:I73"/>
    <mergeCell ref="F74:I74"/>
    <mergeCell ref="F76:I76"/>
    <mergeCell ref="J11:M11"/>
    <mergeCell ref="D64:I64"/>
    <mergeCell ref="D65:I65"/>
    <mergeCell ref="J71:M71"/>
    <mergeCell ref="J73:M73"/>
    <mergeCell ref="J74:M74"/>
    <mergeCell ref="J77:M77"/>
    <mergeCell ref="N17:O18"/>
    <mergeCell ref="B67:C67"/>
    <mergeCell ref="D67:I67"/>
    <mergeCell ref="B68:C68"/>
    <mergeCell ref="D68:I68"/>
    <mergeCell ref="B17:B18"/>
    <mergeCell ref="J76:M76"/>
    <mergeCell ref="B64:C64"/>
    <mergeCell ref="B65:C65"/>
    <mergeCell ref="B61:C61"/>
    <mergeCell ref="B62:C62"/>
    <mergeCell ref="D72:E72"/>
    <mergeCell ref="F72:G72"/>
    <mergeCell ref="H72:I72"/>
    <mergeCell ref="J72:K72"/>
    <mergeCell ref="L72:M72"/>
    <mergeCell ref="F27:F30"/>
    <mergeCell ref="AG50:AG53"/>
    <mergeCell ref="AG54:AG57"/>
    <mergeCell ref="M34:N35"/>
    <mergeCell ref="M47:Y47"/>
    <mergeCell ref="AD34:AD35"/>
    <mergeCell ref="C1:F4"/>
    <mergeCell ref="G1:Y2"/>
    <mergeCell ref="G3:I4"/>
    <mergeCell ref="J3:L4"/>
    <mergeCell ref="T6:V6"/>
    <mergeCell ref="X6:Y6"/>
    <mergeCell ref="C7:D7"/>
    <mergeCell ref="E7:G7"/>
    <mergeCell ref="V19:W19"/>
    <mergeCell ref="Q19:Q21"/>
    <mergeCell ref="J18:K18"/>
    <mergeCell ref="AC34:AC35"/>
    <mergeCell ref="V34:V35"/>
    <mergeCell ref="Q17:T17"/>
    <mergeCell ref="V17:X18"/>
    <mergeCell ref="W34:W35"/>
    <mergeCell ref="X72:Y72"/>
    <mergeCell ref="F19:F22"/>
    <mergeCell ref="AB34:AB35"/>
    <mergeCell ref="J78:M78"/>
    <mergeCell ref="J79:M79"/>
    <mergeCell ref="D61:I61"/>
    <mergeCell ref="D62:I62"/>
    <mergeCell ref="D71:E71"/>
    <mergeCell ref="D74:E74"/>
    <mergeCell ref="D77:E77"/>
    <mergeCell ref="D78:E78"/>
    <mergeCell ref="D79:E79"/>
    <mergeCell ref="F71:I71"/>
    <mergeCell ref="N72:O72"/>
    <mergeCell ref="D87:E87"/>
    <mergeCell ref="D89:E89"/>
    <mergeCell ref="F87:I87"/>
    <mergeCell ref="D86:E86"/>
    <mergeCell ref="D85:E85"/>
    <mergeCell ref="J85:M85"/>
    <mergeCell ref="F85:I85"/>
    <mergeCell ref="F86:I86"/>
    <mergeCell ref="E34:F35"/>
    <mergeCell ref="A10:A11"/>
    <mergeCell ref="C10:E10"/>
    <mergeCell ref="C11:E11"/>
    <mergeCell ref="C12:E12"/>
    <mergeCell ref="C13:E13"/>
    <mergeCell ref="H12:I12"/>
    <mergeCell ref="H13:I13"/>
    <mergeCell ref="J13:M13"/>
    <mergeCell ref="V72:W72"/>
    <mergeCell ref="G34:G35"/>
    <mergeCell ref="C17:C18"/>
    <mergeCell ref="D17:D18"/>
    <mergeCell ref="E17:G18"/>
    <mergeCell ref="H17:I18"/>
    <mergeCell ref="F10:G10"/>
    <mergeCell ref="F11:G11"/>
    <mergeCell ref="L49:L51"/>
    <mergeCell ref="L52:L54"/>
    <mergeCell ref="H36:H45"/>
    <mergeCell ref="L17:M18"/>
    <mergeCell ref="J17:K17"/>
    <mergeCell ref="H34:J34"/>
    <mergeCell ref="J10:M10"/>
  </mergeCells>
  <conditionalFormatting sqref="U19:U21">
    <cfRule type="expression" dxfId="4" priority="1">
      <formula>IF($U$19&lt;&gt;"OK",1,0)</formula>
    </cfRule>
  </conditionalFormatting>
  <dataValidations count="1">
    <dataValidation type="list" allowBlank="1" showInputMessage="1" showErrorMessage="1" sqref="B19:B23 B27:B30" xr:uid="{B2879BE4-96C7-4CB3-B750-6ABF567E21CA}">
      <formula1>$AG$18:$AG$19</formula1>
    </dataValidation>
  </dataValidations>
  <printOptions horizontalCentered="1" verticalCentered="1"/>
  <pageMargins left="0.11811023622047245" right="0.11811023622047245" top="0.11811023622047245" bottom="0.11811023622047245" header="0" footer="0"/>
  <pageSetup paperSize="9" scale="73" fitToHeight="2" orientation="landscape" r:id="rId1"/>
  <rowBreaks count="1" manualBreakCount="1">
    <brk id="110" min="1" max="2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57</xdr:row>
                    <xdr:rowOff>95250</xdr:rowOff>
                  </from>
                  <to>
                    <xdr:col>7</xdr:col>
                    <xdr:colOff>9525</xdr:colOff>
                    <xdr:row>58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14" zoomScaleNormal="100" workbookViewId="0">
      <selection activeCell="S137" sqref="S137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79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4"/>
      <c r="C1" s="1469" t="s">
        <v>132</v>
      </c>
      <c r="D1" s="1469"/>
      <c r="E1" s="1469"/>
      <c r="F1" s="1469"/>
      <c r="G1" s="1470" t="s">
        <v>133</v>
      </c>
      <c r="H1" s="1470"/>
      <c r="I1" s="1470"/>
      <c r="J1" s="1470"/>
      <c r="K1" s="1470"/>
      <c r="L1" s="1470"/>
      <c r="M1" s="1470"/>
      <c r="N1" s="1470"/>
      <c r="O1" s="1470"/>
      <c r="P1" s="1470"/>
      <c r="Q1" s="1470"/>
      <c r="R1" s="1470"/>
      <c r="S1" s="1470"/>
      <c r="T1" s="1470"/>
      <c r="U1" s="1470"/>
      <c r="V1" s="1470"/>
      <c r="W1" s="1470"/>
      <c r="X1" s="1470"/>
      <c r="Y1" s="1470"/>
      <c r="Z1" s="14"/>
      <c r="AA1" s="14"/>
      <c r="AB1" s="59"/>
      <c r="BN1" s="22"/>
    </row>
    <row r="2" spans="2:66" customFormat="1" ht="9" customHeight="1">
      <c r="B2" s="14"/>
      <c r="C2" s="1469"/>
      <c r="D2" s="1469"/>
      <c r="E2" s="1469"/>
      <c r="F2" s="1469"/>
      <c r="G2" s="1470"/>
      <c r="H2" s="1470"/>
      <c r="I2" s="1470"/>
      <c r="J2" s="1470"/>
      <c r="K2" s="1470"/>
      <c r="L2" s="1470"/>
      <c r="M2" s="1470"/>
      <c r="N2" s="1470"/>
      <c r="O2" s="1470"/>
      <c r="P2" s="1470"/>
      <c r="Q2" s="1470"/>
      <c r="R2" s="1470"/>
      <c r="S2" s="1470"/>
      <c r="T2" s="1470"/>
      <c r="U2" s="1470"/>
      <c r="V2" s="1470"/>
      <c r="W2" s="1470"/>
      <c r="X2" s="1470"/>
      <c r="Y2" s="1470"/>
      <c r="Z2" s="14"/>
      <c r="AA2" s="14"/>
      <c r="AB2" s="59"/>
      <c r="BN2" s="22"/>
    </row>
    <row r="3" spans="2:66" customFormat="1" ht="9" customHeight="1">
      <c r="B3" s="14"/>
      <c r="C3" s="1469"/>
      <c r="D3" s="1469"/>
      <c r="E3" s="1469"/>
      <c r="F3" s="1469"/>
      <c r="G3" s="670" t="s">
        <v>137</v>
      </c>
      <c r="H3" s="670"/>
      <c r="I3" s="670"/>
      <c r="J3" s="1833" t="s">
        <v>136</v>
      </c>
      <c r="K3" s="1833"/>
      <c r="L3" s="1833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59"/>
      <c r="BN3" s="22"/>
    </row>
    <row r="4" spans="2:66" customFormat="1" ht="9" customHeight="1">
      <c r="B4" s="14"/>
      <c r="C4" s="1469"/>
      <c r="D4" s="1469"/>
      <c r="E4" s="1469"/>
      <c r="F4" s="1469"/>
      <c r="G4" s="629"/>
      <c r="H4" s="629"/>
      <c r="I4" s="629"/>
      <c r="J4" s="1645"/>
      <c r="K4" s="1645"/>
      <c r="L4" s="1645"/>
      <c r="M4" s="14"/>
      <c r="N4" s="14"/>
      <c r="O4" s="14" t="s">
        <v>40</v>
      </c>
      <c r="P4" s="14" t="s">
        <v>192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59"/>
      <c r="BN4" s="22"/>
    </row>
    <row r="5" spans="2:66" s="14" customFormat="1" ht="17.25" customHeight="1">
      <c r="C5" s="57"/>
      <c r="D5" s="57"/>
      <c r="E5" s="57"/>
      <c r="F5" s="57"/>
      <c r="G5" s="57"/>
      <c r="AB5" s="59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2"/>
    </row>
    <row r="6" spans="2:66" customFormat="1" ht="17.25" customHeight="1" thickBot="1">
      <c r="B6" s="14"/>
      <c r="C6" s="57"/>
      <c r="D6" s="57"/>
      <c r="E6" s="57"/>
      <c r="F6" s="57"/>
      <c r="G6" s="57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59"/>
      <c r="BN6" s="22"/>
    </row>
    <row r="7" spans="2:66" customFormat="1" ht="17.25" customHeight="1" thickBot="1">
      <c r="B7" s="23" t="s">
        <v>0</v>
      </c>
      <c r="C7" s="24"/>
      <c r="D7" s="24"/>
      <c r="E7" s="56" t="str">
        <f>E8</f>
        <v>20/10/2029</v>
      </c>
      <c r="F7" s="56"/>
      <c r="G7" s="56" t="str" cm="1">
        <f t="array" ref="G7">heureDecimal2Txt(E11)</f>
        <v>05:25:00.00(05.4166)</v>
      </c>
      <c r="H7" s="56"/>
      <c r="I7" s="56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60"/>
      <c r="BN7" s="22"/>
    </row>
    <row r="8" spans="2:66" customFormat="1" ht="17.25" customHeight="1">
      <c r="B8" s="14"/>
      <c r="C8" s="662" t="s">
        <v>1</v>
      </c>
      <c r="D8" s="663"/>
      <c r="E8" s="1626" t="s">
        <v>455</v>
      </c>
      <c r="F8" s="1627"/>
      <c r="G8" s="1627"/>
      <c r="H8" s="57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59"/>
      <c r="AC8" s="3" t="s">
        <v>162</v>
      </c>
      <c r="AD8" s="3" cm="1">
        <f t="array" ref="AD8">heureConvert2Decimal(I11)</f>
        <v>5.416666666666667</v>
      </c>
      <c r="BN8" s="22"/>
    </row>
    <row r="9" spans="2:66" customFormat="1" ht="17.25" customHeight="1" thickBot="1">
      <c r="B9" s="14"/>
      <c r="C9" s="664" t="s">
        <v>11</v>
      </c>
      <c r="D9" s="665"/>
      <c r="E9" s="664" t="s">
        <v>2</v>
      </c>
      <c r="F9" s="676"/>
      <c r="G9" s="676"/>
      <c r="H9" s="665"/>
      <c r="I9" s="649" t="s">
        <v>123</v>
      </c>
      <c r="J9" s="649"/>
      <c r="K9" s="649"/>
      <c r="L9" s="649" t="s">
        <v>124</v>
      </c>
      <c r="M9" s="649"/>
      <c r="N9" s="649"/>
      <c r="O9" s="649"/>
      <c r="P9" s="649"/>
      <c r="Q9" s="649" t="s">
        <v>125</v>
      </c>
      <c r="R9" s="649"/>
      <c r="S9" s="649"/>
      <c r="T9" s="649"/>
      <c r="U9" s="649"/>
      <c r="V9" s="771" t="s">
        <v>122</v>
      </c>
      <c r="W9" s="772"/>
      <c r="X9" s="772"/>
      <c r="Y9" s="773"/>
      <c r="Z9" s="14"/>
      <c r="AA9" s="14"/>
      <c r="AB9" s="61"/>
      <c r="AC9" s="3" t="s">
        <v>163</v>
      </c>
      <c r="AD9" s="65">
        <f>L11</f>
        <v>0</v>
      </c>
      <c r="BN9" s="22"/>
    </row>
    <row r="10" spans="2:66" customFormat="1" ht="17.25" customHeight="1">
      <c r="B10" s="14"/>
      <c r="C10" s="666"/>
      <c r="D10" s="667"/>
      <c r="E10" s="668"/>
      <c r="F10" s="677"/>
      <c r="G10" s="677"/>
      <c r="H10" s="669"/>
      <c r="I10" s="649"/>
      <c r="J10" s="649"/>
      <c r="K10" s="649"/>
      <c r="L10" s="649"/>
      <c r="M10" s="649"/>
      <c r="N10" s="649"/>
      <c r="O10" s="649"/>
      <c r="P10" s="649"/>
      <c r="Q10" s="649"/>
      <c r="R10" s="649"/>
      <c r="S10" s="649"/>
      <c r="T10" s="649"/>
      <c r="U10" s="649"/>
      <c r="V10" s="774"/>
      <c r="W10" s="775"/>
      <c r="X10" s="775"/>
      <c r="Y10" s="776"/>
      <c r="Z10" s="14"/>
      <c r="AA10" s="14"/>
      <c r="AB10" s="59"/>
      <c r="AC10" s="3" t="s">
        <v>164</v>
      </c>
      <c r="AD10" s="3">
        <f>Q11/3600</f>
        <v>0</v>
      </c>
      <c r="BN10" s="22"/>
    </row>
    <row r="11" spans="2:66" customFormat="1" ht="17.25" customHeight="1" thickBot="1">
      <c r="B11" s="14"/>
      <c r="C11" s="668"/>
      <c r="D11" s="669"/>
      <c r="E11" s="752">
        <f>AD8+AD9+AD10+AD11</f>
        <v>5.416666666666667</v>
      </c>
      <c r="F11" s="753"/>
      <c r="G11" s="753"/>
      <c r="H11" s="754"/>
      <c r="I11" s="1591" t="s">
        <v>803</v>
      </c>
      <c r="J11" s="1591"/>
      <c r="K11" s="1591"/>
      <c r="L11" s="1635">
        <v>0</v>
      </c>
      <c r="M11" s="1635"/>
      <c r="N11" s="1635"/>
      <c r="O11" s="1635"/>
      <c r="P11" s="1635"/>
      <c r="Q11" s="1635">
        <v>0</v>
      </c>
      <c r="R11" s="1635"/>
      <c r="S11" s="1635"/>
      <c r="T11" s="1635"/>
      <c r="U11" s="1636"/>
      <c r="V11" s="1631" t="s">
        <v>121</v>
      </c>
      <c r="W11" s="1631"/>
      <c r="X11" s="1631"/>
      <c r="Y11" s="1631"/>
      <c r="Z11" s="14"/>
      <c r="AA11" s="14"/>
      <c r="AB11" s="59"/>
      <c r="AC11" s="3" t="s">
        <v>29</v>
      </c>
      <c r="AD11" s="3" cm="1">
        <f t="array" ref="AD11">heureConvert2Decimal(V11) / 60</f>
        <v>0</v>
      </c>
      <c r="BN11" s="22"/>
    </row>
    <row r="12" spans="2:66" customFormat="1" ht="17.25" customHeight="1" thickTop="1" thickBot="1">
      <c r="B12" s="14"/>
      <c r="E12" s="749" t="str" cm="1">
        <f t="array" ref="E12">heureDecimal2Txt(E11)</f>
        <v>05:25:00.00(05.4166)</v>
      </c>
      <c r="F12" s="750"/>
      <c r="G12" s="750"/>
      <c r="H12" s="751"/>
      <c r="I12" s="11"/>
      <c r="J12" s="11"/>
      <c r="K12" s="11"/>
      <c r="V12" s="11"/>
      <c r="W12" s="11"/>
      <c r="X12" s="11"/>
      <c r="Y12" s="11"/>
      <c r="Z12" s="14"/>
      <c r="AA12" s="14"/>
      <c r="AB12" s="59"/>
      <c r="BN12" s="22"/>
    </row>
    <row r="13" spans="2:66" customFormat="1" ht="17.25" customHeight="1" thickTop="1" thickBot="1">
      <c r="B13" s="14"/>
      <c r="C13" s="13"/>
      <c r="D13" s="1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4"/>
      <c r="AA13" s="14"/>
      <c r="AB13" s="59"/>
      <c r="BN13" s="22"/>
    </row>
    <row r="14" spans="2:66" customFormat="1" ht="17.25" customHeight="1" thickBot="1">
      <c r="B14" s="23" t="s">
        <v>18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60"/>
      <c r="BN14" s="22"/>
    </row>
    <row r="15" spans="2:66" customFormat="1" ht="18" customHeight="1" thickBot="1">
      <c r="B15" s="14"/>
      <c r="C15" s="720" t="s">
        <v>19</v>
      </c>
      <c r="D15" s="720"/>
      <c r="E15" s="720"/>
      <c r="F15" s="720"/>
      <c r="G15" s="720"/>
      <c r="H15" s="720"/>
      <c r="I15" s="720"/>
      <c r="J15" s="755">
        <f>M15</f>
        <v>5.28</v>
      </c>
      <c r="K15" s="756"/>
      <c r="L15" s="757"/>
      <c r="M15" s="1625">
        <f>16*0.33</f>
        <v>5.28</v>
      </c>
      <c r="N15" s="1625"/>
      <c r="O15" s="1625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4"/>
      <c r="AA15" s="14"/>
      <c r="AB15" s="59"/>
      <c r="BN15" s="22"/>
    </row>
    <row r="16" spans="2:66" customFormat="1" ht="18" customHeight="1" thickTop="1" thickBot="1">
      <c r="B16" s="12"/>
      <c r="C16" s="1825" t="s">
        <v>20</v>
      </c>
      <c r="D16" s="1826"/>
      <c r="E16" s="1826"/>
      <c r="F16" s="1826"/>
      <c r="G16" s="1826"/>
      <c r="H16" s="1826"/>
      <c r="I16" s="1827"/>
      <c r="J16" s="572" cm="1">
        <f t="array" ref="J16">angleConvert2Decimal(M16)</f>
        <v>0</v>
      </c>
      <c r="K16" s="573"/>
      <c r="L16" s="573"/>
      <c r="M16" s="1624" t="s">
        <v>457</v>
      </c>
      <c r="N16" s="1625"/>
      <c r="O16" s="1625"/>
      <c r="P16" s="567" t="str" cm="1">
        <f t="array" ref="P16">angleDecimal2Txt(J16)</f>
        <v>+00°00.00 (+00.0000) [+00°00'00.00]</v>
      </c>
      <c r="Q16" s="567"/>
      <c r="R16" s="567"/>
      <c r="S16" s="567"/>
      <c r="T16" s="567"/>
      <c r="U16" s="567"/>
      <c r="V16" s="567"/>
      <c r="W16" s="567"/>
      <c r="X16" s="567"/>
      <c r="Y16" s="12"/>
      <c r="Z16" s="14"/>
      <c r="AA16" s="14"/>
      <c r="AB16" s="59"/>
      <c r="BN16" s="22"/>
    </row>
    <row r="17" spans="1:67" customFormat="1" ht="18" customHeight="1" thickTop="1" thickBot="1">
      <c r="B17" s="14"/>
      <c r="C17" s="608" t="s">
        <v>26</v>
      </c>
      <c r="D17" s="608"/>
      <c r="E17" s="608"/>
      <c r="F17" s="608"/>
      <c r="G17" s="608"/>
      <c r="H17" s="608"/>
      <c r="I17" s="608"/>
      <c r="J17" s="1828" cm="1">
        <f t="array" ref="J17">angleConvert2Decimal(M17)</f>
        <v>28.916666666666668</v>
      </c>
      <c r="K17" s="1829"/>
      <c r="L17" s="1829"/>
      <c r="M17" s="1830" t="s">
        <v>456</v>
      </c>
      <c r="N17" s="1831"/>
      <c r="O17" s="1832"/>
      <c r="P17" s="567" t="str" cm="1">
        <f t="array" ref="P17">angleDecimal2Txt(J17)</f>
        <v>+28°55.00 (+28.9166) [+28°55'00.00]</v>
      </c>
      <c r="Q17" s="567"/>
      <c r="R17" s="567"/>
      <c r="S17" s="567"/>
      <c r="T17" s="567"/>
      <c r="U17" s="567"/>
      <c r="V17" s="567"/>
      <c r="W17" s="567"/>
      <c r="X17" s="567"/>
      <c r="Y17" s="12"/>
      <c r="Z17" s="14"/>
      <c r="AA17" s="14"/>
      <c r="AB17" s="59"/>
      <c r="BN17" s="22"/>
    </row>
    <row r="18" spans="1:67" customFormat="1" ht="18" customHeight="1" thickTop="1">
      <c r="B18" s="14"/>
      <c r="C18" s="720" t="s">
        <v>30</v>
      </c>
      <c r="D18" s="720"/>
      <c r="E18" s="720"/>
      <c r="F18" s="720"/>
      <c r="G18" s="720"/>
      <c r="H18" s="720"/>
      <c r="I18" s="720"/>
      <c r="J18" s="685" t="str">
        <f>M18</f>
        <v>Polaire</v>
      </c>
      <c r="K18" s="686"/>
      <c r="L18" s="687"/>
      <c r="M18" s="1637" t="s">
        <v>153</v>
      </c>
      <c r="N18" s="1638"/>
      <c r="O18" s="1639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4"/>
      <c r="AA18" s="14"/>
      <c r="AB18" s="59"/>
      <c r="AG18" s="14"/>
      <c r="AH18" s="14"/>
      <c r="BN18" s="22"/>
    </row>
    <row r="19" spans="1:67" customFormat="1" ht="18" customHeight="1">
      <c r="B19" s="1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4"/>
      <c r="AA19" s="14"/>
      <c r="AB19" s="59"/>
      <c r="AG19" s="14"/>
      <c r="AH19" s="14"/>
      <c r="BN19" s="22"/>
    </row>
    <row r="20" spans="1:67" customFormat="1" ht="17.25" customHeight="1" thickBot="1">
      <c r="B20" s="1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4"/>
      <c r="AA20" s="14"/>
      <c r="AB20" s="59"/>
      <c r="BN20" s="22"/>
    </row>
    <row r="21" spans="1:67" customFormat="1" ht="17.25" customHeight="1" thickBot="1">
      <c r="B21" s="23" t="s">
        <v>17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60"/>
      <c r="BN21" s="22"/>
    </row>
    <row r="22" spans="1:67" s="14" customFormat="1" ht="17.25" customHeight="1" thickTop="1" thickBot="1">
      <c r="A22" s="12" t="s">
        <v>130</v>
      </c>
      <c r="C22" s="746" t="s">
        <v>7</v>
      </c>
      <c r="D22" s="746"/>
      <c r="E22" s="746"/>
      <c r="F22" s="746"/>
      <c r="G22" s="729">
        <f>AD23</f>
        <v>41.516666666666666</v>
      </c>
      <c r="H22" s="730"/>
      <c r="I22" s="730"/>
      <c r="J22" s="1590" t="s">
        <v>3</v>
      </c>
      <c r="K22" s="1599" t="s">
        <v>804</v>
      </c>
      <c r="L22" s="1590"/>
      <c r="M22" s="1590"/>
      <c r="N22" s="1590"/>
      <c r="O22" s="1590"/>
      <c r="P22" s="591" t="str" cm="1">
        <f t="array" ref="P22">angleDecimal2Txt(G22)</f>
        <v>+41°31.00 (+41.5166) [+41°31'00.00]</v>
      </c>
      <c r="Q22" s="591"/>
      <c r="R22" s="591"/>
      <c r="S22" s="591"/>
      <c r="T22" s="591"/>
      <c r="U22" s="591"/>
      <c r="V22" s="591"/>
      <c r="W22" s="591"/>
      <c r="X22" s="591"/>
      <c r="Y22" s="591"/>
      <c r="AB22" s="59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2"/>
    </row>
    <row r="23" spans="1:67" s="14" customFormat="1" ht="17.25" customHeight="1" thickTop="1" thickBot="1">
      <c r="A23" s="12" t="s">
        <v>138</v>
      </c>
      <c r="C23" s="746"/>
      <c r="D23" s="746"/>
      <c r="E23" s="746"/>
      <c r="F23" s="746"/>
      <c r="G23" s="730"/>
      <c r="H23" s="730"/>
      <c r="I23" s="730"/>
      <c r="J23" s="1590"/>
      <c r="K23" s="1590"/>
      <c r="L23" s="1590"/>
      <c r="M23" s="1590"/>
      <c r="N23" s="1590"/>
      <c r="O23" s="1590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B23" s="59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2"/>
    </row>
    <row r="24" spans="1:67" s="14" customFormat="1" ht="17.25" customHeight="1" thickTop="1" thickBot="1">
      <c r="C24" s="738" t="s">
        <v>8</v>
      </c>
      <c r="D24" s="738"/>
      <c r="E24" s="738"/>
      <c r="F24" s="738"/>
      <c r="G24" s="729">
        <f>AD25</f>
        <v>-112.33333333333333</v>
      </c>
      <c r="H24" s="730"/>
      <c r="I24" s="730"/>
      <c r="J24" s="1590" t="s">
        <v>6</v>
      </c>
      <c r="K24" s="1599" t="s">
        <v>805</v>
      </c>
      <c r="L24" s="1590"/>
      <c r="M24" s="1590"/>
      <c r="N24" s="1590"/>
      <c r="O24" s="1590"/>
      <c r="P24" s="591" t="str" cm="1">
        <f t="array" ref="P24">angleDecimal2Txt(G24)</f>
        <v>-112°20.00 (-112.3333) [-112°20'00.00]</v>
      </c>
      <c r="Q24" s="591"/>
      <c r="R24" s="591"/>
      <c r="S24" s="591"/>
      <c r="T24" s="591"/>
      <c r="U24" s="591"/>
      <c r="V24" s="591"/>
      <c r="W24" s="591"/>
      <c r="X24" s="591"/>
      <c r="Y24" s="591"/>
      <c r="Z24" s="12"/>
      <c r="AB24" s="59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9"/>
    </row>
    <row r="25" spans="1:67" s="14" customFormat="1" ht="17.25" customHeight="1" thickTop="1" thickBot="1">
      <c r="C25" s="738"/>
      <c r="D25" s="738"/>
      <c r="E25" s="738"/>
      <c r="F25" s="738"/>
      <c r="G25" s="730"/>
      <c r="H25" s="730"/>
      <c r="I25" s="730"/>
      <c r="J25" s="1590"/>
      <c r="K25" s="1590"/>
      <c r="L25" s="1590"/>
      <c r="M25" s="1590"/>
      <c r="N25" s="1590"/>
      <c r="O25" s="1590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12"/>
      <c r="AB25" s="59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9"/>
    </row>
    <row r="26" spans="1:67" s="14" customFormat="1" ht="17.25" customHeight="1" thickTop="1" thickBot="1">
      <c r="A26"/>
      <c r="B26"/>
      <c r="C26"/>
      <c r="D26" s="12"/>
      <c r="E26" s="12"/>
      <c r="F26" s="12"/>
      <c r="G26" s="12"/>
      <c r="H26" s="12"/>
      <c r="AB26" s="59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9"/>
    </row>
    <row r="27" spans="1:67" s="14" customFormat="1" ht="17.25" customHeight="1" thickBot="1">
      <c r="B27" s="23" t="s">
        <v>195</v>
      </c>
      <c r="C27" s="24"/>
      <c r="D27" s="24"/>
      <c r="E27" s="24"/>
      <c r="F27" s="612">
        <f>N28</f>
        <v>89.321666666666673</v>
      </c>
      <c r="G27" s="612"/>
      <c r="H27" s="612"/>
      <c r="I27" s="73"/>
      <c r="J27" s="1855" t="str" cm="1">
        <f t="array" ref="J27">angleDecimal2Txt(F27)</f>
        <v>+89°19.30 (+89.3216) [+89°19'18.00]</v>
      </c>
      <c r="K27" s="1855"/>
      <c r="L27" s="1855"/>
      <c r="M27" s="1855"/>
      <c r="N27" s="1855"/>
      <c r="O27" s="1855"/>
      <c r="P27" s="1855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62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2"/>
    </row>
    <row r="28" spans="1:67" s="31" customFormat="1" ht="17.25" customHeight="1" thickTop="1">
      <c r="C28" s="1816" t="s">
        <v>439</v>
      </c>
      <c r="D28" s="1816"/>
      <c r="E28" s="1816"/>
      <c r="F28" s="1816"/>
      <c r="G28" s="1816"/>
      <c r="H28" s="1817"/>
      <c r="I28" s="1590" t="s">
        <v>3</v>
      </c>
      <c r="J28" s="1558" t="s">
        <v>806</v>
      </c>
      <c r="K28" s="1558"/>
      <c r="L28" s="1558"/>
      <c r="M28" s="1558"/>
      <c r="N28" s="1818">
        <f>AD29</f>
        <v>89.321666666666673</v>
      </c>
      <c r="O28" s="1818"/>
      <c r="P28" s="1818"/>
      <c r="Q28" s="1819" t="str" cm="1">
        <f t="array" ref="Q28">angleDecimal2Txt(N28)</f>
        <v>+89°19.30 (+89.3216) [+89°19'18.00]</v>
      </c>
      <c r="R28" s="1819"/>
      <c r="S28" s="1819"/>
      <c r="T28" s="1819"/>
      <c r="U28" s="1820"/>
      <c r="AB28" s="63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4" customFormat="1" ht="17.25" customHeight="1" thickBot="1">
      <c r="C29" s="12"/>
      <c r="D29" s="12"/>
      <c r="E29" s="12"/>
      <c r="F29" s="12"/>
      <c r="G29" s="12"/>
      <c r="H29" s="12"/>
      <c r="I29" s="1590"/>
      <c r="J29" s="1558"/>
      <c r="K29" s="1558"/>
      <c r="L29" s="1558"/>
      <c r="M29" s="1558"/>
      <c r="N29" s="1818"/>
      <c r="O29" s="1818"/>
      <c r="P29" s="1818"/>
      <c r="Q29" s="1821"/>
      <c r="R29" s="1821"/>
      <c r="S29" s="1821"/>
      <c r="T29" s="1821"/>
      <c r="U29" s="1822"/>
      <c r="AB29" s="59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2"/>
    </row>
    <row r="30" spans="1:67" customFormat="1" ht="17.25" customHeight="1" thickTop="1">
      <c r="A30" s="14"/>
      <c r="B30" s="14"/>
      <c r="C30" s="57"/>
      <c r="D30" s="57"/>
      <c r="E30" s="57"/>
      <c r="F30" s="57"/>
      <c r="G30" s="57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2"/>
      <c r="T30" s="12"/>
      <c r="U30" s="12"/>
      <c r="V30" s="12"/>
      <c r="W30" s="12"/>
      <c r="X30" s="12"/>
      <c r="Y30" s="14"/>
      <c r="Z30" s="14"/>
      <c r="AA30" s="14"/>
      <c r="AB30" s="59"/>
      <c r="BN30" s="22"/>
      <c r="BO30" s="14"/>
    </row>
    <row r="31" spans="1:67" customFormat="1" ht="17.25" customHeight="1" thickBot="1">
      <c r="A31" s="14"/>
      <c r="B31" s="14"/>
      <c r="C31" s="57"/>
      <c r="D31" s="57"/>
      <c r="E31" s="57"/>
      <c r="F31" s="57"/>
      <c r="G31" s="57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2"/>
      <c r="T31" s="12"/>
      <c r="U31" s="12"/>
      <c r="V31" s="12"/>
      <c r="W31" s="12"/>
      <c r="X31" s="12"/>
      <c r="Y31" s="14"/>
      <c r="Z31" s="14"/>
      <c r="AA31" s="14"/>
      <c r="AB31" s="59"/>
      <c r="BN31" s="22"/>
      <c r="BO31" s="14"/>
    </row>
    <row r="32" spans="1:67" s="12" customFormat="1" ht="17.25" customHeight="1" thickBot="1">
      <c r="A32" s="14"/>
      <c r="B32" s="23" t="s">
        <v>437</v>
      </c>
      <c r="C32" s="24"/>
      <c r="D32" s="24"/>
      <c r="E32" s="24"/>
      <c r="F32" s="612">
        <f>N33</f>
        <v>317.54500000000002</v>
      </c>
      <c r="G32" s="612"/>
      <c r="H32" s="612"/>
      <c r="I32" s="73"/>
      <c r="J32" s="1823" t="s">
        <v>55</v>
      </c>
      <c r="K32" s="1823"/>
      <c r="L32" s="1823"/>
      <c r="M32" s="1824" t="str">
        <f>J18</f>
        <v>Polaire</v>
      </c>
      <c r="N32" s="1824"/>
      <c r="O32" s="1824"/>
      <c r="P32" s="73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62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9"/>
    </row>
    <row r="33" spans="1:67" s="14" customFormat="1" ht="17.25" customHeight="1" thickTop="1" thickBot="1">
      <c r="C33" s="1816" t="s">
        <v>438</v>
      </c>
      <c r="D33" s="1816"/>
      <c r="E33" s="1816"/>
      <c r="F33" s="1816"/>
      <c r="G33" s="1816"/>
      <c r="H33" s="1817"/>
      <c r="I33" s="1558" t="s">
        <v>807</v>
      </c>
      <c r="J33" s="1558"/>
      <c r="K33" s="1558"/>
      <c r="L33" s="1558"/>
      <c r="M33" s="1558"/>
      <c r="N33" s="1818" cm="1">
        <f t="array" ref="N33">angleConvert2Decimal(I33)</f>
        <v>317.54500000000002</v>
      </c>
      <c r="O33" s="1818"/>
      <c r="P33" s="1818"/>
      <c r="Q33" s="868" t="str" cm="1">
        <f t="array" ref="Q33">angleDecimal2Txt(N33)</f>
        <v>+317°32.70 (+317.5450) [+317°32'42.00]</v>
      </c>
      <c r="R33" s="592"/>
      <c r="S33" s="592"/>
      <c r="T33" s="592"/>
      <c r="U33" s="592"/>
      <c r="AB33" s="59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2"/>
    </row>
    <row r="34" spans="1:67" s="14" customFormat="1" ht="17.25" customHeight="1" thickTop="1" thickBot="1">
      <c r="A34" s="12"/>
      <c r="C34" s="12"/>
      <c r="D34" s="12"/>
      <c r="E34" s="12"/>
      <c r="F34" s="12"/>
      <c r="G34" s="12"/>
      <c r="H34" s="12"/>
      <c r="I34" s="1558"/>
      <c r="J34" s="1558"/>
      <c r="K34" s="1558"/>
      <c r="L34" s="1558"/>
      <c r="M34" s="1558"/>
      <c r="N34" s="1818"/>
      <c r="O34" s="1818"/>
      <c r="P34" s="1818"/>
      <c r="Q34" s="1655"/>
      <c r="R34" s="592"/>
      <c r="S34" s="592"/>
      <c r="T34" s="592"/>
      <c r="U34" s="592"/>
      <c r="AB34" s="6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2"/>
    </row>
    <row r="35" spans="1:67" s="14" customFormat="1" ht="17.25" customHeight="1" thickTop="1" thickBot="1">
      <c r="A35" s="12"/>
      <c r="C35" s="12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4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2"/>
    </row>
    <row r="36" spans="1:67" customFormat="1" ht="17.25" customHeight="1" thickBot="1">
      <c r="A36" s="31"/>
      <c r="B36" s="23" t="s">
        <v>436</v>
      </c>
      <c r="C36" s="24"/>
      <c r="D36" s="24"/>
      <c r="E36" s="24"/>
      <c r="F36" s="612">
        <f>IF(G37=AD37,F41,F50)</f>
        <v>334.54833333333335</v>
      </c>
      <c r="G36" s="612"/>
      <c r="H36" s="612"/>
      <c r="I36" s="24"/>
      <c r="J36" s="24"/>
      <c r="K36" s="24"/>
      <c r="L36" s="1652">
        <f>F36+360</f>
        <v>694.5483333333334</v>
      </c>
      <c r="M36" s="1652"/>
      <c r="N36" s="24" t="s">
        <v>28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62"/>
      <c r="BN36" s="22"/>
      <c r="BO36" s="14"/>
    </row>
    <row r="37" spans="1:67" customFormat="1" ht="17.25" customHeight="1">
      <c r="A37" s="14"/>
      <c r="B37" s="31"/>
      <c r="C37" s="601" t="s">
        <v>35</v>
      </c>
      <c r="D37" s="601"/>
      <c r="E37" s="601"/>
      <c r="F37" s="1846"/>
      <c r="G37" s="1847" t="s">
        <v>10</v>
      </c>
      <c r="H37" s="1650"/>
      <c r="I37" s="165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63"/>
      <c r="AC37" s="1330" t="s">
        <v>36</v>
      </c>
      <c r="AD37" s="66" t="s">
        <v>10</v>
      </c>
      <c r="BN37" s="22"/>
      <c r="BO37" s="14"/>
    </row>
    <row r="38" spans="1:67" customFormat="1" ht="17.25" customHeight="1" outlineLevel="1">
      <c r="A38" s="14"/>
      <c r="B38" s="14"/>
      <c r="C38" s="32" t="s">
        <v>10</v>
      </c>
      <c r="D38" s="32"/>
      <c r="E38" s="33"/>
      <c r="F38" s="33"/>
      <c r="G38" s="12"/>
      <c r="H38" s="12"/>
      <c r="I38" s="12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59"/>
      <c r="AC38" s="1330"/>
      <c r="AD38" s="66" t="s">
        <v>14</v>
      </c>
      <c r="BN38" s="22"/>
      <c r="BO38" s="14"/>
    </row>
    <row r="39" spans="1:67" customFormat="1" ht="17.25" customHeight="1" outlineLevel="1">
      <c r="A39" s="14"/>
      <c r="B39" s="14"/>
      <c r="C39" s="57"/>
      <c r="D39" s="57"/>
      <c r="E39" s="57"/>
      <c r="F39" s="664" t="s">
        <v>9</v>
      </c>
      <c r="G39" s="676"/>
      <c r="H39" s="665"/>
      <c r="I39" s="664" t="s">
        <v>12</v>
      </c>
      <c r="J39" s="676"/>
      <c r="K39" s="676"/>
      <c r="L39" s="665"/>
      <c r="M39" s="577" t="s">
        <v>13</v>
      </c>
      <c r="N39" s="578"/>
      <c r="O39" s="579"/>
      <c r="P39" s="652" t="s">
        <v>15</v>
      </c>
      <c r="Q39" s="653"/>
      <c r="R39" s="653"/>
      <c r="S39" s="653"/>
      <c r="T39" s="654"/>
      <c r="U39" s="12"/>
      <c r="V39" s="14"/>
      <c r="W39" s="14"/>
      <c r="X39" s="14"/>
      <c r="Y39" s="14"/>
      <c r="Z39" s="14"/>
      <c r="AA39" s="14"/>
      <c r="AB39" s="59"/>
      <c r="AD39" s="69" t="s">
        <v>73</v>
      </c>
      <c r="AE39" s="3" t="s">
        <v>180</v>
      </c>
      <c r="BN39" s="22"/>
      <c r="BO39" s="14"/>
    </row>
    <row r="40" spans="1:67" customFormat="1" ht="17.25" customHeight="1" outlineLevel="1" thickBot="1">
      <c r="A40" s="14"/>
      <c r="B40" s="14"/>
      <c r="C40" s="57"/>
      <c r="D40" s="57"/>
      <c r="E40" s="57"/>
      <c r="F40" s="668"/>
      <c r="G40" s="677"/>
      <c r="H40" s="669"/>
      <c r="I40" s="668"/>
      <c r="J40" s="677"/>
      <c r="K40" s="677"/>
      <c r="L40" s="669"/>
      <c r="M40" s="580"/>
      <c r="N40" s="581"/>
      <c r="O40" s="582"/>
      <c r="P40" s="655"/>
      <c r="Q40" s="656"/>
      <c r="R40" s="656"/>
      <c r="S40" s="656"/>
      <c r="T40" s="657"/>
      <c r="U40" s="12"/>
      <c r="V40" s="14"/>
      <c r="W40" s="14"/>
      <c r="X40" s="14"/>
      <c r="Y40" s="14"/>
      <c r="AA40" s="14"/>
      <c r="AB40" s="59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2"/>
      <c r="BO40" s="14"/>
    </row>
    <row r="41" spans="1:67" customFormat="1" ht="17.25" customHeight="1" outlineLevel="1" thickTop="1" thickBot="1">
      <c r="A41" s="14"/>
      <c r="B41" s="14"/>
      <c r="C41" s="57"/>
      <c r="D41" s="57"/>
      <c r="E41" s="14"/>
      <c r="F41" s="1834">
        <f>IF(G37=AD38,"---",AD45)</f>
        <v>334.54833333333335</v>
      </c>
      <c r="G41" s="1834"/>
      <c r="H41" s="1834"/>
      <c r="I41" s="1124">
        <f>E11</f>
        <v>5.416666666666667</v>
      </c>
      <c r="J41" s="1124"/>
      <c r="K41" s="1124"/>
      <c r="L41" s="1124"/>
      <c r="M41" s="1835">
        <v>5</v>
      </c>
      <c r="N41" s="1565"/>
      <c r="O41" s="1657"/>
      <c r="P41" s="1837" t="s">
        <v>5</v>
      </c>
      <c r="Q41" s="1838" t="s">
        <v>808</v>
      </c>
      <c r="R41" s="1581"/>
      <c r="S41" s="1581"/>
      <c r="T41" s="1839"/>
      <c r="U41" s="591" t="str" cm="1">
        <f t="array" ref="U41">angleDecimal2Txt(AE40)</f>
        <v>+334°32.89 (+334.5483) [+334°32'54.00]</v>
      </c>
      <c r="V41" s="592"/>
      <c r="W41" s="592"/>
      <c r="X41" s="592"/>
      <c r="Y41" s="592"/>
      <c r="AA41" s="14"/>
      <c r="AB41" s="59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2"/>
      <c r="BO41" s="14"/>
    </row>
    <row r="42" spans="1:67" customFormat="1" ht="17.25" customHeight="1" outlineLevel="1" thickTop="1" thickBot="1">
      <c r="A42" s="14"/>
      <c r="B42" s="14"/>
      <c r="C42" s="57"/>
      <c r="D42" s="57"/>
      <c r="E42" s="57"/>
      <c r="F42" s="729"/>
      <c r="G42" s="729"/>
      <c r="H42" s="729"/>
      <c r="I42" s="1124"/>
      <c r="J42" s="1124"/>
      <c r="K42" s="1124"/>
      <c r="L42" s="1124"/>
      <c r="M42" s="1836"/>
      <c r="N42" s="1572"/>
      <c r="O42" s="1658"/>
      <c r="P42" s="1837"/>
      <c r="Q42" s="1840"/>
      <c r="R42" s="1584"/>
      <c r="S42" s="1584"/>
      <c r="T42" s="1841"/>
      <c r="U42" s="592"/>
      <c r="V42" s="592"/>
      <c r="W42" s="592"/>
      <c r="X42" s="592"/>
      <c r="Y42" s="592"/>
      <c r="AA42" s="14"/>
      <c r="AB42" s="59"/>
      <c r="AC42" s="3" t="s">
        <v>38</v>
      </c>
      <c r="AD42" s="5">
        <f>AE41-AE40</f>
        <v>0</v>
      </c>
      <c r="BN42" s="22"/>
      <c r="BO42" s="14"/>
    </row>
    <row r="43" spans="1:67" customFormat="1" ht="17.25" customHeight="1" outlineLevel="1" thickTop="1" thickBot="1">
      <c r="A43" s="14"/>
      <c r="B43" s="14"/>
      <c r="C43" s="57"/>
      <c r="D43" s="57"/>
      <c r="E43" s="57"/>
      <c r="F43" s="729"/>
      <c r="G43" s="729"/>
      <c r="H43" s="729"/>
      <c r="I43" s="1124"/>
      <c r="J43" s="1124"/>
      <c r="K43" s="1124"/>
      <c r="L43" s="1124"/>
      <c r="M43" s="1842">
        <v>6</v>
      </c>
      <c r="N43" s="1596"/>
      <c r="O43" s="1843"/>
      <c r="P43" s="1837" t="s">
        <v>5</v>
      </c>
      <c r="Q43" s="1844" t="s">
        <v>808</v>
      </c>
      <c r="R43" s="1587"/>
      <c r="S43" s="1587"/>
      <c r="T43" s="1845"/>
      <c r="U43" s="591" t="str" cm="1">
        <f t="array" ref="U43">angleDecimal2Txt((AE41))</f>
        <v>+334°32.89 (+334.5483) [+334°32'54.00]</v>
      </c>
      <c r="V43" s="592"/>
      <c r="W43" s="592"/>
      <c r="X43" s="592"/>
      <c r="Y43" s="592"/>
      <c r="AA43" s="14"/>
      <c r="AB43" s="59"/>
      <c r="AC43" s="3" t="s">
        <v>174</v>
      </c>
      <c r="AD43" s="5">
        <f>M43-M41</f>
        <v>1</v>
      </c>
      <c r="AE43" s="14"/>
      <c r="BN43" s="22"/>
      <c r="BO43" s="14"/>
    </row>
    <row r="44" spans="1:67" customFormat="1" ht="17.25" customHeight="1" outlineLevel="1" thickTop="1" thickBot="1">
      <c r="A44" s="14"/>
      <c r="B44" s="14"/>
      <c r="C44" s="57"/>
      <c r="D44" s="57"/>
      <c r="E44" s="57"/>
      <c r="F44" s="729"/>
      <c r="G44" s="729"/>
      <c r="H44" s="729"/>
      <c r="I44" s="1124"/>
      <c r="J44" s="1124"/>
      <c r="K44" s="1124"/>
      <c r="L44" s="1124"/>
      <c r="M44" s="1836"/>
      <c r="N44" s="1572"/>
      <c r="O44" s="1658"/>
      <c r="P44" s="1837"/>
      <c r="Q44" s="1840"/>
      <c r="R44" s="1584"/>
      <c r="S44" s="1584"/>
      <c r="T44" s="1841"/>
      <c r="U44" s="592"/>
      <c r="V44" s="592"/>
      <c r="W44" s="592"/>
      <c r="X44" s="592"/>
      <c r="Y44" s="592"/>
      <c r="AA44" s="14"/>
      <c r="AB44" s="59"/>
      <c r="AC44" s="3" t="s">
        <v>39</v>
      </c>
      <c r="AD44" s="5">
        <f>I41-M41</f>
        <v>0.41666666666666696</v>
      </c>
      <c r="BN44" s="22"/>
      <c r="BO44" s="14"/>
    </row>
    <row r="45" spans="1:67" customFormat="1" ht="17.25" customHeight="1" outlineLevel="1" thickTop="1" thickBot="1">
      <c r="A45" s="14"/>
      <c r="B45" s="14"/>
      <c r="C45" s="57"/>
      <c r="D45" s="57"/>
      <c r="E45" s="57"/>
      <c r="F45" s="708" t="str" cm="1">
        <f t="array" ref="F45">angleDecimal2Txt(F41)</f>
        <v>+334°32.89 (+334.5483) [+334°32'54.00]</v>
      </c>
      <c r="G45" s="709"/>
      <c r="H45" s="709"/>
      <c r="I45" s="709"/>
      <c r="J45" s="709"/>
      <c r="K45" s="570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AA45" s="12"/>
      <c r="AB45" s="59"/>
      <c r="AC45" s="3" t="s">
        <v>37</v>
      </c>
      <c r="AD45" s="3">
        <f>AE40+(AD42/AD43)*AD44</f>
        <v>334.54833333333335</v>
      </c>
      <c r="BN45" s="22"/>
      <c r="BO45" s="14"/>
    </row>
    <row r="46" spans="1:67" customFormat="1" ht="17.25" customHeight="1" thickTop="1">
      <c r="A46" s="14"/>
      <c r="B46" s="14"/>
      <c r="C46" s="57"/>
      <c r="D46" s="57"/>
      <c r="E46" s="57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AA46" s="12"/>
      <c r="AB46" s="59"/>
      <c r="AC46" s="3"/>
      <c r="AD46" s="3"/>
      <c r="BN46" s="22"/>
      <c r="BO46" s="14"/>
    </row>
    <row r="47" spans="1:67" customFormat="1" ht="17.25" customHeight="1" outlineLevel="1">
      <c r="A47" s="14"/>
      <c r="B47" s="14"/>
      <c r="C47" s="32" t="s">
        <v>14</v>
      </c>
      <c r="D47" s="32"/>
      <c r="E47" s="33"/>
      <c r="F47" s="33"/>
      <c r="G47" s="12"/>
      <c r="H47" s="12"/>
      <c r="I47" s="12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AA47" s="12"/>
      <c r="AB47" s="59"/>
      <c r="BN47" s="22"/>
      <c r="BO47" s="14"/>
    </row>
    <row r="48" spans="1:67" customFormat="1" ht="17.25" customHeight="1" outlineLevel="1">
      <c r="A48" s="14"/>
      <c r="B48" s="14"/>
      <c r="C48" s="12"/>
      <c r="D48" s="12"/>
      <c r="E48" s="12"/>
      <c r="F48" s="664" t="s">
        <v>9</v>
      </c>
      <c r="G48" s="676"/>
      <c r="H48" s="665"/>
      <c r="I48" s="664" t="s">
        <v>12</v>
      </c>
      <c r="J48" s="676"/>
      <c r="K48" s="676"/>
      <c r="L48" s="665"/>
      <c r="M48" s="577" t="s">
        <v>13</v>
      </c>
      <c r="N48" s="578"/>
      <c r="O48" s="579"/>
      <c r="P48" s="652" t="s">
        <v>16</v>
      </c>
      <c r="Q48" s="653"/>
      <c r="R48" s="653"/>
      <c r="S48" s="653"/>
      <c r="T48" s="654"/>
      <c r="U48" s="652" t="s">
        <v>94</v>
      </c>
      <c r="V48" s="653"/>
      <c r="W48" s="653"/>
      <c r="X48" s="653"/>
      <c r="Y48" s="654"/>
      <c r="Z48" s="14"/>
      <c r="AA48" s="12"/>
      <c r="AB48" s="59"/>
      <c r="AC48" s="3" t="s">
        <v>175</v>
      </c>
      <c r="AD48" s="3">
        <f>VLOOKUP(P50,Outils!$D$9:$E$10,2)</f>
        <v>1</v>
      </c>
      <c r="BN48" s="22"/>
      <c r="BO48" s="14"/>
    </row>
    <row r="49" spans="1:67" customFormat="1" ht="17.25" customHeight="1" outlineLevel="1" collapsed="1">
      <c r="A49" s="14"/>
      <c r="B49" s="14"/>
      <c r="C49" s="57"/>
      <c r="D49" s="57"/>
      <c r="E49" s="57"/>
      <c r="F49" s="668"/>
      <c r="G49" s="677"/>
      <c r="H49" s="669"/>
      <c r="I49" s="668"/>
      <c r="J49" s="677"/>
      <c r="K49" s="677"/>
      <c r="L49" s="669"/>
      <c r="M49" s="580"/>
      <c r="N49" s="581"/>
      <c r="O49" s="582"/>
      <c r="P49" s="655"/>
      <c r="Q49" s="656"/>
      <c r="R49" s="656"/>
      <c r="S49" s="656"/>
      <c r="T49" s="657"/>
      <c r="U49" s="655"/>
      <c r="V49" s="656"/>
      <c r="W49" s="656"/>
      <c r="X49" s="656"/>
      <c r="Y49" s="657"/>
      <c r="Z49" s="12"/>
      <c r="AA49" s="12"/>
      <c r="AB49" s="59"/>
      <c r="AC49" s="3" t="s">
        <v>176</v>
      </c>
      <c r="AD49" s="3" cm="1">
        <f t="array" ref="AD49">angleConvert2Decimal(Q50)*AD48</f>
        <v>311.63333333333333</v>
      </c>
      <c r="BN49" s="22"/>
      <c r="BO49" s="14"/>
    </row>
    <row r="50" spans="1:67" customFormat="1" ht="17.25" customHeight="1" outlineLevel="1">
      <c r="A50" s="14"/>
      <c r="B50" s="14"/>
      <c r="C50" s="57"/>
      <c r="D50" s="57"/>
      <c r="E50" s="14"/>
      <c r="F50" s="1834" t="str">
        <f>IF(G37=AD38,AD52,"---")</f>
        <v>---</v>
      </c>
      <c r="G50" s="1834"/>
      <c r="H50" s="1834"/>
      <c r="I50" s="1124">
        <f>E11</f>
        <v>5.416666666666667</v>
      </c>
      <c r="J50" s="1124"/>
      <c r="K50" s="1124"/>
      <c r="L50" s="1124"/>
      <c r="M50" s="1835">
        <v>18.808299999999999</v>
      </c>
      <c r="N50" s="1565"/>
      <c r="O50" s="1657"/>
      <c r="P50" s="1837" t="s">
        <v>5</v>
      </c>
      <c r="Q50" s="1838" t="s">
        <v>196</v>
      </c>
      <c r="R50" s="1581"/>
      <c r="S50" s="1581"/>
      <c r="T50" s="1582"/>
      <c r="U50" s="1590" t="s">
        <v>6</v>
      </c>
      <c r="V50" s="1838" t="s">
        <v>109</v>
      </c>
      <c r="W50" s="1581"/>
      <c r="X50" s="1581"/>
      <c r="Y50" s="1582"/>
      <c r="Z50" s="12"/>
      <c r="AA50" s="14"/>
      <c r="AB50" s="59"/>
      <c r="AC50" s="3" t="s">
        <v>177</v>
      </c>
      <c r="AD50" s="3">
        <f>VLOOKUP(U50,Outils!$D$9:$E$10,2)</f>
        <v>-1</v>
      </c>
      <c r="BN50" s="22"/>
      <c r="BO50" s="14"/>
    </row>
    <row r="51" spans="1:67" customFormat="1" ht="17.25" customHeight="1" outlineLevel="1" thickBot="1">
      <c r="A51" s="14"/>
      <c r="B51" s="14"/>
      <c r="C51" s="57"/>
      <c r="D51" s="57"/>
      <c r="E51" s="57"/>
      <c r="F51" s="729"/>
      <c r="G51" s="729"/>
      <c r="H51" s="729"/>
      <c r="I51" s="1124"/>
      <c r="J51" s="1124"/>
      <c r="K51" s="1124"/>
      <c r="L51" s="1124"/>
      <c r="M51" s="1836"/>
      <c r="N51" s="1572"/>
      <c r="O51" s="1658"/>
      <c r="P51" s="1837"/>
      <c r="Q51" s="1848"/>
      <c r="R51" s="1589"/>
      <c r="S51" s="1589"/>
      <c r="T51" s="1849"/>
      <c r="U51" s="1590"/>
      <c r="V51" s="1848"/>
      <c r="W51" s="1589"/>
      <c r="X51" s="1589"/>
      <c r="Y51" s="1849"/>
      <c r="Z51" s="12"/>
      <c r="AA51" s="14"/>
      <c r="AB51" s="59"/>
      <c r="AC51" s="3" t="s">
        <v>178</v>
      </c>
      <c r="AD51" s="3" cm="1">
        <f t="array" ref="AD51">angleConvert2Decimal(V50)*AD50</f>
        <v>-15.002000000000001</v>
      </c>
      <c r="BN51" s="22"/>
      <c r="BO51" s="14"/>
    </row>
    <row r="52" spans="1:67" customFormat="1" ht="17.25" customHeight="1" outlineLevel="1" thickTop="1" thickBot="1">
      <c r="A52" s="14"/>
      <c r="B52" s="14"/>
      <c r="C52" s="57"/>
      <c r="D52" s="57"/>
      <c r="E52" s="57"/>
      <c r="F52" s="567" t="e" cm="1">
        <f t="array" ref="F52">angleDecimal2Txt(F50)</f>
        <v>#VALUE!</v>
      </c>
      <c r="G52" s="567"/>
      <c r="H52" s="567"/>
      <c r="I52" s="567"/>
      <c r="J52" s="567"/>
      <c r="K52" s="567"/>
      <c r="L52" s="14"/>
      <c r="M52" s="14"/>
      <c r="N52" s="14"/>
      <c r="O52" s="14"/>
      <c r="P52" s="567" t="str" cm="1">
        <f t="array" ref="P52">angleDecimal2Txt(AD49)</f>
        <v>+311°38.00 (+311.6333) [+311°38'00.00]</v>
      </c>
      <c r="Q52" s="567"/>
      <c r="R52" s="567"/>
      <c r="S52" s="567"/>
      <c r="T52" s="567"/>
      <c r="U52" s="567" t="str" cm="1">
        <f t="array" ref="U52">angleDecimal2Txt(AD51)</f>
        <v>-15°00.12 (-15.0020) [-15°00'07.20]</v>
      </c>
      <c r="V52" s="791"/>
      <c r="W52" s="791"/>
      <c r="X52" s="791"/>
      <c r="Y52" s="791"/>
      <c r="Z52" s="14"/>
      <c r="AA52" s="14"/>
      <c r="AB52" s="59"/>
      <c r="AC52" s="3" t="s">
        <v>179</v>
      </c>
      <c r="AD52" s="3">
        <f>AD49+AD51*(I50-M50)</f>
        <v>512.53461659999994</v>
      </c>
      <c r="BN52" s="22"/>
      <c r="BO52" s="14"/>
    </row>
    <row r="53" spans="1:67" customFormat="1" ht="17.25" customHeight="1" thickTop="1" thickBot="1">
      <c r="A53" s="14"/>
      <c r="B53" s="14"/>
      <c r="C53" s="57"/>
      <c r="D53" s="57"/>
      <c r="E53" s="57"/>
      <c r="F53" s="57"/>
      <c r="G53" s="57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"/>
      <c r="T53" s="12"/>
      <c r="U53" s="12"/>
      <c r="V53" s="12"/>
      <c r="W53" s="12"/>
      <c r="X53" s="12"/>
      <c r="Y53" s="14"/>
      <c r="Z53" s="14"/>
      <c r="AA53" s="14"/>
      <c r="AB53" s="59"/>
      <c r="BN53" s="22"/>
      <c r="BO53" s="14"/>
    </row>
    <row r="54" spans="1:67" s="12" customFormat="1" ht="17.25" customHeight="1" thickBot="1">
      <c r="A54" s="14"/>
      <c r="B54" s="23" t="s">
        <v>444</v>
      </c>
      <c r="C54" s="24"/>
      <c r="D54" s="24"/>
      <c r="E54" s="24"/>
      <c r="F54" s="612">
        <f>I55</f>
        <v>292.09333333333336</v>
      </c>
      <c r="G54" s="612"/>
      <c r="H54" s="612"/>
      <c r="I54" s="24"/>
      <c r="J54" s="793" t="s">
        <v>55</v>
      </c>
      <c r="K54" s="793"/>
      <c r="L54" s="793"/>
      <c r="M54" s="576">
        <f>J13</f>
        <v>0</v>
      </c>
      <c r="N54" s="576"/>
      <c r="O54" s="576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62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9"/>
    </row>
    <row r="55" spans="1:67" s="14" customFormat="1" ht="17.25" customHeight="1" thickBot="1">
      <c r="C55" s="1816" t="s">
        <v>441</v>
      </c>
      <c r="D55" s="1816"/>
      <c r="E55" s="1816"/>
      <c r="F55" s="1816"/>
      <c r="G55" s="1816"/>
      <c r="H55" s="1850"/>
      <c r="I55" s="1851">
        <f>AD56</f>
        <v>292.09333333333336</v>
      </c>
      <c r="J55" s="844"/>
      <c r="K55" s="844"/>
      <c r="L55" s="845"/>
      <c r="M55" s="34" t="s">
        <v>45</v>
      </c>
      <c r="N55" s="555">
        <f>AD55</f>
        <v>652.09333333333336</v>
      </c>
      <c r="O55" s="555"/>
      <c r="P55" s="555"/>
      <c r="Q55" s="555"/>
      <c r="AB55" s="59"/>
      <c r="AC55" s="3" t="s">
        <v>445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2"/>
    </row>
    <row r="56" spans="1:67" s="14" customFormat="1" ht="17.25" customHeight="1" thickTop="1" thickBot="1">
      <c r="A56" s="12"/>
      <c r="C56" s="12"/>
      <c r="D56" s="12"/>
      <c r="E56" s="12"/>
      <c r="F56" s="12"/>
      <c r="G56" s="12"/>
      <c r="H56" s="12"/>
      <c r="I56" s="791" t="str" cm="1">
        <f t="array" ref="I56">angleDecimal2Txt(I55)</f>
        <v>+292°05.59 (+292.0933) [+292°05'36.00]</v>
      </c>
      <c r="J56" s="791"/>
      <c r="K56" s="791"/>
      <c r="L56" s="791"/>
      <c r="M56" s="791"/>
      <c r="N56" s="791"/>
      <c r="AB56" s="64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2"/>
    </row>
    <row r="57" spans="1:67" customFormat="1" ht="17.25" customHeight="1" thickTop="1">
      <c r="A57" s="14"/>
      <c r="B57" s="14"/>
      <c r="C57" s="57"/>
      <c r="D57" s="57"/>
      <c r="E57" s="57"/>
      <c r="F57" s="57"/>
      <c r="G57" s="57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2"/>
      <c r="T57" s="12"/>
      <c r="U57" s="12"/>
      <c r="V57" s="12"/>
      <c r="W57" s="12"/>
      <c r="X57" s="14"/>
      <c r="Y57" s="14"/>
      <c r="Z57" s="14"/>
      <c r="AA57" s="14"/>
      <c r="AB57" s="59"/>
      <c r="BN57" s="22"/>
      <c r="BO57" s="14"/>
    </row>
    <row r="58" spans="1:67" customFormat="1" ht="17.25" customHeight="1" thickBot="1">
      <c r="A58" s="14"/>
      <c r="B58" s="14"/>
      <c r="C58" s="57"/>
      <c r="D58" s="57"/>
      <c r="E58" s="57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4"/>
      <c r="AB58" s="59"/>
      <c r="AI58" s="11"/>
      <c r="BN58" s="22"/>
      <c r="BO58" s="14"/>
    </row>
    <row r="59" spans="1:67" s="12" customFormat="1" ht="17.25" customHeight="1" thickBot="1">
      <c r="A59" s="14"/>
      <c r="B59" s="23" t="s">
        <v>440</v>
      </c>
      <c r="C59" s="24"/>
      <c r="D59" s="24"/>
      <c r="E59" s="24"/>
      <c r="F59" s="612">
        <f>I60</f>
        <v>179.76000000000005</v>
      </c>
      <c r="G59" s="612"/>
      <c r="H59" s="612"/>
      <c r="I59" s="24"/>
      <c r="J59" s="793" t="s">
        <v>55</v>
      </c>
      <c r="K59" s="793"/>
      <c r="L59" s="793"/>
      <c r="M59" s="576" t="str">
        <f>J18</f>
        <v>Polaire</v>
      </c>
      <c r="N59" s="576"/>
      <c r="O59" s="576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62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9"/>
    </row>
    <row r="60" spans="1:67" s="14" customFormat="1" ht="17.25" customHeight="1" thickBot="1">
      <c r="C60" s="1816" t="s">
        <v>441</v>
      </c>
      <c r="D60" s="1816"/>
      <c r="E60" s="1816"/>
      <c r="F60" s="1816"/>
      <c r="G60" s="1816"/>
      <c r="H60" s="1850"/>
      <c r="I60" s="1851">
        <f>AD61</f>
        <v>179.76000000000005</v>
      </c>
      <c r="J60" s="844"/>
      <c r="K60" s="844"/>
      <c r="L60" s="845"/>
      <c r="M60" s="34" t="s">
        <v>45</v>
      </c>
      <c r="N60" s="555">
        <f>AD60</f>
        <v>179.76000000000005</v>
      </c>
      <c r="O60" s="555"/>
      <c r="P60" s="555"/>
      <c r="Q60" s="555"/>
      <c r="AB60" s="59"/>
      <c r="AC60" s="3" t="s">
        <v>446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2"/>
    </row>
    <row r="61" spans="1:67" s="14" customFormat="1" ht="17.25" customHeight="1" thickTop="1" thickBot="1">
      <c r="A61" s="12"/>
      <c r="C61" s="12"/>
      <c r="D61" s="12"/>
      <c r="E61" s="12"/>
      <c r="F61" s="12"/>
      <c r="G61" s="12"/>
      <c r="H61" s="12"/>
      <c r="I61" s="791" t="str" cm="1">
        <f t="array" ref="I61">angleDecimal2Txt(I60)</f>
        <v>+179°45.60 (+179.7600) [+179°45'36.00]</v>
      </c>
      <c r="J61" s="791"/>
      <c r="K61" s="791"/>
      <c r="L61" s="791"/>
      <c r="M61" s="791"/>
      <c r="N61" s="791"/>
      <c r="AB61" s="64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2"/>
    </row>
    <row r="62" spans="1:67" s="14" customFormat="1" ht="17.25" customHeight="1" thickTop="1" thickBot="1">
      <c r="B62" s="12"/>
      <c r="AA62" s="12"/>
      <c r="AB62" s="59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2"/>
    </row>
    <row r="63" spans="1:67" s="14" customFormat="1" ht="17.25" customHeight="1" thickTop="1" thickBot="1">
      <c r="B63" s="23" t="s">
        <v>23</v>
      </c>
      <c r="C63" s="24"/>
      <c r="D63" s="1440" t="s">
        <v>72</v>
      </c>
      <c r="E63" s="1441"/>
      <c r="F63" s="612">
        <f>IF(G64=AD64,O101,O93)</f>
        <v>28.819379568060796</v>
      </c>
      <c r="G63" s="612"/>
      <c r="H63" s="612"/>
      <c r="I63" s="24"/>
      <c r="J63" s="739" t="str" cm="1">
        <f t="array" ref="J63">angleDecimal2Txt(F63)</f>
        <v>+28°49.16 (+28.8193) [+28°49'09.76]</v>
      </c>
      <c r="K63" s="635"/>
      <c r="L63" s="635"/>
      <c r="M63" s="635"/>
      <c r="N63" s="636"/>
      <c r="O63" s="24"/>
      <c r="P63" s="1440"/>
      <c r="Q63" s="1440"/>
      <c r="R63" s="24"/>
      <c r="S63" s="58"/>
      <c r="T63" s="24" t="s">
        <v>95</v>
      </c>
      <c r="U63" s="24"/>
      <c r="V63" s="855">
        <f>-O80+O75+O84</f>
        <v>-2.9960824388447736E-2</v>
      </c>
      <c r="W63" s="856"/>
      <c r="X63" s="857"/>
      <c r="Y63" s="80" t="str" cm="1">
        <f t="array" ref="Y63">angleDecimal2Txt(V63)</f>
        <v>-00°01.79 (-00.0299) [-00°01'47.85]</v>
      </c>
      <c r="Z63" s="80"/>
      <c r="AA63" s="80"/>
      <c r="AB63" s="81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2"/>
    </row>
    <row r="64" spans="1:67" s="14" customFormat="1" ht="17.25" customHeight="1">
      <c r="C64" s="601" t="s">
        <v>35</v>
      </c>
      <c r="D64" s="601"/>
      <c r="E64" s="601"/>
      <c r="F64" s="601"/>
      <c r="G64" s="1578" t="s">
        <v>51</v>
      </c>
      <c r="H64" s="1578"/>
      <c r="I64" s="1578"/>
      <c r="P64" s="14" t="s">
        <v>69</v>
      </c>
      <c r="V64" s="12"/>
      <c r="W64" s="12"/>
      <c r="X64" s="12"/>
      <c r="Y64" s="12"/>
      <c r="Z64" s="12"/>
      <c r="AB64" s="59"/>
      <c r="AC64" s="1330" t="s">
        <v>36</v>
      </c>
      <c r="AD64" s="66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2"/>
    </row>
    <row r="65" spans="1:67" s="14" customFormat="1" ht="17.25" customHeight="1" outlineLevel="1" thickBot="1">
      <c r="C65" s="31"/>
      <c r="D65" s="31"/>
      <c r="E65" s="31"/>
      <c r="F65" s="1385" t="s">
        <v>62</v>
      </c>
      <c r="G65" s="1385"/>
      <c r="H65" s="1436"/>
      <c r="I65" s="1436"/>
      <c r="J65" s="788">
        <f>IF(G64=AD64,"---",O93)</f>
        <v>28.819379568060796</v>
      </c>
      <c r="K65" s="788"/>
      <c r="L65" s="788"/>
      <c r="V65" s="12"/>
      <c r="W65" s="12"/>
      <c r="X65" s="12"/>
      <c r="Y65" s="12"/>
      <c r="Z65" s="12"/>
      <c r="AB65" s="59"/>
      <c r="AC65" s="1330"/>
      <c r="AD65" s="66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1:67" s="14" customFormat="1" ht="17.25" customHeight="1" outlineLevel="1" thickTop="1" thickBot="1">
      <c r="H66" s="1661" t="s">
        <v>47</v>
      </c>
      <c r="I66" s="1661"/>
      <c r="J66" s="1661"/>
      <c r="K66" s="1661"/>
      <c r="L66" s="1661"/>
      <c r="M66" s="1661"/>
      <c r="N66" s="1661"/>
      <c r="O66" s="688">
        <f>J17</f>
        <v>28.916666666666668</v>
      </c>
      <c r="P66" s="688"/>
      <c r="Q66" s="688"/>
      <c r="R66" s="688"/>
      <c r="S66" s="14" t="s">
        <v>54</v>
      </c>
      <c r="U66" s="567" t="str" cm="1">
        <f t="array" ref="U66">angleDecimal2Txt(O66)</f>
        <v>+28°55.00 (+28.9166) [+28°55'00.00]</v>
      </c>
      <c r="V66" s="567"/>
      <c r="W66" s="567"/>
      <c r="X66" s="567"/>
      <c r="Y66" s="567"/>
      <c r="Z66" s="567"/>
      <c r="AB66" s="59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2"/>
    </row>
    <row r="67" spans="1:67" s="14" customFormat="1" ht="17.25" customHeight="1" outlineLevel="1" thickTop="1" thickBot="1">
      <c r="H67" s="1661" t="s">
        <v>24</v>
      </c>
      <c r="I67" s="1661"/>
      <c r="J67" s="1661"/>
      <c r="K67" s="1661"/>
      <c r="L67" s="1661"/>
      <c r="M67" s="1661"/>
      <c r="N67" s="1661"/>
      <c r="O67" s="688">
        <f>J16</f>
        <v>0</v>
      </c>
      <c r="P67" s="688"/>
      <c r="Q67" s="688"/>
      <c r="R67" s="688"/>
      <c r="S67" s="14" t="s">
        <v>54</v>
      </c>
      <c r="U67" s="567" t="str" cm="1">
        <f t="array" ref="U67">angleDecimal2Txt(O67)</f>
        <v>+00°00.00 (+00.0000) [+00°00'00.00]</v>
      </c>
      <c r="V67" s="567"/>
      <c r="W67" s="567"/>
      <c r="X67" s="567"/>
      <c r="Y67" s="567"/>
      <c r="Z67" s="567"/>
      <c r="AB67" s="59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2"/>
    </row>
    <row r="68" spans="1:67" s="14" customFormat="1" ht="17.25" customHeight="1" outlineLevel="1" thickTop="1" thickBot="1">
      <c r="C68" s="57"/>
      <c r="D68" s="57"/>
      <c r="E68" s="57"/>
      <c r="F68" s="57"/>
      <c r="H68" s="1659" t="s">
        <v>68</v>
      </c>
      <c r="I68" s="1659"/>
      <c r="J68" s="1659"/>
      <c r="K68" s="1659"/>
      <c r="L68" s="1659"/>
      <c r="M68" s="1659"/>
      <c r="N68" s="1659"/>
      <c r="O68" s="595">
        <f>AD68</f>
        <v>6.7326274217425694E-2</v>
      </c>
      <c r="P68" s="595"/>
      <c r="Q68" s="595"/>
      <c r="R68" s="595"/>
      <c r="S68" s="14" t="s">
        <v>54</v>
      </c>
      <c r="U68" s="567" t="str" cm="1">
        <f t="array" ref="U68">angleDecimal2Txt(O68)</f>
        <v>+00°04.03 (+00.0673) [+00°04'02.37]</v>
      </c>
      <c r="V68" s="567"/>
      <c r="W68" s="567"/>
      <c r="X68" s="567"/>
      <c r="Y68" s="567"/>
      <c r="Z68" s="567"/>
      <c r="AB68" s="59"/>
      <c r="AC68" s="70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1:67" s="14" customFormat="1" ht="17.25" customHeight="1" outlineLevel="1" thickTop="1" thickBot="1">
      <c r="C69" s="57"/>
      <c r="D69" s="57"/>
      <c r="E69" s="57"/>
      <c r="F69" s="57"/>
      <c r="G69" s="57"/>
      <c r="K69" s="12"/>
      <c r="L69" s="12"/>
      <c r="M69" s="1434" t="s">
        <v>113</v>
      </c>
      <c r="N69" s="1434"/>
      <c r="O69" s="1434"/>
      <c r="P69" s="1434"/>
      <c r="Q69" s="12"/>
      <c r="R69" s="12"/>
      <c r="U69" s="12"/>
      <c r="V69" s="12"/>
      <c r="W69" s="12"/>
      <c r="X69" s="12"/>
      <c r="Y69" s="12"/>
      <c r="Z69" s="12"/>
      <c r="AB69" s="5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2"/>
    </row>
    <row r="70" spans="1:67" s="14" customFormat="1" ht="17.25" customHeight="1" outlineLevel="1" thickTop="1" thickBot="1">
      <c r="C70" s="57"/>
      <c r="D70" s="57"/>
      <c r="E70" s="57"/>
      <c r="F70" s="57"/>
      <c r="H70" s="1660" t="s">
        <v>428</v>
      </c>
      <c r="I70" s="1660"/>
      <c r="J70" s="1660"/>
      <c r="K70" s="1660"/>
      <c r="L70" s="1660"/>
      <c r="M70" s="1660"/>
      <c r="N70" s="1660"/>
      <c r="O70" s="597">
        <f>O66-O67-O68</f>
        <v>28.849340392449243</v>
      </c>
      <c r="P70" s="598"/>
      <c r="Q70" s="14" t="s">
        <v>54</v>
      </c>
      <c r="R70" s="859">
        <f>O70*Outils!$F$4</f>
        <v>0.50351597687683236</v>
      </c>
      <c r="S70" s="859"/>
      <c r="T70" s="35" t="s">
        <v>64</v>
      </c>
      <c r="U70" s="567" t="str" cm="1">
        <f t="array" ref="U70">angleDecimal2Txt(O70)</f>
        <v>+28°50.96 (+28.8493) [+28°50'57.62]</v>
      </c>
      <c r="V70" s="567"/>
      <c r="W70" s="567"/>
      <c r="X70" s="567"/>
      <c r="Y70" s="567"/>
      <c r="Z70" s="567"/>
      <c r="AB70" s="59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2"/>
    </row>
    <row r="71" spans="1:67" s="14" customFormat="1" ht="17.25" customHeight="1" outlineLevel="1" thickTop="1"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U71" s="12"/>
      <c r="V71" s="12"/>
      <c r="W71" s="12"/>
      <c r="X71" s="12"/>
      <c r="Y71" s="12"/>
      <c r="Z71" s="12"/>
      <c r="AB71" s="59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2"/>
    </row>
    <row r="72" spans="1:67" s="14" customFormat="1" ht="17.25" customHeight="1" outlineLevel="1">
      <c r="C72" s="57"/>
      <c r="D72" s="57"/>
      <c r="E72" s="57"/>
      <c r="F72" s="57"/>
      <c r="H72" s="12"/>
      <c r="I72" s="12"/>
      <c r="J72" s="12"/>
      <c r="K72" s="12"/>
      <c r="L72" s="12"/>
      <c r="M72" s="1664" t="s">
        <v>61</v>
      </c>
      <c r="N72" s="1664"/>
      <c r="O72" s="1664"/>
      <c r="P72" s="1664"/>
      <c r="Q72" s="12"/>
      <c r="R72" s="12"/>
      <c r="U72" s="12"/>
      <c r="V72" s="12"/>
      <c r="W72" s="12"/>
      <c r="X72" s="12"/>
      <c r="Y72" s="12"/>
      <c r="Z72" s="12"/>
      <c r="AB72" s="59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2"/>
    </row>
    <row r="73" spans="1:67" s="14" customFormat="1" ht="17.25" customHeight="1" outlineLevel="1" thickBot="1">
      <c r="M73" s="1854" t="s">
        <v>139</v>
      </c>
      <c r="N73" s="1854"/>
      <c r="O73" s="1664"/>
      <c r="P73" s="1664"/>
      <c r="AB73" s="59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2"/>
    </row>
    <row r="74" spans="1:67" s="14" customFormat="1" ht="17.25" customHeight="1" outlineLevel="1" thickTop="1" thickBot="1">
      <c r="A74" s="12"/>
      <c r="B74" s="12"/>
      <c r="C74" s="12"/>
      <c r="D74" s="12"/>
      <c r="E74" s="12"/>
      <c r="H74" s="595" t="s">
        <v>52</v>
      </c>
      <c r="I74" s="595"/>
      <c r="J74" s="595"/>
      <c r="K74" s="595"/>
      <c r="L74" s="595"/>
      <c r="M74" s="595"/>
      <c r="N74" s="595"/>
      <c r="O74" s="599">
        <v>0</v>
      </c>
      <c r="P74" s="600"/>
      <c r="Q74" s="600"/>
      <c r="R74" s="600"/>
      <c r="S74" s="14" t="s">
        <v>54</v>
      </c>
      <c r="U74" s="567" t="str" cm="1">
        <f t="array" ref="U74">angleDecimal2Txt(O74)</f>
        <v>+00°00.00 (+00.0000) [+00°00'00.00]</v>
      </c>
      <c r="V74" s="567"/>
      <c r="W74" s="567"/>
      <c r="X74" s="567"/>
      <c r="Y74" s="567"/>
      <c r="Z74" s="567"/>
      <c r="AB74" s="59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2"/>
    </row>
    <row r="75" spans="1:67" customFormat="1" ht="17.25" customHeight="1" outlineLevel="1" thickTop="1" thickBot="1">
      <c r="A75" s="12"/>
      <c r="B75" s="12"/>
      <c r="C75" s="12"/>
      <c r="D75" s="12"/>
      <c r="E75" s="12"/>
      <c r="F75" s="14"/>
      <c r="G75" s="14"/>
      <c r="H75" s="658" t="s">
        <v>140</v>
      </c>
      <c r="I75" s="659"/>
      <c r="J75" s="659"/>
      <c r="K75" s="659"/>
      <c r="L75" s="659"/>
      <c r="M75" s="659"/>
      <c r="N75" s="660"/>
      <c r="O75" s="572">
        <f>AD74</f>
        <v>0</v>
      </c>
      <c r="P75" s="572"/>
      <c r="Q75" s="572"/>
      <c r="R75" s="572"/>
      <c r="S75" s="14" t="s">
        <v>54</v>
      </c>
      <c r="T75" s="14"/>
      <c r="U75" s="567" t="str" cm="1">
        <f t="array" ref="U75">angleDecimal2Txt(O75)</f>
        <v>+00°00.00 (+00.0000) [+00°00'00.00]</v>
      </c>
      <c r="V75" s="567"/>
      <c r="W75" s="567"/>
      <c r="X75" s="567"/>
      <c r="Y75" s="567"/>
      <c r="Z75" s="567"/>
      <c r="AA75" s="14"/>
      <c r="AB75" s="59"/>
      <c r="BN75" s="22"/>
      <c r="BO75" s="14"/>
    </row>
    <row r="76" spans="1:67" customFormat="1" ht="17.25" customHeight="1" outlineLevel="1" thickTop="1">
      <c r="A76" s="12"/>
      <c r="B76" s="12"/>
      <c r="C76" s="12"/>
      <c r="D76" s="12"/>
      <c r="E76" s="12"/>
      <c r="F76" s="14"/>
      <c r="G76" s="14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4"/>
      <c r="AB76" s="59"/>
      <c r="BN76" s="22"/>
      <c r="BO76" s="14"/>
    </row>
    <row r="77" spans="1:67" customFormat="1" ht="17.25" customHeight="1" outlineLevel="1">
      <c r="A77" s="12"/>
      <c r="B77" s="12"/>
      <c r="C77" s="12"/>
      <c r="D77" s="12"/>
      <c r="E77" s="57"/>
      <c r="F77" s="14"/>
      <c r="G77" s="14"/>
      <c r="H77" s="12"/>
      <c r="I77" s="12"/>
      <c r="J77" s="12"/>
      <c r="K77" s="12"/>
      <c r="L77" s="12"/>
      <c r="M77" s="12"/>
      <c r="N77" s="12"/>
      <c r="O77" s="12"/>
      <c r="P77" s="14"/>
      <c r="Q77" s="14"/>
      <c r="R77" s="14"/>
      <c r="S77" s="622" t="s">
        <v>126</v>
      </c>
      <c r="T77" s="623"/>
      <c r="U77" s="624"/>
      <c r="V77" s="14"/>
      <c r="W77" s="14"/>
      <c r="X77" s="14"/>
      <c r="Y77" s="12"/>
      <c r="Z77" s="12"/>
      <c r="AA77" s="14"/>
      <c r="AB77" s="59"/>
      <c r="AC77" s="3" t="s">
        <v>49</v>
      </c>
      <c r="AD77" s="3" t="s">
        <v>185</v>
      </c>
      <c r="BN77" s="22"/>
      <c r="BO77" s="14"/>
    </row>
    <row r="78" spans="1:67" customFormat="1" ht="17.25" customHeight="1" outlineLevel="1">
      <c r="A78" s="12"/>
      <c r="B78" s="12"/>
      <c r="C78" s="12"/>
      <c r="D78" s="12"/>
      <c r="E78" s="57"/>
      <c r="F78" s="14"/>
      <c r="G78" s="14"/>
      <c r="H78" s="595" t="s">
        <v>65</v>
      </c>
      <c r="I78" s="595"/>
      <c r="J78" s="595"/>
      <c r="K78" s="595"/>
      <c r="L78" s="595"/>
      <c r="M78" s="595"/>
      <c r="N78" s="595"/>
      <c r="O78" s="1662">
        <f>S78</f>
        <v>10</v>
      </c>
      <c r="P78" s="1663"/>
      <c r="Q78" s="1663"/>
      <c r="R78" s="1663"/>
      <c r="S78" s="780">
        <v>10</v>
      </c>
      <c r="T78" s="781"/>
      <c r="U78" s="782"/>
      <c r="V78" s="14"/>
      <c r="W78" s="14"/>
      <c r="X78" s="14"/>
      <c r="Y78" s="12"/>
      <c r="Z78" s="12"/>
      <c r="AA78" s="14"/>
      <c r="AB78" s="59"/>
      <c r="AC78" s="3" t="s">
        <v>186</v>
      </c>
      <c r="AD78" s="3">
        <f>1/TAN((O70 + 7.31 / (O70 + 4.4)) *Outils!$F$4)</f>
        <v>1.7989207854166993</v>
      </c>
      <c r="BN78" s="22"/>
      <c r="BO78" s="14"/>
    </row>
    <row r="79" spans="1:67" customFormat="1" ht="17.25" customHeight="1" outlineLevel="1" thickBot="1">
      <c r="A79" s="12"/>
      <c r="B79" s="12"/>
      <c r="C79" s="12"/>
      <c r="D79" s="12"/>
      <c r="E79" s="12"/>
      <c r="F79" s="14"/>
      <c r="G79" s="14"/>
      <c r="H79" s="595" t="s">
        <v>66</v>
      </c>
      <c r="I79" s="595"/>
      <c r="J79" s="595"/>
      <c r="K79" s="595"/>
      <c r="L79" s="595"/>
      <c r="M79" s="595"/>
      <c r="N79" s="595"/>
      <c r="O79" s="1662">
        <f>S79</f>
        <v>1010</v>
      </c>
      <c r="P79" s="1663"/>
      <c r="Q79" s="1663"/>
      <c r="R79" s="1663"/>
      <c r="S79" s="780">
        <v>1010</v>
      </c>
      <c r="T79" s="781"/>
      <c r="U79" s="782"/>
      <c r="V79" s="14"/>
      <c r="W79" s="14"/>
      <c r="X79" s="14"/>
      <c r="Y79" s="12"/>
      <c r="Z79" s="12"/>
      <c r="AA79" s="14"/>
      <c r="AB79" s="59"/>
      <c r="AC79" s="3" t="s">
        <v>187</v>
      </c>
      <c r="AD79" s="3">
        <f>AD78/60</f>
        <v>2.9982013090278321E-2</v>
      </c>
      <c r="BN79" s="22"/>
      <c r="BO79" s="14"/>
    </row>
    <row r="80" spans="1:67" customFormat="1" ht="17.25" customHeight="1" outlineLevel="1" thickTop="1" thickBot="1">
      <c r="A80" s="12"/>
      <c r="B80" s="12"/>
      <c r="C80" s="12"/>
      <c r="D80" s="12"/>
      <c r="E80" s="12"/>
      <c r="F80" s="14"/>
      <c r="G80" s="14"/>
      <c r="H80" s="658" t="s">
        <v>141</v>
      </c>
      <c r="I80" s="659"/>
      <c r="J80" s="659"/>
      <c r="K80" s="659"/>
      <c r="L80" s="659"/>
      <c r="M80" s="659"/>
      <c r="N80" s="660"/>
      <c r="O80" s="572">
        <f>AD81</f>
        <v>2.9960824388447736E-2</v>
      </c>
      <c r="P80" s="572"/>
      <c r="Q80" s="572"/>
      <c r="R80" s="572"/>
      <c r="S80" s="14" t="s">
        <v>54</v>
      </c>
      <c r="T80" s="14"/>
      <c r="U80" s="567" t="str" cm="1">
        <f t="array" ref="U80">angleDecimal2Txt(O80)</f>
        <v>+00°01.79 (+00.0299) [+00°01'47.85]</v>
      </c>
      <c r="V80" s="567"/>
      <c r="W80" s="567"/>
      <c r="X80" s="567"/>
      <c r="Y80" s="567"/>
      <c r="Z80" s="567"/>
      <c r="AA80" s="14"/>
      <c r="AB80" s="59"/>
      <c r="AC80" s="3" t="s">
        <v>96</v>
      </c>
      <c r="AD80" s="3">
        <f xml:space="preserve"> 0.28 * O79 / (273 + O78)</f>
        <v>0.99929328621908131</v>
      </c>
      <c r="BN80" s="22"/>
      <c r="BO80" s="14"/>
    </row>
    <row r="81" spans="1:67" customFormat="1" ht="17.25" customHeight="1" outlineLevel="1" thickTop="1">
      <c r="A81" s="12"/>
      <c r="B81" s="12"/>
      <c r="C81" s="12"/>
      <c r="D81" s="12"/>
      <c r="E81" s="12"/>
      <c r="F81" s="14"/>
      <c r="G81" s="14"/>
      <c r="H81" s="12"/>
      <c r="I81" s="12"/>
      <c r="J81" s="12"/>
      <c r="K81" s="12"/>
      <c r="L81" s="12"/>
      <c r="M81" s="12"/>
      <c r="N81" s="12"/>
      <c r="O81" s="12"/>
      <c r="P81" s="14"/>
      <c r="Q81" s="14"/>
      <c r="R81" s="14"/>
      <c r="S81" s="14"/>
      <c r="T81" s="14"/>
      <c r="U81" s="14"/>
      <c r="V81" s="14"/>
      <c r="W81" s="14"/>
      <c r="X81" s="14"/>
      <c r="Y81" s="12"/>
      <c r="Z81" s="12"/>
      <c r="AA81" s="14"/>
      <c r="AB81" s="59"/>
      <c r="AC81" s="3" t="s">
        <v>184</v>
      </c>
      <c r="AD81" s="3">
        <f>AD80*AD79</f>
        <v>2.9960824388447736E-2</v>
      </c>
      <c r="BN81" s="22"/>
      <c r="BO81" s="14"/>
    </row>
    <row r="82" spans="1:67" customFormat="1" ht="17.25" customHeight="1" outlineLevel="1">
      <c r="A82" s="12"/>
      <c r="B82" s="12"/>
      <c r="C82" s="12"/>
      <c r="D82" s="12"/>
      <c r="E82" s="12"/>
      <c r="F82" s="14"/>
      <c r="G82" s="14"/>
      <c r="H82" s="595" t="s">
        <v>100</v>
      </c>
      <c r="I82" s="595"/>
      <c r="J82" s="595"/>
      <c r="K82" s="595"/>
      <c r="L82" s="595"/>
      <c r="M82" s="595"/>
      <c r="N82" s="595"/>
      <c r="O82" s="711">
        <v>0</v>
      </c>
      <c r="P82" s="711"/>
      <c r="Q82" s="711"/>
      <c r="R82" s="711"/>
      <c r="S82" s="14"/>
      <c r="T82" s="14"/>
      <c r="U82" s="14"/>
      <c r="V82" s="14"/>
      <c r="W82" s="14"/>
      <c r="X82" s="14"/>
      <c r="Y82" s="14"/>
      <c r="Z82" s="14"/>
      <c r="AA82" s="14"/>
      <c r="AB82" s="59"/>
      <c r="BN82" s="22"/>
      <c r="BO82" s="14"/>
    </row>
    <row r="83" spans="1:67" customFormat="1" ht="17.25" customHeight="1" outlineLevel="1" thickBot="1">
      <c r="A83" s="14"/>
      <c r="B83" s="12"/>
      <c r="C83" s="12"/>
      <c r="D83" s="12"/>
      <c r="E83" s="57"/>
      <c r="F83" s="57"/>
      <c r="G83" s="57"/>
      <c r="H83" s="595" t="s">
        <v>70</v>
      </c>
      <c r="I83" s="595"/>
      <c r="J83" s="595"/>
      <c r="K83" s="595"/>
      <c r="L83" s="595"/>
      <c r="M83" s="595"/>
      <c r="N83" s="595"/>
      <c r="O83" s="711">
        <f>J19</f>
        <v>0</v>
      </c>
      <c r="P83" s="711"/>
      <c r="Q83" s="711"/>
      <c r="R83" s="711"/>
      <c r="S83" s="14"/>
      <c r="T83" s="14"/>
      <c r="U83" s="14"/>
      <c r="V83" s="14"/>
      <c r="W83" s="14"/>
      <c r="X83" s="14"/>
      <c r="Y83" s="14"/>
      <c r="Z83" s="14"/>
      <c r="AA83" s="14"/>
      <c r="AB83" s="59"/>
      <c r="AC83" s="3" t="s">
        <v>30</v>
      </c>
      <c r="AD83" s="564" t="str">
        <f>J18</f>
        <v>Polaire</v>
      </c>
      <c r="AE83" s="564"/>
      <c r="BN83" s="22"/>
      <c r="BO83" s="14"/>
    </row>
    <row r="84" spans="1:67" customFormat="1" ht="17.25" customHeight="1" outlineLevel="1" thickTop="1" thickBot="1">
      <c r="A84" s="14"/>
      <c r="B84" s="14"/>
      <c r="C84" s="57"/>
      <c r="D84" s="57"/>
      <c r="E84" s="57"/>
      <c r="F84" s="57"/>
      <c r="G84" s="57"/>
      <c r="H84" s="1668" t="s">
        <v>71</v>
      </c>
      <c r="I84" s="1669"/>
      <c r="J84" s="1669"/>
      <c r="K84" s="1669"/>
      <c r="L84" s="1669"/>
      <c r="M84" s="1669"/>
      <c r="N84" s="1670"/>
      <c r="O84" s="555">
        <f>AD87</f>
        <v>0</v>
      </c>
      <c r="P84" s="555"/>
      <c r="Q84" s="555"/>
      <c r="R84" s="555"/>
      <c r="S84" s="14" t="s">
        <v>54</v>
      </c>
      <c r="T84" s="14"/>
      <c r="U84" s="567" t="str" cm="1">
        <f t="array" ref="U84">angleDecimal2Txt(O84)</f>
        <v>+00°00.00 (+00.0000) [+00°00'00.00]</v>
      </c>
      <c r="V84" s="567"/>
      <c r="W84" s="567"/>
      <c r="X84" s="567"/>
      <c r="Y84" s="567"/>
      <c r="Z84" s="567"/>
      <c r="AA84" s="14"/>
      <c r="AB84" s="59"/>
      <c r="AC84" s="3" t="s">
        <v>190</v>
      </c>
      <c r="AD84" s="564">
        <f>O83</f>
        <v>0</v>
      </c>
      <c r="AE84" s="564"/>
      <c r="BN84" s="22"/>
      <c r="BO84" s="14"/>
    </row>
    <row r="85" spans="1:67" customFormat="1" ht="17.25" customHeight="1" outlineLevel="1" thickTop="1">
      <c r="A85" s="14"/>
      <c r="B85" s="14"/>
      <c r="C85" s="57"/>
      <c r="D85" s="57"/>
      <c r="E85" s="57"/>
      <c r="F85" s="57"/>
      <c r="G85" s="5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4"/>
      <c r="AB85" s="59"/>
      <c r="AC85" s="3" t="s">
        <v>191</v>
      </c>
      <c r="AD85" s="777">
        <v>0</v>
      </c>
      <c r="AE85" s="777"/>
      <c r="BN85" s="22"/>
      <c r="BO85" s="14"/>
    </row>
    <row r="86" spans="1:67" customFormat="1" ht="17.25" customHeight="1" outlineLevel="1">
      <c r="A86" s="14"/>
      <c r="B86" s="14"/>
      <c r="C86" s="57"/>
      <c r="D86" s="57"/>
      <c r="E86" s="57"/>
      <c r="F86" s="57"/>
      <c r="G86" s="716" t="s">
        <v>107</v>
      </c>
      <c r="H86" s="717"/>
      <c r="I86" s="717"/>
      <c r="J86" s="717"/>
      <c r="K86" s="717"/>
      <c r="L86" s="717"/>
      <c r="M86" s="717"/>
      <c r="N86" s="717"/>
      <c r="O86" s="717"/>
      <c r="P86" s="717"/>
      <c r="Q86" s="717"/>
      <c r="R86" s="717"/>
      <c r="S86" s="718"/>
      <c r="T86" s="12"/>
      <c r="U86" s="12"/>
      <c r="V86" s="12"/>
      <c r="W86" s="12"/>
      <c r="X86" s="12"/>
      <c r="Y86" s="12"/>
      <c r="Z86" s="12"/>
      <c r="AA86" s="14"/>
      <c r="AB86" s="59"/>
      <c r="AC86" s="3" t="s">
        <v>100</v>
      </c>
      <c r="AD86" s="3">
        <v>0</v>
      </c>
      <c r="AE86" s="3" cm="1">
        <f t="array" ref="AE86">angleConvert2Decimal(AD86)</f>
        <v>0</v>
      </c>
      <c r="BN86" s="22"/>
      <c r="BO86" s="14"/>
    </row>
    <row r="87" spans="1:67" customFormat="1" ht="17.25" customHeight="1" outlineLevel="1">
      <c r="A87" s="14"/>
      <c r="B87" s="14"/>
      <c r="C87" s="57"/>
      <c r="D87" s="57"/>
      <c r="E87" s="57"/>
      <c r="F87" s="57"/>
      <c r="G87" s="704" t="s">
        <v>115</v>
      </c>
      <c r="H87" s="705"/>
      <c r="I87" s="824" t="s">
        <v>110</v>
      </c>
      <c r="J87" s="825"/>
      <c r="K87" s="825"/>
      <c r="L87" s="825"/>
      <c r="M87" s="825"/>
      <c r="N87" s="826"/>
      <c r="O87" s="829">
        <f>(O75-O80-O68+O82/2) * 60</f>
        <v>-5.8372259163524056</v>
      </c>
      <c r="P87" s="822"/>
      <c r="Q87" s="822"/>
      <c r="R87" s="822"/>
      <c r="S87" s="827" t="s">
        <v>108</v>
      </c>
      <c r="T87" s="12"/>
      <c r="U87" s="12"/>
      <c r="V87" s="12"/>
      <c r="W87" s="12"/>
      <c r="X87" s="12"/>
      <c r="Y87" s="12"/>
      <c r="Z87" s="12"/>
      <c r="AA87" s="14"/>
      <c r="AB87" s="59"/>
      <c r="AC87" s="3" t="s">
        <v>191</v>
      </c>
      <c r="AD87" s="777">
        <f>AE86*AD85</f>
        <v>0</v>
      </c>
      <c r="AE87" s="777"/>
      <c r="BN87" s="22"/>
      <c r="BO87" s="14"/>
    </row>
    <row r="88" spans="1:67" customFormat="1" ht="17.25" customHeight="1" outlineLevel="1">
      <c r="A88" s="14"/>
      <c r="B88" s="14"/>
      <c r="C88" s="57"/>
      <c r="D88" s="57"/>
      <c r="E88" s="57"/>
      <c r="F88" s="57"/>
      <c r="G88" s="706"/>
      <c r="H88" s="707"/>
      <c r="I88" s="1665" t="s">
        <v>114</v>
      </c>
      <c r="J88" s="1666"/>
      <c r="K88" s="1666"/>
      <c r="L88" s="1666"/>
      <c r="M88" s="1666"/>
      <c r="N88" s="1667"/>
      <c r="O88" s="830"/>
      <c r="P88" s="823"/>
      <c r="Q88" s="823"/>
      <c r="R88" s="823"/>
      <c r="S88" s="828"/>
      <c r="T88" s="12"/>
      <c r="U88" s="12"/>
      <c r="V88" s="12"/>
      <c r="W88" s="12"/>
      <c r="X88" s="12"/>
      <c r="Y88" s="12"/>
      <c r="Z88" s="12"/>
      <c r="AA88" s="14"/>
      <c r="AB88" s="59"/>
      <c r="BN88" s="22"/>
      <c r="BO88" s="14"/>
    </row>
    <row r="89" spans="1:67" customFormat="1" ht="17.25" customHeight="1" outlineLevel="1">
      <c r="A89" s="14"/>
      <c r="B89" s="14"/>
      <c r="C89" s="57"/>
      <c r="D89" s="57"/>
      <c r="E89" s="57"/>
      <c r="F89" s="57"/>
      <c r="G89" s="57"/>
      <c r="H89" s="12"/>
      <c r="I89" s="824" t="s">
        <v>111</v>
      </c>
      <c r="J89" s="825"/>
      <c r="K89" s="825"/>
      <c r="L89" s="825"/>
      <c r="M89" s="825"/>
      <c r="N89" s="826"/>
      <c r="O89" s="822">
        <f>(O75-O80+O82/2)*60</f>
        <v>-1.7976494633068643</v>
      </c>
      <c r="P89" s="822"/>
      <c r="Q89" s="822"/>
      <c r="R89" s="822"/>
      <c r="S89" s="827" t="s">
        <v>108</v>
      </c>
      <c r="T89" s="12"/>
      <c r="U89" s="12"/>
      <c r="V89" s="12"/>
      <c r="W89" s="12"/>
      <c r="X89" s="12"/>
      <c r="Y89" s="12"/>
      <c r="Z89" s="12"/>
      <c r="AA89" s="14"/>
      <c r="AB89" s="59"/>
      <c r="BN89" s="22"/>
      <c r="BO89" s="14"/>
    </row>
    <row r="90" spans="1:67" customFormat="1" ht="17.25" customHeight="1" outlineLevel="1">
      <c r="A90" s="14"/>
      <c r="B90" s="14"/>
      <c r="C90" s="57"/>
      <c r="D90" s="57"/>
      <c r="E90" s="57"/>
      <c r="F90" s="57"/>
      <c r="G90" s="57"/>
      <c r="H90" s="12"/>
      <c r="I90" s="713" t="s">
        <v>112</v>
      </c>
      <c r="J90" s="714"/>
      <c r="K90" s="714"/>
      <c r="L90" s="714"/>
      <c r="M90" s="714"/>
      <c r="N90" s="715"/>
      <c r="O90" s="823"/>
      <c r="P90" s="823"/>
      <c r="Q90" s="823"/>
      <c r="R90" s="823"/>
      <c r="S90" s="828"/>
      <c r="T90" s="12"/>
      <c r="U90" s="12"/>
      <c r="V90" s="12"/>
      <c r="W90" s="12"/>
      <c r="X90" s="12"/>
      <c r="Y90" s="12"/>
      <c r="Z90" s="12"/>
      <c r="AA90" s="14"/>
      <c r="AB90" s="59"/>
      <c r="BN90" s="22"/>
      <c r="BO90" s="14"/>
    </row>
    <row r="91" spans="1:67" customFormat="1" ht="17.25" customHeight="1" outlineLevel="1">
      <c r="A91" s="14"/>
      <c r="B91" s="14"/>
      <c r="C91" s="57"/>
      <c r="D91" s="57"/>
      <c r="E91" s="57"/>
      <c r="F91" s="57"/>
      <c r="G91" s="57"/>
      <c r="H91" s="12"/>
      <c r="I91" s="1671" t="s">
        <v>71</v>
      </c>
      <c r="J91" s="1671"/>
      <c r="K91" s="1671"/>
      <c r="L91" s="1671"/>
      <c r="M91" s="1671"/>
      <c r="N91" s="1671"/>
      <c r="O91" s="818">
        <f>O84*60</f>
        <v>0</v>
      </c>
      <c r="P91" s="819"/>
      <c r="Q91" s="819"/>
      <c r="R91" s="819"/>
      <c r="S91" s="71" t="s">
        <v>108</v>
      </c>
      <c r="T91" s="12"/>
      <c r="U91" s="12"/>
      <c r="V91" s="12"/>
      <c r="W91" s="12"/>
      <c r="X91" s="12"/>
      <c r="Y91" s="12"/>
      <c r="Z91" s="12"/>
      <c r="AA91" s="14"/>
      <c r="AB91" s="59"/>
      <c r="BN91" s="22"/>
      <c r="BO91" s="14"/>
    </row>
    <row r="92" spans="1:67" customFormat="1" ht="17.25" customHeight="1" outlineLevel="1" thickBot="1">
      <c r="A92" s="14"/>
      <c r="B92" s="14"/>
      <c r="C92" s="57"/>
      <c r="D92" s="57"/>
      <c r="E92" s="57"/>
      <c r="F92" s="57"/>
      <c r="G92" s="5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4"/>
      <c r="T92" s="14"/>
      <c r="U92" s="14"/>
      <c r="V92" s="14"/>
      <c r="W92" s="14"/>
      <c r="X92" s="14"/>
      <c r="Y92" s="14"/>
      <c r="Z92" s="14"/>
      <c r="AA92" s="14"/>
      <c r="AB92" s="59"/>
      <c r="BN92" s="22"/>
      <c r="BO92" s="14"/>
    </row>
    <row r="93" spans="1:67" customFormat="1" ht="17.25" customHeight="1" outlineLevel="1" thickTop="1" thickBot="1">
      <c r="A93" s="14"/>
      <c r="B93" s="14"/>
      <c r="C93" s="57"/>
      <c r="D93" s="57"/>
      <c r="E93" s="57"/>
      <c r="F93" s="57"/>
      <c r="G93" s="57"/>
      <c r="H93" s="1352" t="s">
        <v>142</v>
      </c>
      <c r="I93" s="1353"/>
      <c r="J93" s="1353"/>
      <c r="K93" s="1353"/>
      <c r="L93" s="1353"/>
      <c r="M93" s="1353"/>
      <c r="N93" s="1354"/>
      <c r="O93" s="598">
        <f>O70-O80+O75+O84</f>
        <v>28.819379568060796</v>
      </c>
      <c r="P93" s="572"/>
      <c r="Q93" s="572"/>
      <c r="R93" s="572"/>
      <c r="S93" s="14" t="s">
        <v>54</v>
      </c>
      <c r="T93" s="14"/>
      <c r="U93" s="567" t="str" cm="1">
        <f t="array" ref="U93">angleDecimal2Txt(O93)</f>
        <v>+28°49.16 (+28.8193) [+28°49'09.76]</v>
      </c>
      <c r="V93" s="567"/>
      <c r="W93" s="567"/>
      <c r="X93" s="567"/>
      <c r="Y93" s="567"/>
      <c r="Z93" s="567"/>
      <c r="AA93" s="14"/>
      <c r="AB93" s="59"/>
      <c r="BN93" s="22"/>
      <c r="BO93" s="14"/>
    </row>
    <row r="94" spans="1:67" customFormat="1" ht="17.25" customHeight="1" outlineLevel="1" thickTop="1">
      <c r="A94" s="14"/>
      <c r="B94" s="14"/>
      <c r="C94" s="57"/>
      <c r="D94" s="57"/>
      <c r="E94" s="57"/>
      <c r="F94" s="57"/>
      <c r="G94" s="57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59"/>
      <c r="BN94" s="22"/>
      <c r="BO94" s="14"/>
    </row>
    <row r="95" spans="1:67" customFormat="1" ht="17.25" customHeight="1" outlineLevel="1">
      <c r="A95" s="14"/>
      <c r="B95" s="14"/>
      <c r="C95" s="57"/>
      <c r="D95" s="57"/>
      <c r="E95" s="57"/>
      <c r="F95" s="1385" t="s">
        <v>63</v>
      </c>
      <c r="G95" s="1385"/>
      <c r="H95" s="1385"/>
      <c r="I95" s="1385"/>
      <c r="J95" s="572" t="str">
        <f>IF(G64=AD64,O101,"---")</f>
        <v>---</v>
      </c>
      <c r="K95" s="572"/>
      <c r="L95" s="572"/>
      <c r="M95" s="14"/>
      <c r="N95" s="14"/>
      <c r="O95" s="14"/>
      <c r="P95" s="14"/>
      <c r="Q95" s="14"/>
      <c r="R95" s="36" t="s">
        <v>82</v>
      </c>
      <c r="S95" s="14" t="s">
        <v>33</v>
      </c>
      <c r="T95" s="14"/>
      <c r="U95" s="14"/>
      <c r="V95" s="14"/>
      <c r="W95" s="14"/>
      <c r="X95" s="14"/>
      <c r="Y95" s="14"/>
      <c r="Z95" s="14"/>
      <c r="AA95" s="14"/>
      <c r="AB95" s="59"/>
      <c r="BN95" s="22"/>
      <c r="BO95" s="14"/>
    </row>
    <row r="96" spans="1:67" customFormat="1" ht="17.25" customHeight="1" outlineLevel="1">
      <c r="A96" s="14"/>
      <c r="B96" s="14"/>
      <c r="C96" s="57"/>
      <c r="D96" s="57"/>
      <c r="E96" s="57"/>
      <c r="F96" s="57"/>
      <c r="G96" s="57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37" t="s">
        <v>78</v>
      </c>
      <c r="S96" s="14" t="s">
        <v>80</v>
      </c>
      <c r="T96" s="14"/>
      <c r="U96" s="14"/>
      <c r="V96" s="14"/>
      <c r="W96" s="14"/>
      <c r="X96" s="14"/>
      <c r="Y96" s="14"/>
      <c r="Z96" s="14"/>
      <c r="AA96" s="14"/>
      <c r="AB96" s="59"/>
      <c r="BN96" s="22"/>
      <c r="BO96" s="14"/>
    </row>
    <row r="97" spans="1:67" customFormat="1" ht="17.25" customHeight="1" outlineLevel="1">
      <c r="A97" s="14"/>
      <c r="B97" s="14"/>
      <c r="C97" s="57"/>
      <c r="D97" s="57"/>
      <c r="E97" s="57"/>
      <c r="F97" s="57"/>
      <c r="G97" s="57"/>
      <c r="H97" s="14" t="s">
        <v>72</v>
      </c>
      <c r="I97" s="38" t="s">
        <v>74</v>
      </c>
      <c r="J97" s="14" t="s">
        <v>60</v>
      </c>
      <c r="K97" s="38" t="s">
        <v>75</v>
      </c>
      <c r="L97" s="14" t="s">
        <v>59</v>
      </c>
      <c r="M97" s="14"/>
      <c r="N97" s="38" t="s">
        <v>76</v>
      </c>
      <c r="O97" s="14"/>
      <c r="P97" s="14"/>
      <c r="Q97" s="38" t="s">
        <v>77</v>
      </c>
      <c r="R97" s="39" t="s">
        <v>79</v>
      </c>
      <c r="S97" s="14" t="s">
        <v>81</v>
      </c>
      <c r="T97" s="14"/>
      <c r="U97" s="14"/>
      <c r="AB97" s="59"/>
      <c r="BN97" s="22"/>
      <c r="BO97" s="14"/>
    </row>
    <row r="98" spans="1:67" customFormat="1" ht="17.25" customHeight="1" outlineLevel="1" thickBot="1">
      <c r="A98" s="14"/>
      <c r="B98" s="14"/>
      <c r="C98" s="57"/>
      <c r="D98" s="57"/>
      <c r="E98" s="57"/>
      <c r="F98" s="57"/>
      <c r="G98" s="57"/>
      <c r="H98" s="14"/>
      <c r="I98" s="38"/>
      <c r="J98" s="40">
        <f>O66</f>
        <v>28.916666666666668</v>
      </c>
      <c r="K98" s="38" t="s">
        <v>75</v>
      </c>
      <c r="L98" s="41">
        <f>O67</f>
        <v>0</v>
      </c>
      <c r="M98" s="14"/>
      <c r="N98" s="1852" t="s">
        <v>146</v>
      </c>
      <c r="O98" s="1852"/>
      <c r="P98" s="1852"/>
      <c r="Q98" s="38" t="s">
        <v>77</v>
      </c>
      <c r="R98" s="42">
        <v>0</v>
      </c>
      <c r="S98" s="14"/>
      <c r="T98" s="14"/>
      <c r="U98" s="14"/>
      <c r="AB98" s="59"/>
      <c r="BN98" s="22"/>
      <c r="BO98" s="14"/>
    </row>
    <row r="99" spans="1:67" customFormat="1" ht="17.25" customHeight="1" outlineLevel="1" thickTop="1" thickBot="1">
      <c r="A99" s="14"/>
      <c r="B99" s="14"/>
      <c r="C99" s="57"/>
      <c r="D99" s="57"/>
      <c r="E99" s="57"/>
      <c r="F99" s="57"/>
      <c r="G99" s="57"/>
      <c r="H99" s="14"/>
      <c r="I99" s="38"/>
      <c r="K99" s="38"/>
      <c r="L99" s="72" cm="1">
        <f t="array" ref="L99">angleConvert2Decimal(L98)</f>
        <v>0</v>
      </c>
      <c r="N99" s="1853" cm="1">
        <f t="array" ref="N99">angleConvert2Decimal(N98)</f>
        <v>0.17166666666666669</v>
      </c>
      <c r="O99" s="1853"/>
      <c r="P99" s="1853"/>
      <c r="Q99" s="11"/>
      <c r="R99" s="72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708" t="str" cm="1">
        <f t="array" ref="W99">angleDecimal2Txt(V99)</f>
        <v>+00°10.30 (+00.1716) [+00°10'18.00]</v>
      </c>
      <c r="X99" s="709"/>
      <c r="Y99" s="709"/>
      <c r="Z99" s="709"/>
      <c r="AA99" s="570"/>
      <c r="AB99" s="59"/>
      <c r="BN99" s="22"/>
      <c r="BO99" s="14"/>
    </row>
    <row r="100" spans="1:67" customFormat="1" ht="17.25" customHeight="1" outlineLevel="1" thickTop="1" thickBot="1">
      <c r="A100" s="14"/>
      <c r="B100" s="14"/>
      <c r="C100" s="57"/>
      <c r="D100" s="57"/>
      <c r="E100" s="57"/>
      <c r="F100" s="57"/>
      <c r="G100" s="57"/>
      <c r="H100" s="14"/>
      <c r="I100" s="38"/>
      <c r="J100" s="14"/>
      <c r="K100" s="38"/>
      <c r="L100" s="14"/>
      <c r="M100" s="14"/>
      <c r="N100" s="38"/>
      <c r="O100" s="14"/>
      <c r="P100" s="14"/>
      <c r="Q100" s="38"/>
      <c r="R100" s="43"/>
      <c r="S100" s="14"/>
      <c r="T100" s="14"/>
      <c r="U100" s="14"/>
      <c r="V100" s="14"/>
      <c r="W100" s="14"/>
      <c r="X100" s="14"/>
      <c r="Y100" s="14"/>
      <c r="Z100" s="14"/>
      <c r="AA100" s="14"/>
      <c r="AB100" s="59"/>
      <c r="BN100" s="22"/>
      <c r="BO100" s="14"/>
    </row>
    <row r="101" spans="1:67" customFormat="1" ht="17.25" customHeight="1" outlineLevel="1" thickTop="1" thickBot="1">
      <c r="A101" s="14"/>
      <c r="B101" s="14"/>
      <c r="C101" s="57"/>
      <c r="D101" s="57"/>
      <c r="E101" s="57"/>
      <c r="F101" s="57"/>
      <c r="G101" s="57"/>
      <c r="H101" s="1352" t="s">
        <v>145</v>
      </c>
      <c r="I101" s="1353"/>
      <c r="J101" s="1353"/>
      <c r="K101" s="1353"/>
      <c r="L101" s="1353"/>
      <c r="M101" s="1353"/>
      <c r="N101" s="1354"/>
      <c r="O101" s="598">
        <f>J98-L99+N99+R99</f>
        <v>29.088333333333335</v>
      </c>
      <c r="P101" s="572"/>
      <c r="Q101" s="572"/>
      <c r="R101" s="572"/>
      <c r="S101" s="14" t="s">
        <v>54</v>
      </c>
      <c r="T101" s="14"/>
      <c r="U101" s="567" t="str" cm="1">
        <f t="array" ref="U101">angleDecimal2Txt(O101)</f>
        <v>+29°05.29 (+29.0883) [+29°05'18.00]</v>
      </c>
      <c r="V101" s="567"/>
      <c r="W101" s="567"/>
      <c r="X101" s="567"/>
      <c r="Y101" s="567"/>
      <c r="Z101" s="567"/>
      <c r="AA101" s="14"/>
      <c r="AB101" s="59"/>
      <c r="BN101" s="22"/>
      <c r="BO101" s="14"/>
    </row>
    <row r="102" spans="1:67" customFormat="1" ht="17.25" customHeight="1" thickTop="1" thickBot="1">
      <c r="A102" s="14"/>
      <c r="B102" s="14"/>
      <c r="C102" s="57"/>
      <c r="D102" s="44"/>
      <c r="E102" s="57"/>
      <c r="F102" s="57"/>
      <c r="G102" s="57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59"/>
      <c r="BN102" s="22"/>
      <c r="BO102" s="14"/>
    </row>
    <row r="103" spans="1:67" s="14" customFormat="1" ht="17.25" customHeight="1" thickBot="1">
      <c r="B103" s="23" t="s">
        <v>44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77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Z103"/>
      <c r="BA103"/>
      <c r="BB103"/>
      <c r="BC103"/>
      <c r="BD103"/>
      <c r="BE103"/>
      <c r="BF103"/>
      <c r="BG103"/>
    </row>
    <row r="104" spans="1:67" s="14" customFormat="1" ht="17.25" customHeight="1">
      <c r="D104" s="1803" t="s">
        <v>154</v>
      </c>
      <c r="E104" s="1804"/>
      <c r="F104" s="1804"/>
      <c r="G104" s="1804"/>
      <c r="H104" s="1812">
        <f>90-P105</f>
        <v>0.67833333333332746</v>
      </c>
      <c r="I104" s="1812"/>
      <c r="J104" s="1812"/>
      <c r="K104" s="1812"/>
      <c r="L104" s="1812"/>
      <c r="N104" s="1815" t="s">
        <v>155</v>
      </c>
      <c r="O104" s="1815"/>
      <c r="P104" s="1815"/>
      <c r="Q104" s="1815"/>
      <c r="R104" s="1815"/>
      <c r="S104" s="1815"/>
      <c r="T104" s="1815"/>
      <c r="U104" s="1815"/>
      <c r="V104" s="1815"/>
      <c r="W104" s="1815"/>
      <c r="AA104"/>
      <c r="AB104" s="81"/>
      <c r="AC104"/>
      <c r="AD104"/>
      <c r="AE104"/>
      <c r="AF104"/>
      <c r="AL104" s="75"/>
      <c r="AZ104"/>
      <c r="BA104"/>
      <c r="BB104"/>
      <c r="BC104"/>
      <c r="BD104"/>
      <c r="BE104"/>
      <c r="BF104"/>
      <c r="BG104"/>
    </row>
    <row r="105" spans="1:67" s="14" customFormat="1" ht="17.25" customHeight="1" thickBot="1">
      <c r="C105" s="82"/>
      <c r="D105" s="1805"/>
      <c r="E105" s="1806"/>
      <c r="F105" s="1806"/>
      <c r="G105" s="1806"/>
      <c r="H105" s="1812"/>
      <c r="I105" s="1812"/>
      <c r="J105" s="1812"/>
      <c r="K105" s="1812"/>
      <c r="L105" s="1812"/>
      <c r="M105" s="46" t="s">
        <v>116</v>
      </c>
      <c r="N105" s="1802" t="s">
        <v>84</v>
      </c>
      <c r="O105" s="1802"/>
      <c r="P105" s="1802">
        <f>F27</f>
        <v>89.321666666666673</v>
      </c>
      <c r="Q105" s="1802"/>
      <c r="R105" s="1802"/>
      <c r="S105" s="76" t="s">
        <v>54</v>
      </c>
      <c r="T105" s="1802">
        <f>P105*Outils!$F$4</f>
        <v>1.5589571767022019</v>
      </c>
      <c r="U105" s="1802"/>
      <c r="V105" s="1802"/>
      <c r="W105" s="76" t="s">
        <v>64</v>
      </c>
      <c r="AA105"/>
      <c r="AB105" s="81"/>
      <c r="AC105"/>
      <c r="AD105"/>
      <c r="AE105"/>
      <c r="AF105"/>
      <c r="AL105" s="75"/>
      <c r="AZ105"/>
      <c r="BA105"/>
      <c r="BB105"/>
      <c r="BC105"/>
      <c r="BD105"/>
      <c r="BE105"/>
      <c r="BF105"/>
      <c r="BG105"/>
    </row>
    <row r="106" spans="1:67" s="14" customFormat="1" ht="17.25" customHeight="1" thickTop="1" thickBot="1">
      <c r="C106" s="82"/>
      <c r="D106" s="1807"/>
      <c r="E106" s="1808"/>
      <c r="F106" s="1808"/>
      <c r="G106" s="1808"/>
      <c r="H106" s="1813" t="str" cm="1">
        <f t="array" ref="H106">angleDecimal2Txt(H104)</f>
        <v>+00°40.69 (+00.6783) [+00°40'41.99]</v>
      </c>
      <c r="I106" s="1813"/>
      <c r="J106" s="1813"/>
      <c r="K106" s="1813"/>
      <c r="L106" s="1813"/>
      <c r="N106" s="1811"/>
      <c r="O106" s="1811"/>
      <c r="P106" s="1811"/>
      <c r="Q106" s="1811"/>
      <c r="R106" s="1811"/>
      <c r="S106" s="82"/>
      <c r="T106" s="1811"/>
      <c r="U106" s="1811"/>
      <c r="V106" s="1811"/>
      <c r="W106" s="82"/>
      <c r="AA106"/>
      <c r="AB106" s="81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4" customFormat="1" ht="17.25" customHeight="1" thickTop="1">
      <c r="N107" s="1810"/>
      <c r="O107" s="1811"/>
      <c r="P107" s="1811"/>
      <c r="Q107" s="1811"/>
      <c r="R107" s="1811"/>
      <c r="S107" s="1811"/>
      <c r="T107" s="1811"/>
      <c r="U107" s="1811"/>
      <c r="V107" s="1811"/>
      <c r="W107" s="1811"/>
      <c r="X107" s="1811"/>
      <c r="Y107" s="1811"/>
      <c r="Z107" s="1811"/>
      <c r="AA107"/>
      <c r="AB107" s="81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4" customFormat="1" ht="17.25" customHeight="1">
      <c r="D108" s="1803" t="s">
        <v>156</v>
      </c>
      <c r="E108" s="1804"/>
      <c r="F108" s="1804"/>
      <c r="G108" s="1804"/>
      <c r="H108" s="1812">
        <f>-H104*COS(T109)</f>
        <v>0.67832738233611578</v>
      </c>
      <c r="I108" s="1812"/>
      <c r="J108" s="1812"/>
      <c r="K108" s="1812"/>
      <c r="L108" s="1812"/>
      <c r="N108" s="1814" t="s">
        <v>159</v>
      </c>
      <c r="O108" s="1815"/>
      <c r="P108" s="1815"/>
      <c r="Q108" s="1815"/>
      <c r="R108" s="1815"/>
      <c r="S108" s="1815"/>
      <c r="T108" s="1815"/>
      <c r="U108" s="1815"/>
      <c r="V108" s="1815"/>
      <c r="W108" s="1815"/>
      <c r="X108" s="82"/>
      <c r="Y108" s="82"/>
      <c r="Z108" s="82"/>
      <c r="AA108"/>
      <c r="AB108" s="81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4" customFormat="1" ht="17.25" customHeight="1" thickBot="1">
      <c r="C109" s="82"/>
      <c r="D109" s="1805"/>
      <c r="E109" s="1806"/>
      <c r="F109" s="1806"/>
      <c r="G109" s="1806"/>
      <c r="H109" s="1812"/>
      <c r="I109" s="1812"/>
      <c r="J109" s="1812"/>
      <c r="K109" s="1812"/>
      <c r="L109" s="1812"/>
      <c r="M109" s="46" t="s">
        <v>116</v>
      </c>
      <c r="N109" s="1802" t="s">
        <v>43</v>
      </c>
      <c r="O109" s="1802"/>
      <c r="P109" s="1802">
        <f>F59</f>
        <v>179.76000000000005</v>
      </c>
      <c r="Q109" s="1802"/>
      <c r="R109" s="1802"/>
      <c r="S109" s="76" t="s">
        <v>54</v>
      </c>
      <c r="T109" s="1802">
        <f>P109*Outils!$F$4</f>
        <v>3.1374038633850074</v>
      </c>
      <c r="U109" s="1802"/>
      <c r="V109" s="1802"/>
      <c r="W109" s="76" t="s">
        <v>64</v>
      </c>
      <c r="X109" s="82"/>
      <c r="Y109" s="82"/>
      <c r="Z109" s="82"/>
      <c r="AA109"/>
      <c r="AB109" s="81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4" customFormat="1" ht="17.25" customHeight="1" thickTop="1" thickBot="1">
      <c r="C110" s="82"/>
      <c r="D110" s="1807"/>
      <c r="E110" s="1808"/>
      <c r="F110" s="1808"/>
      <c r="G110" s="1808"/>
      <c r="H110" s="1801" t="str" cm="1">
        <f t="array" ref="H110">angleDecimal2Txt(H108)</f>
        <v>+00°40.69 (+00.6783) [+00°40'41.97]</v>
      </c>
      <c r="I110" s="1801"/>
      <c r="J110" s="1801"/>
      <c r="K110" s="1801"/>
      <c r="L110" s="1801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" t="s">
        <v>435</v>
      </c>
      <c r="Z110" s="82"/>
      <c r="AA110"/>
      <c r="AB110" s="81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4" customFormat="1" ht="17.25" customHeight="1" thickTop="1">
      <c r="C111" s="82"/>
      <c r="AA111"/>
      <c r="AB111" s="8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4" customFormat="1" ht="17.25" customHeight="1">
      <c r="D112" s="1809" t="s">
        <v>157</v>
      </c>
      <c r="E112" s="1804"/>
      <c r="F112" s="1804"/>
      <c r="G112" s="1804"/>
      <c r="H112" s="1812">
        <f>F63+H108</f>
        <v>29.49770695039691</v>
      </c>
      <c r="I112" s="1812"/>
      <c r="J112" s="1812"/>
      <c r="K112" s="1812"/>
      <c r="L112" s="1812"/>
      <c r="N112" s="1815" t="s">
        <v>161</v>
      </c>
      <c r="O112" s="1815"/>
      <c r="P112" s="1815"/>
      <c r="Q112" s="1815"/>
      <c r="R112" s="1815"/>
      <c r="S112" s="1815"/>
      <c r="T112" s="1815"/>
      <c r="U112" s="1815"/>
      <c r="V112" s="1815"/>
      <c r="W112" s="1815"/>
      <c r="X112" s="82"/>
      <c r="Y112" s="82"/>
      <c r="AA112"/>
      <c r="AB112" s="81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4" customFormat="1" ht="17.25" customHeight="1" thickBot="1">
      <c r="C113" s="82"/>
      <c r="D113" s="1805"/>
      <c r="E113" s="1806"/>
      <c r="F113" s="1806"/>
      <c r="G113" s="1806"/>
      <c r="H113" s="1812"/>
      <c r="I113" s="1812"/>
      <c r="J113" s="1812"/>
      <c r="K113" s="1812"/>
      <c r="L113" s="1812"/>
      <c r="M113" s="46" t="s">
        <v>116</v>
      </c>
      <c r="N113" s="1802" t="s">
        <v>101</v>
      </c>
      <c r="O113" s="1802"/>
      <c r="P113" s="1802">
        <f>F63</f>
        <v>28.819379568060796</v>
      </c>
      <c r="Q113" s="1802"/>
      <c r="R113" s="1802"/>
      <c r="S113" s="76" t="s">
        <v>54</v>
      </c>
      <c r="T113" s="1802">
        <f>P113*Outils!$F$4</f>
        <v>0.5029930618446421</v>
      </c>
      <c r="U113" s="1802"/>
      <c r="V113" s="1802"/>
      <c r="W113" s="76" t="s">
        <v>64</v>
      </c>
      <c r="X113" s="1811"/>
      <c r="Y113" s="1811"/>
      <c r="AA113"/>
      <c r="AB113" s="81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4" customFormat="1" ht="17.25" customHeight="1" thickTop="1" thickBot="1">
      <c r="C114" s="82"/>
      <c r="D114" s="1807"/>
      <c r="E114" s="1808"/>
      <c r="F114" s="1808"/>
      <c r="G114" s="1808"/>
      <c r="H114" s="1813" t="str" cm="1">
        <f t="array" ref="H114">angleDecimal2Txt(H112)</f>
        <v>+29°29.86 (+29.4977) [+29°29'51.74]</v>
      </c>
      <c r="I114" s="1813"/>
      <c r="J114" s="1813"/>
      <c r="K114" s="1813"/>
      <c r="L114" s="1813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AA114"/>
      <c r="AB114" s="81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4" customFormat="1" ht="17.25" customHeight="1" thickTop="1">
      <c r="C115" s="82"/>
      <c r="S115" s="82"/>
      <c r="T115" s="82"/>
      <c r="U115" s="82"/>
      <c r="V115" s="82"/>
      <c r="W115" s="82"/>
      <c r="X115" s="82"/>
      <c r="AA115"/>
      <c r="AB115" s="81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4" customFormat="1" ht="17.25" customHeight="1">
      <c r="D116" s="1809" t="s">
        <v>158</v>
      </c>
      <c r="E116" s="1804"/>
      <c r="F116" s="1804"/>
      <c r="G116" s="1804"/>
      <c r="H116" s="952">
        <f>AF120</f>
        <v>359.99673544575774</v>
      </c>
      <c r="I116" s="952"/>
      <c r="J116" s="952"/>
      <c r="K116" s="952"/>
      <c r="L116" s="952"/>
      <c r="N116" s="1814" t="s">
        <v>160</v>
      </c>
      <c r="O116" s="1815"/>
      <c r="P116" s="1815"/>
      <c r="Q116" s="1815"/>
      <c r="R116" s="1815"/>
      <c r="S116" s="1815"/>
      <c r="T116" s="1815"/>
      <c r="U116" s="1815"/>
      <c r="V116" s="1815"/>
      <c r="W116" s="1815"/>
      <c r="X116" s="82"/>
      <c r="AA116"/>
      <c r="AB116" s="81"/>
      <c r="AC116" s="38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4" customFormat="1" ht="17.25" customHeight="1" thickBot="1">
      <c r="D117" s="1805"/>
      <c r="E117" s="1806"/>
      <c r="F117" s="1806"/>
      <c r="G117" s="1806"/>
      <c r="H117" s="952"/>
      <c r="I117" s="952"/>
      <c r="J117" s="952"/>
      <c r="K117" s="952"/>
      <c r="L117" s="952"/>
      <c r="M117" s="46" t="s">
        <v>116</v>
      </c>
      <c r="N117" s="1802" t="s">
        <v>43</v>
      </c>
      <c r="O117" s="1802"/>
      <c r="P117" s="1802">
        <f>F59</f>
        <v>179.76000000000005</v>
      </c>
      <c r="Q117" s="1802"/>
      <c r="R117" s="1802"/>
      <c r="S117" s="76" t="s">
        <v>54</v>
      </c>
      <c r="T117" s="1802">
        <f>P117*Outils!$F$4</f>
        <v>3.1374038633850074</v>
      </c>
      <c r="U117" s="1802"/>
      <c r="V117" s="1802"/>
      <c r="W117" s="76" t="s">
        <v>64</v>
      </c>
      <c r="X117" s="82"/>
      <c r="AA117"/>
      <c r="AB117" s="81"/>
      <c r="AC117" s="11" t="s">
        <v>431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4" customFormat="1" ht="17.25" customHeight="1" thickTop="1" thickBot="1">
      <c r="D118" s="1807"/>
      <c r="E118" s="1808"/>
      <c r="F118" s="1808"/>
      <c r="G118" s="1808"/>
      <c r="H118" s="1801" t="str" cm="1">
        <f t="array" ref="H118">angleDecimal2Txt(H116)</f>
        <v>+359°59.80 (+359.9967) [+359°59'48.24]</v>
      </c>
      <c r="I118" s="1801"/>
      <c r="J118" s="1801"/>
      <c r="K118" s="1801"/>
      <c r="L118" s="1801"/>
      <c r="N118" s="1802" t="s">
        <v>41</v>
      </c>
      <c r="O118" s="1802"/>
      <c r="P118" s="1802">
        <f>H112</f>
        <v>29.49770695039691</v>
      </c>
      <c r="Q118" s="1802"/>
      <c r="R118" s="1802"/>
      <c r="S118" s="76" t="s">
        <v>54</v>
      </c>
      <c r="T118" s="1802">
        <f>P118*Outils!$F$4</f>
        <v>0.51483210807284174</v>
      </c>
      <c r="U118" s="1802"/>
      <c r="V118" s="1802"/>
      <c r="W118" s="76" t="s">
        <v>64</v>
      </c>
      <c r="AA118"/>
      <c r="AB118" s="81"/>
      <c r="AC118" t="s">
        <v>432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4" customFormat="1" ht="17.25" customHeight="1" thickTop="1"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/>
      <c r="AB119" s="81"/>
      <c r="AC119" t="s">
        <v>433</v>
      </c>
      <c r="AD119">
        <f>COS(T118)</f>
        <v>0.8703754026568995</v>
      </c>
      <c r="AE119"/>
      <c r="AF119"/>
      <c r="AL119" s="75"/>
      <c r="AZ119"/>
      <c r="BA119"/>
      <c r="BB119"/>
      <c r="BC119"/>
      <c r="BD119"/>
      <c r="BE119"/>
      <c r="BF119"/>
      <c r="BG119"/>
    </row>
    <row r="120" spans="1:59" s="14" customFormat="1" ht="17.25" customHeight="1">
      <c r="A120"/>
      <c r="B120"/>
      <c r="C120"/>
      <c r="D120"/>
      <c r="E120" s="82"/>
      <c r="F120" s="57"/>
      <c r="G120" s="82"/>
      <c r="H120" s="82"/>
      <c r="I120" s="82"/>
      <c r="J120" s="82"/>
      <c r="K120" s="82"/>
      <c r="L120" s="82"/>
      <c r="M120" s="1811"/>
      <c r="N120" s="1811"/>
      <c r="O120" s="82"/>
      <c r="P120" s="1811"/>
      <c r="Q120" s="1811"/>
      <c r="R120" s="1811"/>
      <c r="S120" s="1811"/>
      <c r="T120" s="1811"/>
      <c r="U120" s="1811"/>
      <c r="V120" s="82"/>
      <c r="W120" s="1811"/>
      <c r="X120" s="1811"/>
      <c r="Y120" s="1811"/>
      <c r="Z120" s="82"/>
      <c r="AA120"/>
      <c r="AB120" s="81"/>
      <c r="AC120" s="11" t="s">
        <v>434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4" t="s">
        <v>54</v>
      </c>
      <c r="AL120" s="75"/>
      <c r="AZ120"/>
      <c r="BA120"/>
      <c r="BB120"/>
      <c r="BC120"/>
      <c r="BD120"/>
      <c r="BE120"/>
      <c r="BF120"/>
      <c r="BG120"/>
    </row>
    <row r="121" spans="1:59" s="14" customFormat="1" ht="17.25" customHeight="1">
      <c r="A121"/>
      <c r="B121"/>
      <c r="C121"/>
      <c r="D121"/>
      <c r="E121" s="57"/>
      <c r="F121" s="57"/>
      <c r="G121" s="82"/>
      <c r="H121" s="1811"/>
      <c r="I121" s="1811"/>
      <c r="J121" s="82"/>
      <c r="K121" s="1811"/>
      <c r="L121" s="1811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/>
      <c r="AB121" s="81"/>
      <c r="AD121"/>
      <c r="AE121"/>
      <c r="AF121"/>
      <c r="AL121" s="75"/>
      <c r="AZ121"/>
      <c r="BA121"/>
      <c r="BB121"/>
      <c r="BC121"/>
      <c r="BD121"/>
      <c r="BE121"/>
      <c r="BF121"/>
      <c r="BG121"/>
    </row>
    <row r="122" spans="1:59" s="14" customFormat="1" ht="17.25" customHeight="1">
      <c r="A122"/>
      <c r="B122"/>
      <c r="C122"/>
      <c r="D122"/>
      <c r="H122" s="1811"/>
      <c r="I122" s="1811"/>
      <c r="J122" s="82"/>
      <c r="K122" s="1811"/>
      <c r="L122" s="1811"/>
      <c r="M122" s="82"/>
      <c r="N122" s="1811"/>
      <c r="O122" s="1811"/>
      <c r="P122" s="1811"/>
      <c r="Q122" s="1811"/>
      <c r="R122" s="1811"/>
      <c r="S122" s="1811"/>
      <c r="T122" s="1811"/>
      <c r="U122" s="82"/>
      <c r="V122" s="82"/>
      <c r="W122" s="82"/>
      <c r="X122" s="82"/>
      <c r="Y122" s="82"/>
      <c r="Z122" s="82"/>
      <c r="AA122"/>
      <c r="AB122" s="81"/>
      <c r="AC122"/>
      <c r="AD122"/>
      <c r="AE122"/>
      <c r="AF122"/>
      <c r="AL122" s="75"/>
      <c r="AZ122"/>
      <c r="BA122"/>
      <c r="BB122"/>
      <c r="BC122"/>
      <c r="BD122"/>
      <c r="BE122"/>
      <c r="BF122"/>
      <c r="BG122"/>
    </row>
    <row r="123" spans="1:59" s="14" customFormat="1" ht="17.25" customHeight="1">
      <c r="C123" s="57"/>
      <c r="H123" s="1811"/>
      <c r="I123" s="1811"/>
      <c r="J123" s="1811"/>
      <c r="K123" s="1811"/>
      <c r="L123" s="1811"/>
      <c r="M123" s="82"/>
      <c r="N123" s="82"/>
      <c r="O123" s="82"/>
      <c r="P123" s="82"/>
      <c r="Q123" s="82"/>
      <c r="R123" s="82"/>
      <c r="S123" s="1811"/>
      <c r="T123" s="1811"/>
      <c r="U123" s="1811"/>
      <c r="V123" s="1811"/>
      <c r="W123" s="1811"/>
      <c r="X123" s="1811"/>
      <c r="Y123" s="82"/>
      <c r="Z123" s="82"/>
      <c r="AA123"/>
      <c r="AB123" s="81"/>
      <c r="AC123"/>
      <c r="AD123"/>
      <c r="AE123"/>
      <c r="AF123"/>
      <c r="AL123" s="75"/>
    </row>
    <row r="124" spans="1:59" s="14" customFormat="1" ht="17.25" customHeight="1" thickBot="1">
      <c r="C124" s="57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/>
      <c r="AB124" s="81"/>
      <c r="AC124"/>
      <c r="AD124"/>
      <c r="AE124"/>
      <c r="AF124"/>
      <c r="AL124" s="75"/>
    </row>
    <row r="125" spans="1:59" customFormat="1" ht="15.75" thickBot="1">
      <c r="B125" s="107" t="s">
        <v>493</v>
      </c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9"/>
    </row>
    <row r="126" spans="1:59" customFormat="1" ht="15">
      <c r="K126" s="90"/>
      <c r="L126" s="90"/>
    </row>
    <row r="127" spans="1:59" customFormat="1" ht="15">
      <c r="B127" s="1379" t="s">
        <v>1</v>
      </c>
      <c r="C127" s="1379"/>
      <c r="D127" s="1379" t="str">
        <f>E7</f>
        <v>20/10/2029</v>
      </c>
      <c r="E127" s="1379"/>
      <c r="F127" s="1379"/>
      <c r="G127" s="1379"/>
      <c r="H127" s="206" t="s">
        <v>2</v>
      </c>
      <c r="I127" s="1379" t="str">
        <f>G7</f>
        <v>05:25:00.00(05.4166)</v>
      </c>
      <c r="J127" s="1379"/>
      <c r="K127" s="1379"/>
      <c r="L127" s="1379"/>
    </row>
    <row r="128" spans="1:59" customFormat="1" ht="15">
      <c r="B128" s="1381" t="s">
        <v>30</v>
      </c>
      <c r="C128" s="1381"/>
      <c r="D128" s="1382" t="s">
        <v>427</v>
      </c>
      <c r="E128" s="1382"/>
      <c r="F128" s="1382"/>
      <c r="G128" s="1382"/>
      <c r="H128" s="200"/>
      <c r="I128" s="200"/>
      <c r="J128" s="200"/>
      <c r="K128" s="200"/>
      <c r="L128" s="200"/>
      <c r="AA128" s="197"/>
    </row>
    <row r="129" spans="2:65" customFormat="1" ht="15">
      <c r="B129" s="196"/>
      <c r="C129" s="196"/>
      <c r="D129" s="199"/>
      <c r="E129" s="196"/>
      <c r="AA129" s="197"/>
    </row>
    <row r="130" spans="2:65" s="90" customFormat="1" ht="17.25" customHeight="1" thickBot="1">
      <c r="B130" s="203" t="s">
        <v>391</v>
      </c>
      <c r="C130" s="203"/>
      <c r="D130" s="203"/>
      <c r="E130" s="203"/>
      <c r="F130" s="202"/>
      <c r="G130" s="202"/>
      <c r="H130" s="201"/>
      <c r="I130" s="201"/>
      <c r="J130" s="201"/>
      <c r="K130" s="201"/>
      <c r="L130" s="201"/>
      <c r="M130" s="201"/>
      <c r="N130" s="201"/>
      <c r="O130" s="201"/>
      <c r="P130" s="201"/>
      <c r="Q130" s="201"/>
      <c r="AB130" s="59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0" customFormat="1" ht="17.25" customHeight="1" thickTop="1">
      <c r="C131" s="1383" t="s">
        <v>392</v>
      </c>
      <c r="D131" s="1383"/>
      <c r="E131" s="1383" t="str" cm="1">
        <f t="array" ref="E131">angleDecimal2Txt(angleConvert2Decimal(M17))</f>
        <v>+28°55.00 (+28.9166) [+28°55'00.00]</v>
      </c>
      <c r="F131" s="1383"/>
      <c r="G131" s="1383"/>
      <c r="H131" s="1383"/>
      <c r="I131" s="1383"/>
      <c r="AB131" s="59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0" customFormat="1" ht="17.25" customHeight="1">
      <c r="C132" s="1377" t="s">
        <v>393</v>
      </c>
      <c r="D132" s="1377"/>
      <c r="E132" s="1378" t="str" cm="1">
        <f t="array" ref="E132">angleDecimal2Txt(angleConvert2Decimal(M16))</f>
        <v>+00°00.00 (+00.0000) [+00°00'00.00]</v>
      </c>
      <c r="F132" s="1378"/>
      <c r="G132" s="1378"/>
      <c r="H132" s="1378"/>
      <c r="I132" s="1378"/>
      <c r="AB132" s="59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0" customFormat="1" ht="17.25" customHeight="1">
      <c r="C133" s="1379" t="s">
        <v>394</v>
      </c>
      <c r="D133" s="1379"/>
      <c r="E133" s="1380" t="str">
        <f>CONCATENATE(M15, " m")</f>
        <v>5,28 m</v>
      </c>
      <c r="F133" s="1380"/>
      <c r="G133" s="1380"/>
      <c r="H133" s="1380"/>
      <c r="I133" s="1380"/>
      <c r="AB133" s="59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0" customFormat="1" ht="17.25" customHeight="1">
      <c r="E134" s="1376" t="str" cm="1">
        <f t="array" ref="E134">angleDecimal2Txt(O70)</f>
        <v>+28°50.96 (+28.8493) [+28°50'57.62]</v>
      </c>
      <c r="F134" s="1376"/>
      <c r="G134" s="1376"/>
      <c r="H134" s="1376"/>
      <c r="I134" s="1376"/>
      <c r="J134" s="1376" t="s">
        <v>396</v>
      </c>
      <c r="K134" s="1376"/>
      <c r="L134" s="1376"/>
      <c r="AB134" s="59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0" customFormat="1" ht="17.25" customHeight="1">
      <c r="E135" s="204"/>
      <c r="F135" s="1361" t="s">
        <v>394</v>
      </c>
      <c r="G135" s="1356"/>
      <c r="H135" s="1375" t="str" cm="1">
        <f t="array" ref="H135">angleDecimal2Txt(O68)</f>
        <v>+00°04.03 (+00.0673) [+00°04'02.37]</v>
      </c>
      <c r="I135" s="1375"/>
      <c r="J135" s="1375"/>
      <c r="K135" s="1375"/>
      <c r="L135" s="1375"/>
      <c r="AB135" s="59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0" customFormat="1" ht="17.25" customHeight="1">
      <c r="F136" s="1361" t="s">
        <v>401</v>
      </c>
      <c r="G136" s="1356"/>
      <c r="H136" s="1496" t="str" cm="1">
        <f t="array" ref="H136">angleDecimal2Txt(O80)</f>
        <v>+00°01.79 (+00.0299) [+00°01'47.85]</v>
      </c>
      <c r="I136" s="1362"/>
      <c r="J136" s="1362"/>
      <c r="K136" s="1362"/>
      <c r="L136" s="1675"/>
      <c r="AB136" s="59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0" customFormat="1" ht="17.25" customHeight="1">
      <c r="D137" s="198"/>
      <c r="E137" s="1376" t="str" cm="1">
        <f t="array" ref="E137">angleDecimal2Txt(F63)</f>
        <v>+28°49.16 (+28.8193) [+28°49'09.76]</v>
      </c>
      <c r="F137" s="1376"/>
      <c r="G137" s="1376"/>
      <c r="H137" s="1376"/>
      <c r="I137" s="1376"/>
      <c r="J137" s="1376" t="s">
        <v>395</v>
      </c>
      <c r="K137" s="1376"/>
      <c r="L137" s="1376"/>
      <c r="AB137" s="59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0" customFormat="1" ht="17.25" customHeight="1">
      <c r="D138" s="198"/>
      <c r="F138" s="1371" t="str" cm="1">
        <f t="array" ref="F138">angleDecimal2Txt(O75-O80-O68)</f>
        <v>-00°05.83 (-00.0972) [-00°05'50.23]</v>
      </c>
      <c r="G138" s="1371"/>
      <c r="H138" s="1371"/>
      <c r="I138" s="1371"/>
      <c r="J138" s="1371"/>
      <c r="K138" s="1371" t="s">
        <v>403</v>
      </c>
      <c r="L138" s="1371"/>
      <c r="M138" s="1371"/>
      <c r="N138" s="1372" t="s">
        <v>418</v>
      </c>
      <c r="O138" s="1372"/>
      <c r="P138" s="1372"/>
      <c r="AB138" s="59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0" customFormat="1" ht="17.25" customHeight="1">
      <c r="D139" s="198"/>
      <c r="F139" s="1371" t="str" cm="1">
        <f t="array" ref="F139">angleDecimal2Txt(O75-O80-O68+O84)</f>
        <v>-00°05.83 (-00.0972) [-00°05'50.23]</v>
      </c>
      <c r="G139" s="1371"/>
      <c r="H139" s="1371"/>
      <c r="I139" s="1371"/>
      <c r="J139" s="1371"/>
      <c r="K139" s="1371" t="s">
        <v>399</v>
      </c>
      <c r="L139" s="1371"/>
      <c r="M139" s="1371"/>
      <c r="N139" s="1372"/>
      <c r="O139" s="1372"/>
      <c r="P139" s="1372"/>
      <c r="AB139" s="5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0" customFormat="1" ht="17.25" customHeight="1">
      <c r="D140" s="198"/>
      <c r="F140" s="1371" t="str" cm="1">
        <f t="array" ref="F140">angleDecimal2Txt(O75-O80+O84)</f>
        <v>-00°01.79 (-00.0299) [-00°01'47.85]</v>
      </c>
      <c r="G140" s="1371"/>
      <c r="H140" s="1371"/>
      <c r="I140" s="1371"/>
      <c r="J140" s="1371"/>
      <c r="K140" s="1371" t="s">
        <v>400</v>
      </c>
      <c r="L140" s="1371"/>
      <c r="M140" s="1371"/>
      <c r="N140" s="1372"/>
      <c r="O140" s="1372"/>
      <c r="P140" s="1372"/>
      <c r="AB140" s="59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0" customFormat="1" ht="17.25" customHeight="1">
      <c r="AB141" s="59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0" customFormat="1" ht="17.25" customHeight="1">
      <c r="C142" s="198"/>
      <c r="AB142" s="59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0" customFormat="1" ht="17.25" customHeight="1" thickBot="1">
      <c r="B143" s="201" t="s">
        <v>62</v>
      </c>
      <c r="C143" s="202"/>
      <c r="D143" s="202"/>
      <c r="E143" s="202"/>
      <c r="F143" s="202"/>
      <c r="G143" s="202"/>
      <c r="H143" s="201"/>
      <c r="I143" s="201"/>
      <c r="J143" s="201"/>
      <c r="K143" s="201"/>
      <c r="L143" s="201"/>
      <c r="M143" s="201"/>
      <c r="N143" s="201"/>
      <c r="O143" s="201"/>
      <c r="P143" s="201"/>
      <c r="Q143" s="201"/>
      <c r="AB143" s="59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0" customFormat="1" ht="17.25" customHeight="1" thickTop="1">
      <c r="C144" s="1373" t="s">
        <v>404</v>
      </c>
      <c r="D144" s="1373"/>
      <c r="E144" s="1373" t="str" cm="1">
        <f t="array" ref="E144">latitudeDecimal2Txt(G22)</f>
        <v>N 41°31.00 (N 41.5166) [N 41°31'00.00]</v>
      </c>
      <c r="F144" s="1373"/>
      <c r="G144" s="1373"/>
      <c r="H144" s="1373"/>
      <c r="I144" s="1373"/>
      <c r="J144" s="1373"/>
      <c r="AB144" s="59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0" customFormat="1" ht="17.25" customHeight="1">
      <c r="C145" s="1357" t="s">
        <v>405</v>
      </c>
      <c r="D145" s="1357"/>
      <c r="E145" s="1357" t="str" cm="1">
        <f t="array" ref="E145">longitudeDecimal2Txt(G24)</f>
        <v>W 112°20.00 (W 112.3333) [W 112°20'00.00]</v>
      </c>
      <c r="F145" s="1357"/>
      <c r="G145" s="1357"/>
      <c r="H145" s="1357"/>
      <c r="I145" s="1357"/>
      <c r="J145" s="1357"/>
      <c r="AB145" s="59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0" customFormat="1" ht="17.25" customHeight="1">
      <c r="F146" s="1859" t="s">
        <v>429</v>
      </c>
      <c r="G146" s="1861" t="str">
        <f>CONCATENATE(" -",G37)</f>
        <v xml:space="preserve"> -Par interval</v>
      </c>
      <c r="H146" s="1371">
        <f>IF(G37=AD37,M41,CONCATENATE("T0:",M50))</f>
        <v>5</v>
      </c>
      <c r="I146" s="1371"/>
      <c r="J146" s="1371"/>
      <c r="K146" s="1371" t="str" cm="1">
        <f t="array" ref="K146">IF(G37=AD37,angleDecimal2Txt(AE40,0),CONCATENATE("Pos. à T0:",angleDecimal2Txt(AD49,0)))</f>
        <v>+334°32.89</v>
      </c>
      <c r="L146" s="1371"/>
      <c r="M146" s="1371"/>
      <c r="AB146" s="59"/>
      <c r="AC146" s="212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0" customFormat="1" ht="17.25" customHeight="1">
      <c r="F147" s="1860"/>
      <c r="G147" s="1862"/>
      <c r="H147" s="1371" cm="1">
        <f t="array" ref="H147">IF(G37=AD37,M43,CONCATENATE("V:",angleDecimal2Txt(AD51,0)))</f>
        <v>6</v>
      </c>
      <c r="I147" s="1371"/>
      <c r="J147" s="1371"/>
      <c r="K147" s="1371" t="str" cm="1">
        <f t="array" ref="K147">IF(G37=AD37,angleDecimal2Txt(AE41,0),CONCATENATE("dt:",TEXT((I50-M50),"0.000")," h"))</f>
        <v>+334°32.89</v>
      </c>
      <c r="L147" s="1371"/>
      <c r="M147" s="1371"/>
      <c r="AB147" s="59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0" customFormat="1" ht="17.25" customHeight="1">
      <c r="C148" s="1516" t="s">
        <v>430</v>
      </c>
      <c r="D148" s="1516"/>
      <c r="E148" s="1516" t="str" cm="1">
        <f t="array" ref="E148">angleDecimal2Txt(F36,0)</f>
        <v>+334°32.89</v>
      </c>
      <c r="F148" s="1516"/>
      <c r="G148" s="1516"/>
      <c r="H148" s="1516"/>
      <c r="I148" s="1516"/>
      <c r="J148" s="1516"/>
      <c r="AB148" s="59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0" customFormat="1" ht="17.25" customHeight="1">
      <c r="C149" s="1726" t="s">
        <v>454</v>
      </c>
      <c r="D149" s="1729"/>
      <c r="E149" s="1516" t="str" cm="1">
        <f t="array" ref="E149">angleDecimal2Txt(F32,0)</f>
        <v>+317°32.70</v>
      </c>
      <c r="F149" s="1516"/>
      <c r="G149" s="1516"/>
      <c r="H149" s="1516"/>
      <c r="I149" s="1516"/>
      <c r="J149" s="1516"/>
      <c r="AB149" s="5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0" customFormat="1" ht="17.25" customHeight="1">
      <c r="C150" s="1726" t="s">
        <v>443</v>
      </c>
      <c r="D150" s="1729"/>
      <c r="E150" s="1516" t="str" cm="1">
        <f t="array" ref="E150">angleDecimal2Txt(F54,0)</f>
        <v>+292°05.59</v>
      </c>
      <c r="F150" s="1516"/>
      <c r="G150" s="1516"/>
      <c r="H150" s="1516"/>
      <c r="I150" s="1516"/>
      <c r="J150" s="1516"/>
      <c r="AB150" s="59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0" customFormat="1" ht="17.25" customHeight="1">
      <c r="C151" s="1516" t="s">
        <v>442</v>
      </c>
      <c r="D151" s="1516"/>
      <c r="E151" s="1516" t="str" cm="1">
        <f t="array" ref="E151">angleDecimal2Txt(F59,0)</f>
        <v>+179°45.60</v>
      </c>
      <c r="F151" s="1516"/>
      <c r="G151" s="1516"/>
      <c r="H151" s="1516"/>
      <c r="I151" s="1516"/>
      <c r="J151" s="1516"/>
      <c r="AB151" s="59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0" customFormat="1" ht="17.25" customHeight="1">
      <c r="C152" s="1516" t="s">
        <v>9</v>
      </c>
      <c r="D152" s="1516"/>
      <c r="E152" s="1516" t="str" cm="1">
        <f t="array" ref="E152">angleDecimal2Txt(F27,0)</f>
        <v>+89°19.30</v>
      </c>
      <c r="F152" s="1516"/>
      <c r="G152" s="1516"/>
      <c r="H152" s="1516"/>
      <c r="I152" s="1516"/>
      <c r="J152" s="1516"/>
      <c r="AB152" s="59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0" customFormat="1" ht="17.25" customHeight="1">
      <c r="F153" s="1856" t="s">
        <v>447</v>
      </c>
      <c r="G153" s="1856"/>
      <c r="H153" s="1856"/>
      <c r="I153" s="1856"/>
      <c r="J153" s="1856"/>
      <c r="K153" s="1856"/>
      <c r="L153" s="1856"/>
      <c r="M153" s="1856"/>
      <c r="AB153" s="59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0" customFormat="1" ht="17.25" customHeight="1">
      <c r="F154" s="1371" t="s">
        <v>448</v>
      </c>
      <c r="G154" s="1371"/>
      <c r="H154" s="1371"/>
      <c r="I154" s="1371" t="str" cm="1">
        <f t="array" ref="I154">angleDecimal2Txt(H104,0)</f>
        <v>+00°40.69</v>
      </c>
      <c r="J154" s="1371"/>
      <c r="K154" s="1371"/>
      <c r="L154" s="1371"/>
      <c r="M154" s="1371"/>
      <c r="AB154" s="59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0" customFormat="1" ht="17.25" customHeight="1">
      <c r="F155" s="1371" t="s">
        <v>449</v>
      </c>
      <c r="G155" s="1371"/>
      <c r="H155" s="1371"/>
      <c r="I155" s="1371" t="str" cm="1">
        <f t="array" ref="I155">angleDecimal2Txt(H108)</f>
        <v>+00°40.69 (+00.6783) [+00°40'41.97]</v>
      </c>
      <c r="J155" s="1371"/>
      <c r="K155" s="1371"/>
      <c r="L155" s="1371"/>
      <c r="M155" s="1371"/>
      <c r="AB155" s="59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0" customFormat="1" ht="17.25" customHeight="1">
      <c r="F156" s="1856" t="s">
        <v>451</v>
      </c>
      <c r="G156" s="1856"/>
      <c r="H156" s="1856"/>
      <c r="I156" s="1856"/>
      <c r="J156" s="1856"/>
      <c r="K156" s="1856"/>
      <c r="L156" s="1856"/>
      <c r="M156" s="1856"/>
      <c r="AB156" s="59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0" customFormat="1" ht="17.25" customHeight="1">
      <c r="F157" s="1856" t="s">
        <v>450</v>
      </c>
      <c r="G157" s="1856"/>
      <c r="H157" s="1856"/>
      <c r="I157" s="1856"/>
      <c r="J157" s="1856"/>
      <c r="K157" s="1856"/>
      <c r="L157" s="1856"/>
      <c r="M157" s="1856"/>
      <c r="AB157" s="59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0" customFormat="1" ht="17.25" customHeight="1">
      <c r="C158" s="1505" t="s">
        <v>41</v>
      </c>
      <c r="D158" s="1505"/>
      <c r="E158" s="1505" t="str" cm="1">
        <f t="array" ref="E158">latitudeDecimal2Txt(H112)</f>
        <v>N 29°29.86 (N 29.4977) [N 29°29'51.74]</v>
      </c>
      <c r="F158" s="1506"/>
      <c r="G158" s="1506"/>
      <c r="H158" s="1506"/>
      <c r="I158" s="1506"/>
      <c r="J158" s="1506"/>
      <c r="AB158" s="59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0" customFormat="1" ht="17.25" customHeight="1">
      <c r="C159" s="1857" t="s">
        <v>453</v>
      </c>
      <c r="D159" s="1858"/>
      <c r="E159" s="1502" t="str" cm="1">
        <f t="array" ref="E159">angleDecimal2Txt(H116,0)</f>
        <v>+359°59.80</v>
      </c>
      <c r="F159" s="1503"/>
      <c r="G159" s="1503"/>
      <c r="H159" s="1503"/>
      <c r="I159" s="1503"/>
      <c r="J159" s="1504"/>
      <c r="AB159" s="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4" customFormat="1" ht="17.25" customHeight="1">
      <c r="C176" s="57"/>
      <c r="D176" s="57"/>
      <c r="E176" s="57"/>
      <c r="F176" s="57"/>
      <c r="AA176" s="21"/>
      <c r="AB176" s="78"/>
      <c r="AC176" s="20"/>
      <c r="AD176" s="22"/>
      <c r="AE176" s="22"/>
      <c r="AF176" s="22"/>
      <c r="AG176" s="22"/>
      <c r="AH176" s="22"/>
      <c r="AI176" s="22"/>
      <c r="AJ176" s="22"/>
      <c r="AK176" s="22"/>
      <c r="AL176" s="74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</row>
    <row r="177" spans="3:65" s="14" customFormat="1" ht="17.25" customHeight="1">
      <c r="C177" s="57"/>
      <c r="D177" s="57"/>
      <c r="E177" s="57"/>
      <c r="F177" s="57"/>
      <c r="AA177" s="21"/>
      <c r="AB177" s="78"/>
      <c r="AC177" s="20"/>
      <c r="AD177" s="22"/>
      <c r="AE177" s="22"/>
      <c r="AF177" s="22"/>
      <c r="AG177" s="22"/>
      <c r="AH177" s="22"/>
      <c r="AI177" s="22"/>
      <c r="AJ177" s="22"/>
      <c r="AK177" s="22"/>
      <c r="AL177" s="74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</row>
  </sheetData>
  <dataConsolidate/>
  <mergeCells count="287"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80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912" t="s">
        <v>639</v>
      </c>
      <c r="B1" s="1912"/>
      <c r="C1" s="1912"/>
      <c r="D1" s="197"/>
      <c r="E1" s="197"/>
    </row>
    <row r="2" spans="1:66">
      <c r="B2" s="324" t="s">
        <v>622</v>
      </c>
      <c r="C2" s="324"/>
      <c r="D2" s="324"/>
      <c r="E2" s="324"/>
      <c r="F2" s="334" t="s">
        <v>623</v>
      </c>
      <c r="G2" s="334"/>
      <c r="H2" s="334"/>
      <c r="I2" s="334"/>
      <c r="J2" s="324" t="s">
        <v>688</v>
      </c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</row>
    <row r="3" spans="1:66">
      <c r="C3" s="332" t="s">
        <v>619</v>
      </c>
      <c r="D3" s="332"/>
      <c r="E3" s="332"/>
      <c r="G3" s="332" t="s">
        <v>624</v>
      </c>
      <c r="H3" s="332"/>
      <c r="I3" s="332"/>
      <c r="K3" s="332" t="s">
        <v>691</v>
      </c>
      <c r="L3" s="223" t="s">
        <v>693</v>
      </c>
      <c r="M3" s="1871" t="s">
        <v>689</v>
      </c>
      <c r="N3" s="1871"/>
      <c r="O3" s="1871"/>
      <c r="P3" s="1871"/>
      <c r="Q3" s="321" t="s">
        <v>90</v>
      </c>
      <c r="R3" s="333" t="s">
        <v>690</v>
      </c>
      <c r="S3" s="333"/>
      <c r="T3" s="333"/>
      <c r="U3" s="223"/>
    </row>
    <row r="4" spans="1:66">
      <c r="C4" s="332" t="s">
        <v>620</v>
      </c>
      <c r="D4" s="332"/>
      <c r="E4" s="332"/>
      <c r="G4" s="332" t="s">
        <v>625</v>
      </c>
      <c r="H4" s="332"/>
      <c r="I4" s="332"/>
      <c r="K4" s="332" t="s">
        <v>695</v>
      </c>
      <c r="L4" s="223" t="s">
        <v>694</v>
      </c>
      <c r="M4" s="1871" t="s">
        <v>692</v>
      </c>
      <c r="N4" s="1871"/>
      <c r="O4" s="1871"/>
      <c r="P4" s="1871"/>
      <c r="Q4" s="223"/>
      <c r="R4" s="223"/>
      <c r="S4" s="223"/>
      <c r="T4" s="223"/>
      <c r="U4" s="223"/>
    </row>
    <row r="5" spans="1:66">
      <c r="C5" s="332" t="s">
        <v>621</v>
      </c>
      <c r="D5" s="332"/>
      <c r="E5" s="332"/>
      <c r="G5" s="332" t="s">
        <v>626</v>
      </c>
      <c r="H5" s="332"/>
      <c r="I5" s="332"/>
    </row>
    <row r="6" spans="1:66">
      <c r="K6" t="s">
        <v>696</v>
      </c>
    </row>
    <row r="7" spans="1:66">
      <c r="L7" s="332" t="s">
        <v>697</v>
      </c>
      <c r="M7" s="332"/>
      <c r="N7" s="332"/>
      <c r="O7" s="332"/>
      <c r="P7" s="332"/>
    </row>
    <row r="8" spans="1:66">
      <c r="L8" s="332" t="s">
        <v>698</v>
      </c>
      <c r="M8" s="332"/>
      <c r="N8" s="332"/>
      <c r="O8" s="332"/>
      <c r="P8" s="332"/>
    </row>
    <row r="9" spans="1:66" ht="15.75" thickBot="1"/>
    <row r="10" spans="1:66" s="14" customFormat="1" ht="17.25" customHeight="1" thickBot="1">
      <c r="B10" s="1888" t="s">
        <v>1</v>
      </c>
      <c r="C10" s="1889"/>
      <c r="D10" s="1889"/>
      <c r="E10" s="92" t="str" cm="1">
        <f t="array" ref="E10">dateDecimale2txt(dateConvert2Decimal(E11),0)</f>
        <v>2007/04/23</v>
      </c>
      <c r="F10" s="92"/>
      <c r="G10" s="24" t="s">
        <v>315</v>
      </c>
      <c r="H10" s="24"/>
      <c r="I10" s="24"/>
      <c r="J10" s="24"/>
      <c r="K10" s="24"/>
      <c r="L10" s="24" t="s">
        <v>316</v>
      </c>
      <c r="M10" s="1474">
        <f>dateConvert2Decimal(E11)</f>
        <v>1177286400</v>
      </c>
      <c r="N10" s="1474"/>
      <c r="O10" s="317"/>
      <c r="P10" s="24" t="s">
        <v>317</v>
      </c>
      <c r="Q10" s="1475">
        <f>(M10/86400)+DATE(1970,1,1)</f>
        <v>39195</v>
      </c>
      <c r="R10" s="1475"/>
      <c r="S10" s="24" t="s">
        <v>318</v>
      </c>
      <c r="T10" s="219">
        <f>INT(MONTH(Q10))</f>
        <v>4</v>
      </c>
      <c r="U10" s="60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2"/>
    </row>
    <row r="11" spans="1:66" s="14" customFormat="1" ht="17.25" customHeight="1">
      <c r="C11" s="662" t="s">
        <v>1</v>
      </c>
      <c r="D11" s="663"/>
      <c r="E11" s="1626" t="s">
        <v>709</v>
      </c>
      <c r="F11" s="1627"/>
      <c r="G11" s="1627"/>
      <c r="H11" s="319" t="s">
        <v>711</v>
      </c>
      <c r="I11" s="1915">
        <f>T10</f>
        <v>4</v>
      </c>
      <c r="J11" s="1915"/>
      <c r="K11" s="1915"/>
      <c r="L11" s="1620"/>
      <c r="M11" s="1620"/>
      <c r="N11" s="1620"/>
      <c r="O11" s="1620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2"/>
    </row>
    <row r="12" spans="1:66" s="14" customFormat="1" ht="17.25" customHeight="1" thickBot="1">
      <c r="C12" s="13"/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2"/>
    </row>
    <row r="13" spans="1:66" s="14" customFormat="1" ht="17.25" customHeight="1" thickBot="1">
      <c r="B13" s="1888" t="s">
        <v>18</v>
      </c>
      <c r="C13" s="1889"/>
      <c r="D13" s="1889"/>
      <c r="E13" s="1889"/>
      <c r="F13" s="1889"/>
      <c r="G13" s="1889"/>
      <c r="H13" s="1889"/>
      <c r="I13" s="1889"/>
      <c r="J13" s="1889"/>
      <c r="K13" s="1889"/>
      <c r="L13" s="1889"/>
      <c r="M13" s="1889"/>
      <c r="N13" s="1889"/>
      <c r="O13" s="1889"/>
      <c r="P13" s="1889"/>
      <c r="Q13" s="1889"/>
      <c r="R13" s="1889"/>
      <c r="S13" s="1889"/>
      <c r="T13" s="1889"/>
      <c r="U13" s="1889"/>
      <c r="V13" s="1889"/>
      <c r="W13" s="1889"/>
      <c r="X13" s="1889"/>
      <c r="Y13" s="1889"/>
      <c r="Z13" s="1890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2"/>
    </row>
    <row r="14" spans="1:66" s="14" customFormat="1" ht="15" customHeight="1" thickBot="1">
      <c r="C14" s="1923" t="s">
        <v>19</v>
      </c>
      <c r="D14" s="1923"/>
      <c r="E14" s="1923"/>
      <c r="F14" s="1923"/>
      <c r="G14" s="1923"/>
      <c r="H14" s="1923"/>
      <c r="I14" s="1923"/>
      <c r="J14" s="755">
        <f>M14</f>
        <v>4</v>
      </c>
      <c r="K14" s="756"/>
      <c r="L14" s="757"/>
      <c r="M14" s="1625">
        <v>4</v>
      </c>
      <c r="N14" s="1625"/>
      <c r="O14" s="1625"/>
      <c r="P14" s="12"/>
      <c r="Q14" s="12"/>
      <c r="R14" s="12"/>
      <c r="S14" s="12"/>
      <c r="T14" s="12"/>
      <c r="U14" s="12"/>
      <c r="V14" s="12"/>
      <c r="W14" s="12"/>
      <c r="X14" s="12"/>
      <c r="Y14" s="12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2"/>
    </row>
    <row r="15" spans="1:66" s="14" customFormat="1" ht="15" customHeight="1" thickTop="1" thickBot="1">
      <c r="B15" s="12"/>
      <c r="C15" s="1916" t="s">
        <v>652</v>
      </c>
      <c r="D15" s="1917"/>
      <c r="E15" s="1917"/>
      <c r="F15" s="1917"/>
      <c r="G15" s="1917"/>
      <c r="H15" s="1917"/>
      <c r="I15" s="1918"/>
      <c r="J15" s="572" cm="1">
        <f t="array" ref="J15">angleConvert2Decimal(M15)</f>
        <v>0</v>
      </c>
      <c r="K15" s="573"/>
      <c r="L15" s="573"/>
      <c r="M15" s="1624" t="s">
        <v>653</v>
      </c>
      <c r="N15" s="1625"/>
      <c r="O15" s="1625"/>
      <c r="P15" s="567" t="str" cm="1">
        <f t="array" ref="P15">angleDecimal2Txt(J15)</f>
        <v>+00°00.00 (+00.0000) [+00°00'00.00]</v>
      </c>
      <c r="Q15" s="567"/>
      <c r="R15" s="567"/>
      <c r="S15" s="567"/>
      <c r="T15" s="567"/>
      <c r="U15" s="567"/>
      <c r="V15" s="567"/>
      <c r="W15" s="567"/>
      <c r="X15" s="567"/>
      <c r="Y15" s="12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ht="15.75" thickTop="1">
      <c r="C16" s="1872" t="s">
        <v>65</v>
      </c>
      <c r="D16" s="1873"/>
      <c r="E16" s="1873"/>
      <c r="F16" s="1873"/>
      <c r="G16" s="1873"/>
      <c r="H16" s="1873"/>
      <c r="I16" s="1874"/>
      <c r="J16" s="572" cm="1">
        <f t="array" ref="J16">angleConvert2Decimal(M16)</f>
        <v>10</v>
      </c>
      <c r="K16" s="573"/>
      <c r="L16" s="573"/>
      <c r="M16" s="1919">
        <v>10</v>
      </c>
      <c r="N16" s="1920"/>
      <c r="O16" s="1920"/>
    </row>
    <row r="17" spans="2:31">
      <c r="C17" s="1872" t="s">
        <v>66</v>
      </c>
      <c r="D17" s="1873"/>
      <c r="E17" s="1873"/>
      <c r="F17" s="1873"/>
      <c r="G17" s="1873"/>
      <c r="H17" s="1873"/>
      <c r="I17" s="1874"/>
      <c r="J17" s="572" cm="1">
        <f t="array" ref="J17">angleConvert2Decimal(M17)</f>
        <v>1011</v>
      </c>
      <c r="K17" s="573"/>
      <c r="L17" s="573"/>
      <c r="M17" s="1875">
        <v>1011</v>
      </c>
      <c r="N17" s="1876"/>
      <c r="O17" s="1876"/>
    </row>
    <row r="18" spans="2:31" ht="15.75" thickBot="1">
      <c r="C18" s="1872" t="s">
        <v>699</v>
      </c>
      <c r="D18" s="1873"/>
      <c r="E18" s="1873"/>
      <c r="F18" s="1873"/>
      <c r="G18" s="1873"/>
      <c r="H18" s="1873"/>
      <c r="I18" s="1874"/>
      <c r="J18" s="1909" t="s">
        <v>700</v>
      </c>
      <c r="K18" s="1909"/>
      <c r="L18" s="1909"/>
      <c r="M18" s="1909"/>
      <c r="N18" s="1909"/>
      <c r="O18" s="1909"/>
      <c r="R18" t="s">
        <v>700</v>
      </c>
      <c r="S18" t="s">
        <v>701</v>
      </c>
    </row>
    <row r="19" spans="2:31" ht="16.5" thickTop="1" thickBot="1">
      <c r="C19" s="1872" t="s">
        <v>707</v>
      </c>
      <c r="D19" s="1873"/>
      <c r="E19" s="1873"/>
      <c r="F19" s="1873"/>
      <c r="G19" s="1873"/>
      <c r="H19" s="1873"/>
      <c r="I19" s="1874"/>
      <c r="J19" s="335">
        <f>IF(J18=R18,J20,12+R22)</f>
        <v>14</v>
      </c>
      <c r="K19" s="1910" t="str">
        <f>heureDecimal2Txt(J19)</f>
        <v>14:00:00.00(14.0000)</v>
      </c>
      <c r="L19" s="1910"/>
      <c r="M19" s="1910"/>
      <c r="N19" s="1910"/>
      <c r="O19" s="1910"/>
    </row>
    <row r="20" spans="2:31" ht="15.75" thickTop="1">
      <c r="C20" s="1872" t="s">
        <v>708</v>
      </c>
      <c r="D20" s="1873"/>
      <c r="E20" s="1873"/>
      <c r="F20" s="1873"/>
      <c r="G20" s="1873"/>
      <c r="H20" s="1873"/>
      <c r="I20" s="1874"/>
      <c r="J20" s="572">
        <f>heureConvert2Decimal(M20)</f>
        <v>14</v>
      </c>
      <c r="K20" s="573"/>
      <c r="L20" s="573"/>
      <c r="M20" s="1875" t="s">
        <v>702</v>
      </c>
      <c r="N20" s="1876"/>
      <c r="O20" s="1876"/>
    </row>
    <row r="21" spans="2:31">
      <c r="C21" s="1872" t="s">
        <v>703</v>
      </c>
      <c r="D21" s="1873"/>
      <c r="E21" s="1873"/>
      <c r="F21" s="1873"/>
      <c r="G21" s="1873"/>
      <c r="H21" s="1873"/>
      <c r="I21" s="1874"/>
      <c r="J21" s="572" cm="1">
        <f t="array" ref="J21">angleConvert2Decimal(M21)</f>
        <v>49</v>
      </c>
      <c r="K21" s="573"/>
      <c r="L21" s="573"/>
      <c r="M21" s="1875" t="s">
        <v>705</v>
      </c>
      <c r="N21" s="1876"/>
      <c r="O21" s="1876"/>
    </row>
    <row r="22" spans="2:31">
      <c r="C22" s="1872" t="s">
        <v>704</v>
      </c>
      <c r="D22" s="1873"/>
      <c r="E22" s="1873"/>
      <c r="F22" s="1873"/>
      <c r="G22" s="1873"/>
      <c r="H22" s="1873"/>
      <c r="I22" s="1874"/>
      <c r="J22" s="572" cm="1">
        <f t="array" ref="J22">angleConvert2Decimal(M22)</f>
        <v>-8</v>
      </c>
      <c r="K22" s="573"/>
      <c r="L22" s="573"/>
      <c r="M22" s="1875" t="s">
        <v>706</v>
      </c>
      <c r="N22" s="1876"/>
      <c r="O22" s="1876"/>
      <c r="R22">
        <f>-1*angleConvert2Decimal(M22)/15.002</f>
        <v>0.53326223170243969</v>
      </c>
    </row>
    <row r="24" spans="2:31" ht="15.75" thickBot="1"/>
    <row r="25" spans="2:31" ht="15.75" thickBot="1">
      <c r="B25" s="1888" t="s">
        <v>56</v>
      </c>
      <c r="C25" s="1891"/>
      <c r="D25" s="1891"/>
      <c r="E25" s="1891"/>
      <c r="F25" s="1891"/>
      <c r="G25" s="1891"/>
      <c r="H25" s="1891"/>
      <c r="I25" s="1891"/>
      <c r="J25" s="1891"/>
      <c r="K25" s="1891"/>
      <c r="L25" s="1891"/>
      <c r="M25" s="1891"/>
      <c r="N25" s="1891"/>
      <c r="O25" s="1891"/>
      <c r="P25" s="1891"/>
      <c r="Q25" s="1891"/>
      <c r="R25" s="1891"/>
      <c r="S25" s="1891"/>
      <c r="T25" s="1891"/>
      <c r="U25" s="1889"/>
      <c r="V25" s="1889"/>
      <c r="W25" s="1889"/>
      <c r="X25" s="1889"/>
      <c r="Y25" s="1889"/>
      <c r="Z25" s="1890"/>
    </row>
    <row r="26" spans="2:31" ht="16.5" thickTop="1" thickBot="1">
      <c r="B26" s="14"/>
      <c r="C26" s="1050" t="s">
        <v>33</v>
      </c>
      <c r="D26" s="1050"/>
      <c r="E26" s="1050"/>
      <c r="F26" s="1050"/>
      <c r="G26" s="625"/>
      <c r="H26" s="627"/>
      <c r="I26" s="1332" t="s">
        <v>60</v>
      </c>
      <c r="J26" s="1332"/>
      <c r="K26" s="1333" cm="1">
        <f t="array" ref="K26">angleConvert2Decimal(M26)</f>
        <v>32.983333333333334</v>
      </c>
      <c r="L26" s="1333"/>
      <c r="M26" s="1911" t="s">
        <v>712</v>
      </c>
      <c r="N26" s="1911"/>
      <c r="O26" s="1911"/>
      <c r="P26" s="590" t="str">
        <f>angleDecimal2Txt(K26)</f>
        <v>+32°59.00 (+32.9833) [+32°59'00.00]</v>
      </c>
      <c r="Q26" s="590"/>
      <c r="R26" s="590"/>
      <c r="S26" s="590"/>
      <c r="T26" s="590"/>
      <c r="AA26" s="224" t="s">
        <v>31</v>
      </c>
    </row>
    <row r="27" spans="2:31" ht="16.5" thickTop="1" thickBot="1">
      <c r="B27" s="12"/>
      <c r="C27" s="1050"/>
      <c r="D27" s="1050"/>
      <c r="E27" s="1050"/>
      <c r="F27" s="1050"/>
      <c r="G27" s="1482"/>
      <c r="H27" s="1484"/>
      <c r="I27" s="1332" t="s">
        <v>644</v>
      </c>
      <c r="J27" s="1332"/>
      <c r="K27" s="1883" t="str">
        <f>M27</f>
        <v>Bord inf.</v>
      </c>
      <c r="L27" s="1884"/>
      <c r="M27" s="1881" t="s">
        <v>645</v>
      </c>
      <c r="N27" s="1881"/>
      <c r="O27" s="1881"/>
      <c r="P27" s="590"/>
      <c r="Q27" s="590"/>
      <c r="R27" s="590"/>
      <c r="S27" s="590"/>
      <c r="T27" s="590"/>
    </row>
    <row r="28" spans="2:31" ht="16.5" thickTop="1" thickBot="1">
      <c r="B28" s="12"/>
      <c r="C28" s="634" t="s">
        <v>31</v>
      </c>
      <c r="D28" s="634"/>
      <c r="E28" s="634"/>
      <c r="F28" s="634"/>
      <c r="G28" s="596" t="s">
        <v>31</v>
      </c>
      <c r="H28" s="596"/>
      <c r="I28" s="1332" t="s">
        <v>60</v>
      </c>
      <c r="J28" s="1332"/>
      <c r="K28" s="1333" cm="1">
        <f t="array" ref="K28">angleConvert2Decimal(M28)</f>
        <v>49.674999999999997</v>
      </c>
      <c r="L28" s="1333"/>
      <c r="M28" s="1911" t="s">
        <v>628</v>
      </c>
      <c r="N28" s="1911"/>
      <c r="O28" s="1911"/>
      <c r="P28" s="590" t="str">
        <f>angleDecimal2Txt(K28)</f>
        <v>+49°40.50 (+49.6749) [+49°40'30.00]</v>
      </c>
      <c r="Q28" s="590"/>
      <c r="R28" s="590"/>
      <c r="S28" s="590"/>
      <c r="T28" s="590"/>
    </row>
    <row r="29" spans="2:31" ht="16.5" thickTop="1" thickBot="1">
      <c r="C29" s="634"/>
      <c r="D29" s="634"/>
      <c r="E29" s="634"/>
      <c r="F29" s="634"/>
      <c r="G29" s="596"/>
      <c r="H29" s="596"/>
      <c r="I29" s="1332" t="s">
        <v>644</v>
      </c>
      <c r="J29" s="1332"/>
      <c r="K29" s="1883" t="str">
        <f>M29</f>
        <v>Bord inf.</v>
      </c>
      <c r="L29" s="1884"/>
      <c r="M29" s="1881" t="s">
        <v>645</v>
      </c>
      <c r="N29" s="1881"/>
      <c r="O29" s="1881"/>
      <c r="P29" s="590"/>
      <c r="Q29" s="590"/>
      <c r="R29" s="590"/>
      <c r="S29" s="590"/>
      <c r="T29" s="590"/>
      <c r="AA29" s="320" t="s">
        <v>645</v>
      </c>
      <c r="AC29" s="320" t="s">
        <v>732</v>
      </c>
      <c r="AE29" t="s">
        <v>734</v>
      </c>
    </row>
    <row r="30" spans="2:31" ht="15.75" thickTop="1">
      <c r="C30" s="1050" t="s">
        <v>640</v>
      </c>
      <c r="D30" s="1050"/>
      <c r="E30" s="1050"/>
      <c r="F30" s="1050"/>
      <c r="G30" s="1869"/>
      <c r="H30" s="1869"/>
      <c r="I30" s="1700" t="s">
        <v>60</v>
      </c>
      <c r="J30" s="1700"/>
      <c r="K30" s="1885" cm="1">
        <f t="array" ref="K30">angleConvert2Decimal(M30)</f>
        <v>81.825000000000003</v>
      </c>
      <c r="L30" s="1885"/>
      <c r="M30" s="1882" t="s">
        <v>713</v>
      </c>
      <c r="N30" s="1882"/>
      <c r="O30" s="1882"/>
      <c r="P30" s="1925" t="str">
        <f>angleDecimal2Txt(K30)</f>
        <v>+81°49.50 (+81.8250) [+81°49'30.00]</v>
      </c>
      <c r="Q30" s="1926"/>
      <c r="R30" s="1926"/>
      <c r="S30" s="1926"/>
      <c r="T30" s="1927"/>
      <c r="AA30" s="320" t="s">
        <v>646</v>
      </c>
      <c r="AC30" s="320" t="s">
        <v>733</v>
      </c>
      <c r="AE30" t="s">
        <v>735</v>
      </c>
    </row>
    <row r="31" spans="2:31">
      <c r="C31" s="1050"/>
      <c r="D31" s="1050"/>
      <c r="E31" s="1050"/>
      <c r="F31" s="1050"/>
      <c r="G31" s="1869"/>
      <c r="H31" s="1869"/>
      <c r="I31" s="1332" t="s">
        <v>644</v>
      </c>
      <c r="J31" s="1332"/>
      <c r="K31" s="1883" t="str">
        <f>M31</f>
        <v>Bord inf. Lune</v>
      </c>
      <c r="L31" s="1884"/>
      <c r="M31" s="1881" t="s">
        <v>732</v>
      </c>
      <c r="N31" s="1881"/>
      <c r="O31" s="1881"/>
      <c r="P31" s="1928"/>
      <c r="Q31" s="1929"/>
      <c r="R31" s="1929"/>
      <c r="S31" s="1929"/>
      <c r="T31" s="1930"/>
      <c r="AA31" s="320" t="s">
        <v>58</v>
      </c>
      <c r="AC31" s="320"/>
    </row>
    <row r="32" spans="2:31" ht="15.75" thickBot="1">
      <c r="C32" s="1050"/>
      <c r="D32" s="1050"/>
      <c r="E32" s="1050"/>
      <c r="F32" s="1050"/>
      <c r="G32" s="1869"/>
      <c r="H32" s="1869"/>
      <c r="I32" s="1332" t="s">
        <v>644</v>
      </c>
      <c r="J32" s="1332"/>
      <c r="K32" s="1883" t="str">
        <f>M32</f>
        <v>Bord inf. Soleil</v>
      </c>
      <c r="L32" s="1884"/>
      <c r="M32" s="1881" t="s">
        <v>734</v>
      </c>
      <c r="N32" s="1881"/>
      <c r="O32" s="1881"/>
      <c r="P32" s="1931"/>
      <c r="Q32" s="1932"/>
      <c r="R32" s="1932"/>
      <c r="S32" s="1932"/>
      <c r="T32" s="1933"/>
    </row>
    <row r="33" spans="2:28" ht="16.5" thickTop="1" thickBot="1"/>
    <row r="34" spans="2:28" ht="15.75" thickBot="1">
      <c r="B34" s="1888" t="s">
        <v>648</v>
      </c>
      <c r="C34" s="1891"/>
      <c r="D34" s="1891"/>
      <c r="E34" s="1891"/>
      <c r="F34" s="1891"/>
      <c r="G34" s="1891"/>
      <c r="H34" s="1891"/>
      <c r="I34" s="1889"/>
      <c r="J34" s="1889"/>
      <c r="K34" s="1889"/>
      <c r="L34" s="1889"/>
      <c r="M34" s="1889"/>
      <c r="N34" s="1889"/>
      <c r="O34" s="1889"/>
      <c r="P34" s="1889"/>
      <c r="Q34" s="1889"/>
      <c r="R34" s="1889"/>
      <c r="S34" s="1889"/>
      <c r="T34" s="1889"/>
      <c r="U34" s="1889"/>
      <c r="V34" s="1889"/>
      <c r="W34" s="1889"/>
      <c r="X34" s="1889"/>
      <c r="Y34" s="1889"/>
      <c r="Z34" s="1890"/>
    </row>
    <row r="35" spans="2:28" ht="16.5" thickTop="1" thickBot="1">
      <c r="C35" s="1941" t="s">
        <v>33</v>
      </c>
      <c r="D35" s="1941"/>
      <c r="E35" s="1941"/>
      <c r="F35" s="1941"/>
      <c r="G35" s="322"/>
      <c r="H35" s="89"/>
      <c r="I35" s="1921" t="s">
        <v>277</v>
      </c>
      <c r="J35" s="1922"/>
      <c r="K35" s="564" cm="1">
        <f t="array" ref="K35">angleConvert2Decimal(M35)</f>
        <v>0.94833333333333336</v>
      </c>
      <c r="L35" s="564"/>
      <c r="M35" s="571" t="s">
        <v>710</v>
      </c>
      <c r="N35" s="571"/>
      <c r="O35" s="571"/>
      <c r="P35" s="1934" t="str">
        <f>angleDecimal2Txt(K35)</f>
        <v>+00°56.89 (+00.9483) [+00°56'54.00]</v>
      </c>
      <c r="Q35" s="1935"/>
      <c r="R35" s="1935"/>
      <c r="S35" s="1935"/>
      <c r="T35" s="1936"/>
    </row>
    <row r="36" spans="2:28" ht="16.5" thickTop="1" thickBot="1"/>
    <row r="37" spans="2:28" ht="15.75" thickBot="1">
      <c r="B37" s="1888" t="s">
        <v>100</v>
      </c>
      <c r="C37" s="1889"/>
      <c r="D37" s="1889"/>
      <c r="E37" s="1889"/>
      <c r="F37" s="1889"/>
      <c r="G37" s="1889"/>
      <c r="H37" s="1889"/>
      <c r="I37" s="1889"/>
      <c r="J37" s="1889"/>
      <c r="K37" s="1889"/>
      <c r="L37" s="1889"/>
      <c r="M37" s="1889"/>
      <c r="N37" s="1889"/>
      <c r="O37" s="1889"/>
      <c r="P37" s="1889"/>
      <c r="Q37" s="1889"/>
      <c r="R37" s="1889"/>
      <c r="S37" s="1889"/>
      <c r="T37" s="1889"/>
      <c r="U37" s="1889"/>
      <c r="V37" s="1889"/>
      <c r="W37" s="1889"/>
      <c r="X37" s="1889"/>
      <c r="Y37" s="1889"/>
      <c r="Z37" s="1890"/>
    </row>
    <row r="38" spans="2:28" ht="15.75" thickBot="1">
      <c r="C38" t="s">
        <v>649</v>
      </c>
    </row>
    <row r="39" spans="2:28" ht="16.5" thickTop="1" thickBot="1">
      <c r="E39" s="224" t="s">
        <v>31</v>
      </c>
      <c r="F39" s="224" cm="1">
        <f t="array" ref="F39">astroDiametreSoleilEnDegre(I11)</f>
        <v>0.53333333299999997</v>
      </c>
      <c r="G39" s="1908" t="str">
        <f>angleDecimal2Txt(F39)</f>
        <v>+00°31.99 (+00.5333) [+00°31'59.99]</v>
      </c>
      <c r="H39" s="1908"/>
      <c r="I39" s="1908"/>
      <c r="J39" s="1908"/>
      <c r="K39" s="1908"/>
    </row>
    <row r="40" spans="2:28" ht="16.5" thickTop="1" thickBot="1">
      <c r="E40" s="224" t="s">
        <v>33</v>
      </c>
      <c r="F40" s="224" cm="1">
        <f t="array" ref="F40">astroDiametreLuneEnDegre(K35)</f>
        <v>0.51763780940000004</v>
      </c>
      <c r="G40" s="1908" t="str">
        <f>angleDecimal2Txt(F40)</f>
        <v>+00°31.05 (+00.5176) [+00°31'03.49]</v>
      </c>
      <c r="H40" s="1908"/>
      <c r="I40" s="1908"/>
      <c r="J40" s="1908"/>
      <c r="K40" s="1908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888" t="s">
        <v>95</v>
      </c>
      <c r="C42" s="1889"/>
      <c r="D42" s="1889"/>
      <c r="E42" s="1889"/>
      <c r="F42" s="1889"/>
      <c r="G42" s="1889"/>
      <c r="H42" s="1889"/>
      <c r="I42" s="1889"/>
      <c r="J42" s="1889"/>
      <c r="K42" s="1889"/>
      <c r="L42" s="1889"/>
      <c r="M42" s="1889"/>
      <c r="N42" s="1889"/>
      <c r="O42" s="1889"/>
      <c r="P42" s="1889"/>
      <c r="Q42" s="1889"/>
      <c r="R42" s="1889"/>
      <c r="S42" s="1889"/>
      <c r="T42" s="1889"/>
      <c r="U42" s="1889"/>
      <c r="V42" s="1889"/>
      <c r="W42" s="1889"/>
      <c r="X42" s="1889"/>
      <c r="Y42" s="1889"/>
      <c r="Z42" s="1890"/>
    </row>
    <row r="43" spans="2:28">
      <c r="F43" s="1877" t="s">
        <v>31</v>
      </c>
      <c r="G43" s="1877"/>
      <c r="H43" s="1877"/>
      <c r="I43" s="1877"/>
      <c r="J43" s="1877" t="s">
        <v>33</v>
      </c>
      <c r="K43" s="1877"/>
      <c r="L43" s="1877"/>
      <c r="M43" s="1877"/>
      <c r="N43" s="1877" t="s">
        <v>641</v>
      </c>
      <c r="O43" s="1877"/>
      <c r="P43" s="1877"/>
      <c r="Q43" s="1877"/>
      <c r="R43" s="1877"/>
    </row>
    <row r="44" spans="2:28" ht="15.75" thickBot="1">
      <c r="C44" s="1878" t="s">
        <v>60</v>
      </c>
      <c r="D44" s="1878"/>
      <c r="E44" s="1878"/>
      <c r="F44" s="1516">
        <f>$K$28</f>
        <v>49.674999999999997</v>
      </c>
      <c r="G44" s="1516"/>
      <c r="H44" s="1516"/>
      <c r="I44" s="1516"/>
      <c r="J44" s="1516">
        <f>$K$26</f>
        <v>32.983333333333334</v>
      </c>
      <c r="K44" s="1516"/>
      <c r="L44" s="1516"/>
      <c r="M44" s="1516"/>
      <c r="N44" s="1937" t="s">
        <v>654</v>
      </c>
      <c r="O44" s="1729">
        <f>$K$30</f>
        <v>81.825000000000003</v>
      </c>
      <c r="P44" s="1516"/>
      <c r="Q44" s="1516"/>
      <c r="R44" s="1516"/>
    </row>
    <row r="45" spans="2:28" ht="16.5" thickTop="1" thickBot="1">
      <c r="C45" s="1878"/>
      <c r="D45" s="1878"/>
      <c r="E45" s="1878"/>
      <c r="F45" s="1863" t="str">
        <f>angleDecimal2Txt(F44)</f>
        <v>+49°40.50 (+49.6749) [+49°40'30.00]</v>
      </c>
      <c r="G45" s="1863"/>
      <c r="H45" s="1863"/>
      <c r="I45" s="1863"/>
      <c r="J45" s="1863" t="str">
        <f>angleDecimal2Txt(J44)</f>
        <v>+32°59.00 (+32.9833) [+32°59'00.00]</v>
      </c>
      <c r="K45" s="1863"/>
      <c r="L45" s="1863"/>
      <c r="M45" s="1863"/>
      <c r="N45" s="1938"/>
      <c r="O45" s="1870" t="str">
        <f>angleDecimal2Txt(O44)</f>
        <v>+81°49.50 (+81.8250) [+81°49'30.00]</v>
      </c>
      <c r="P45" s="1863"/>
      <c r="Q45" s="1863"/>
      <c r="R45" s="1863"/>
    </row>
    <row r="46" spans="2:28" ht="18.75" thickTop="1">
      <c r="D46" s="1879" t="s">
        <v>642</v>
      </c>
      <c r="E46" s="1880"/>
      <c r="F46" s="1516">
        <f>$J$15*(-1)</f>
        <v>0</v>
      </c>
      <c r="G46" s="1516"/>
      <c r="H46" s="1516"/>
      <c r="I46" s="1516"/>
      <c r="J46" s="1516">
        <f>$J$15*(-1)</f>
        <v>0</v>
      </c>
      <c r="K46" s="1516"/>
      <c r="L46" s="1516"/>
      <c r="M46" s="1516"/>
      <c r="N46" s="1516">
        <f>$J$15*(-1)</f>
        <v>0</v>
      </c>
      <c r="O46" s="1516"/>
      <c r="P46" s="1516"/>
      <c r="Q46" s="1516"/>
      <c r="R46" s="1516"/>
      <c r="AA46" s="3" t="s">
        <v>46</v>
      </c>
      <c r="AB46" s="3">
        <f>J14</f>
        <v>4</v>
      </c>
    </row>
    <row r="47" spans="2:28">
      <c r="D47" s="1886" t="s">
        <v>394</v>
      </c>
      <c r="E47" s="1887"/>
      <c r="F47" s="1332">
        <f>$AB$47</f>
        <v>5.8599999999999999E-2</v>
      </c>
      <c r="G47" s="1332"/>
      <c r="H47" s="1332"/>
      <c r="I47" s="1332"/>
      <c r="J47" s="1332">
        <f>$AB$47</f>
        <v>5.8599999999999999E-2</v>
      </c>
      <c r="K47" s="1332"/>
      <c r="L47" s="1332"/>
      <c r="M47" s="1332"/>
      <c r="N47" s="1332" t="s">
        <v>660</v>
      </c>
      <c r="O47" s="1332"/>
      <c r="P47" s="1332"/>
      <c r="Q47" s="1332"/>
      <c r="R47" s="1332"/>
      <c r="AA47" s="70" t="s">
        <v>67</v>
      </c>
      <c r="AB47" s="3">
        <f>0.0293 * SQRT(AB46)</f>
        <v>5.8599999999999999E-2</v>
      </c>
    </row>
    <row r="48" spans="2:28" ht="15.75" thickBot="1">
      <c r="C48" s="1869" t="s">
        <v>714</v>
      </c>
      <c r="D48" s="1869"/>
      <c r="E48" s="1869"/>
      <c r="F48" s="1942">
        <f>F44+F46-F47</f>
        <v>49.616399999999999</v>
      </c>
      <c r="G48" s="1867"/>
      <c r="H48" s="336">
        <f>F48*Outils!$F$4</f>
        <v>0.86596954298651452</v>
      </c>
      <c r="I48" s="339" t="s">
        <v>650</v>
      </c>
      <c r="J48" s="1942">
        <f>J44+J46-J47</f>
        <v>32.924733333333336</v>
      </c>
      <c r="K48" s="1867"/>
      <c r="L48" s="336">
        <f>J48*Outils!$F$4</f>
        <v>0.57464500200779445</v>
      </c>
      <c r="M48" s="340" t="s">
        <v>64</v>
      </c>
      <c r="N48" s="1864" t="s">
        <v>659</v>
      </c>
      <c r="O48" s="1867">
        <f>O44+N46</f>
        <v>81.825000000000003</v>
      </c>
      <c r="P48" s="1868"/>
      <c r="Q48" s="336">
        <f>O48*Outils!$F$4</f>
        <v>1.4281156604443601</v>
      </c>
      <c r="R48" s="339" t="s">
        <v>64</v>
      </c>
      <c r="AA48" s="70"/>
      <c r="AB48" s="3"/>
    </row>
    <row r="49" spans="3:34" ht="16.5" thickTop="1" thickBot="1">
      <c r="C49" s="1869"/>
      <c r="D49" s="1869"/>
      <c r="E49" s="1869"/>
      <c r="F49" s="1863" t="str">
        <f>angleDecimal2Txt(F48)</f>
        <v>+49°36.98 (+49.6163) [+49°36'59.04]</v>
      </c>
      <c r="G49" s="1863"/>
      <c r="H49" s="1863"/>
      <c r="I49" s="1863"/>
      <c r="J49" s="1863" t="str">
        <f>angleDecimal2Txt(J48)</f>
        <v>+32°55.48 (+32.9247) [+32°55'29.04]</v>
      </c>
      <c r="K49" s="1863"/>
      <c r="L49" s="1863"/>
      <c r="M49" s="1863"/>
      <c r="N49" s="1700"/>
      <c r="O49" s="1870" t="str">
        <f>angleDecimal2Txt(O48)</f>
        <v>+81°49.50 (+81.8250) [+81°49'30.00]</v>
      </c>
      <c r="P49" s="1863"/>
      <c r="Q49" s="1863"/>
      <c r="R49" s="1863"/>
      <c r="AA49" s="70"/>
      <c r="AB49" s="3"/>
    </row>
    <row r="50" spans="3:34" ht="15.75" thickTop="1">
      <c r="D50" s="1886" t="s">
        <v>643</v>
      </c>
      <c r="E50" s="1887"/>
      <c r="F50" s="1516" t="str">
        <f>K29</f>
        <v>Bord inf.</v>
      </c>
      <c r="G50" s="1516"/>
      <c r="H50" s="1516"/>
      <c r="I50" s="1516"/>
      <c r="J50" s="1516" t="str">
        <f>K27</f>
        <v>Bord inf.</v>
      </c>
      <c r="K50" s="1516"/>
      <c r="L50" s="1516"/>
      <c r="M50" s="1516"/>
      <c r="N50" s="1516" t="str">
        <f>K31</f>
        <v>Bord inf. Lune</v>
      </c>
      <c r="O50" s="1516"/>
      <c r="P50" s="1516"/>
      <c r="Q50" s="1516" t="str">
        <f>K32</f>
        <v>Bord inf. Soleil</v>
      </c>
      <c r="R50" s="1516"/>
    </row>
    <row r="51" spans="3:34" ht="15.75" thickBot="1">
      <c r="D51" s="1886" t="s">
        <v>100</v>
      </c>
      <c r="E51" s="1887"/>
      <c r="F51" s="1516">
        <f>F39</f>
        <v>0.53333333299999997</v>
      </c>
      <c r="G51" s="1516"/>
      <c r="H51" s="1516"/>
      <c r="I51" s="1516"/>
      <c r="J51" s="1332">
        <f>F40</f>
        <v>0.51763780940000004</v>
      </c>
      <c r="K51" s="1332"/>
      <c r="L51" s="1332"/>
      <c r="M51" s="1332"/>
      <c r="N51" s="1332">
        <f>F51</f>
        <v>0.53333333299999997</v>
      </c>
      <c r="O51" s="1332"/>
      <c r="P51" s="1332"/>
      <c r="Q51" s="1332">
        <f>J51</f>
        <v>0.51763780940000004</v>
      </c>
      <c r="R51" s="1332"/>
      <c r="AA51" s="224" t="s">
        <v>647</v>
      </c>
      <c r="AB51" s="224"/>
    </row>
    <row r="52" spans="3:34" ht="16.5" thickTop="1" thickBot="1">
      <c r="D52" s="1904" t="s">
        <v>71</v>
      </c>
      <c r="E52" s="1905"/>
      <c r="F52" s="1939">
        <f>F51*VLOOKUP(F50,$AA$52:$AB$56,2,FALSE)</f>
        <v>0.26666666649999998</v>
      </c>
      <c r="G52" s="1914" t="str">
        <f>angleDecimal2Txt((F52))</f>
        <v>+00°15.99 (+00.2666) [+00°15'59.99]</v>
      </c>
      <c r="H52" s="1914"/>
      <c r="I52" s="1914"/>
      <c r="J52" s="1913">
        <f>J51*VLOOKUP(J50,$AA$52:$AB$56,2,FALSE)</f>
        <v>0.25881890470000002</v>
      </c>
      <c r="K52" s="1914" t="str">
        <f>angleDecimal2Txt((J52))</f>
        <v>+00°15.52 (+00.2588) [+00°15'31.74]</v>
      </c>
      <c r="L52" s="1914"/>
      <c r="M52" s="1914"/>
      <c r="N52" s="1332">
        <f>N51*VLOOKUP(N50,Z52:AB53,3,FALSE)</f>
        <v>0.26666666649999998</v>
      </c>
      <c r="O52" s="1332"/>
      <c r="P52" s="1332"/>
      <c r="Q52" s="1332">
        <f>Q51*VLOOKUP(Q50,Y52:AB53,4,FALSE)</f>
        <v>0.25881890470000002</v>
      </c>
      <c r="R52" s="1332"/>
      <c r="Y52" s="224" t="str">
        <f>AE29</f>
        <v>Bord inf. Soleil</v>
      </c>
      <c r="Z52" s="224" t="str">
        <f>AC29</f>
        <v>Bord inf. Lune</v>
      </c>
      <c r="AA52" s="224" t="str">
        <f>AA29</f>
        <v>Bord inf.</v>
      </c>
      <c r="AB52" s="224">
        <v>0.5</v>
      </c>
      <c r="AE52" s="224"/>
      <c r="AH52" s="224"/>
    </row>
    <row r="53" spans="3:34" ht="16.5" thickTop="1" thickBot="1">
      <c r="D53" s="1906"/>
      <c r="E53" s="1907"/>
      <c r="F53" s="1940"/>
      <c r="G53" s="1914"/>
      <c r="H53" s="1914"/>
      <c r="I53" s="1914"/>
      <c r="J53" s="1864"/>
      <c r="K53" s="1914"/>
      <c r="L53" s="1914"/>
      <c r="M53" s="1914"/>
      <c r="N53" s="1332">
        <f>(N52+Q52)</f>
        <v>0.52548557119999995</v>
      </c>
      <c r="O53" s="1332"/>
      <c r="P53" s="1332"/>
      <c r="Q53" s="1332"/>
      <c r="R53" s="1332"/>
      <c r="Y53" s="224" t="str">
        <f>AE30</f>
        <v>Bord Sup. Soleil</v>
      </c>
      <c r="Z53" s="224" t="str">
        <f>AC30</f>
        <v>Bord Sup. Lune</v>
      </c>
      <c r="AA53" s="224" t="str">
        <f>AA30</f>
        <v>Bord Sup.</v>
      </c>
      <c r="AB53" s="224">
        <v>-0.5</v>
      </c>
      <c r="AE53" s="224"/>
      <c r="AH53" s="224"/>
    </row>
    <row r="54" spans="3:34" ht="16.5" thickTop="1" thickBot="1">
      <c r="C54" s="1869" t="s">
        <v>722</v>
      </c>
      <c r="D54" s="1869"/>
      <c r="E54" s="1869"/>
      <c r="F54" s="1868">
        <f>F48+F52</f>
        <v>49.8830666665</v>
      </c>
      <c r="G54" s="1868"/>
      <c r="H54" s="336">
        <f>F54*Outils!$F$4</f>
        <v>0.87062375432225714</v>
      </c>
      <c r="I54" s="337" t="s">
        <v>650</v>
      </c>
      <c r="J54" s="1868">
        <f>J48+J52</f>
        <v>33.183552238033336</v>
      </c>
      <c r="K54" s="1868"/>
      <c r="L54" s="336">
        <f>J54*Outils!$F$4</f>
        <v>0.57916224406121486</v>
      </c>
      <c r="M54" s="338" t="s">
        <v>64</v>
      </c>
      <c r="N54" s="1864" t="s">
        <v>729</v>
      </c>
      <c r="O54" s="1867">
        <f>O48+N53</f>
        <v>82.350485571199997</v>
      </c>
      <c r="P54" s="1868"/>
      <c r="Q54" s="336">
        <f>O54*Outils!$F$4</f>
        <v>1.4372871138335233</v>
      </c>
      <c r="R54" s="337" t="s">
        <v>64</v>
      </c>
      <c r="AA54" s="224" t="str">
        <f>AA31</f>
        <v>Milieu</v>
      </c>
      <c r="AB54" s="224">
        <v>0</v>
      </c>
    </row>
    <row r="55" spans="3:34" ht="16.5" thickTop="1" thickBot="1">
      <c r="C55" s="1869"/>
      <c r="D55" s="1869"/>
      <c r="E55" s="1869"/>
      <c r="F55" s="1870" t="str">
        <f>angleDecimal2Txt(F54)</f>
        <v>+49°52.98 (+49.8830) [+49°52'59.03]</v>
      </c>
      <c r="G55" s="1863"/>
      <c r="H55" s="1863"/>
      <c r="I55" s="1863"/>
      <c r="J55" s="1863" t="str">
        <f>angleDecimal2Txt(J54)</f>
        <v>+33°11.01 (+33.1835) [+33°11'00.78]</v>
      </c>
      <c r="K55" s="1863"/>
      <c r="L55" s="1863"/>
      <c r="M55" s="1900"/>
      <c r="N55" s="1700"/>
      <c r="O55" s="1870" t="str">
        <f>angleDecimal2Txt(O54)</f>
        <v>+82°21.02 (+82.3504) [+82°21'01.74]</v>
      </c>
      <c r="P55" s="1863"/>
      <c r="Q55" s="1863"/>
      <c r="R55" s="1863"/>
      <c r="AA55" s="224"/>
      <c r="AB55" s="224"/>
    </row>
    <row r="56" spans="3:34" ht="16.5" thickTop="1" thickBot="1">
      <c r="E56" s="323" t="s">
        <v>651</v>
      </c>
      <c r="F56" s="327" cm="1">
        <f t="array" ref="F56">astroHPSoleilEnDegre()</f>
        <v>2.8833333333333302E-3</v>
      </c>
      <c r="G56" s="1903" t="str">
        <f>angleDecimal2Txt((F56))</f>
        <v>+00°00.17 (+00.0028) [+00°00'10.37]</v>
      </c>
      <c r="H56" s="1903"/>
      <c r="I56" s="1903"/>
      <c r="J56" s="327">
        <f>K35</f>
        <v>0.94833333333333336</v>
      </c>
      <c r="K56" s="1903" t="str">
        <f>angleDecimal2Txt((J56))</f>
        <v>+00°56.89 (+00.9483) [+00°56'54.00]</v>
      </c>
      <c r="L56" s="1903"/>
      <c r="M56" s="1903"/>
    </row>
    <row r="57" spans="3:34" ht="16.5" thickTop="1" thickBot="1">
      <c r="E57" s="224" t="s">
        <v>277</v>
      </c>
      <c r="F57" s="327">
        <f>AC58</f>
        <v>1.8578748766220486E-3</v>
      </c>
      <c r="G57" s="1903" t="str">
        <f>angleDecimal2Txt((F57))</f>
        <v>+00°00.11 (+00.0018) [+00°00'06.68]</v>
      </c>
      <c r="H57" s="1903"/>
      <c r="I57" s="1903"/>
      <c r="J57" s="328">
        <f>AC59</f>
        <v>0.79366966768813074</v>
      </c>
      <c r="K57" s="1903" t="str">
        <f>angleDecimal2Txt((J57))</f>
        <v>+00°47.62 (+00.7936) [+00°47'37.21]</v>
      </c>
      <c r="L57" s="1903"/>
      <c r="M57" s="1903"/>
      <c r="AA57" s="3" t="s">
        <v>716</v>
      </c>
      <c r="AB57" s="3"/>
    </row>
    <row r="58" spans="3:34" ht="16.5" thickTop="1" thickBot="1">
      <c r="E58" s="224" t="s">
        <v>184</v>
      </c>
      <c r="F58" s="327">
        <f>AB65</f>
        <v>1.3980157699802686E-2</v>
      </c>
      <c r="G58" s="1903" t="str">
        <f>angleDecimal2Txt((F58))</f>
        <v>+00°00.83 (+00.0139) [+00°00'50.32]</v>
      </c>
      <c r="H58" s="1903"/>
      <c r="I58" s="1903"/>
      <c r="J58" s="328">
        <f>AC65</f>
        <v>2.5304558655161638E-2</v>
      </c>
      <c r="K58" s="1903" t="str">
        <f>angleDecimal2Txt((J58))</f>
        <v>+00°01.51 (+00.0253) [+00°01'31.09]</v>
      </c>
      <c r="L58" s="1903"/>
      <c r="M58" s="1903"/>
      <c r="Q58" s="90"/>
      <c r="AA58" s="1924" t="s">
        <v>715</v>
      </c>
      <c r="AB58" s="224" t="s">
        <v>31</v>
      </c>
      <c r="AC58" s="224">
        <f>ASIN(SIN(F56*Outils!F4)*COS(H54))*Outils!F5</f>
        <v>1.8578748766220486E-3</v>
      </c>
    </row>
    <row r="59" spans="3:34" ht="16.5" thickTop="1" thickBot="1">
      <c r="E59" s="329" t="s">
        <v>676</v>
      </c>
      <c r="F59" s="319">
        <f>F57-F58+F52</f>
        <v>0.25454438367681936</v>
      </c>
      <c r="G59" s="1903" t="str">
        <f>angleDecimal2Txt((F59))</f>
        <v>+00°15.27 (+00.2545) [+00°15'16.35]</v>
      </c>
      <c r="H59" s="1903"/>
      <c r="I59" s="1903"/>
      <c r="J59" s="328">
        <f>J57-J58+J52</f>
        <v>1.0271840137329691</v>
      </c>
      <c r="K59" s="1903" t="str">
        <f>angleDecimal2Txt((J59))</f>
        <v>+01°01.63 (+01.0271) [+01°01'37.86]</v>
      </c>
      <c r="L59" s="1903"/>
      <c r="M59" s="1903"/>
      <c r="Q59" s="90"/>
      <c r="AA59" s="1924"/>
      <c r="AB59" s="224" t="s">
        <v>33</v>
      </c>
      <c r="AC59" s="224">
        <f>ASIN(SIN(J56*Outils!F4)*COS(L54))*Outils!F5</f>
        <v>0.79366966768813074</v>
      </c>
    </row>
    <row r="60" spans="3:34" ht="16.5" thickTop="1" thickBot="1">
      <c r="C60" s="1869" t="s">
        <v>723</v>
      </c>
      <c r="D60" s="1869"/>
      <c r="E60" s="1869"/>
      <c r="F60" s="1901">
        <f>F54+F57-F58</f>
        <v>49.870944383676814</v>
      </c>
      <c r="G60" s="1901"/>
      <c r="H60" s="336">
        <f>F60*Outils!$F$4</f>
        <v>0.87041218057413461</v>
      </c>
      <c r="I60" s="339" t="s">
        <v>650</v>
      </c>
      <c r="J60" s="1902">
        <f>J54+J57-J58</f>
        <v>33.951917347066299</v>
      </c>
      <c r="K60" s="1901"/>
      <c r="L60" s="336">
        <f>J60*Outils!$F$4</f>
        <v>0.59257274507128521</v>
      </c>
      <c r="M60" s="339" t="s">
        <v>650</v>
      </c>
      <c r="O60" s="1899"/>
      <c r="P60" s="1899"/>
      <c r="Q60" s="1899"/>
      <c r="R60" s="1899"/>
    </row>
    <row r="61" spans="3:34" ht="16.5" thickTop="1" thickBot="1">
      <c r="C61" s="1869"/>
      <c r="D61" s="1869"/>
      <c r="E61" s="1869"/>
      <c r="F61" s="1870" t="str">
        <f>angleDecimal2Txt(F60)</f>
        <v>+49°52.25 (+49.8709) [+49°52'15.39]</v>
      </c>
      <c r="G61" s="1863"/>
      <c r="H61" s="1863"/>
      <c r="I61" s="1863"/>
      <c r="J61" s="1863" t="str">
        <f>angleDecimal2Txt(J60)</f>
        <v>+33°57.11 (+33.9519) [+33°57'06.90]</v>
      </c>
      <c r="K61" s="1863"/>
      <c r="L61" s="1863"/>
      <c r="M61" s="1863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866" t="s">
        <v>655</v>
      </c>
      <c r="D63" s="1866"/>
      <c r="E63" s="1866"/>
      <c r="F63" s="1865">
        <f>SIN(H54)</f>
        <v>0.76473100165685415</v>
      </c>
      <c r="G63" s="1865"/>
      <c r="H63" s="1865"/>
      <c r="I63" s="1865"/>
      <c r="J63" s="1865">
        <f>SIN(L54)</f>
        <v>0.54732299301012166</v>
      </c>
      <c r="K63" s="1865"/>
      <c r="L63" s="1865"/>
      <c r="M63" s="1865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866" t="s">
        <v>656</v>
      </c>
      <c r="D64" s="1866"/>
      <c r="E64" s="1866"/>
      <c r="F64" s="1865">
        <f>COS(H54)</f>
        <v>0.64434966835166796</v>
      </c>
      <c r="G64" s="1865"/>
      <c r="H64" s="1865"/>
      <c r="I64" s="1865"/>
      <c r="J64" s="1865">
        <f>COS(L54)</f>
        <v>0.83692146663975731</v>
      </c>
      <c r="K64" s="1865"/>
      <c r="L64" s="1865"/>
      <c r="M64" s="1865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866" t="s">
        <v>724</v>
      </c>
      <c r="D65" s="1866"/>
      <c r="E65" s="1866"/>
      <c r="F65" s="1865">
        <f>SIN(H60)</f>
        <v>0.76459465706743734</v>
      </c>
      <c r="G65" s="1865"/>
      <c r="H65" s="1865"/>
      <c r="I65" s="1865"/>
      <c r="J65" s="1865">
        <f>SIN(L60)</f>
        <v>0.55849697781054075</v>
      </c>
      <c r="K65" s="1865"/>
      <c r="L65" s="1865"/>
      <c r="M65" s="1865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866" t="s">
        <v>725</v>
      </c>
      <c r="D66" s="1866"/>
      <c r="E66" s="1866"/>
      <c r="F66" s="1865">
        <f>COS(H60)</f>
        <v>0.64451145093312956</v>
      </c>
      <c r="G66" s="1865"/>
      <c r="H66" s="1865"/>
      <c r="I66" s="1865"/>
      <c r="J66" s="1865">
        <f>COS(L60)</f>
        <v>0.82950655559585085</v>
      </c>
      <c r="K66" s="1865"/>
      <c r="L66" s="1865"/>
      <c r="M66" s="1865"/>
    </row>
    <row r="68" spans="2:29">
      <c r="C68" s="1866" t="s">
        <v>629</v>
      </c>
      <c r="D68" s="1866"/>
      <c r="E68" s="1866"/>
      <c r="F68" s="1865">
        <f>F63*J63</f>
        <v>0.41855486067445774</v>
      </c>
      <c r="G68" s="1865"/>
      <c r="H68" s="1865"/>
      <c r="I68" s="1865"/>
      <c r="J68" s="344" t="s">
        <v>717</v>
      </c>
    </row>
    <row r="69" spans="2:29">
      <c r="C69" s="1866" t="s">
        <v>726</v>
      </c>
      <c r="D69" s="1866"/>
      <c r="E69" s="1866"/>
      <c r="F69" s="1865">
        <f>F64*J64</f>
        <v>0.5392700694657192</v>
      </c>
      <c r="G69" s="1865"/>
      <c r="H69" s="1865"/>
      <c r="I69" s="1865"/>
      <c r="J69" s="344" t="s">
        <v>720</v>
      </c>
    </row>
    <row r="70" spans="2:29">
      <c r="C70" s="1866" t="s">
        <v>727</v>
      </c>
      <c r="D70" s="1866"/>
      <c r="E70" s="1866"/>
      <c r="F70" s="1865">
        <f>F65*J65</f>
        <v>0.42702380522225059</v>
      </c>
      <c r="G70" s="1865"/>
      <c r="H70" s="1865"/>
      <c r="I70" s="1865"/>
      <c r="J70" s="344" t="s">
        <v>719</v>
      </c>
    </row>
    <row r="71" spans="2:29">
      <c r="C71" s="1866" t="s">
        <v>728</v>
      </c>
      <c r="D71" s="1866"/>
      <c r="E71" s="1866"/>
      <c r="F71" s="1865">
        <f>F66*J66</f>
        <v>0.53462647370562455</v>
      </c>
      <c r="G71" s="1865"/>
      <c r="H71" s="1865"/>
      <c r="I71" s="1865"/>
      <c r="J71" s="344" t="s">
        <v>5</v>
      </c>
    </row>
    <row r="72" spans="2:29">
      <c r="C72" s="1866" t="s">
        <v>730</v>
      </c>
      <c r="D72" s="1866"/>
      <c r="E72" s="1866"/>
      <c r="F72" s="1865">
        <f>COS(Q54)</f>
        <v>0.13311293913358418</v>
      </c>
      <c r="G72" s="1865"/>
      <c r="H72" s="1865"/>
      <c r="I72" s="1865"/>
      <c r="J72" s="344" t="s">
        <v>718</v>
      </c>
    </row>
    <row r="73" spans="2:29" ht="15.75" thickBot="1"/>
    <row r="74" spans="2:29" ht="15.75" thickBot="1">
      <c r="B74" s="1888" t="s">
        <v>661</v>
      </c>
      <c r="C74" s="1889"/>
      <c r="D74" s="1889"/>
      <c r="E74" s="1889"/>
      <c r="F74" s="1889"/>
      <c r="G74" s="1889"/>
      <c r="H74" s="1889"/>
      <c r="I74" s="1889"/>
      <c r="J74" s="1889"/>
      <c r="K74" s="1889"/>
      <c r="L74" s="1889"/>
      <c r="M74" s="1889"/>
      <c r="N74" s="1889"/>
      <c r="O74" s="1889"/>
      <c r="P74" s="1889"/>
      <c r="Q74" s="1889"/>
      <c r="R74" s="1889"/>
      <c r="S74" s="1889"/>
      <c r="T74" s="1889"/>
      <c r="U74" s="1889"/>
      <c r="V74" s="1889"/>
      <c r="W74" s="1889"/>
      <c r="X74" s="1889"/>
      <c r="Y74" s="1889"/>
      <c r="Z74" s="1890"/>
    </row>
    <row r="75" spans="2:29">
      <c r="C75" s="1892" t="s">
        <v>731</v>
      </c>
      <c r="D75" s="1892"/>
      <c r="E75" s="1892"/>
      <c r="F75" s="1892"/>
      <c r="G75" s="1892"/>
      <c r="H75" s="1892"/>
      <c r="I75" s="1892"/>
      <c r="J75" s="1892"/>
      <c r="K75" s="1892"/>
      <c r="L75" s="1892"/>
      <c r="M75" s="1892"/>
    </row>
    <row r="76" spans="2:29">
      <c r="C76" s="1895" t="s">
        <v>721</v>
      </c>
      <c r="D76" s="1895"/>
      <c r="E76" s="1895"/>
      <c r="F76" s="1895"/>
      <c r="G76" s="341"/>
      <c r="H76" s="341"/>
      <c r="I76" s="341"/>
      <c r="J76" s="341"/>
      <c r="K76" s="341"/>
      <c r="L76" s="341"/>
      <c r="M76" s="341"/>
    </row>
    <row r="77" spans="2:29" ht="15.75" thickBot="1">
      <c r="C77" t="s">
        <v>657</v>
      </c>
      <c r="D77">
        <f>F68+(F72-F70)*F69/F71</f>
        <v>0.12209117814526732</v>
      </c>
    </row>
    <row r="78" spans="2:29" ht="16.5" thickTop="1" thickBot="1">
      <c r="C78" s="81" t="s">
        <v>627</v>
      </c>
      <c r="D78" s="81">
        <f>ACOS(D77)*Outils!$F$5</f>
        <v>82.987194178480095</v>
      </c>
      <c r="E78" t="s">
        <v>28</v>
      </c>
      <c r="F78" s="1863" t="str">
        <f>angleDecimal2Txt(D78)</f>
        <v>+82°59.23 (+82.9871) [+82°59'13.89]</v>
      </c>
      <c r="G78" s="1863"/>
      <c r="H78" s="1863"/>
      <c r="I78" s="1863"/>
    </row>
    <row r="79" spans="2:29" ht="15.75" thickTop="1"/>
    <row r="80" spans="2:29" ht="15.75" thickBot="1"/>
    <row r="81" spans="2:31" ht="15.75" thickBot="1">
      <c r="B81" s="1888" t="s">
        <v>662</v>
      </c>
      <c r="C81" s="1889"/>
      <c r="D81" s="1889"/>
      <c r="E81" s="1889"/>
      <c r="F81" s="1889"/>
      <c r="G81" s="1889"/>
      <c r="H81" s="1889"/>
      <c r="I81" s="1891"/>
      <c r="J81" s="1891"/>
      <c r="K81" s="1891"/>
      <c r="L81" s="1891"/>
      <c r="M81" s="1891"/>
      <c r="N81" s="1889"/>
      <c r="O81" s="1889"/>
      <c r="P81" s="1889"/>
      <c r="Q81" s="1889"/>
      <c r="R81" s="1889"/>
      <c r="S81" s="1889"/>
      <c r="T81" s="1889"/>
      <c r="U81" s="1889"/>
      <c r="V81" s="1889"/>
      <c r="W81" s="1889"/>
      <c r="X81" s="1889"/>
      <c r="Y81" s="1889"/>
      <c r="Z81" s="1890"/>
    </row>
    <row r="82" spans="2:31" ht="15.75" thickBot="1">
      <c r="C82" t="s">
        <v>663</v>
      </c>
      <c r="AA82" s="89" t="s">
        <v>668</v>
      </c>
      <c r="AB82" s="89">
        <f>AVERAGE(F85:F92)</f>
        <v>79.995833333333323</v>
      </c>
      <c r="AC82" s="89"/>
      <c r="AD82" s="89" t="s">
        <v>669</v>
      </c>
      <c r="AE82" s="89">
        <f>AVERAGE(D85:D92)</f>
        <v>10.5</v>
      </c>
    </row>
    <row r="83" spans="2:31" ht="19.5" thickTop="1" thickBot="1">
      <c r="D83" s="223" t="s">
        <v>630</v>
      </c>
      <c r="E83" s="1871" t="s">
        <v>664</v>
      </c>
      <c r="F83" s="1871"/>
      <c r="G83" s="1898" t="s">
        <v>737</v>
      </c>
      <c r="H83" s="1898"/>
      <c r="N83" s="1896" t="s">
        <v>674</v>
      </c>
      <c r="O83" s="1897">
        <f>K87*D78+L87</f>
        <v>16.433791811755441</v>
      </c>
      <c r="P83" s="1897"/>
      <c r="Q83" s="1897"/>
      <c r="R83" s="326" t="s">
        <v>675</v>
      </c>
    </row>
    <row r="84" spans="2:31" ht="16.5" thickTop="1" thickBot="1">
      <c r="D84" s="325" t="s">
        <v>666</v>
      </c>
      <c r="E84" s="1893" t="s">
        <v>667</v>
      </c>
      <c r="F84" s="1894"/>
      <c r="G84" s="342" t="s">
        <v>738</v>
      </c>
      <c r="H84" s="342" t="s">
        <v>739</v>
      </c>
      <c r="N84" s="1896"/>
      <c r="O84" s="1897" t="str">
        <f>heureDecimal2Txt(O83)</f>
        <v>16:26:01.65(16.4337)</v>
      </c>
      <c r="P84" s="1897"/>
      <c r="Q84" s="1897"/>
      <c r="R84" s="326" t="s">
        <v>675</v>
      </c>
      <c r="AA84" s="318" t="s">
        <v>670</v>
      </c>
      <c r="AB84" s="318" t="s">
        <v>671</v>
      </c>
      <c r="AC84" s="1700" t="s">
        <v>672</v>
      </c>
      <c r="AD84" s="1700"/>
      <c r="AE84" s="89" t="s">
        <v>673</v>
      </c>
    </row>
    <row r="85" spans="2:31" ht="19.5" thickTop="1" thickBot="1">
      <c r="D85" s="223">
        <v>0</v>
      </c>
      <c r="E85" s="321" t="s">
        <v>631</v>
      </c>
      <c r="F85" s="223" cm="1">
        <f t="array" ref="F85">angleConvert2Decimal(E85)</f>
        <v>74.680000000000007</v>
      </c>
      <c r="G85" s="342">
        <f t="shared" ref="G85:G92" si="0">(D85-$L$90)/$K$90</f>
        <v>74.702541982629683</v>
      </c>
      <c r="H85" s="343">
        <f>POWER((G85-F85),2)</f>
        <v>5.0814098087660425E-4</v>
      </c>
      <c r="J85" s="324" t="s">
        <v>665</v>
      </c>
      <c r="K85" s="324"/>
      <c r="L85" s="324"/>
      <c r="M85" s="324"/>
      <c r="AA85" s="318">
        <f t="shared" ref="AA85:AA92" si="1">F85-$AB$82</f>
        <v>-5.3158333333333161</v>
      </c>
      <c r="AB85" s="318">
        <f t="shared" ref="AB85:AB92" si="2">D85-$AE$82</f>
        <v>-10.5</v>
      </c>
      <c r="AC85" s="1700">
        <f t="shared" ref="AC85:AC92" si="3">AA85*AB85</f>
        <v>55.816249999999819</v>
      </c>
      <c r="AD85" s="1700"/>
      <c r="AE85" s="89">
        <f>AA85*AA85</f>
        <v>28.258084027777596</v>
      </c>
    </row>
    <row r="86" spans="2:31" ht="16.5" thickTop="1" thickBot="1">
      <c r="D86" s="223">
        <v>3</v>
      </c>
      <c r="E86" s="321" t="s">
        <v>632</v>
      </c>
      <c r="F86" s="223" cm="1">
        <f t="array" ref="F86">angleConvert2Decimal(E86)</f>
        <v>76.211666666666673</v>
      </c>
      <c r="G86" s="342">
        <f t="shared" si="0"/>
        <v>76.214910939973578</v>
      </c>
      <c r="H86" s="343">
        <f t="shared" ref="H86:H92" si="4">POWER((G86-F86),2)</f>
        <v>1.052530928989428E-5</v>
      </c>
      <c r="K86" s="306" t="s">
        <v>242</v>
      </c>
      <c r="L86" s="306" t="s">
        <v>243</v>
      </c>
      <c r="AA86" s="318">
        <f t="shared" si="1"/>
        <v>-3.7841666666666498</v>
      </c>
      <c r="AB86" s="318">
        <f t="shared" si="2"/>
        <v>-7.5</v>
      </c>
      <c r="AC86" s="1700">
        <f t="shared" si="3"/>
        <v>28.381249999999874</v>
      </c>
      <c r="AD86" s="1700"/>
      <c r="AE86" s="89">
        <f t="shared" ref="AE86:AE92" si="5">AA86*AA86</f>
        <v>14.319917361110983</v>
      </c>
    </row>
    <row r="87" spans="2:31" ht="16.5" thickTop="1" thickBot="1">
      <c r="D87" s="223">
        <v>6</v>
      </c>
      <c r="E87" s="321" t="s">
        <v>633</v>
      </c>
      <c r="F87" s="223" cm="1">
        <f t="array" ref="F87">angleConvert2Decimal(E87)</f>
        <v>77.736666666666665</v>
      </c>
      <c r="G87" s="342">
        <f t="shared" si="0"/>
        <v>77.727279897317473</v>
      </c>
      <c r="H87" s="343">
        <f t="shared" si="4"/>
        <v>8.8111438814922547E-5</v>
      </c>
      <c r="K87" s="306">
        <f>SUM(AC85:AD92)/SUM(AE85:AE92)</f>
        <v>1.9836429367531849</v>
      </c>
      <c r="L87" s="306">
        <f>AE82-K87*AB82</f>
        <v>-148.18316976135162</v>
      </c>
      <c r="AA87" s="318">
        <f t="shared" si="1"/>
        <v>-2.2591666666666583</v>
      </c>
      <c r="AB87" s="318">
        <f t="shared" si="2"/>
        <v>-4.5</v>
      </c>
      <c r="AC87" s="1700">
        <f t="shared" si="3"/>
        <v>10.166249999999962</v>
      </c>
      <c r="AD87" s="1700"/>
      <c r="AE87" s="89">
        <f t="shared" si="5"/>
        <v>5.1038340277777401</v>
      </c>
    </row>
    <row r="88" spans="2:31" ht="16.5" thickTop="1" thickBot="1">
      <c r="D88" s="223">
        <v>9</v>
      </c>
      <c r="E88" s="321" t="s">
        <v>634</v>
      </c>
      <c r="F88" s="223" cm="1">
        <f t="array" ref="F88">angleConvert2Decimal(E88)</f>
        <v>79.256666666666661</v>
      </c>
      <c r="G88" s="342">
        <f t="shared" si="0"/>
        <v>79.239648854661368</v>
      </c>
      <c r="H88" s="343">
        <f t="shared" si="4"/>
        <v>2.896059254474741E-4</v>
      </c>
      <c r="J88" s="330" t="s">
        <v>736</v>
      </c>
      <c r="K88" s="330"/>
      <c r="L88" s="330"/>
      <c r="M88" s="330"/>
      <c r="AA88" s="318">
        <f t="shared" si="1"/>
        <v>-0.73916666666666231</v>
      </c>
      <c r="AB88" s="318">
        <f t="shared" si="2"/>
        <v>-1.5</v>
      </c>
      <c r="AC88" s="1700">
        <f t="shared" si="3"/>
        <v>1.1087499999999935</v>
      </c>
      <c r="AD88" s="1700"/>
      <c r="AE88" s="89">
        <f t="shared" si="5"/>
        <v>0.54636736111110462</v>
      </c>
    </row>
    <row r="89" spans="2:31" ht="16.5" thickTop="1" thickBot="1">
      <c r="D89" s="223">
        <v>12</v>
      </c>
      <c r="E89" s="321" t="s">
        <v>635</v>
      </c>
      <c r="F89" s="223" cm="1">
        <f t="array" ref="F89">angleConvert2Decimal(E89)</f>
        <v>80.768333333333331</v>
      </c>
      <c r="G89" s="342">
        <f t="shared" si="0"/>
        <v>80.752017812005263</v>
      </c>
      <c r="H89" s="343">
        <f t="shared" si="4"/>
        <v>2.661962362066242E-4</v>
      </c>
      <c r="K89" s="224" t="s">
        <v>242</v>
      </c>
      <c r="L89" s="224" t="s">
        <v>243</v>
      </c>
      <c r="AA89" s="318">
        <f t="shared" si="1"/>
        <v>0.77250000000000796</v>
      </c>
      <c r="AB89" s="318">
        <f t="shared" si="2"/>
        <v>1.5</v>
      </c>
      <c r="AC89" s="1700">
        <f t="shared" si="3"/>
        <v>1.1587500000000119</v>
      </c>
      <c r="AD89" s="1700"/>
      <c r="AE89" s="89">
        <f t="shared" si="5"/>
        <v>0.59675625000001231</v>
      </c>
    </row>
    <row r="90" spans="2:31" ht="16.5" thickTop="1" thickBot="1">
      <c r="D90" s="223">
        <v>15</v>
      </c>
      <c r="E90" s="321" t="s">
        <v>636</v>
      </c>
      <c r="F90" s="223" cm="1">
        <f t="array" ref="F90">angleConvert2Decimal(E90)</f>
        <v>82.273333333333326</v>
      </c>
      <c r="G90" s="342">
        <f t="shared" si="0"/>
        <v>82.264386769349159</v>
      </c>
      <c r="H90" s="343">
        <f t="shared" si="4"/>
        <v>8.0041007122806808E-5</v>
      </c>
      <c r="K90" s="224" cm="1">
        <f t="array" ref="K90:L90">LINEST(D85:D92,F85:F92,TRUE,FALSE)</f>
        <v>1.9836429367531845</v>
      </c>
      <c r="L90" s="224">
        <v>-148.18316976135159</v>
      </c>
      <c r="AA90" s="318">
        <f t="shared" si="1"/>
        <v>2.2775000000000034</v>
      </c>
      <c r="AB90" s="318">
        <f t="shared" si="2"/>
        <v>4.5</v>
      </c>
      <c r="AC90" s="1700">
        <f t="shared" si="3"/>
        <v>10.248750000000015</v>
      </c>
      <c r="AD90" s="1700"/>
      <c r="AE90" s="89">
        <f t="shared" si="5"/>
        <v>5.1870062500000156</v>
      </c>
    </row>
    <row r="91" spans="2:31" ht="16.5" thickTop="1" thickBot="1">
      <c r="D91" s="223">
        <v>18</v>
      </c>
      <c r="E91" s="321" t="s">
        <v>637</v>
      </c>
      <c r="F91" s="223" cm="1">
        <f t="array" ref="F91">angleConvert2Decimal(E91)</f>
        <v>83.773333333333326</v>
      </c>
      <c r="G91" s="342">
        <f t="shared" si="0"/>
        <v>83.776755726693068</v>
      </c>
      <c r="H91" s="343">
        <f t="shared" si="4"/>
        <v>1.1712776308804111E-5</v>
      </c>
      <c r="AA91" s="318">
        <f t="shared" si="1"/>
        <v>3.7775000000000034</v>
      </c>
      <c r="AB91" s="318">
        <f t="shared" si="2"/>
        <v>7.5</v>
      </c>
      <c r="AC91" s="1700">
        <f t="shared" si="3"/>
        <v>28.331250000000026</v>
      </c>
      <c r="AD91" s="1700"/>
      <c r="AE91" s="89">
        <f t="shared" si="5"/>
        <v>14.269506250000026</v>
      </c>
    </row>
    <row r="92" spans="2:31" ht="16.5" thickTop="1" thickBot="1">
      <c r="D92" s="223">
        <v>21</v>
      </c>
      <c r="E92" s="321" t="s">
        <v>638</v>
      </c>
      <c r="F92" s="223" cm="1">
        <f t="array" ref="F92">angleConvert2Decimal(E92)</f>
        <v>85.266666666666666</v>
      </c>
      <c r="G92" s="342">
        <f t="shared" si="0"/>
        <v>85.289124684036963</v>
      </c>
      <c r="H92" s="343">
        <f t="shared" si="4"/>
        <v>5.0436254420458478E-4</v>
      </c>
      <c r="AA92" s="318">
        <f t="shared" si="1"/>
        <v>5.2708333333333428</v>
      </c>
      <c r="AB92" s="318">
        <f t="shared" si="2"/>
        <v>10.5</v>
      </c>
      <c r="AC92" s="1700">
        <f t="shared" si="3"/>
        <v>55.343750000000099</v>
      </c>
      <c r="AD92" s="1700"/>
      <c r="AE92" s="89">
        <f t="shared" si="5"/>
        <v>27.781684027777878</v>
      </c>
    </row>
    <row r="93" spans="2:31" ht="15.75" thickTop="1"/>
  </sheetData>
  <mergeCells count="189"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06" workbookViewId="0">
      <selection activeCell="S4" sqref="S4"/>
    </sheetView>
  </sheetViews>
  <sheetFormatPr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961" t="s">
        <v>759</v>
      </c>
      <c r="B1" s="1961"/>
      <c r="C1" s="1961"/>
      <c r="D1" s="1961"/>
      <c r="E1" s="1961"/>
      <c r="F1" s="1961"/>
      <c r="G1" s="1961"/>
      <c r="H1" s="1961"/>
      <c r="I1" s="1961"/>
      <c r="J1" s="1961"/>
      <c r="K1" s="1961"/>
      <c r="L1" s="1961"/>
      <c r="M1" s="1961"/>
      <c r="N1" s="1961"/>
      <c r="O1" s="1961"/>
      <c r="P1" s="1961"/>
      <c r="Q1" s="1961"/>
      <c r="R1" s="1961"/>
      <c r="S1" s="1961"/>
      <c r="T1" s="1961"/>
      <c r="U1" s="1961"/>
      <c r="V1" s="1961"/>
    </row>
    <row r="2" spans="1:66">
      <c r="B2" t="s">
        <v>743</v>
      </c>
      <c r="O2" t="s">
        <v>740</v>
      </c>
    </row>
    <row r="3" spans="1:66">
      <c r="C3" t="s">
        <v>774</v>
      </c>
      <c r="O3" t="s">
        <v>742</v>
      </c>
    </row>
    <row r="4" spans="1:66">
      <c r="C4" t="s">
        <v>760</v>
      </c>
      <c r="O4" t="s">
        <v>741</v>
      </c>
    </row>
    <row r="5" spans="1:66">
      <c r="C5" t="s">
        <v>761</v>
      </c>
    </row>
    <row r="7" spans="1:66" s="350" customFormat="1" ht="15.75" thickBot="1">
      <c r="A7" s="350" t="s">
        <v>762</v>
      </c>
    </row>
    <row r="8" spans="1:66" s="14" customFormat="1" ht="17.25" customHeight="1" thickBot="1">
      <c r="B8" s="23" t="s">
        <v>0</v>
      </c>
      <c r="C8" s="24"/>
      <c r="D8" s="24"/>
      <c r="E8" s="92" t="str" cm="1">
        <f t="array" ref="E8">dateDecimale2txt(dateConvert2Decimal(E9),0)</f>
        <v>2025/09/03</v>
      </c>
      <c r="F8" s="92"/>
      <c r="G8" s="93"/>
      <c r="H8" s="94"/>
      <c r="I8" s="92" t="str" cm="1">
        <f t="array" ref="I8">heureDecimal2Txt(E12)</f>
        <v>09:17:00.00(09.2833)</v>
      </c>
      <c r="J8" s="92"/>
      <c r="K8" s="92"/>
      <c r="L8" s="24"/>
      <c r="M8" s="24"/>
      <c r="N8" s="24" t="s">
        <v>315</v>
      </c>
      <c r="O8" s="24"/>
      <c r="P8" s="24"/>
      <c r="Q8" s="24"/>
      <c r="R8" s="24"/>
      <c r="S8" s="24" t="s">
        <v>316</v>
      </c>
      <c r="T8" s="1474">
        <f>dateConvert2Decimal(E9)</f>
        <v>1756857600</v>
      </c>
      <c r="U8" s="1474"/>
      <c r="V8" s="1474"/>
      <c r="W8" s="24" t="s">
        <v>317</v>
      </c>
      <c r="X8" s="1475">
        <f>(T8/86400)+DATE(1970,1,1)</f>
        <v>45903</v>
      </c>
      <c r="Y8" s="1475"/>
      <c r="Z8" s="24" t="s">
        <v>318</v>
      </c>
      <c r="AA8" s="219">
        <f>INT(MONTH(X8))</f>
        <v>9</v>
      </c>
      <c r="AB8" s="60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2"/>
    </row>
    <row r="9" spans="1:66" s="14" customFormat="1" ht="17.25" customHeight="1">
      <c r="C9" s="662" t="s">
        <v>1</v>
      </c>
      <c r="D9" s="663"/>
      <c r="E9" s="1626" t="s">
        <v>763</v>
      </c>
      <c r="F9" s="1627"/>
      <c r="G9" s="1627"/>
      <c r="H9" s="57"/>
      <c r="I9" s="1620"/>
      <c r="J9" s="1620"/>
      <c r="K9" s="1620"/>
      <c r="L9" s="1620"/>
      <c r="M9" s="1620"/>
      <c r="N9" s="1620"/>
      <c r="O9" s="1620"/>
      <c r="AB9" s="59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2"/>
    </row>
    <row r="10" spans="1:66" s="14" customFormat="1" ht="17.25" customHeight="1" thickBot="1">
      <c r="C10" s="664" t="s">
        <v>11</v>
      </c>
      <c r="D10" s="665"/>
      <c r="E10" s="664" t="s">
        <v>2</v>
      </c>
      <c r="F10" s="676"/>
      <c r="G10" s="676"/>
      <c r="H10" s="665"/>
      <c r="I10" s="649" t="s">
        <v>228</v>
      </c>
      <c r="J10" s="649"/>
      <c r="K10" s="649"/>
      <c r="L10" s="649" t="s">
        <v>224</v>
      </c>
      <c r="M10" s="649"/>
      <c r="N10" s="649"/>
      <c r="O10" s="649"/>
      <c r="P10" s="649"/>
      <c r="Q10" s="649" t="s">
        <v>225</v>
      </c>
      <c r="R10" s="649"/>
      <c r="S10" s="649"/>
      <c r="T10" s="649"/>
      <c r="U10" s="649"/>
      <c r="V10" s="771" t="s">
        <v>122</v>
      </c>
      <c r="W10" s="772"/>
      <c r="X10" s="772"/>
      <c r="Y10" s="773"/>
      <c r="AB10" s="61"/>
      <c r="AC10" s="3" t="s">
        <v>163</v>
      </c>
      <c r="AD10" s="65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2"/>
    </row>
    <row r="11" spans="1:66" s="14" customFormat="1" ht="17.25" customHeight="1">
      <c r="C11" s="666"/>
      <c r="D11" s="667"/>
      <c r="E11" s="668"/>
      <c r="F11" s="677"/>
      <c r="G11" s="677"/>
      <c r="H11" s="669"/>
      <c r="I11" s="649"/>
      <c r="J11" s="649"/>
      <c r="K11" s="649"/>
      <c r="L11" s="649"/>
      <c r="M11" s="649"/>
      <c r="N11" s="649"/>
      <c r="O11" s="649"/>
      <c r="P11" s="649"/>
      <c r="Q11" s="649"/>
      <c r="R11" s="649"/>
      <c r="S11" s="649"/>
      <c r="T11" s="649"/>
      <c r="U11" s="649"/>
      <c r="V11" s="774"/>
      <c r="W11" s="775"/>
      <c r="X11" s="775"/>
      <c r="Y11" s="776"/>
      <c r="AB11" s="59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2"/>
    </row>
    <row r="12" spans="1:66" s="14" customFormat="1" ht="17.25" customHeight="1" thickBot="1">
      <c r="C12" s="668"/>
      <c r="D12" s="669"/>
      <c r="E12" s="752">
        <f>AD9+AD10+AD11+AD12</f>
        <v>9.2833333333333332</v>
      </c>
      <c r="F12" s="753"/>
      <c r="G12" s="753"/>
      <c r="H12" s="754"/>
      <c r="I12" s="1591" t="s">
        <v>747</v>
      </c>
      <c r="J12" s="1591"/>
      <c r="K12" s="1591"/>
      <c r="L12" s="1635">
        <v>0</v>
      </c>
      <c r="M12" s="1635"/>
      <c r="N12" s="1635"/>
      <c r="O12" s="1635"/>
      <c r="P12" s="1635"/>
      <c r="Q12" s="1635">
        <v>0</v>
      </c>
      <c r="R12" s="1635"/>
      <c r="S12" s="1635"/>
      <c r="T12" s="1635"/>
      <c r="U12" s="1636"/>
      <c r="V12" s="1631" t="s">
        <v>121</v>
      </c>
      <c r="W12" s="1631"/>
      <c r="X12" s="1631"/>
      <c r="Y12" s="1631"/>
      <c r="AB12" s="59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2"/>
    </row>
    <row r="13" spans="1:66" ht="17.25" customHeight="1" thickTop="1" thickBot="1">
      <c r="B13" s="14"/>
      <c r="E13" s="749" t="str" cm="1">
        <f t="array" ref="E13">heureDecimal2Txt(E12)</f>
        <v>09:17:00.00(09.2833)</v>
      </c>
      <c r="F13" s="750"/>
      <c r="G13" s="750"/>
      <c r="H13" s="751"/>
      <c r="I13" s="11"/>
      <c r="J13" s="11"/>
      <c r="K13" s="11"/>
      <c r="M13" t="s">
        <v>750</v>
      </c>
      <c r="V13" s="11"/>
      <c r="W13" s="11"/>
      <c r="X13" s="11"/>
      <c r="Y13" s="11"/>
      <c r="Z13" s="14"/>
      <c r="AA13" s="14"/>
      <c r="AB13" s="59"/>
      <c r="BN13" s="22"/>
    </row>
    <row r="14" spans="1:66" s="14" customFormat="1" ht="17.25" customHeight="1" thickTop="1" thickBot="1">
      <c r="C14" s="13"/>
      <c r="D14" s="13"/>
      <c r="E14" s="12"/>
      <c r="F14" s="12"/>
      <c r="G14" s="12"/>
      <c r="H14" s="12"/>
      <c r="I14" s="12"/>
      <c r="J14" s="12"/>
      <c r="K14" s="12"/>
      <c r="L14" s="12"/>
      <c r="M14" s="12" t="s">
        <v>751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AB14" s="59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2"/>
    </row>
    <row r="15" spans="1:66" s="14" customFormat="1" ht="17.25" customHeight="1" thickBot="1">
      <c r="B15" s="23" t="s">
        <v>198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60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s="14" customFormat="1" ht="17.25" customHeight="1" thickTop="1" thickBot="1">
      <c r="C16" s="746" t="s">
        <v>7</v>
      </c>
      <c r="D16" s="746"/>
      <c r="E16" s="746"/>
      <c r="F16" s="746"/>
      <c r="G16" s="729">
        <f>AD17</f>
        <v>25.7</v>
      </c>
      <c r="H16" s="730"/>
      <c r="I16" s="730"/>
      <c r="J16" s="1590" t="s">
        <v>3</v>
      </c>
      <c r="K16" s="1599" t="s">
        <v>764</v>
      </c>
      <c r="L16" s="1590"/>
      <c r="M16" s="1590"/>
      <c r="N16" s="1590"/>
      <c r="O16" s="1590"/>
      <c r="P16" s="591" t="str" cm="1">
        <f t="array" ref="P16">latitudeDecimal2Txt(G16)</f>
        <v>N 25°42.00 (N 25.6999) [N 25°42'00.00]</v>
      </c>
      <c r="Q16" s="591"/>
      <c r="R16" s="591"/>
      <c r="S16" s="591"/>
      <c r="T16" s="591"/>
      <c r="U16" s="591"/>
      <c r="V16" s="591"/>
      <c r="W16" s="591"/>
      <c r="X16" s="591"/>
      <c r="Y16" s="591"/>
      <c r="AB16" s="59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2"/>
    </row>
    <row r="17" spans="1:66" s="14" customFormat="1" ht="17.25" customHeight="1" thickTop="1" thickBot="1">
      <c r="A17" s="1598" t="s">
        <v>129</v>
      </c>
      <c r="B17" s="273" t="s">
        <v>130</v>
      </c>
      <c r="C17" s="746"/>
      <c r="D17" s="746"/>
      <c r="E17" s="746"/>
      <c r="F17" s="746"/>
      <c r="G17" s="730"/>
      <c r="H17" s="730"/>
      <c r="I17" s="730"/>
      <c r="J17" s="1590"/>
      <c r="K17" s="1590"/>
      <c r="L17" s="1590"/>
      <c r="M17" s="1590"/>
      <c r="N17" s="1590"/>
      <c r="O17" s="1590"/>
      <c r="P17" s="591"/>
      <c r="Q17" s="591"/>
      <c r="R17" s="591"/>
      <c r="S17" s="591"/>
      <c r="T17" s="591"/>
      <c r="U17" s="591"/>
      <c r="V17" s="591"/>
      <c r="W17" s="591"/>
      <c r="X17" s="591"/>
      <c r="Y17" s="591"/>
      <c r="AB17" s="59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2"/>
    </row>
    <row r="18" spans="1:66" s="14" customFormat="1" ht="17.25" customHeight="1" thickTop="1" thickBot="1">
      <c r="A18" s="1598"/>
      <c r="B18" s="273" t="s">
        <v>138</v>
      </c>
      <c r="C18" s="738" t="s">
        <v>8</v>
      </c>
      <c r="D18" s="738"/>
      <c r="E18" s="738"/>
      <c r="F18" s="738"/>
      <c r="G18" s="729">
        <f>AD19</f>
        <v>136.35</v>
      </c>
      <c r="H18" s="730"/>
      <c r="I18" s="730"/>
      <c r="J18" s="1590" t="s">
        <v>5</v>
      </c>
      <c r="K18" s="1599" t="s">
        <v>746</v>
      </c>
      <c r="L18" s="1590"/>
      <c r="M18" s="1590"/>
      <c r="N18" s="1590"/>
      <c r="O18" s="1590"/>
      <c r="P18" s="591" t="str" cm="1">
        <f t="array" ref="P18">longitudeDecimal2Txt(G18)</f>
        <v>E 136°21.00 (E 136.3499) [E 136°21'00.00]</v>
      </c>
      <c r="Q18" s="591"/>
      <c r="R18" s="591"/>
      <c r="S18" s="591"/>
      <c r="T18" s="591"/>
      <c r="U18" s="591"/>
      <c r="V18" s="591"/>
      <c r="W18" s="591"/>
      <c r="X18" s="591"/>
      <c r="Y18" s="591"/>
      <c r="Z18" s="12"/>
      <c r="AB18" s="59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9"/>
    </row>
    <row r="19" spans="1:66" s="14" customFormat="1" ht="17.25" customHeight="1" thickTop="1" thickBot="1">
      <c r="C19" s="738"/>
      <c r="D19" s="738"/>
      <c r="E19" s="738"/>
      <c r="F19" s="738"/>
      <c r="G19" s="730"/>
      <c r="H19" s="730"/>
      <c r="I19" s="730"/>
      <c r="J19" s="1590"/>
      <c r="K19" s="1590"/>
      <c r="L19" s="1590"/>
      <c r="M19" s="1590"/>
      <c r="N19" s="1590"/>
      <c r="O19" s="1590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Z19" s="12"/>
      <c r="AB19" s="59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29"/>
    </row>
    <row r="20" spans="1:66" s="14" customFormat="1" ht="17.25" customHeight="1" thickTop="1">
      <c r="B20" s="12"/>
      <c r="D20" s="12"/>
      <c r="E20" s="12"/>
      <c r="F20" s="12"/>
      <c r="G20" s="12"/>
      <c r="H20" s="12"/>
      <c r="AB20" s="59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29"/>
    </row>
    <row r="21" spans="1:66" s="14" customFormat="1" ht="17.25" customHeight="1" thickBot="1">
      <c r="C21" s="57"/>
      <c r="D21" s="57"/>
      <c r="E21" s="57"/>
      <c r="F21" s="57"/>
      <c r="G21" s="57"/>
      <c r="AB21" s="59"/>
      <c r="AC21"/>
      <c r="AD21" s="66" t="s">
        <v>768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2"/>
    </row>
    <row r="22" spans="1:66" s="14" customFormat="1" ht="17.25" customHeight="1" thickBot="1">
      <c r="B22" s="23" t="s">
        <v>9</v>
      </c>
      <c r="C22" s="73"/>
      <c r="D22" s="73"/>
      <c r="E22" s="73"/>
      <c r="F22" s="603">
        <f>IF(G23=AD23,D26,IF(G23=AD22,D39,D33))</f>
        <v>19.190000000000001</v>
      </c>
      <c r="G22" s="612"/>
      <c r="H22" s="612"/>
      <c r="I22" s="24"/>
      <c r="J22" s="24"/>
      <c r="K22" s="24" t="str" cm="1">
        <f t="array" ref="K22">latitudeDecimal2Txt(F22)</f>
        <v>N 19°11.40 (N 19.1900) [N 19°11'24.00]</v>
      </c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62"/>
      <c r="AC22"/>
      <c r="AD22" s="66" t="s">
        <v>513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2"/>
    </row>
    <row r="23" spans="1:66" s="31" customFormat="1" ht="17.25" customHeight="1">
      <c r="C23" s="675" t="s">
        <v>35</v>
      </c>
      <c r="D23" s="675"/>
      <c r="E23" s="675"/>
      <c r="F23" s="675"/>
      <c r="G23" s="1577" t="s">
        <v>10</v>
      </c>
      <c r="H23" s="1578"/>
      <c r="I23" s="1579"/>
      <c r="AB23" s="63"/>
      <c r="AC23" s="1330" t="s">
        <v>36</v>
      </c>
      <c r="AD23" s="66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4" customFormat="1" ht="17.25" customHeight="1" outlineLevel="1">
      <c r="C24" s="1331" t="s">
        <v>10</v>
      </c>
      <c r="D24" s="926" t="s">
        <v>9</v>
      </c>
      <c r="E24" s="634"/>
      <c r="F24" s="634"/>
      <c r="G24" s="634"/>
      <c r="H24" s="634"/>
      <c r="I24" s="577" t="s">
        <v>575</v>
      </c>
      <c r="J24" s="665"/>
      <c r="K24" s="577" t="s">
        <v>13</v>
      </c>
      <c r="L24" s="578"/>
      <c r="M24" s="579"/>
      <c r="N24" s="583" t="s">
        <v>15</v>
      </c>
      <c r="O24" s="583"/>
      <c r="P24" s="583"/>
      <c r="Q24" s="583"/>
      <c r="R24" s="583"/>
      <c r="S24" s="12"/>
      <c r="AB24" s="59"/>
      <c r="AC24" s="1330"/>
      <c r="AD24" s="66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2"/>
    </row>
    <row r="25" spans="1:66" s="14" customFormat="1" ht="17.25" customHeight="1" outlineLevel="1" thickBot="1">
      <c r="C25" s="1331"/>
      <c r="D25" s="926"/>
      <c r="E25" s="634"/>
      <c r="F25" s="634"/>
      <c r="G25" s="634"/>
      <c r="H25" s="634"/>
      <c r="I25" s="668"/>
      <c r="J25" s="669"/>
      <c r="K25" s="580"/>
      <c r="L25" s="581"/>
      <c r="M25" s="582"/>
      <c r="N25" s="583"/>
      <c r="O25" s="583"/>
      <c r="P25" s="583"/>
      <c r="Q25" s="583"/>
      <c r="R25" s="583"/>
      <c r="S25" s="12"/>
      <c r="AB25" s="59"/>
      <c r="AC25"/>
      <c r="AD25" s="69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2"/>
    </row>
    <row r="26" spans="1:66" s="14" customFormat="1" ht="17.25" customHeight="1" outlineLevel="1" thickTop="1" thickBot="1">
      <c r="C26" s="1331"/>
      <c r="D26" s="626">
        <f>IF(G23=AD23,AD31,"---")</f>
        <v>19.190000000000001</v>
      </c>
      <c r="E26" s="626"/>
      <c r="F26" s="626"/>
      <c r="G26" s="626"/>
      <c r="H26" s="627"/>
      <c r="I26" s="704">
        <f>E12</f>
        <v>9.2833333333333332</v>
      </c>
      <c r="J26" s="705"/>
      <c r="K26" s="1580">
        <v>19</v>
      </c>
      <c r="L26" s="1581"/>
      <c r="M26" s="1582"/>
      <c r="N26" s="1590" t="s">
        <v>3</v>
      </c>
      <c r="O26" s="1591" t="s">
        <v>765</v>
      </c>
      <c r="P26" s="1592"/>
      <c r="Q26" s="1592"/>
      <c r="R26" s="1592"/>
      <c r="S26" s="591" t="str" cm="1">
        <f t="array" ref="S26">angleDecimal2Txt(AE26)</f>
        <v>+19°11.40 (+19.1900) [+19°11'24.00]</v>
      </c>
      <c r="T26" s="592"/>
      <c r="U26" s="592"/>
      <c r="V26" s="592"/>
      <c r="W26" s="592"/>
      <c r="AB26" s="59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2"/>
    </row>
    <row r="27" spans="1:66" s="14" customFormat="1" ht="17.25" customHeight="1" outlineLevel="1" thickTop="1" thickBot="1">
      <c r="C27" s="1331"/>
      <c r="D27" s="629"/>
      <c r="E27" s="629"/>
      <c r="F27" s="629"/>
      <c r="G27" s="629"/>
      <c r="H27" s="630"/>
      <c r="I27" s="809"/>
      <c r="J27" s="925"/>
      <c r="K27" s="1583"/>
      <c r="L27" s="1584"/>
      <c r="M27" s="1585"/>
      <c r="N27" s="1590"/>
      <c r="O27" s="1593"/>
      <c r="P27" s="1593"/>
      <c r="Q27" s="1593"/>
      <c r="R27" s="1593"/>
      <c r="S27" s="592"/>
      <c r="T27" s="592"/>
      <c r="U27" s="592"/>
      <c r="V27" s="592"/>
      <c r="W27" s="592"/>
      <c r="AB27" s="59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2"/>
    </row>
    <row r="28" spans="1:66" s="14" customFormat="1" ht="17.25" customHeight="1" outlineLevel="1" thickTop="1" thickBot="1">
      <c r="C28" s="1331"/>
      <c r="D28" s="629"/>
      <c r="E28" s="629"/>
      <c r="F28" s="629"/>
      <c r="G28" s="629"/>
      <c r="H28" s="630"/>
      <c r="I28" s="809"/>
      <c r="J28" s="925"/>
      <c r="K28" s="1586">
        <v>20</v>
      </c>
      <c r="L28" s="1587"/>
      <c r="M28" s="1588"/>
      <c r="N28" s="1590" t="s">
        <v>3</v>
      </c>
      <c r="O28" s="1594" t="s">
        <v>765</v>
      </c>
      <c r="P28" s="1593"/>
      <c r="Q28" s="1593"/>
      <c r="R28" s="1593"/>
      <c r="S28" s="591" t="str" cm="1">
        <f t="array" ref="S28">angleDecimal2Txt((AE27))</f>
        <v>+19°11.40 (+19.1900) [+19°11'24.00]</v>
      </c>
      <c r="T28" s="592"/>
      <c r="U28" s="592"/>
      <c r="V28" s="592"/>
      <c r="W28" s="592"/>
      <c r="AB28" s="59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2"/>
    </row>
    <row r="29" spans="1:66" s="14" customFormat="1" ht="17.25" customHeight="1" outlineLevel="1" thickTop="1" thickBot="1">
      <c r="C29" s="1331"/>
      <c r="D29" s="636" t="str" cm="1">
        <f t="array" ref="D29">latitudeDecimal2Txt(D26)</f>
        <v>N 19°11.40 (N 19.1900) [N 19°11'24.00]</v>
      </c>
      <c r="E29" s="565"/>
      <c r="F29" s="565"/>
      <c r="G29" s="565"/>
      <c r="H29" s="565"/>
      <c r="I29" s="706"/>
      <c r="J29" s="707"/>
      <c r="K29" s="1583"/>
      <c r="L29" s="1584"/>
      <c r="M29" s="1585"/>
      <c r="N29" s="1590"/>
      <c r="O29" s="1593"/>
      <c r="P29" s="1593"/>
      <c r="Q29" s="1593"/>
      <c r="R29" s="1593"/>
      <c r="S29" s="592"/>
      <c r="T29" s="592"/>
      <c r="U29" s="592"/>
      <c r="V29" s="592"/>
      <c r="W29" s="592"/>
      <c r="AB29" s="59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2"/>
    </row>
    <row r="30" spans="1:66" s="14" customFormat="1" ht="17.25" customHeight="1" thickTop="1">
      <c r="C30" s="57"/>
      <c r="D30" s="57"/>
      <c r="E30" s="57"/>
      <c r="AB30" s="59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2"/>
    </row>
    <row r="31" spans="1:66" s="14" customFormat="1" ht="17.25" hidden="1" customHeight="1" outlineLevel="1">
      <c r="C31" s="1445" t="s">
        <v>14</v>
      </c>
      <c r="D31" s="634" t="s">
        <v>9</v>
      </c>
      <c r="E31" s="634"/>
      <c r="F31" s="634"/>
      <c r="G31" s="634"/>
      <c r="H31" s="634"/>
      <c r="I31" s="577" t="s">
        <v>575</v>
      </c>
      <c r="J31" s="665"/>
      <c r="K31" s="577" t="s">
        <v>569</v>
      </c>
      <c r="L31" s="578"/>
      <c r="M31" s="579"/>
      <c r="N31" s="583" t="s">
        <v>16</v>
      </c>
      <c r="O31" s="583"/>
      <c r="P31" s="583"/>
      <c r="Q31" s="583"/>
      <c r="R31" s="583"/>
      <c r="S31" s="583" t="s">
        <v>131</v>
      </c>
      <c r="T31" s="583"/>
      <c r="U31" s="583"/>
      <c r="V31" s="583"/>
      <c r="W31" s="583"/>
      <c r="AA31" s="12"/>
      <c r="AB31" s="59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2"/>
    </row>
    <row r="32" spans="1:66" s="14" customFormat="1" ht="17.25" hidden="1" customHeight="1" outlineLevel="1">
      <c r="C32" s="1445"/>
      <c r="D32" s="634"/>
      <c r="E32" s="634"/>
      <c r="F32" s="634"/>
      <c r="G32" s="634"/>
      <c r="H32" s="634"/>
      <c r="I32" s="668"/>
      <c r="J32" s="669"/>
      <c r="K32" s="580"/>
      <c r="L32" s="581"/>
      <c r="M32" s="582"/>
      <c r="N32" s="583"/>
      <c r="O32" s="583"/>
      <c r="P32" s="583"/>
      <c r="Q32" s="583"/>
      <c r="R32" s="583"/>
      <c r="S32" s="583"/>
      <c r="T32" s="583"/>
      <c r="U32" s="583"/>
      <c r="V32" s="583"/>
      <c r="W32" s="583"/>
      <c r="AA32" s="12"/>
      <c r="AB32" s="59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2"/>
    </row>
    <row r="33" spans="1:66" s="14" customFormat="1" ht="17.25" hidden="1" customHeight="1" outlineLevel="1">
      <c r="C33" s="1445"/>
      <c r="D33" s="626" t="str">
        <f>IF(G23=AD24,AD37,"---")</f>
        <v>---</v>
      </c>
      <c r="E33" s="626"/>
      <c r="F33" s="626"/>
      <c r="G33" s="626"/>
      <c r="H33" s="626"/>
      <c r="I33" s="586">
        <f>E12</f>
        <v>9.2833333333333332</v>
      </c>
      <c r="J33" s="586"/>
      <c r="K33" s="1565">
        <v>0</v>
      </c>
      <c r="L33" s="1565"/>
      <c r="M33" s="1657"/>
      <c r="N33" s="1590" t="s">
        <v>3</v>
      </c>
      <c r="O33" s="1653" t="s">
        <v>568</v>
      </c>
      <c r="P33" s="1654"/>
      <c r="Q33" s="1654"/>
      <c r="R33" s="1654"/>
      <c r="S33" s="1590" t="s">
        <v>3</v>
      </c>
      <c r="T33" s="1653">
        <f>0.2/60</f>
        <v>3.3333333333333335E-3</v>
      </c>
      <c r="U33" s="1654"/>
      <c r="V33" s="1654"/>
      <c r="W33" s="1654"/>
      <c r="AA33" s="12"/>
      <c r="AB33" s="59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2"/>
    </row>
    <row r="34" spans="1:66" s="14" customFormat="1" ht="17.25" hidden="1" customHeight="1" outlineLevel="1" thickBot="1">
      <c r="C34" s="1445"/>
      <c r="D34" s="629"/>
      <c r="E34" s="629"/>
      <c r="F34" s="629"/>
      <c r="G34" s="629"/>
      <c r="H34" s="629"/>
      <c r="I34" s="586"/>
      <c r="J34" s="586"/>
      <c r="K34" s="1572"/>
      <c r="L34" s="1572"/>
      <c r="M34" s="1658"/>
      <c r="N34" s="1590"/>
      <c r="O34" s="1590"/>
      <c r="P34" s="1590"/>
      <c r="Q34" s="1590"/>
      <c r="R34" s="1590"/>
      <c r="S34" s="1590"/>
      <c r="T34" s="1590"/>
      <c r="U34" s="1590"/>
      <c r="V34" s="1590"/>
      <c r="W34" s="1590"/>
      <c r="Z34" s="12"/>
      <c r="AA34" s="12"/>
      <c r="AB34" s="59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2"/>
    </row>
    <row r="35" spans="1:66" s="14" customFormat="1" ht="17.25" hidden="1" customHeight="1" outlineLevel="1" thickTop="1" thickBot="1">
      <c r="C35" s="1445"/>
      <c r="D35" s="636" t="e" cm="1">
        <f t="array" ref="D35">latitudeDecimal2Txt(D33)</f>
        <v>#VALUE!</v>
      </c>
      <c r="E35" s="565"/>
      <c r="F35" s="565"/>
      <c r="G35" s="565"/>
      <c r="H35" s="739"/>
      <c r="I35" s="586"/>
      <c r="J35" s="586"/>
      <c r="K35" s="635" t="str" cm="1">
        <f t="array" ref="K35">heureDecimal2Txt(K33)</f>
        <v>00:00:00.00(00.0000)</v>
      </c>
      <c r="L35" s="635"/>
      <c r="M35" s="636"/>
      <c r="N35" s="567" t="str" cm="1">
        <f t="array" ref="N35">angleDecimal2Txt(AD34)</f>
        <v>+23°10.59 (+23.1766) [+23°10'36.00]</v>
      </c>
      <c r="O35" s="567"/>
      <c r="P35" s="567"/>
      <c r="Q35" s="567"/>
      <c r="R35" s="567"/>
      <c r="S35" s="567" t="str" cm="1">
        <f t="array" ref="S35">angleDecimal2Txt(AD36)</f>
        <v>+00°00.19 (+00.0033) [+00°00'11.99]</v>
      </c>
      <c r="T35" s="791"/>
      <c r="U35" s="791"/>
      <c r="V35" s="791"/>
      <c r="W35" s="791"/>
      <c r="Z35" s="12"/>
      <c r="AB35" s="59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2"/>
    </row>
    <row r="36" spans="1:66" s="14" customFormat="1" ht="17.25" customHeight="1" collapsed="1">
      <c r="A36" s="32" t="s">
        <v>495</v>
      </c>
      <c r="C36" s="57"/>
      <c r="D36" s="57"/>
      <c r="E36" s="57"/>
      <c r="I36"/>
      <c r="Z36" s="12"/>
      <c r="AB36" s="59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2"/>
    </row>
    <row r="37" spans="1:66" s="14" customFormat="1" ht="17.25" hidden="1" customHeight="1" outlineLevel="1">
      <c r="C37" s="1445" t="s">
        <v>576</v>
      </c>
      <c r="D37" s="634" t="s">
        <v>9</v>
      </c>
      <c r="E37" s="634"/>
      <c r="F37" s="634"/>
      <c r="G37" s="634"/>
      <c r="H37" s="634"/>
      <c r="I37" s="652" t="s">
        <v>514</v>
      </c>
      <c r="J37" s="653"/>
      <c r="K37" s="653"/>
      <c r="L37" s="653"/>
      <c r="M37" s="654"/>
      <c r="AB37" s="59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2"/>
    </row>
    <row r="38" spans="1:66" s="14" customFormat="1" ht="17.25" hidden="1" customHeight="1" outlineLevel="1">
      <c r="C38" s="1445"/>
      <c r="D38" s="634"/>
      <c r="E38" s="634"/>
      <c r="F38" s="634"/>
      <c r="G38" s="634"/>
      <c r="H38" s="634"/>
      <c r="I38" s="655"/>
      <c r="J38" s="656"/>
      <c r="K38" s="656"/>
      <c r="L38" s="656"/>
      <c r="M38" s="657"/>
      <c r="S38"/>
      <c r="T38"/>
      <c r="U38"/>
      <c r="V38"/>
      <c r="W38"/>
      <c r="X38"/>
      <c r="Y38"/>
      <c r="AB38" s="59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2"/>
    </row>
    <row r="39" spans="1:66" s="14" customFormat="1" ht="17.25" hidden="1" customHeight="1" outlineLevel="1">
      <c r="C39" s="1445"/>
      <c r="D39" s="628" t="str">
        <f>IF(G23=AD22,AD40,"---")</f>
        <v>---</v>
      </c>
      <c r="E39" s="629"/>
      <c r="F39" s="629"/>
      <c r="G39" s="629"/>
      <c r="H39" s="629"/>
      <c r="I39" s="1576" t="s">
        <v>3</v>
      </c>
      <c r="J39" s="1558" t="s">
        <v>574</v>
      </c>
      <c r="K39" s="1558"/>
      <c r="L39" s="1558"/>
      <c r="M39" s="1558"/>
      <c r="U39"/>
      <c r="V39"/>
      <c r="W39"/>
      <c r="X39"/>
      <c r="Y39"/>
      <c r="AB39" s="59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2"/>
    </row>
    <row r="40" spans="1:66" s="14" customFormat="1" ht="17.25" hidden="1" customHeight="1" outlineLevel="1" thickBot="1">
      <c r="C40" s="1445"/>
      <c r="D40" s="727"/>
      <c r="E40" s="728"/>
      <c r="F40" s="728"/>
      <c r="G40" s="728"/>
      <c r="H40" s="728"/>
      <c r="I40" s="1576"/>
      <c r="J40" s="1558"/>
      <c r="K40" s="1558"/>
      <c r="L40" s="1558"/>
      <c r="M40" s="1558"/>
      <c r="U40"/>
      <c r="V40"/>
      <c r="W40"/>
      <c r="X40"/>
      <c r="Y40"/>
      <c r="AB40" s="59"/>
      <c r="AC40" s="3" t="s">
        <v>176</v>
      </c>
      <c r="AD40" s="3" cm="1">
        <f t="array" ref="AD40">angleConvert2Decimal(J39)*AD39</f>
        <v>14.728333333333333</v>
      </c>
      <c r="AE40"/>
      <c r="AF40"/>
      <c r="AG40" s="346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2"/>
    </row>
    <row r="41" spans="1:66" s="14" customFormat="1" ht="17.25" hidden="1" customHeight="1" outlineLevel="1" thickTop="1" thickBot="1">
      <c r="C41" s="1445"/>
      <c r="D41" s="565" t="str" cm="1">
        <f t="array" ref="D41">latitudeDecimal2Txt(AD40)</f>
        <v>N 14°43.70 (N 14.7283) [N 14°43'42.00]</v>
      </c>
      <c r="E41" s="565"/>
      <c r="F41" s="565"/>
      <c r="G41" s="565"/>
      <c r="H41" s="565"/>
      <c r="I41"/>
      <c r="J41"/>
      <c r="K41"/>
      <c r="L41"/>
      <c r="N41"/>
      <c r="O41"/>
      <c r="U41"/>
      <c r="V41"/>
      <c r="W41"/>
      <c r="X41"/>
      <c r="Y41"/>
      <c r="AB41" s="59"/>
      <c r="AC41">
        <f>YEAR($X$7)</f>
        <v>1900</v>
      </c>
      <c r="AD41">
        <f>MONTH($X$7)</f>
        <v>1</v>
      </c>
      <c r="AE41">
        <f>DAY($X$7)</f>
        <v>0</v>
      </c>
      <c r="AF41" s="187">
        <f>INT(E12)</f>
        <v>9</v>
      </c>
      <c r="AG41" s="187">
        <f>INT(((3600*E12-3600*AF41)/60)+0.000001)</f>
        <v>17</v>
      </c>
      <c r="AH41" s="345">
        <f>((E12*3600 - AG41*60 -AF41*3600))</f>
        <v>0</v>
      </c>
      <c r="AI41" t="s">
        <v>754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2"/>
    </row>
    <row r="42" spans="1:66" s="14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59"/>
      <c r="AC42"/>
      <c r="AD42" s="66" t="s">
        <v>768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2"/>
    </row>
    <row r="43" spans="1:66" s="14" customFormat="1" ht="17.25" customHeight="1" thickBot="1">
      <c r="A43" s="31"/>
      <c r="B43" s="23" t="s">
        <v>134</v>
      </c>
      <c r="C43" s="73"/>
      <c r="D43" s="73"/>
      <c r="E43" s="73"/>
      <c r="F43" s="603">
        <f>IF(G44=AD44,D47,IF(G44=AD43,D60,D54))</f>
        <v>267.41316666666665</v>
      </c>
      <c r="G43" s="612"/>
      <c r="H43" s="612"/>
      <c r="I43" s="24"/>
      <c r="J43" s="24"/>
      <c r="K43" s="24"/>
      <c r="L43" s="1652">
        <f>F43-360</f>
        <v>-92.586833333333345</v>
      </c>
      <c r="M43" s="1652"/>
      <c r="N43" s="24" t="s">
        <v>28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62"/>
      <c r="AC43"/>
      <c r="AD43" s="66" t="s">
        <v>512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2"/>
    </row>
    <row r="44" spans="1:66" s="14" customFormat="1" ht="17.25" customHeight="1">
      <c r="B44" s="31"/>
      <c r="C44" s="675" t="s">
        <v>35</v>
      </c>
      <c r="D44" s="675"/>
      <c r="E44" s="675"/>
      <c r="F44" s="675"/>
      <c r="G44" s="1650" t="s">
        <v>512</v>
      </c>
      <c r="H44" s="1650"/>
      <c r="I44" s="165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63"/>
      <c r="AC44" s="1330" t="s">
        <v>36</v>
      </c>
      <c r="AD44" s="66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2"/>
    </row>
    <row r="45" spans="1:66" s="14" customFormat="1" ht="17.25" hidden="1" customHeight="1" outlineLevel="1">
      <c r="C45" s="1331" t="s">
        <v>10</v>
      </c>
      <c r="D45" s="666" t="s">
        <v>406</v>
      </c>
      <c r="E45" s="927"/>
      <c r="F45" s="927"/>
      <c r="G45" s="927"/>
      <c r="H45" s="927"/>
      <c r="I45" s="578" t="s">
        <v>575</v>
      </c>
      <c r="J45" s="665"/>
      <c r="K45" s="577" t="s">
        <v>13</v>
      </c>
      <c r="L45" s="578"/>
      <c r="M45" s="579"/>
      <c r="N45" s="652" t="s">
        <v>15</v>
      </c>
      <c r="O45" s="653"/>
      <c r="P45" s="653"/>
      <c r="Q45" s="653"/>
      <c r="R45" s="654"/>
      <c r="S45" s="12"/>
      <c r="AB45" s="59"/>
      <c r="AC45" s="1330"/>
      <c r="AD45" s="66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2"/>
    </row>
    <row r="46" spans="1:66" s="14" customFormat="1" ht="17.25" hidden="1" customHeight="1" outlineLevel="1" thickBot="1">
      <c r="C46" s="1331"/>
      <c r="D46" s="668"/>
      <c r="E46" s="677"/>
      <c r="F46" s="677"/>
      <c r="G46" s="677"/>
      <c r="H46" s="677"/>
      <c r="I46" s="677"/>
      <c r="J46" s="669"/>
      <c r="K46" s="580"/>
      <c r="L46" s="581"/>
      <c r="M46" s="582"/>
      <c r="N46" s="794"/>
      <c r="O46" s="656"/>
      <c r="P46" s="656"/>
      <c r="Q46" s="656"/>
      <c r="R46" s="657"/>
      <c r="S46" s="12"/>
      <c r="AB46" s="59"/>
      <c r="AC46"/>
      <c r="AD46" s="69" t="s">
        <v>73</v>
      </c>
      <c r="AE46" s="3" t="s">
        <v>578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2"/>
    </row>
    <row r="47" spans="1:66" s="14" customFormat="1" ht="17.25" hidden="1" customHeight="1" outlineLevel="1" thickTop="1" thickBot="1">
      <c r="C47" s="1331"/>
      <c r="D47" s="625" t="str">
        <f>IF(G44=AD44,AF52,"---")</f>
        <v>---</v>
      </c>
      <c r="E47" s="626"/>
      <c r="F47" s="626"/>
      <c r="G47" s="626"/>
      <c r="H47" s="627"/>
      <c r="I47" s="704">
        <f>E12</f>
        <v>9.2833333333333332</v>
      </c>
      <c r="J47" s="705"/>
      <c r="K47" s="1564">
        <v>9</v>
      </c>
      <c r="L47" s="1565"/>
      <c r="M47" s="1566"/>
      <c r="N47" s="586" t="s">
        <v>5</v>
      </c>
      <c r="O47" s="1574" t="s">
        <v>766</v>
      </c>
      <c r="P47" s="1574"/>
      <c r="Q47" s="1574"/>
      <c r="R47" s="1575"/>
      <c r="S47" s="590" t="str" cm="1">
        <f t="array" ref="S47">angleDecimal2Txt(AF47)</f>
        <v>+110°09.40 (+110.1566) [+110°09'24.00]</v>
      </c>
      <c r="T47" s="590"/>
      <c r="U47" s="590"/>
      <c r="V47" s="590"/>
      <c r="W47" s="590"/>
      <c r="X47" s="590"/>
      <c r="Z47"/>
      <c r="AB47" s="59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2"/>
    </row>
    <row r="48" spans="1:66" s="14" customFormat="1" ht="17.25" hidden="1" customHeight="1" outlineLevel="1" thickTop="1" thickBot="1">
      <c r="C48" s="1331"/>
      <c r="D48" s="628"/>
      <c r="E48" s="629"/>
      <c r="F48" s="629"/>
      <c r="G48" s="629"/>
      <c r="H48" s="630"/>
      <c r="I48" s="809"/>
      <c r="J48" s="925"/>
      <c r="K48" s="1571"/>
      <c r="L48" s="1572"/>
      <c r="M48" s="1573"/>
      <c r="N48" s="586"/>
      <c r="O48" s="1562"/>
      <c r="P48" s="1562"/>
      <c r="Q48" s="1562"/>
      <c r="R48" s="1563"/>
      <c r="S48" s="590"/>
      <c r="T48" s="590"/>
      <c r="U48" s="590"/>
      <c r="V48" s="590"/>
      <c r="W48" s="590"/>
      <c r="X48" s="590"/>
      <c r="Z48"/>
      <c r="AB48" s="59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2"/>
    </row>
    <row r="49" spans="1:66" s="14" customFormat="1" ht="17.25" hidden="1" customHeight="1" outlineLevel="1" thickTop="1" thickBot="1">
      <c r="C49" s="1331"/>
      <c r="D49" s="628"/>
      <c r="E49" s="629"/>
      <c r="F49" s="629"/>
      <c r="G49" s="629"/>
      <c r="H49" s="630"/>
      <c r="I49" s="809"/>
      <c r="J49" s="925"/>
      <c r="K49" s="1595">
        <v>10</v>
      </c>
      <c r="L49" s="1596"/>
      <c r="M49" s="1597"/>
      <c r="N49" s="586" t="s">
        <v>5</v>
      </c>
      <c r="O49" s="1560" t="s">
        <v>767</v>
      </c>
      <c r="P49" s="1560"/>
      <c r="Q49" s="1560"/>
      <c r="R49" s="1561"/>
      <c r="S49" s="590" t="str" cm="1">
        <f t="array" ref="S49">angleDecimal2Txt((AF48))</f>
        <v>+125°11.90 (+125.1983) [+125°11'54.00]</v>
      </c>
      <c r="T49" s="590"/>
      <c r="U49" s="590"/>
      <c r="V49" s="590"/>
      <c r="W49" s="590"/>
      <c r="X49" s="590"/>
      <c r="Z49"/>
      <c r="AB49" s="59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2"/>
    </row>
    <row r="50" spans="1:66" s="14" customFormat="1" ht="17.25" hidden="1" customHeight="1" outlineLevel="1" thickTop="1" thickBot="1">
      <c r="C50" s="1331"/>
      <c r="D50" s="565" t="e" cm="1">
        <f t="array" ref="D50">angleDecimal2Txt(D47)</f>
        <v>#VALUE!</v>
      </c>
      <c r="E50" s="565"/>
      <c r="F50" s="565"/>
      <c r="G50" s="565"/>
      <c r="H50" s="565"/>
      <c r="I50" s="706"/>
      <c r="J50" s="707"/>
      <c r="K50" s="1571"/>
      <c r="L50" s="1572"/>
      <c r="M50" s="1573"/>
      <c r="N50" s="586"/>
      <c r="O50" s="1562"/>
      <c r="P50" s="1562"/>
      <c r="Q50" s="1562"/>
      <c r="R50" s="1563"/>
      <c r="S50" s="590"/>
      <c r="T50" s="590"/>
      <c r="U50" s="590"/>
      <c r="V50" s="590"/>
      <c r="W50" s="590"/>
      <c r="X50" s="590"/>
      <c r="Z50"/>
      <c r="AB50" s="59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2"/>
    </row>
    <row r="51" spans="1:66" s="14" customFormat="1" ht="17.25" customHeight="1" collapsed="1">
      <c r="C51" s="57"/>
      <c r="D51" s="57"/>
      <c r="E51" s="57"/>
      <c r="Z51"/>
      <c r="AB51" s="59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2"/>
    </row>
    <row r="52" spans="1:66" s="14" customFormat="1" ht="17.25" hidden="1" customHeight="1" outlineLevel="1">
      <c r="C52" s="1559" t="s">
        <v>14</v>
      </c>
      <c r="D52" s="634" t="s">
        <v>406</v>
      </c>
      <c r="E52" s="634"/>
      <c r="F52" s="634"/>
      <c r="G52" s="634"/>
      <c r="H52" s="634"/>
      <c r="I52" s="929" t="s">
        <v>575</v>
      </c>
      <c r="J52" s="634"/>
      <c r="K52" s="578" t="s">
        <v>569</v>
      </c>
      <c r="L52" s="578"/>
      <c r="M52" s="579"/>
      <c r="N52" s="652" t="s">
        <v>16</v>
      </c>
      <c r="O52" s="653"/>
      <c r="P52" s="653"/>
      <c r="Q52" s="653"/>
      <c r="R52" s="654"/>
      <c r="S52" s="652" t="s">
        <v>94</v>
      </c>
      <c r="T52" s="653"/>
      <c r="U52" s="653"/>
      <c r="V52" s="653"/>
      <c r="W52" s="654"/>
      <c r="Z52"/>
      <c r="AA52" s="12"/>
      <c r="AB52" s="59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2"/>
    </row>
    <row r="53" spans="1:66" s="14" customFormat="1" ht="17.25" hidden="1" customHeight="1" outlineLevel="1">
      <c r="C53" s="1559"/>
      <c r="D53" s="634"/>
      <c r="E53" s="634"/>
      <c r="F53" s="634"/>
      <c r="G53" s="634"/>
      <c r="H53" s="634"/>
      <c r="I53" s="634"/>
      <c r="J53" s="634"/>
      <c r="K53" s="581"/>
      <c r="L53" s="581"/>
      <c r="M53" s="582"/>
      <c r="N53" s="794"/>
      <c r="O53" s="656"/>
      <c r="P53" s="656"/>
      <c r="Q53" s="656"/>
      <c r="R53" s="657"/>
      <c r="S53" s="794"/>
      <c r="T53" s="837"/>
      <c r="U53" s="837"/>
      <c r="V53" s="837"/>
      <c r="W53" s="838"/>
      <c r="Z53"/>
      <c r="AA53" s="12"/>
      <c r="AB53" s="59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2"/>
    </row>
    <row r="54" spans="1:66" s="14" customFormat="1" ht="17.25" hidden="1" customHeight="1" outlineLevel="1">
      <c r="C54" s="1559"/>
      <c r="D54" s="596" t="str">
        <f>IF(G44=AD45,AF58,"---")</f>
        <v>---</v>
      </c>
      <c r="E54" s="596"/>
      <c r="F54" s="596"/>
      <c r="G54" s="596"/>
      <c r="H54" s="596"/>
      <c r="I54" s="586">
        <f>E12</f>
        <v>9.2833333333333332</v>
      </c>
      <c r="J54" s="586"/>
      <c r="K54" s="1565">
        <v>0</v>
      </c>
      <c r="L54" s="1565"/>
      <c r="M54" s="1566"/>
      <c r="N54" s="586" t="s">
        <v>5</v>
      </c>
      <c r="O54" s="1581" t="s">
        <v>570</v>
      </c>
      <c r="P54" s="1581"/>
      <c r="Q54" s="1581"/>
      <c r="R54" s="1581"/>
      <c r="S54" s="586" t="s">
        <v>5</v>
      </c>
      <c r="T54" s="721">
        <v>14.997999999999999</v>
      </c>
      <c r="U54" s="586"/>
      <c r="V54" s="586"/>
      <c r="W54" s="586"/>
      <c r="AA54" s="12"/>
      <c r="AB54" s="59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2"/>
    </row>
    <row r="55" spans="1:66" s="14" customFormat="1" ht="17.25" hidden="1" customHeight="1" outlineLevel="1" collapsed="1" thickBot="1">
      <c r="C55" s="1559"/>
      <c r="D55" s="596"/>
      <c r="E55" s="596"/>
      <c r="F55" s="596"/>
      <c r="G55" s="596"/>
      <c r="H55" s="596"/>
      <c r="I55" s="586"/>
      <c r="J55" s="586"/>
      <c r="K55" s="1572"/>
      <c r="L55" s="1572"/>
      <c r="M55" s="1573"/>
      <c r="N55" s="586"/>
      <c r="O55" s="1589"/>
      <c r="P55" s="1589"/>
      <c r="Q55" s="1589"/>
      <c r="R55" s="1589"/>
      <c r="S55" s="586"/>
      <c r="T55" s="586"/>
      <c r="U55" s="586"/>
      <c r="V55" s="586"/>
      <c r="W55" s="586"/>
      <c r="Z55" s="12"/>
      <c r="AA55" s="12"/>
      <c r="AB55" s="59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2"/>
    </row>
    <row r="56" spans="1:66" s="14" customFormat="1" ht="17.25" hidden="1" customHeight="1" outlineLevel="1" thickTop="1" thickBot="1">
      <c r="C56" s="1559"/>
      <c r="D56" s="565" t="e" cm="1">
        <f t="array" ref="D56">angleDecimal2Txt(D54)</f>
        <v>#VALUE!</v>
      </c>
      <c r="E56" s="565"/>
      <c r="F56" s="565"/>
      <c r="G56" s="565"/>
      <c r="H56" s="565"/>
      <c r="I56" s="586"/>
      <c r="J56" s="586"/>
      <c r="K56" s="635" t="str" cm="1">
        <f t="array" ref="K56">heureDecimal2Txt(K54)</f>
        <v>00:00:00.00(00.0000)</v>
      </c>
      <c r="L56" s="635"/>
      <c r="M56" s="636"/>
      <c r="N56" s="593" t="str" cm="1">
        <f t="array" ref="N56">angleDecimal2Txt(AD55)</f>
        <v>+180°02.00 (+180.0333) [+180°02'00.00]</v>
      </c>
      <c r="O56" s="567"/>
      <c r="P56" s="567"/>
      <c r="Q56" s="567"/>
      <c r="R56" s="567"/>
      <c r="S56" s="593" t="str" cm="1">
        <f t="array" ref="S56">angleDecimal2Txt(AD57)</f>
        <v>+14°59.87 (+14.9979) [+14°59'52.79]</v>
      </c>
      <c r="T56" s="792"/>
      <c r="U56" s="792"/>
      <c r="V56" s="792"/>
      <c r="W56" s="792"/>
      <c r="Z56" s="12"/>
      <c r="AB56" s="59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2"/>
    </row>
    <row r="57" spans="1:66" s="14" customFormat="1" ht="17.25" customHeight="1" collapsed="1">
      <c r="A57" s="32" t="s">
        <v>495</v>
      </c>
      <c r="C57" s="57"/>
      <c r="D57" s="57"/>
      <c r="E57" s="57"/>
      <c r="Z57" s="12"/>
      <c r="AB57" s="59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2"/>
    </row>
    <row r="58" spans="1:66" s="14" customFormat="1" ht="17.25" customHeight="1" outlineLevel="1">
      <c r="C58" s="1445" t="s">
        <v>576</v>
      </c>
      <c r="D58" s="634" t="s">
        <v>406</v>
      </c>
      <c r="E58" s="634"/>
      <c r="F58" s="634"/>
      <c r="G58" s="634"/>
      <c r="H58" s="634"/>
      <c r="I58" s="583" t="s">
        <v>514</v>
      </c>
      <c r="J58" s="583"/>
      <c r="K58" s="583"/>
      <c r="L58" s="583"/>
      <c r="M58" s="583"/>
      <c r="AB58" s="59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2"/>
    </row>
    <row r="59" spans="1:66" s="14" customFormat="1" ht="17.25" customHeight="1" outlineLevel="1">
      <c r="C59" s="1445"/>
      <c r="D59" s="634"/>
      <c r="E59" s="634"/>
      <c r="F59" s="634"/>
      <c r="G59" s="634"/>
      <c r="H59" s="634"/>
      <c r="I59" s="583"/>
      <c r="J59" s="583"/>
      <c r="K59" s="583"/>
      <c r="L59" s="583"/>
      <c r="M59" s="583"/>
      <c r="O59" s="14" t="s">
        <v>772</v>
      </c>
      <c r="Q59" s="14" t="s">
        <v>770</v>
      </c>
      <c r="W59" s="12"/>
      <c r="X59" s="12"/>
      <c r="AB59" s="59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2"/>
    </row>
    <row r="60" spans="1:66" s="14" customFormat="1" ht="17.25" customHeight="1" outlineLevel="1">
      <c r="C60" s="1445"/>
      <c r="D60" s="596">
        <f>IF(G44=AD43,AD61,"---")</f>
        <v>267.41316666666665</v>
      </c>
      <c r="E60" s="596"/>
      <c r="F60" s="596"/>
      <c r="G60" s="596"/>
      <c r="H60" s="596"/>
      <c r="I60" s="586" t="s">
        <v>5</v>
      </c>
      <c r="J60" s="1558" t="str">
        <f>angleDecimal2Txt(T60,0)</f>
        <v>+267°24.79</v>
      </c>
      <c r="K60" s="1558"/>
      <c r="L60" s="1558"/>
      <c r="M60" s="1558"/>
      <c r="O60" s="38" t="s">
        <v>769</v>
      </c>
      <c r="P60" s="14">
        <f>angleConvert2Decimal(O60)</f>
        <v>121.31833333333333</v>
      </c>
      <c r="Q60" s="38" t="s">
        <v>771</v>
      </c>
      <c r="R60" s="14">
        <f>angleConvert2Decimal(Q60)</f>
        <v>146.095</v>
      </c>
      <c r="S60" s="14">
        <f>R60+P60</f>
        <v>267.4133333333333</v>
      </c>
      <c r="T60" s="14">
        <f>MOD(360+S60,360)</f>
        <v>267.4133333333333</v>
      </c>
      <c r="W60" s="12"/>
      <c r="X60" s="12"/>
      <c r="AB60" s="59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2"/>
    </row>
    <row r="61" spans="1:66" s="14" customFormat="1" ht="17.25" customHeight="1" outlineLevel="1" thickBot="1">
      <c r="C61" s="1445"/>
      <c r="D61" s="596"/>
      <c r="E61" s="596"/>
      <c r="F61" s="596"/>
      <c r="G61" s="596"/>
      <c r="H61" s="596"/>
      <c r="I61" s="586"/>
      <c r="J61" s="1558"/>
      <c r="K61" s="1558"/>
      <c r="L61" s="1558"/>
      <c r="M61" s="1558"/>
      <c r="S61" s="12"/>
      <c r="T61" s="12"/>
      <c r="U61" s="12"/>
      <c r="V61" s="12"/>
      <c r="W61" s="12"/>
      <c r="X61" s="12"/>
      <c r="AB61" s="59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2"/>
    </row>
    <row r="62" spans="1:66" s="14" customFormat="1" ht="17.25" customHeight="1" outlineLevel="1" thickTop="1" thickBot="1">
      <c r="C62" s="1445"/>
      <c r="D62" s="565" t="str" cm="1">
        <f t="array" ref="D62">angleDecimal2Txt(AD61)</f>
        <v>+267°24.78 (+267.4131) [+267°24'47.39]</v>
      </c>
      <c r="E62" s="565"/>
      <c r="F62" s="565"/>
      <c r="G62" s="565"/>
      <c r="H62" s="565"/>
      <c r="I62"/>
      <c r="J62"/>
      <c r="K62"/>
      <c r="L62"/>
      <c r="M62"/>
      <c r="S62" s="12"/>
      <c r="T62" s="12"/>
      <c r="U62" s="12"/>
      <c r="V62" s="12"/>
      <c r="W62" s="12"/>
      <c r="X62" s="12"/>
      <c r="AB62" s="59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2"/>
    </row>
    <row r="63" spans="1:66" s="14" customFormat="1" ht="17.25" customHeight="1" thickTop="1" thickBot="1">
      <c r="C63"/>
      <c r="D63"/>
      <c r="E63"/>
      <c r="I63"/>
      <c r="J63"/>
      <c r="K63"/>
      <c r="L63"/>
      <c r="M63"/>
      <c r="S63" s="12"/>
      <c r="T63" s="12"/>
      <c r="U63" s="12"/>
      <c r="V63" s="12"/>
      <c r="W63" s="12"/>
      <c r="X63" s="12"/>
      <c r="AB63" s="59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2"/>
    </row>
    <row r="64" spans="1:66" s="12" customFormat="1" ht="17.25" customHeight="1" thickBot="1">
      <c r="A64" s="14"/>
      <c r="B64" s="23" t="s">
        <v>43</v>
      </c>
      <c r="C64" s="73"/>
      <c r="D64" s="73"/>
      <c r="E64" s="73"/>
      <c r="F64" s="603">
        <f>I65</f>
        <v>43.763166666666621</v>
      </c>
      <c r="G64" s="603"/>
      <c r="H64" s="603"/>
      <c r="I64" s="24"/>
      <c r="J64" s="793" t="s">
        <v>55</v>
      </c>
      <c r="K64" s="793"/>
      <c r="L64" s="793"/>
      <c r="M64" s="576" t="e">
        <f>#REF!</f>
        <v>#REF!</v>
      </c>
      <c r="N64" s="576"/>
      <c r="O64" s="576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62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9"/>
    </row>
    <row r="65" spans="2:66" s="14" customFormat="1" ht="17.25" customHeight="1" thickTop="1" thickBot="1">
      <c r="C65" s="790" t="s">
        <v>21</v>
      </c>
      <c r="D65" s="790"/>
      <c r="E65" s="790"/>
      <c r="F65" s="790"/>
      <c r="G65" s="790"/>
      <c r="H65" s="790"/>
      <c r="I65" s="844">
        <f>AD66</f>
        <v>43.763166666666621</v>
      </c>
      <c r="J65" s="844"/>
      <c r="K65" s="844"/>
      <c r="L65" s="845"/>
      <c r="M65" s="34" t="s">
        <v>45</v>
      </c>
      <c r="N65" s="555">
        <f>AD65</f>
        <v>403.76316666666662</v>
      </c>
      <c r="O65" s="555"/>
      <c r="P65" s="555"/>
      <c r="Q65" s="555"/>
      <c r="R65" s="708" t="str" cm="1">
        <f t="array" ref="R65">angleDecimal2Txt(AD66)</f>
        <v>+43°45.78 (+43.7631) [+43°45'47.39]</v>
      </c>
      <c r="S65" s="842"/>
      <c r="T65" s="842"/>
      <c r="U65" s="842"/>
      <c r="V65" s="842"/>
      <c r="W65" s="843"/>
      <c r="AB65" s="59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4" customFormat="1" ht="17.25" customHeight="1" thickBot="1">
      <c r="B68" s="23" t="s">
        <v>44</v>
      </c>
      <c r="C68" s="24"/>
      <c r="D68" s="45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6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2:66" s="14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5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2"/>
    </row>
    <row r="70" spans="2:66" s="14" customFormat="1" ht="17.25" customHeight="1">
      <c r="C70" s="12"/>
      <c r="D70" s="12"/>
      <c r="E70" s="846" t="s">
        <v>92</v>
      </c>
      <c r="F70" s="847"/>
      <c r="G70" s="847"/>
      <c r="H70" s="848"/>
      <c r="I70" s="625">
        <f>astroCalculZ(Q71,Q70,Q72)</f>
        <v>89.965116490788859</v>
      </c>
      <c r="J70" s="626"/>
      <c r="K70" s="626"/>
      <c r="L70" s="626"/>
      <c r="M70" s="627"/>
      <c r="O70" s="688" t="s">
        <v>84</v>
      </c>
      <c r="P70" s="688"/>
      <c r="Q70" s="688">
        <f>F22</f>
        <v>19.190000000000001</v>
      </c>
      <c r="R70" s="688"/>
      <c r="S70" s="688"/>
      <c r="T70" s="809" t="s">
        <v>54</v>
      </c>
      <c r="U70"/>
      <c r="V70"/>
      <c r="W70"/>
      <c r="X70"/>
      <c r="AB70" s="59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2"/>
    </row>
    <row r="71" spans="2:66" s="14" customFormat="1" ht="17.25" customHeight="1" thickBot="1">
      <c r="C71" s="12"/>
      <c r="D71" s="12"/>
      <c r="E71" s="849"/>
      <c r="F71" s="850"/>
      <c r="G71" s="850"/>
      <c r="H71" s="851"/>
      <c r="I71" s="727"/>
      <c r="J71" s="728"/>
      <c r="K71" s="728"/>
      <c r="L71" s="728"/>
      <c r="M71" s="814"/>
      <c r="N71" s="46" t="s">
        <v>116</v>
      </c>
      <c r="O71" s="688" t="s">
        <v>85</v>
      </c>
      <c r="P71" s="688"/>
      <c r="Q71" s="688">
        <f>G16</f>
        <v>25.7</v>
      </c>
      <c r="R71" s="688"/>
      <c r="S71" s="688"/>
      <c r="T71" s="809"/>
      <c r="U71"/>
      <c r="V71"/>
      <c r="W71"/>
      <c r="X71"/>
      <c r="AB71" s="59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2"/>
    </row>
    <row r="72" spans="2:66" s="14" customFormat="1" ht="17.25" customHeight="1" thickTop="1" thickBot="1">
      <c r="C72" s="12"/>
      <c r="D72" s="12"/>
      <c r="E72" s="852"/>
      <c r="F72" s="853"/>
      <c r="G72" s="853"/>
      <c r="H72" s="854"/>
      <c r="I72" s="866" t="str" cm="1">
        <f t="array" ref="I72">angleDecimal2Txt(I70)</f>
        <v>+89°57.90 (+89.9651) [+89°57'54.41]</v>
      </c>
      <c r="J72" s="867"/>
      <c r="K72" s="867"/>
      <c r="L72" s="867"/>
      <c r="M72" s="868"/>
      <c r="O72" s="688" t="s">
        <v>43</v>
      </c>
      <c r="P72" s="688"/>
      <c r="Q72" s="688">
        <f>F64</f>
        <v>43.763166666666621</v>
      </c>
      <c r="R72" s="688"/>
      <c r="S72" s="688"/>
      <c r="T72" s="809"/>
      <c r="U72"/>
      <c r="V72"/>
      <c r="W72"/>
      <c r="X72"/>
      <c r="AB72" s="59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2"/>
    </row>
    <row r="73" spans="2:66" s="14" customFormat="1" ht="17.25" customHeight="1" thickTop="1">
      <c r="C73" s="12"/>
      <c r="D73" s="12"/>
      <c r="E73"/>
      <c r="F73"/>
      <c r="G73"/>
      <c r="H73"/>
      <c r="I73"/>
      <c r="J73"/>
      <c r="K73"/>
      <c r="L73"/>
      <c r="M73"/>
      <c r="AB73" s="59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2"/>
    </row>
    <row r="74" spans="2:66" ht="17.25" customHeight="1">
      <c r="I74" s="796" t="s">
        <v>143</v>
      </c>
      <c r="J74" s="797"/>
      <c r="K74" s="797"/>
      <c r="L74" s="797"/>
      <c r="M74" s="797"/>
      <c r="N74" s="798"/>
      <c r="O74" s="796" t="s">
        <v>144</v>
      </c>
      <c r="P74" s="797"/>
      <c r="Q74" s="797"/>
      <c r="R74" s="797"/>
      <c r="S74" s="797"/>
      <c r="T74" s="798"/>
    </row>
    <row r="75" spans="2:66" ht="17.25" customHeight="1">
      <c r="I75" s="840"/>
      <c r="J75" s="801" t="s">
        <v>117</v>
      </c>
      <c r="K75" s="802"/>
      <c r="L75" s="803"/>
      <c r="M75" s="807" t="s">
        <v>118</v>
      </c>
      <c r="N75" s="808"/>
      <c r="O75" s="840"/>
      <c r="P75" s="801" t="s">
        <v>117</v>
      </c>
      <c r="Q75" s="802"/>
      <c r="R75" s="803"/>
      <c r="S75" s="807" t="s">
        <v>119</v>
      </c>
      <c r="T75" s="808"/>
    </row>
    <row r="76" spans="2:66" ht="17.25" customHeight="1">
      <c r="I76" s="841"/>
      <c r="J76" s="804" t="s">
        <v>87</v>
      </c>
      <c r="K76" s="805"/>
      <c r="L76" s="806"/>
      <c r="M76" s="799" t="s">
        <v>88</v>
      </c>
      <c r="N76" s="800"/>
      <c r="O76" s="841"/>
      <c r="P76" s="804" t="s">
        <v>87</v>
      </c>
      <c r="Q76" s="805"/>
      <c r="R76" s="806"/>
      <c r="S76" s="799" t="s">
        <v>89</v>
      </c>
      <c r="T76" s="800"/>
    </row>
    <row r="77" spans="2:66" ht="17.25" customHeight="1"/>
    <row r="78" spans="2:66" ht="17.25" customHeight="1">
      <c r="I78" s="688" t="s">
        <v>85</v>
      </c>
      <c r="J78" s="688"/>
      <c r="K78" s="55">
        <f>Q71</f>
        <v>25.7</v>
      </c>
      <c r="L78" s="642" t="str">
        <f>CONCATENATE("Sens: ",IF(Q83&gt;0,"Nord","Sud"))</f>
        <v>Sens: Sud</v>
      </c>
      <c r="M78" s="598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2:66" s="14" customFormat="1" ht="17.25" customHeight="1" thickBot="1">
      <c r="C79" s="57"/>
      <c r="D79" s="57"/>
      <c r="I79" s="688" t="s">
        <v>43</v>
      </c>
      <c r="J79" s="688"/>
      <c r="K79" s="55">
        <f>Q72</f>
        <v>43.763166666666621</v>
      </c>
      <c r="L79" s="642" t="str">
        <f>CONCATENATE("Is &gt; 180? ", IF(Q93&gt;180,"Y", "N"))</f>
        <v>Is &gt; 180? N</v>
      </c>
      <c r="M79" s="598"/>
      <c r="O79" s="1411" t="s">
        <v>93</v>
      </c>
      <c r="P79" s="1412"/>
      <c r="Q79" s="1412"/>
      <c r="R79" s="1412"/>
      <c r="S79" s="1412"/>
      <c r="T79" s="568">
        <f>astroCalculZ2Zn(Q71,I70,Q72)</f>
        <v>270.03488350921111</v>
      </c>
      <c r="U79" s="569"/>
      <c r="V79" s="48" t="s">
        <v>28</v>
      </c>
      <c r="W79" s="12"/>
      <c r="Z79"/>
      <c r="AA79"/>
      <c r="AB79" s="5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2"/>
    </row>
    <row r="80" spans="2:66" s="14" customFormat="1" ht="17.25" customHeight="1" thickTop="1" thickBot="1">
      <c r="C80" s="57"/>
      <c r="D80" s="57"/>
      <c r="F80" s="57"/>
      <c r="G80" s="57"/>
      <c r="I80" s="587" t="s">
        <v>120</v>
      </c>
      <c r="J80" s="588"/>
      <c r="K80" s="643"/>
      <c r="L80" s="642" t="str">
        <f>IF(K78&gt;0,IF(K79&gt;180,M75,M76),IF(K79&gt;180,S75,S76))</f>
        <v>Zn = 360 - Z</v>
      </c>
      <c r="M80" s="598"/>
      <c r="T80" s="567" t="str" cm="1">
        <f t="array" ref="T80">angleDecimal2Txt(T79)</f>
        <v>+270°02.09 (+270.0348) [+270°02'05.58]</v>
      </c>
      <c r="U80" s="567"/>
      <c r="V80" s="567"/>
      <c r="W80" s="567"/>
      <c r="X80" s="567"/>
      <c r="Y80" s="567"/>
      <c r="Z80"/>
      <c r="AA80"/>
      <c r="AB80" s="59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2"/>
    </row>
    <row r="81" spans="1:66" s="14" customFormat="1" ht="17.25" customHeight="1" thickTop="1">
      <c r="C81" s="57"/>
      <c r="D81" s="57"/>
      <c r="O81"/>
      <c r="P81"/>
      <c r="Q81"/>
      <c r="R81"/>
      <c r="S81"/>
      <c r="T81"/>
      <c r="U81"/>
      <c r="V81"/>
      <c r="W81"/>
      <c r="X81"/>
      <c r="Y81"/>
      <c r="Z81"/>
      <c r="AA81"/>
      <c r="AB81" s="59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2"/>
    </row>
    <row r="82" spans="1:66" s="14" customFormat="1" ht="17.25" customHeight="1">
      <c r="A82" s="12"/>
      <c r="B82" s="12"/>
      <c r="C82" s="12"/>
      <c r="D82" s="12"/>
      <c r="O82"/>
      <c r="P82"/>
      <c r="Q82"/>
      <c r="R82"/>
      <c r="S82"/>
      <c r="T82"/>
      <c r="U82"/>
      <c r="V82"/>
      <c r="W82"/>
      <c r="X82"/>
      <c r="Y82"/>
      <c r="Z82"/>
      <c r="AA82"/>
      <c r="AB82" s="59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2"/>
    </row>
    <row r="83" spans="1:66" s="350" customFormat="1">
      <c r="A83" s="350" t="s">
        <v>773</v>
      </c>
    </row>
    <row r="84" spans="1:66">
      <c r="B84" t="s">
        <v>775</v>
      </c>
      <c r="C84" t="s">
        <v>776</v>
      </c>
    </row>
    <row r="85" spans="1:66" ht="15.75">
      <c r="D85" s="351" t="s">
        <v>777</v>
      </c>
    </row>
    <row r="86" spans="1:66" ht="15.75">
      <c r="D86" s="352" t="s">
        <v>778</v>
      </c>
    </row>
    <row r="87" spans="1:66">
      <c r="D87" t="s">
        <v>779</v>
      </c>
    </row>
    <row r="88" spans="1:66">
      <c r="B88" t="s">
        <v>780</v>
      </c>
    </row>
    <row r="89" spans="1:66">
      <c r="C89" t="s">
        <v>784</v>
      </c>
    </row>
    <row r="90" spans="1:66">
      <c r="C90" t="s">
        <v>783</v>
      </c>
      <c r="I90" s="11" t="s">
        <v>782</v>
      </c>
    </row>
    <row r="91" spans="1:66">
      <c r="D91" t="s">
        <v>781</v>
      </c>
    </row>
    <row r="92" spans="1:66" ht="15.75" thickBot="1"/>
    <row r="93" spans="1:66" s="14" customFormat="1" ht="17.25" customHeight="1" thickBot="1">
      <c r="B93" s="23" t="s">
        <v>792</v>
      </c>
      <c r="C93" s="24"/>
      <c r="D93" s="24"/>
      <c r="E93" s="92" t="str" cm="1">
        <f t="array" ref="E93">dateDecimale2txt(dateConvert2Decimal(M94),0)</f>
        <v>2025/08/28</v>
      </c>
      <c r="F93" s="92"/>
      <c r="G93" s="93"/>
      <c r="H93" s="94"/>
      <c r="I93" s="92" t="e" cm="1">
        <f t="array" ref="I93">heureDecimal2Txt(#REF!)</f>
        <v>#VALUE!</v>
      </c>
      <c r="J93" s="92"/>
      <c r="K93" s="92"/>
      <c r="L93" s="24"/>
      <c r="M93" s="24"/>
      <c r="N93" s="24" t="s">
        <v>315</v>
      </c>
      <c r="O93" s="24"/>
      <c r="P93" s="24"/>
      <c r="Q93" s="24"/>
      <c r="R93" s="24"/>
      <c r="S93" s="24" t="s">
        <v>316</v>
      </c>
      <c r="T93" s="1474">
        <f>dateConvert2Decimal(M94)</f>
        <v>1756339200</v>
      </c>
      <c r="U93" s="1474"/>
      <c r="V93" s="1474"/>
      <c r="W93" s="24" t="s">
        <v>317</v>
      </c>
      <c r="X93" s="1475">
        <f>(T93/86400)+DATE(1970,1,1)</f>
        <v>45897</v>
      </c>
      <c r="Y93" s="1475"/>
      <c r="Z93" s="24" t="s">
        <v>318</v>
      </c>
      <c r="AA93" s="219">
        <f>INT(MONTH(X93))</f>
        <v>8</v>
      </c>
      <c r="AB93" s="60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2"/>
    </row>
    <row r="94" spans="1:66" s="14" customFormat="1" ht="17.25" customHeight="1">
      <c r="C94" s="1945" t="s">
        <v>1</v>
      </c>
      <c r="D94" s="1946"/>
      <c r="E94" s="1946"/>
      <c r="F94" s="1946"/>
      <c r="G94" s="1946"/>
      <c r="H94" s="1946"/>
      <c r="I94" s="1946"/>
      <c r="J94" s="353"/>
      <c r="K94" s="353"/>
      <c r="L94" s="353"/>
      <c r="M94" s="1626" t="s">
        <v>785</v>
      </c>
      <c r="N94" s="1627"/>
      <c r="O94" s="1627"/>
      <c r="P94" s="353"/>
      <c r="AB94" s="59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2"/>
    </row>
    <row r="95" spans="1:66" s="14" customFormat="1" ht="17.25" customHeight="1">
      <c r="C95" s="1944" t="s">
        <v>56</v>
      </c>
      <c r="D95" s="1944"/>
      <c r="E95" s="1944"/>
      <c r="F95" s="1944"/>
      <c r="G95" s="1944"/>
      <c r="H95" s="1944"/>
      <c r="I95" s="1944"/>
      <c r="J95" s="595" t="str">
        <f>M95</f>
        <v>BordSup</v>
      </c>
      <c r="K95" s="595"/>
      <c r="L95" s="595"/>
      <c r="M95" s="1623" t="s">
        <v>188</v>
      </c>
      <c r="N95" s="1623"/>
      <c r="O95" s="1623"/>
      <c r="AB95" s="59"/>
      <c r="AC95" s="67" t="s">
        <v>98</v>
      </c>
      <c r="AD95" s="68" t="s">
        <v>57</v>
      </c>
      <c r="AE95" s="68" t="s">
        <v>188</v>
      </c>
      <c r="AF95" s="68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2"/>
    </row>
    <row r="96" spans="1:66" s="14" customFormat="1" ht="17.25" customHeight="1" thickBot="1">
      <c r="C96" s="13"/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AB96" s="59"/>
      <c r="AC96" s="356" t="s">
        <v>798</v>
      </c>
      <c r="AD96" s="356">
        <v>-0.5</v>
      </c>
      <c r="AE96" s="356">
        <v>-1</v>
      </c>
      <c r="AF96" s="35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2"/>
    </row>
    <row r="97" spans="1:66" s="14" customFormat="1" ht="17.25" customHeight="1" thickBot="1">
      <c r="B97" s="23" t="s">
        <v>198</v>
      </c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60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2"/>
    </row>
    <row r="98" spans="1:66" s="14" customFormat="1" ht="17.25" customHeight="1" thickTop="1" thickBot="1">
      <c r="C98" s="746" t="s">
        <v>7</v>
      </c>
      <c r="D98" s="746"/>
      <c r="E98" s="746"/>
      <c r="F98" s="746"/>
      <c r="G98" s="729">
        <f>AD99</f>
        <v>27.583333333333332</v>
      </c>
      <c r="H98" s="730"/>
      <c r="I98" s="730"/>
      <c r="J98" s="1590" t="s">
        <v>3</v>
      </c>
      <c r="K98" s="1599" t="s">
        <v>745</v>
      </c>
      <c r="L98" s="1590"/>
      <c r="M98" s="1590"/>
      <c r="N98" s="1590"/>
      <c r="O98" s="1590"/>
      <c r="P98" s="591" t="str" cm="1">
        <f t="array" ref="P98">latitudeDecimal2Txt(G98)</f>
        <v>N 27°35.00 (N 27.5833) [N 27°35'00.00]</v>
      </c>
      <c r="Q98" s="591"/>
      <c r="R98" s="591"/>
      <c r="S98" s="591"/>
      <c r="T98" s="591"/>
      <c r="U98" s="591"/>
      <c r="V98" s="591"/>
      <c r="W98" s="591"/>
      <c r="X98" s="591"/>
      <c r="Y98" s="591"/>
      <c r="AB98" s="59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2"/>
    </row>
    <row r="99" spans="1:66" s="14" customFormat="1" ht="17.25" customHeight="1" thickTop="1" thickBot="1">
      <c r="A99" s="1598" t="s">
        <v>129</v>
      </c>
      <c r="B99" s="273" t="s">
        <v>130</v>
      </c>
      <c r="C99" s="746"/>
      <c r="D99" s="746"/>
      <c r="E99" s="746"/>
      <c r="F99" s="746"/>
      <c r="G99" s="730"/>
      <c r="H99" s="730"/>
      <c r="I99" s="730"/>
      <c r="J99" s="1590"/>
      <c r="K99" s="1590"/>
      <c r="L99" s="1590"/>
      <c r="M99" s="1590"/>
      <c r="N99" s="1590"/>
      <c r="O99" s="1590"/>
      <c r="P99" s="591"/>
      <c r="Q99" s="591"/>
      <c r="R99" s="591"/>
      <c r="S99" s="591"/>
      <c r="T99" s="591"/>
      <c r="U99" s="591"/>
      <c r="V99" s="591"/>
      <c r="W99" s="591"/>
      <c r="X99" s="591"/>
      <c r="Y99" s="591"/>
      <c r="AB99" s="59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2"/>
    </row>
    <row r="100" spans="1:66" s="14" customFormat="1" ht="17.25" customHeight="1" thickTop="1" thickBot="1">
      <c r="A100" s="1598"/>
      <c r="B100" s="273" t="s">
        <v>138</v>
      </c>
      <c r="C100" s="738" t="s">
        <v>8</v>
      </c>
      <c r="D100" s="738"/>
      <c r="E100" s="738"/>
      <c r="F100" s="738"/>
      <c r="G100" s="729">
        <f>AD101</f>
        <v>-151.69999999999999</v>
      </c>
      <c r="H100" s="730"/>
      <c r="I100" s="730"/>
      <c r="J100" s="1590" t="s">
        <v>6</v>
      </c>
      <c r="K100" s="1599" t="s">
        <v>786</v>
      </c>
      <c r="L100" s="1590"/>
      <c r="M100" s="1590"/>
      <c r="N100" s="1590"/>
      <c r="O100" s="1590"/>
      <c r="P100" s="591" t="str" cm="1">
        <f t="array" ref="P100">longitudeDecimal2Txt(G100)</f>
        <v>W 151°42.00 (W 151.6999) [W 151°42'00.00]</v>
      </c>
      <c r="Q100" s="591"/>
      <c r="R100" s="591"/>
      <c r="S100" s="591"/>
      <c r="T100" s="591"/>
      <c r="U100" s="591"/>
      <c r="V100" s="591"/>
      <c r="W100" s="591"/>
      <c r="X100" s="591"/>
      <c r="Y100" s="591"/>
      <c r="Z100" s="12"/>
      <c r="AB100" s="59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9"/>
    </row>
    <row r="101" spans="1:66" s="14" customFormat="1" ht="17.25" customHeight="1" thickTop="1" thickBot="1">
      <c r="C101" s="738"/>
      <c r="D101" s="738"/>
      <c r="E101" s="738"/>
      <c r="F101" s="738"/>
      <c r="G101" s="730"/>
      <c r="H101" s="730"/>
      <c r="I101" s="730"/>
      <c r="J101" s="1590"/>
      <c r="K101" s="1590"/>
      <c r="L101" s="1590"/>
      <c r="M101" s="1590"/>
      <c r="N101" s="1590"/>
      <c r="O101" s="1590"/>
      <c r="P101" s="591"/>
      <c r="Q101" s="591"/>
      <c r="R101" s="591"/>
      <c r="S101" s="591"/>
      <c r="T101" s="591"/>
      <c r="U101" s="591"/>
      <c r="V101" s="591"/>
      <c r="W101" s="591"/>
      <c r="X101" s="591"/>
      <c r="Y101" s="591"/>
      <c r="Z101" s="12"/>
      <c r="AB101" s="59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9"/>
    </row>
    <row r="102" spans="1:66" s="14" customFormat="1" ht="17.25" customHeight="1" thickTop="1" thickBot="1">
      <c r="B102" s="12"/>
      <c r="D102" s="12"/>
      <c r="E102" s="12"/>
      <c r="F102" s="12"/>
      <c r="G102" s="12"/>
      <c r="H102" s="12"/>
      <c r="AB102" s="59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9"/>
    </row>
    <row r="103" spans="1:66" s="14" customFormat="1" ht="17.25" customHeight="1" thickBot="1">
      <c r="B103" s="355" t="s">
        <v>793</v>
      </c>
      <c r="C103" s="58"/>
      <c r="D103" s="58"/>
      <c r="E103" s="58"/>
      <c r="F103" s="58"/>
      <c r="G103" s="58"/>
      <c r="H103" s="58"/>
      <c r="I103" s="612">
        <f>IF(G104=AD104,D107,IF(G104=AD103,D114,#REF!))</f>
        <v>18.430416666666666</v>
      </c>
      <c r="J103" s="612"/>
      <c r="K103" s="612"/>
      <c r="L103" s="24" t="str">
        <f>heureDecimal2Txt(I103)</f>
        <v>18:25:49.50(18.4304)</v>
      </c>
      <c r="M103" s="24"/>
      <c r="N103" s="24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24"/>
      <c r="Z103" s="24"/>
      <c r="AA103" s="24"/>
      <c r="AB103" s="62"/>
      <c r="AC103"/>
      <c r="AD103" s="66" t="s">
        <v>513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2"/>
    </row>
    <row r="104" spans="1:66" s="31" customFormat="1" ht="17.25" customHeight="1">
      <c r="C104" s="1958" t="s">
        <v>35</v>
      </c>
      <c r="D104" s="1958"/>
      <c r="E104" s="1958"/>
      <c r="F104" s="1958"/>
      <c r="G104" s="1577" t="s">
        <v>10</v>
      </c>
      <c r="H104" s="1578"/>
      <c r="I104" s="1579"/>
      <c r="AB104" s="63"/>
      <c r="AC104" s="1330" t="s">
        <v>36</v>
      </c>
      <c r="AD104" s="66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4" customFormat="1" ht="17.25" customHeight="1" outlineLevel="1">
      <c r="C105" s="1331" t="s">
        <v>10</v>
      </c>
      <c r="D105" s="926" t="s">
        <v>788</v>
      </c>
      <c r="E105" s="634"/>
      <c r="F105" s="634"/>
      <c r="G105" s="634"/>
      <c r="H105" s="634"/>
      <c r="I105" s="577" t="s">
        <v>787</v>
      </c>
      <c r="J105" s="665"/>
      <c r="K105" s="577" t="s">
        <v>789</v>
      </c>
      <c r="L105" s="578"/>
      <c r="M105" s="579"/>
      <c r="N105" s="583" t="s">
        <v>790</v>
      </c>
      <c r="O105" s="583"/>
      <c r="P105" s="583"/>
      <c r="Q105" s="583"/>
      <c r="R105" s="583"/>
      <c r="S105" s="12"/>
      <c r="AB105" s="59"/>
      <c r="AC105" s="1330"/>
      <c r="AD105" s="66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2"/>
    </row>
    <row r="106" spans="1:66" s="14" customFormat="1" ht="17.25" customHeight="1" outlineLevel="1" thickBot="1">
      <c r="C106" s="1331"/>
      <c r="D106" s="926"/>
      <c r="E106" s="634"/>
      <c r="F106" s="634"/>
      <c r="G106" s="634"/>
      <c r="H106" s="634"/>
      <c r="I106" s="668"/>
      <c r="J106" s="669"/>
      <c r="K106" s="580"/>
      <c r="L106" s="581"/>
      <c r="M106" s="582"/>
      <c r="N106" s="583"/>
      <c r="O106" s="583"/>
      <c r="P106" s="583"/>
      <c r="Q106" s="583"/>
      <c r="R106" s="583"/>
      <c r="S106" s="12"/>
      <c r="AB106" s="59"/>
      <c r="AC106"/>
      <c r="AD106" s="69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2"/>
    </row>
    <row r="107" spans="1:66" s="14" customFormat="1" ht="17.25" customHeight="1" outlineLevel="1" thickTop="1" thickBot="1">
      <c r="C107" s="1331"/>
      <c r="D107" s="626">
        <f>IF(G104=AD104,AD112,"---")</f>
        <v>18.430416666666666</v>
      </c>
      <c r="E107" s="626"/>
      <c r="F107" s="626"/>
      <c r="G107" s="626"/>
      <c r="H107" s="627"/>
      <c r="I107" s="704">
        <f>G98</f>
        <v>27.583333333333332</v>
      </c>
      <c r="J107" s="705"/>
      <c r="K107" s="1580">
        <v>20</v>
      </c>
      <c r="L107" s="1581"/>
      <c r="M107" s="1582"/>
      <c r="N107" s="1954" t="s">
        <v>749</v>
      </c>
      <c r="O107" s="1574"/>
      <c r="P107" s="1574"/>
      <c r="Q107" s="1574"/>
      <c r="R107" s="1575"/>
      <c r="S107" s="591" t="str">
        <f>heureDecimal2Txt((AE107))</f>
        <v>18:19:00.00(18.3166)</v>
      </c>
      <c r="T107" s="592"/>
      <c r="U107" s="592"/>
      <c r="V107" s="592"/>
      <c r="W107" s="592"/>
      <c r="AB107" s="59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2"/>
    </row>
    <row r="108" spans="1:66" s="14" customFormat="1" ht="17.25" customHeight="1" outlineLevel="1" thickTop="1" thickBot="1">
      <c r="C108" s="1331"/>
      <c r="D108" s="629"/>
      <c r="E108" s="629"/>
      <c r="F108" s="629"/>
      <c r="G108" s="629"/>
      <c r="H108" s="630"/>
      <c r="I108" s="809"/>
      <c r="J108" s="925"/>
      <c r="K108" s="1583"/>
      <c r="L108" s="1584"/>
      <c r="M108" s="1585"/>
      <c r="N108" s="1955"/>
      <c r="O108" s="1562"/>
      <c r="P108" s="1562"/>
      <c r="Q108" s="1562"/>
      <c r="R108" s="1563"/>
      <c r="S108" s="592"/>
      <c r="T108" s="592"/>
      <c r="U108" s="592"/>
      <c r="V108" s="592"/>
      <c r="W108" s="592"/>
      <c r="AB108" s="59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2"/>
    </row>
    <row r="109" spans="1:66" s="14" customFormat="1" ht="17.25" customHeight="1" outlineLevel="1" thickTop="1" thickBot="1">
      <c r="C109" s="1331"/>
      <c r="D109" s="629"/>
      <c r="E109" s="629"/>
      <c r="F109" s="629"/>
      <c r="G109" s="629"/>
      <c r="H109" s="630"/>
      <c r="I109" s="809"/>
      <c r="J109" s="925"/>
      <c r="K109" s="1586">
        <v>30</v>
      </c>
      <c r="L109" s="1587"/>
      <c r="M109" s="1588"/>
      <c r="N109" s="1956" t="s">
        <v>748</v>
      </c>
      <c r="O109" s="1560"/>
      <c r="P109" s="1560"/>
      <c r="Q109" s="1560"/>
      <c r="R109" s="1561"/>
      <c r="S109" s="591" t="str">
        <f>heureDecimal2Txt((AE108))</f>
        <v>18:28:00.00(18.4666)</v>
      </c>
      <c r="T109" s="592"/>
      <c r="U109" s="592"/>
      <c r="V109" s="592"/>
      <c r="W109" s="592"/>
      <c r="AB109" s="59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2"/>
    </row>
    <row r="110" spans="1:66" s="14" customFormat="1" ht="17.25" customHeight="1" outlineLevel="1" thickTop="1" thickBot="1">
      <c r="C110" s="1331"/>
      <c r="D110" s="636" t="str">
        <f>heureDecimal2Txt(D107)</f>
        <v>18:25:49.50(18.4304)</v>
      </c>
      <c r="E110" s="565"/>
      <c r="F110" s="565"/>
      <c r="G110" s="565"/>
      <c r="H110" s="565"/>
      <c r="I110" s="706"/>
      <c r="J110" s="707"/>
      <c r="K110" s="1583"/>
      <c r="L110" s="1584"/>
      <c r="M110" s="1585"/>
      <c r="N110" s="1955"/>
      <c r="O110" s="1562"/>
      <c r="P110" s="1562"/>
      <c r="Q110" s="1562"/>
      <c r="R110" s="1563"/>
      <c r="S110" s="592"/>
      <c r="T110" s="592"/>
      <c r="U110" s="592"/>
      <c r="V110" s="592"/>
      <c r="W110" s="592"/>
      <c r="AB110" s="59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2"/>
    </row>
    <row r="111" spans="1:66" s="14" customFormat="1" ht="17.25" customHeight="1" thickTop="1">
      <c r="C111" s="57"/>
      <c r="D111" s="57"/>
      <c r="E111" s="57"/>
      <c r="AB111" s="59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2"/>
    </row>
    <row r="112" spans="1:66" s="14" customFormat="1" ht="17.25" customHeight="1" outlineLevel="1">
      <c r="C112" s="1445" t="s">
        <v>576</v>
      </c>
      <c r="D112" s="926" t="s">
        <v>788</v>
      </c>
      <c r="E112" s="634"/>
      <c r="F112" s="634"/>
      <c r="G112" s="634"/>
      <c r="H112" s="634"/>
      <c r="I112" s="583" t="s">
        <v>790</v>
      </c>
      <c r="J112" s="583"/>
      <c r="K112" s="583"/>
      <c r="L112" s="583"/>
      <c r="M112" s="583"/>
      <c r="AB112" s="59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2"/>
    </row>
    <row r="113" spans="2:66" s="14" customFormat="1" ht="17.25" customHeight="1" outlineLevel="1">
      <c r="C113" s="1445"/>
      <c r="D113" s="926"/>
      <c r="E113" s="634"/>
      <c r="F113" s="634"/>
      <c r="G113" s="634"/>
      <c r="H113" s="634"/>
      <c r="I113" s="583"/>
      <c r="J113" s="583"/>
      <c r="K113" s="583"/>
      <c r="L113" s="583"/>
      <c r="M113" s="583"/>
      <c r="S113"/>
      <c r="T113"/>
      <c r="U113"/>
      <c r="V113"/>
      <c r="W113"/>
      <c r="X113"/>
      <c r="Y113"/>
      <c r="AB113" s="59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2"/>
    </row>
    <row r="114" spans="2:66" s="14" customFormat="1" ht="17.25" customHeight="1" outlineLevel="1">
      <c r="C114" s="1445"/>
      <c r="D114" s="628" t="str">
        <f>IF(G104=AD103,AD115,"---")</f>
        <v>---</v>
      </c>
      <c r="E114" s="629"/>
      <c r="F114" s="629"/>
      <c r="G114" s="629"/>
      <c r="H114" s="629"/>
      <c r="I114" s="1580" t="s">
        <v>791</v>
      </c>
      <c r="J114" s="1565"/>
      <c r="K114" s="1565"/>
      <c r="L114" s="1565"/>
      <c r="M114" s="1566"/>
      <c r="U114"/>
      <c r="V114"/>
      <c r="W114"/>
      <c r="X114"/>
      <c r="Y114"/>
      <c r="AB114" s="59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2"/>
    </row>
    <row r="115" spans="2:66" s="14" customFormat="1" ht="17.25" customHeight="1" outlineLevel="1" thickBot="1">
      <c r="C115" s="1445"/>
      <c r="D115" s="727"/>
      <c r="E115" s="728"/>
      <c r="F115" s="728"/>
      <c r="G115" s="728"/>
      <c r="H115" s="728"/>
      <c r="I115" s="1567"/>
      <c r="J115" s="1568"/>
      <c r="K115" s="1568"/>
      <c r="L115" s="1568"/>
      <c r="M115" s="1569"/>
      <c r="U115"/>
      <c r="V115"/>
      <c r="W115"/>
      <c r="X115"/>
      <c r="Y115"/>
      <c r="AB115" s="59"/>
      <c r="AC115" s="3" t="s">
        <v>176</v>
      </c>
      <c r="AD115" s="3">
        <f>heureConvert2Decimal(I114)*AD114</f>
        <v>5.75</v>
      </c>
      <c r="AE115"/>
      <c r="AF115"/>
      <c r="AG115" s="346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2"/>
    </row>
    <row r="116" spans="2:66" s="14" customFormat="1" ht="17.25" customHeight="1" outlineLevel="1" thickTop="1" thickBot="1">
      <c r="C116" s="1445"/>
      <c r="D116" s="565" t="str">
        <f>heureDecimal2Txt(AD115)</f>
        <v>05:45:00.00(05.7500)</v>
      </c>
      <c r="E116" s="565"/>
      <c r="F116" s="565"/>
      <c r="G116" s="565"/>
      <c r="H116" s="565"/>
      <c r="I116"/>
      <c r="J116"/>
      <c r="K116"/>
      <c r="L116"/>
      <c r="N116"/>
      <c r="O116"/>
      <c r="U116"/>
      <c r="V116"/>
      <c r="W116"/>
      <c r="X116"/>
      <c r="Y116"/>
      <c r="AB116" s="59"/>
      <c r="AC116"/>
      <c r="AD116"/>
      <c r="AE116"/>
      <c r="AF116" s="187"/>
      <c r="AG116" s="187"/>
      <c r="AH116" s="345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2"/>
    </row>
    <row r="117" spans="2:66" s="14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59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2"/>
    </row>
    <row r="118" spans="2:66" s="14" customFormat="1" ht="17.25" customHeight="1" thickBot="1">
      <c r="B118" s="23" t="s">
        <v>797</v>
      </c>
      <c r="C118" s="24"/>
      <c r="D118" s="24"/>
      <c r="E118" s="24"/>
      <c r="F118" s="612">
        <f>I120</f>
        <v>4.5424017353241766</v>
      </c>
      <c r="G118" s="612"/>
      <c r="H118" s="612"/>
      <c r="I118" s="1947" t="str">
        <f>G120</f>
        <v>Jour suivant</v>
      </c>
      <c r="J118" s="1440"/>
      <c r="K118" s="1440"/>
      <c r="L118" s="1440"/>
      <c r="M118" s="1440"/>
      <c r="N118" s="24"/>
      <c r="O118" s="24"/>
      <c r="P118" s="24"/>
      <c r="Q118" s="24"/>
      <c r="R118" s="24" t="str">
        <f>heureDecimal2Txt(F118)</f>
        <v>04:32:32.64(04.5424)</v>
      </c>
      <c r="S118" s="24"/>
      <c r="T118" s="24"/>
      <c r="U118" s="24"/>
      <c r="V118" s="24"/>
      <c r="W118" s="24"/>
      <c r="X118" s="24"/>
      <c r="Y118" s="24"/>
      <c r="Z118" s="24"/>
      <c r="AA118" s="24"/>
      <c r="AB118" s="62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2"/>
    </row>
    <row r="119" spans="2:66" s="14" customFormat="1" ht="17.25" customHeight="1" thickBot="1">
      <c r="B119"/>
      <c r="C119"/>
      <c r="D119" s="14" t="s">
        <v>796</v>
      </c>
      <c r="I119" s="1950">
        <f>(-1)*G100/15.002</f>
        <v>10.111985068657511</v>
      </c>
      <c r="J119" s="1950"/>
      <c r="O119"/>
      <c r="V119"/>
      <c r="W119"/>
      <c r="X119"/>
      <c r="Y119"/>
      <c r="Z119"/>
      <c r="AA119"/>
      <c r="AB119" s="354"/>
      <c r="AC119" s="224" t="s">
        <v>795</v>
      </c>
      <c r="AD119" s="236">
        <f>I119+I103</f>
        <v>28.542401735324177</v>
      </c>
      <c r="AE119" s="224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2"/>
    </row>
    <row r="120" spans="2:66" s="14" customFormat="1" ht="17.25" customHeight="1" thickTop="1" thickBot="1">
      <c r="B120"/>
      <c r="C120"/>
      <c r="D120" s="81" t="s">
        <v>794</v>
      </c>
      <c r="E120" s="81"/>
      <c r="F120" s="81"/>
      <c r="G120" s="1957" t="str">
        <f>AE120</f>
        <v>Jour suivant</v>
      </c>
      <c r="H120" s="1957"/>
      <c r="I120" s="1948">
        <f>-24*AD120+AD119</f>
        <v>4.5424017353241766</v>
      </c>
      <c r="J120" s="1949"/>
      <c r="K120" s="1951" t="str">
        <f>heureDecimal2Txt(I120)</f>
        <v>04:32:32.64(04.5424)</v>
      </c>
      <c r="L120" s="1952"/>
      <c r="M120" s="1952"/>
      <c r="N120" s="1953"/>
      <c r="O120"/>
      <c r="V120"/>
      <c r="W120"/>
      <c r="X120"/>
      <c r="Y120"/>
      <c r="Z120"/>
      <c r="AA120"/>
      <c r="AB120" s="354"/>
      <c r="AD120" s="224">
        <f>IF(AD119&lt;0,-1,IF(AD119&gt;24,1, 0))</f>
        <v>1</v>
      </c>
      <c r="AE120" s="224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2"/>
    </row>
    <row r="121" spans="2:66" ht="17.25" customHeight="1" thickTop="1" thickBot="1"/>
    <row r="122" spans="2:66" s="14" customFormat="1" ht="17.25" customHeight="1" thickBot="1">
      <c r="B122" s="23" t="s">
        <v>9</v>
      </c>
      <c r="C122" s="73"/>
      <c r="D122" s="73"/>
      <c r="E122" s="73"/>
      <c r="F122" s="603">
        <f>IF(G123=AD123,D126,IF(G123=AD122,D139,D133))</f>
        <v>10.229434643529011</v>
      </c>
      <c r="G122" s="612"/>
      <c r="H122" s="612"/>
      <c r="I122" s="24"/>
      <c r="J122" s="24"/>
      <c r="K122" s="24" t="str" cm="1">
        <f t="array" ref="K122">latitudeDecimal2Txt(F122)</f>
        <v>N 10°13.76 (N 10.2294) [N 10°13'45.96]</v>
      </c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62"/>
      <c r="AC122"/>
      <c r="AD122" s="66" t="s">
        <v>513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2"/>
    </row>
    <row r="123" spans="2:66" s="31" customFormat="1" ht="17.25" customHeight="1">
      <c r="C123" s="675" t="s">
        <v>35</v>
      </c>
      <c r="D123" s="675"/>
      <c r="E123" s="675"/>
      <c r="F123" s="675"/>
      <c r="G123" s="1577" t="s">
        <v>10</v>
      </c>
      <c r="H123" s="1578"/>
      <c r="I123" s="1579"/>
      <c r="AB123" s="63"/>
      <c r="AC123" s="1330" t="s">
        <v>36</v>
      </c>
      <c r="AD123" s="66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4" customFormat="1" ht="17.25" customHeight="1" outlineLevel="1">
      <c r="C124" s="1331" t="s">
        <v>10</v>
      </c>
      <c r="D124" s="926" t="s">
        <v>9</v>
      </c>
      <c r="E124" s="634"/>
      <c r="F124" s="634"/>
      <c r="G124" s="634"/>
      <c r="H124" s="634"/>
      <c r="I124" s="577" t="s">
        <v>575</v>
      </c>
      <c r="J124" s="665"/>
      <c r="K124" s="577" t="s">
        <v>13</v>
      </c>
      <c r="L124" s="578"/>
      <c r="M124" s="579"/>
      <c r="N124" s="583" t="s">
        <v>15</v>
      </c>
      <c r="O124" s="583"/>
      <c r="P124" s="583"/>
      <c r="Q124" s="583"/>
      <c r="R124" s="583"/>
      <c r="S124" s="12"/>
      <c r="AB124" s="59"/>
      <c r="AC124" s="1330"/>
      <c r="AD124" s="66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2"/>
    </row>
    <row r="125" spans="2:66" s="14" customFormat="1" ht="17.25" customHeight="1" outlineLevel="1" thickBot="1">
      <c r="C125" s="1331"/>
      <c r="D125" s="926"/>
      <c r="E125" s="634"/>
      <c r="F125" s="634"/>
      <c r="G125" s="634"/>
      <c r="H125" s="634"/>
      <c r="I125" s="668"/>
      <c r="J125" s="669"/>
      <c r="K125" s="580"/>
      <c r="L125" s="581"/>
      <c r="M125" s="582"/>
      <c r="N125" s="583"/>
      <c r="O125" s="583"/>
      <c r="P125" s="583"/>
      <c r="Q125" s="583"/>
      <c r="R125" s="583"/>
      <c r="S125" s="12"/>
      <c r="AB125" s="59"/>
      <c r="AC125"/>
      <c r="AD125" s="69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2"/>
    </row>
    <row r="126" spans="2:66" s="14" customFormat="1" ht="17.25" customHeight="1" outlineLevel="1" thickTop="1" thickBot="1">
      <c r="C126" s="1331"/>
      <c r="D126" s="626">
        <f>IF(G123=AD123,AD131,"---")</f>
        <v>10.229434643529011</v>
      </c>
      <c r="E126" s="626"/>
      <c r="F126" s="626"/>
      <c r="G126" s="626"/>
      <c r="H126" s="627"/>
      <c r="I126" s="704">
        <f>F118</f>
        <v>4.5424017353241766</v>
      </c>
      <c r="J126" s="705"/>
      <c r="K126" s="1580">
        <v>4</v>
      </c>
      <c r="L126" s="1581"/>
      <c r="M126" s="1582"/>
      <c r="N126" s="1590" t="s">
        <v>3</v>
      </c>
      <c r="O126" s="1591" t="s">
        <v>799</v>
      </c>
      <c r="P126" s="1592"/>
      <c r="Q126" s="1592"/>
      <c r="R126" s="1592"/>
      <c r="S126" s="591" t="str" cm="1">
        <f t="array" ref="S126">angleDecimal2Txt(AE126)</f>
        <v>+10°14.19 (+10.2366) [+10°14'12.00]</v>
      </c>
      <c r="T126" s="592"/>
      <c r="U126" s="592"/>
      <c r="V126" s="592"/>
      <c r="W126" s="592"/>
      <c r="AB126" s="59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2"/>
    </row>
    <row r="127" spans="2:66" s="14" customFormat="1" ht="17.25" customHeight="1" outlineLevel="1" thickTop="1" thickBot="1">
      <c r="C127" s="1331"/>
      <c r="D127" s="629"/>
      <c r="E127" s="629"/>
      <c r="F127" s="629"/>
      <c r="G127" s="629"/>
      <c r="H127" s="630"/>
      <c r="I127" s="809"/>
      <c r="J127" s="925"/>
      <c r="K127" s="1583"/>
      <c r="L127" s="1584"/>
      <c r="M127" s="1585"/>
      <c r="N127" s="1590"/>
      <c r="O127" s="1593"/>
      <c r="P127" s="1593"/>
      <c r="Q127" s="1593"/>
      <c r="R127" s="1593"/>
      <c r="S127" s="592"/>
      <c r="T127" s="592"/>
      <c r="U127" s="592"/>
      <c r="V127" s="592"/>
      <c r="W127" s="592"/>
      <c r="AB127" s="59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2"/>
    </row>
    <row r="128" spans="2:66" s="14" customFormat="1" ht="17.25" customHeight="1" outlineLevel="1" thickTop="1" thickBot="1">
      <c r="C128" s="1331"/>
      <c r="D128" s="629"/>
      <c r="E128" s="629"/>
      <c r="F128" s="629"/>
      <c r="G128" s="629"/>
      <c r="H128" s="630"/>
      <c r="I128" s="809"/>
      <c r="J128" s="925"/>
      <c r="K128" s="1586">
        <v>5</v>
      </c>
      <c r="L128" s="1587"/>
      <c r="M128" s="1588"/>
      <c r="N128" s="1590" t="s">
        <v>3</v>
      </c>
      <c r="O128" s="1594" t="s">
        <v>800</v>
      </c>
      <c r="P128" s="1593"/>
      <c r="Q128" s="1593"/>
      <c r="R128" s="1593"/>
      <c r="S128" s="591" t="str" cm="1">
        <f t="array" ref="S128">angleDecimal2Txt((AE127))</f>
        <v>+10°13.40 (+10.2233) [+10°13'24.00]</v>
      </c>
      <c r="T128" s="592"/>
      <c r="U128" s="592"/>
      <c r="V128" s="592"/>
      <c r="W128" s="592"/>
      <c r="AB128" s="59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2"/>
    </row>
    <row r="129" spans="1:66" s="14" customFormat="1" ht="17.25" customHeight="1" outlineLevel="1" thickTop="1" thickBot="1">
      <c r="C129" s="1331"/>
      <c r="D129" s="636" t="str" cm="1">
        <f t="array" ref="D129">latitudeDecimal2Txt(D126)</f>
        <v>N 10°13.76 (N 10.2294) [N 10°13'45.96]</v>
      </c>
      <c r="E129" s="565"/>
      <c r="F129" s="565"/>
      <c r="G129" s="565"/>
      <c r="H129" s="565"/>
      <c r="I129" s="706"/>
      <c r="J129" s="707"/>
      <c r="K129" s="1583"/>
      <c r="L129" s="1584"/>
      <c r="M129" s="1585"/>
      <c r="N129" s="1590"/>
      <c r="O129" s="1593"/>
      <c r="P129" s="1593"/>
      <c r="Q129" s="1593"/>
      <c r="R129" s="1593"/>
      <c r="S129" s="592"/>
      <c r="T129" s="592"/>
      <c r="U129" s="592"/>
      <c r="V129" s="592"/>
      <c r="W129" s="592"/>
      <c r="AB129" s="59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2"/>
    </row>
    <row r="130" spans="1:66" s="14" customFormat="1" ht="17.25" customHeight="1" thickTop="1">
      <c r="C130" s="57"/>
      <c r="D130" s="57"/>
      <c r="E130" s="57"/>
      <c r="AB130" s="59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2"/>
    </row>
    <row r="131" spans="1:66" s="14" customFormat="1" ht="17.25" hidden="1" customHeight="1" outlineLevel="1">
      <c r="C131" s="1445" t="s">
        <v>14</v>
      </c>
      <c r="D131" s="634" t="s">
        <v>9</v>
      </c>
      <c r="E131" s="634"/>
      <c r="F131" s="634"/>
      <c r="G131" s="634"/>
      <c r="H131" s="634"/>
      <c r="I131" s="577" t="s">
        <v>575</v>
      </c>
      <c r="J131" s="665"/>
      <c r="K131" s="577" t="s">
        <v>569</v>
      </c>
      <c r="L131" s="578"/>
      <c r="M131" s="579"/>
      <c r="N131" s="583" t="s">
        <v>16</v>
      </c>
      <c r="O131" s="583"/>
      <c r="P131" s="583"/>
      <c r="Q131" s="583"/>
      <c r="R131" s="583"/>
      <c r="S131" s="583" t="s">
        <v>131</v>
      </c>
      <c r="T131" s="583"/>
      <c r="U131" s="583"/>
      <c r="V131" s="583"/>
      <c r="W131" s="583"/>
      <c r="AA131" s="12"/>
      <c r="AB131" s="59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2"/>
    </row>
    <row r="132" spans="1:66" s="14" customFormat="1" ht="17.25" hidden="1" customHeight="1" outlineLevel="1">
      <c r="C132" s="1445"/>
      <c r="D132" s="634"/>
      <c r="E132" s="634"/>
      <c r="F132" s="634"/>
      <c r="G132" s="634"/>
      <c r="H132" s="634"/>
      <c r="I132" s="668"/>
      <c r="J132" s="669"/>
      <c r="K132" s="580"/>
      <c r="L132" s="581"/>
      <c r="M132" s="582"/>
      <c r="N132" s="583"/>
      <c r="O132" s="583"/>
      <c r="P132" s="583"/>
      <c r="Q132" s="583"/>
      <c r="R132" s="583"/>
      <c r="S132" s="583"/>
      <c r="T132" s="583"/>
      <c r="U132" s="583"/>
      <c r="V132" s="583"/>
      <c r="W132" s="583"/>
      <c r="AA132" s="12"/>
      <c r="AB132" s="59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2"/>
    </row>
    <row r="133" spans="1:66" s="14" customFormat="1" ht="17.25" hidden="1" customHeight="1" outlineLevel="1">
      <c r="C133" s="1445"/>
      <c r="D133" s="626" t="str">
        <f>IF(G123=AD124,AD137,"---")</f>
        <v>---</v>
      </c>
      <c r="E133" s="626"/>
      <c r="F133" s="626"/>
      <c r="G133" s="626"/>
      <c r="H133" s="626"/>
      <c r="I133" s="586" t="e">
        <f>#REF!</f>
        <v>#REF!</v>
      </c>
      <c r="J133" s="586"/>
      <c r="K133" s="1565">
        <v>0</v>
      </c>
      <c r="L133" s="1565"/>
      <c r="M133" s="1657"/>
      <c r="N133" s="1590" t="s">
        <v>3</v>
      </c>
      <c r="O133" s="1653" t="s">
        <v>568</v>
      </c>
      <c r="P133" s="1654"/>
      <c r="Q133" s="1654"/>
      <c r="R133" s="1654"/>
      <c r="S133" s="1590" t="s">
        <v>3</v>
      </c>
      <c r="T133" s="1653">
        <f>0.2/60</f>
        <v>3.3333333333333335E-3</v>
      </c>
      <c r="U133" s="1654"/>
      <c r="V133" s="1654"/>
      <c r="W133" s="1654"/>
      <c r="AA133" s="12"/>
      <c r="AB133" s="59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2"/>
    </row>
    <row r="134" spans="1:66" s="14" customFormat="1" ht="17.25" hidden="1" customHeight="1" outlineLevel="1" thickBot="1">
      <c r="C134" s="1445"/>
      <c r="D134" s="629"/>
      <c r="E134" s="629"/>
      <c r="F134" s="629"/>
      <c r="G134" s="629"/>
      <c r="H134" s="629"/>
      <c r="I134" s="586"/>
      <c r="J134" s="586"/>
      <c r="K134" s="1572"/>
      <c r="L134" s="1572"/>
      <c r="M134" s="1658"/>
      <c r="N134" s="1590"/>
      <c r="O134" s="1590"/>
      <c r="P134" s="1590"/>
      <c r="Q134" s="1590"/>
      <c r="R134" s="1590"/>
      <c r="S134" s="1590"/>
      <c r="T134" s="1590"/>
      <c r="U134" s="1590"/>
      <c r="V134" s="1590"/>
      <c r="W134" s="1590"/>
      <c r="Z134" s="12"/>
      <c r="AA134" s="12"/>
      <c r="AB134" s="59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2"/>
    </row>
    <row r="135" spans="1:66" s="14" customFormat="1" ht="17.25" hidden="1" customHeight="1" outlineLevel="1" thickTop="1" thickBot="1">
      <c r="C135" s="1445"/>
      <c r="D135" s="636" t="e" cm="1">
        <f t="array" ref="D135">latitudeDecimal2Txt(D133)</f>
        <v>#VALUE!</v>
      </c>
      <c r="E135" s="565"/>
      <c r="F135" s="565"/>
      <c r="G135" s="565"/>
      <c r="H135" s="739"/>
      <c r="I135" s="586"/>
      <c r="J135" s="586"/>
      <c r="K135" s="635" t="str" cm="1">
        <f t="array" ref="K135">heureDecimal2Txt(K133)</f>
        <v>00:00:00.00(00.0000)</v>
      </c>
      <c r="L135" s="635"/>
      <c r="M135" s="636"/>
      <c r="N135" s="567" t="str" cm="1">
        <f t="array" ref="N135">angleDecimal2Txt(AD134)</f>
        <v>+23°10.59 (+23.1766) [+23°10'36.00]</v>
      </c>
      <c r="O135" s="567"/>
      <c r="P135" s="567"/>
      <c r="Q135" s="567"/>
      <c r="R135" s="567"/>
      <c r="S135" s="567" t="str" cm="1">
        <f t="array" ref="S135">angleDecimal2Txt(AD136)</f>
        <v>+00°00.19 (+00.0033) [+00°00'11.99]</v>
      </c>
      <c r="T135" s="791"/>
      <c r="U135" s="791"/>
      <c r="V135" s="791"/>
      <c r="W135" s="791"/>
      <c r="Z135" s="12"/>
      <c r="AB135" s="59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2"/>
    </row>
    <row r="136" spans="1:66" s="14" customFormat="1" ht="17.25" customHeight="1" collapsed="1">
      <c r="A136" s="32" t="s">
        <v>495</v>
      </c>
      <c r="C136" s="57"/>
      <c r="D136" s="57"/>
      <c r="E136" s="57"/>
      <c r="I136"/>
      <c r="Z136" s="12"/>
      <c r="AB136" s="59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2"/>
    </row>
    <row r="137" spans="1:66" s="14" customFormat="1" ht="17.25" hidden="1" customHeight="1" outlineLevel="1">
      <c r="C137" s="1445" t="s">
        <v>576</v>
      </c>
      <c r="D137" s="634" t="s">
        <v>9</v>
      </c>
      <c r="E137" s="634"/>
      <c r="F137" s="634"/>
      <c r="G137" s="634"/>
      <c r="H137" s="634"/>
      <c r="I137" s="652" t="s">
        <v>514</v>
      </c>
      <c r="J137" s="653"/>
      <c r="K137" s="653"/>
      <c r="L137" s="653"/>
      <c r="M137" s="654"/>
      <c r="AB137" s="59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2"/>
    </row>
    <row r="138" spans="1:66" s="14" customFormat="1" ht="17.25" hidden="1" customHeight="1" outlineLevel="1">
      <c r="C138" s="1445"/>
      <c r="D138" s="634"/>
      <c r="E138" s="634"/>
      <c r="F138" s="634"/>
      <c r="G138" s="634"/>
      <c r="H138" s="634"/>
      <c r="I138" s="655"/>
      <c r="J138" s="656"/>
      <c r="K138" s="656"/>
      <c r="L138" s="656"/>
      <c r="M138" s="657"/>
      <c r="S138"/>
      <c r="T138"/>
      <c r="U138"/>
      <c r="V138"/>
      <c r="W138"/>
      <c r="X138"/>
      <c r="Y138"/>
      <c r="AB138" s="59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2"/>
    </row>
    <row r="139" spans="1:66" s="14" customFormat="1" ht="17.25" hidden="1" customHeight="1" outlineLevel="1">
      <c r="C139" s="1445"/>
      <c r="D139" s="628" t="str">
        <f>IF(G123=AD122,AD140,"---")</f>
        <v>---</v>
      </c>
      <c r="E139" s="629"/>
      <c r="F139" s="629"/>
      <c r="G139" s="629"/>
      <c r="H139" s="629"/>
      <c r="I139" s="1576" t="s">
        <v>3</v>
      </c>
      <c r="J139" s="1558" t="s">
        <v>574</v>
      </c>
      <c r="K139" s="1558"/>
      <c r="L139" s="1558"/>
      <c r="M139" s="1558"/>
      <c r="U139"/>
      <c r="V139"/>
      <c r="W139"/>
      <c r="X139"/>
      <c r="Y139"/>
      <c r="AB139" s="59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2"/>
    </row>
    <row r="140" spans="1:66" s="14" customFormat="1" ht="17.25" hidden="1" customHeight="1" outlineLevel="1" thickBot="1">
      <c r="C140" s="1445"/>
      <c r="D140" s="727"/>
      <c r="E140" s="728"/>
      <c r="F140" s="728"/>
      <c r="G140" s="728"/>
      <c r="H140" s="728"/>
      <c r="I140" s="1576"/>
      <c r="J140" s="1558"/>
      <c r="K140" s="1558"/>
      <c r="L140" s="1558"/>
      <c r="M140" s="1558"/>
      <c r="U140"/>
      <c r="V140"/>
      <c r="W140"/>
      <c r="X140"/>
      <c r="Y140"/>
      <c r="AB140" s="59"/>
      <c r="AC140" s="3" t="s">
        <v>176</v>
      </c>
      <c r="AD140" s="3" cm="1">
        <f t="array" ref="AD140">angleConvert2Decimal(J139)*AD139</f>
        <v>14.728333333333333</v>
      </c>
      <c r="AE140"/>
      <c r="AF140"/>
      <c r="AG140" s="346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2"/>
    </row>
    <row r="141" spans="1:66" s="14" customFormat="1" ht="17.25" hidden="1" customHeight="1" outlineLevel="1" thickTop="1" thickBot="1">
      <c r="C141" s="1445"/>
      <c r="D141" s="565" t="str" cm="1">
        <f t="array" ref="D141">latitudeDecimal2Txt(AD140)</f>
        <v>N 14°43.70 (N 14.7283) [N 14°43'42.00]</v>
      </c>
      <c r="E141" s="565"/>
      <c r="F141" s="565"/>
      <c r="G141" s="565"/>
      <c r="H141" s="565"/>
      <c r="I141"/>
      <c r="J141"/>
      <c r="K141"/>
      <c r="L141"/>
      <c r="N141"/>
      <c r="O141"/>
      <c r="U141"/>
      <c r="V141"/>
      <c r="W141"/>
      <c r="X141"/>
      <c r="Y141"/>
      <c r="AB141" s="59"/>
      <c r="AC141">
        <f>YEAR($X$7)</f>
        <v>1900</v>
      </c>
      <c r="AD141">
        <f>MONTH($X$7)</f>
        <v>1</v>
      </c>
      <c r="AE141">
        <f>DAY($X$7)</f>
        <v>0</v>
      </c>
      <c r="AF141" s="187" t="e">
        <f>INT(#REF!)</f>
        <v>#REF!</v>
      </c>
      <c r="AG141" s="187" t="e">
        <f>INT(((3600*#REF!-3600*AF141)/60)+0.000001)</f>
        <v>#REF!</v>
      </c>
      <c r="AH141" s="345" t="e">
        <f>((#REF!*3600 - AG141*60 -AF141*3600))</f>
        <v>#REF!</v>
      </c>
      <c r="AI141" t="s">
        <v>754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2"/>
    </row>
    <row r="142" spans="1:66" s="14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59"/>
      <c r="AC142"/>
      <c r="AD142" s="66" t="s">
        <v>768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2"/>
    </row>
    <row r="143" spans="1:66" s="14" customFormat="1" ht="17.25" customHeight="1" thickBot="1">
      <c r="A143" s="31"/>
      <c r="B143" s="23" t="s">
        <v>134</v>
      </c>
      <c r="C143" s="73"/>
      <c r="D143" s="73"/>
      <c r="E143" s="73"/>
      <c r="F143" s="603">
        <f>IF(G144=AD144,D147,IF(G144=AD143,D160,D154))</f>
        <v>247.70783403564707</v>
      </c>
      <c r="G143" s="612"/>
      <c r="H143" s="612"/>
      <c r="I143" s="24"/>
      <c r="J143" s="24"/>
      <c r="K143" s="24"/>
      <c r="L143" s="1652">
        <f>F143-360</f>
        <v>-112.29216596435293</v>
      </c>
      <c r="M143" s="1652"/>
      <c r="N143" s="24" t="s">
        <v>28</v>
      </c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62"/>
      <c r="AC143"/>
      <c r="AD143" s="66" t="s">
        <v>512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2"/>
    </row>
    <row r="144" spans="1:66" s="14" customFormat="1" ht="17.25" customHeight="1">
      <c r="B144" s="31"/>
      <c r="C144" s="675" t="s">
        <v>35</v>
      </c>
      <c r="D144" s="675"/>
      <c r="E144" s="675"/>
      <c r="F144" s="675"/>
      <c r="G144" s="1650" t="s">
        <v>10</v>
      </c>
      <c r="H144" s="1650"/>
      <c r="I144" s="165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63"/>
      <c r="AC144" s="1330" t="s">
        <v>36</v>
      </c>
      <c r="AD144" s="66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2"/>
    </row>
    <row r="145" spans="1:66" s="14" customFormat="1" ht="17.25" customHeight="1" outlineLevel="1">
      <c r="C145" s="1331" t="s">
        <v>10</v>
      </c>
      <c r="D145" s="666" t="s">
        <v>406</v>
      </c>
      <c r="E145" s="927"/>
      <c r="F145" s="927"/>
      <c r="G145" s="927"/>
      <c r="H145" s="927"/>
      <c r="I145" s="578" t="s">
        <v>575</v>
      </c>
      <c r="J145" s="665"/>
      <c r="K145" s="577" t="s">
        <v>13</v>
      </c>
      <c r="L145" s="578"/>
      <c r="M145" s="579"/>
      <c r="N145" s="652" t="s">
        <v>15</v>
      </c>
      <c r="O145" s="653"/>
      <c r="P145" s="653"/>
      <c r="Q145" s="653"/>
      <c r="R145" s="654"/>
      <c r="S145" s="12"/>
      <c r="AB145" s="59"/>
      <c r="AC145" s="1330"/>
      <c r="AD145" s="66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2"/>
    </row>
    <row r="146" spans="1:66" s="14" customFormat="1" ht="17.25" customHeight="1" outlineLevel="1" thickBot="1">
      <c r="C146" s="1331"/>
      <c r="D146" s="668"/>
      <c r="E146" s="677"/>
      <c r="F146" s="677"/>
      <c r="G146" s="677"/>
      <c r="H146" s="677"/>
      <c r="I146" s="677"/>
      <c r="J146" s="669"/>
      <c r="K146" s="580"/>
      <c r="L146" s="581"/>
      <c r="M146" s="582"/>
      <c r="N146" s="794"/>
      <c r="O146" s="656"/>
      <c r="P146" s="656"/>
      <c r="Q146" s="656"/>
      <c r="R146" s="657"/>
      <c r="S146" s="12"/>
      <c r="AB146" s="59"/>
      <c r="AC146"/>
      <c r="AD146" s="69" t="s">
        <v>73</v>
      </c>
      <c r="AE146" s="3" t="s">
        <v>578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2"/>
    </row>
    <row r="147" spans="1:66" s="14" customFormat="1" ht="17.25" customHeight="1" outlineLevel="1" thickTop="1" thickBot="1">
      <c r="C147" s="1331"/>
      <c r="D147" s="625">
        <f>IF(G144=AD144,AF152,"---")</f>
        <v>247.70783403564707</v>
      </c>
      <c r="E147" s="626"/>
      <c r="F147" s="626"/>
      <c r="G147" s="626"/>
      <c r="H147" s="627"/>
      <c r="I147" s="704">
        <f>F118</f>
        <v>4.5424017353241766</v>
      </c>
      <c r="J147" s="705"/>
      <c r="K147" s="1564">
        <v>4</v>
      </c>
      <c r="L147" s="1565"/>
      <c r="M147" s="1566"/>
      <c r="N147" s="586" t="s">
        <v>5</v>
      </c>
      <c r="O147" s="1574" t="s">
        <v>801</v>
      </c>
      <c r="P147" s="1574"/>
      <c r="Q147" s="1574"/>
      <c r="R147" s="1575"/>
      <c r="S147" s="590" t="str" cm="1">
        <f t="array" ref="S147">angleDecimal2Txt(AF147)</f>
        <v>+239°34.20 (+239.5699) [+239°34'12.00]</v>
      </c>
      <c r="T147" s="590"/>
      <c r="U147" s="590"/>
      <c r="V147" s="590"/>
      <c r="W147" s="590"/>
      <c r="X147" s="590"/>
      <c r="Z147"/>
      <c r="AB147" s="59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2"/>
    </row>
    <row r="148" spans="1:66" s="14" customFormat="1" ht="17.25" customHeight="1" outlineLevel="1" thickTop="1" thickBot="1">
      <c r="C148" s="1331"/>
      <c r="D148" s="628"/>
      <c r="E148" s="629"/>
      <c r="F148" s="629"/>
      <c r="G148" s="629"/>
      <c r="H148" s="630"/>
      <c r="I148" s="809"/>
      <c r="J148" s="925"/>
      <c r="K148" s="1571"/>
      <c r="L148" s="1572"/>
      <c r="M148" s="1573"/>
      <c r="N148" s="586"/>
      <c r="O148" s="1562"/>
      <c r="P148" s="1562"/>
      <c r="Q148" s="1562"/>
      <c r="R148" s="1563"/>
      <c r="S148" s="590"/>
      <c r="T148" s="590"/>
      <c r="U148" s="590"/>
      <c r="V148" s="590"/>
      <c r="W148" s="590"/>
      <c r="X148" s="590"/>
      <c r="Z148"/>
      <c r="AB148" s="59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2"/>
    </row>
    <row r="149" spans="1:66" s="14" customFormat="1" ht="17.25" customHeight="1" outlineLevel="1" thickTop="1" thickBot="1">
      <c r="C149" s="1331"/>
      <c r="D149" s="628"/>
      <c r="E149" s="629"/>
      <c r="F149" s="629"/>
      <c r="G149" s="629"/>
      <c r="H149" s="630"/>
      <c r="I149" s="809"/>
      <c r="J149" s="925"/>
      <c r="K149" s="1595">
        <v>5</v>
      </c>
      <c r="L149" s="1596"/>
      <c r="M149" s="1597"/>
      <c r="N149" s="586" t="s">
        <v>5</v>
      </c>
      <c r="O149" s="1560" t="s">
        <v>802</v>
      </c>
      <c r="P149" s="1560"/>
      <c r="Q149" s="1560"/>
      <c r="R149" s="1561"/>
      <c r="S149" s="590" t="str" cm="1">
        <f t="array" ref="S149">angleDecimal2Txt((AF148))</f>
        <v>+254°34.39 (+254.5733) [+254°34'24.00]</v>
      </c>
      <c r="T149" s="590"/>
      <c r="U149" s="590"/>
      <c r="V149" s="590"/>
      <c r="W149" s="590"/>
      <c r="X149" s="590"/>
      <c r="Z149"/>
      <c r="AB149" s="59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2"/>
    </row>
    <row r="150" spans="1:66" s="14" customFormat="1" ht="17.25" customHeight="1" outlineLevel="1" thickTop="1" thickBot="1">
      <c r="C150" s="1331"/>
      <c r="D150" s="565" t="str" cm="1">
        <f t="array" ref="D150">angleDecimal2Txt(D147)</f>
        <v>+247°42.47 (+247.7078) [+247°42'28.20]</v>
      </c>
      <c r="E150" s="565"/>
      <c r="F150" s="565"/>
      <c r="G150" s="565"/>
      <c r="H150" s="565"/>
      <c r="I150" s="706"/>
      <c r="J150" s="707"/>
      <c r="K150" s="1571"/>
      <c r="L150" s="1572"/>
      <c r="M150" s="1573"/>
      <c r="N150" s="586"/>
      <c r="O150" s="1562"/>
      <c r="P150" s="1562"/>
      <c r="Q150" s="1562"/>
      <c r="R150" s="1563"/>
      <c r="S150" s="590"/>
      <c r="T150" s="590"/>
      <c r="U150" s="590"/>
      <c r="V150" s="590"/>
      <c r="W150" s="590"/>
      <c r="X150" s="590"/>
      <c r="Z150"/>
      <c r="AB150" s="59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2"/>
    </row>
    <row r="151" spans="1:66" s="14" customFormat="1" ht="17.25" customHeight="1" thickTop="1">
      <c r="C151" s="57"/>
      <c r="D151" s="57"/>
      <c r="E151" s="57"/>
      <c r="Z151"/>
      <c r="AB151" s="59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2"/>
    </row>
    <row r="152" spans="1:66" s="14" customFormat="1" ht="17.25" hidden="1" customHeight="1" outlineLevel="1">
      <c r="C152" s="1559" t="s">
        <v>14</v>
      </c>
      <c r="D152" s="634" t="s">
        <v>406</v>
      </c>
      <c r="E152" s="634"/>
      <c r="F152" s="634"/>
      <c r="G152" s="634"/>
      <c r="H152" s="634"/>
      <c r="I152" s="929" t="s">
        <v>575</v>
      </c>
      <c r="J152" s="634"/>
      <c r="K152" s="578" t="s">
        <v>569</v>
      </c>
      <c r="L152" s="578"/>
      <c r="M152" s="579"/>
      <c r="N152" s="652" t="s">
        <v>16</v>
      </c>
      <c r="O152" s="653"/>
      <c r="P152" s="653"/>
      <c r="Q152" s="653"/>
      <c r="R152" s="654"/>
      <c r="S152" s="652" t="s">
        <v>94</v>
      </c>
      <c r="T152" s="653"/>
      <c r="U152" s="653"/>
      <c r="V152" s="653"/>
      <c r="W152" s="654"/>
      <c r="Z152"/>
      <c r="AA152" s="12"/>
      <c r="AB152" s="59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2"/>
    </row>
    <row r="153" spans="1:66" s="14" customFormat="1" ht="17.25" hidden="1" customHeight="1" outlineLevel="1">
      <c r="C153" s="1559"/>
      <c r="D153" s="634"/>
      <c r="E153" s="634"/>
      <c r="F153" s="634"/>
      <c r="G153" s="634"/>
      <c r="H153" s="634"/>
      <c r="I153" s="634"/>
      <c r="J153" s="634"/>
      <c r="K153" s="581"/>
      <c r="L153" s="581"/>
      <c r="M153" s="582"/>
      <c r="N153" s="794"/>
      <c r="O153" s="656"/>
      <c r="P153" s="656"/>
      <c r="Q153" s="656"/>
      <c r="R153" s="657"/>
      <c r="S153" s="794"/>
      <c r="T153" s="837"/>
      <c r="U153" s="837"/>
      <c r="V153" s="837"/>
      <c r="W153" s="838"/>
      <c r="Z153"/>
      <c r="AA153" s="12"/>
      <c r="AB153" s="59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2"/>
    </row>
    <row r="154" spans="1:66" s="14" customFormat="1" ht="17.25" hidden="1" customHeight="1" outlineLevel="1">
      <c r="C154" s="1559"/>
      <c r="D154" s="596" t="str">
        <f>IF(G144=AD145,AF158,"---")</f>
        <v>---</v>
      </c>
      <c r="E154" s="596"/>
      <c r="F154" s="596"/>
      <c r="G154" s="596"/>
      <c r="H154" s="596"/>
      <c r="I154" s="586" t="e">
        <f>#REF!</f>
        <v>#REF!</v>
      </c>
      <c r="J154" s="586"/>
      <c r="K154" s="1565">
        <v>0</v>
      </c>
      <c r="L154" s="1565"/>
      <c r="M154" s="1566"/>
      <c r="N154" s="586" t="s">
        <v>5</v>
      </c>
      <c r="O154" s="1581" t="s">
        <v>570</v>
      </c>
      <c r="P154" s="1581"/>
      <c r="Q154" s="1581"/>
      <c r="R154" s="1581"/>
      <c r="S154" s="586" t="s">
        <v>5</v>
      </c>
      <c r="T154" s="721">
        <v>14.997999999999999</v>
      </c>
      <c r="U154" s="586"/>
      <c r="V154" s="586"/>
      <c r="W154" s="586"/>
      <c r="AA154" s="12"/>
      <c r="AB154" s="59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2"/>
    </row>
    <row r="155" spans="1:66" s="14" customFormat="1" ht="17.25" hidden="1" customHeight="1" outlineLevel="1" collapsed="1">
      <c r="C155" s="1559"/>
      <c r="D155" s="596"/>
      <c r="E155" s="596"/>
      <c r="F155" s="596"/>
      <c r="G155" s="596"/>
      <c r="H155" s="596"/>
      <c r="I155" s="586"/>
      <c r="J155" s="586"/>
      <c r="K155" s="1572"/>
      <c r="L155" s="1572"/>
      <c r="M155" s="1573"/>
      <c r="N155" s="586"/>
      <c r="O155" s="1589"/>
      <c r="P155" s="1589"/>
      <c r="Q155" s="1589"/>
      <c r="R155" s="1589"/>
      <c r="S155" s="586"/>
      <c r="T155" s="586"/>
      <c r="U155" s="586"/>
      <c r="V155" s="586"/>
      <c r="W155" s="586"/>
      <c r="Z155" s="12"/>
      <c r="AA155" s="12"/>
      <c r="AB155" s="59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2"/>
    </row>
    <row r="156" spans="1:66" s="14" customFormat="1" ht="17.25" hidden="1" customHeight="1" outlineLevel="1">
      <c r="C156" s="1559"/>
      <c r="D156" s="565" t="e" cm="1">
        <f t="array" ref="D156">angleDecimal2Txt(D154)</f>
        <v>#VALUE!</v>
      </c>
      <c r="E156" s="565"/>
      <c r="F156" s="565"/>
      <c r="G156" s="565"/>
      <c r="H156" s="565"/>
      <c r="I156" s="586"/>
      <c r="J156" s="586"/>
      <c r="K156" s="635" t="str" cm="1">
        <f t="array" ref="K156">heureDecimal2Txt(K154)</f>
        <v>00:00:00.00(00.0000)</v>
      </c>
      <c r="L156" s="635"/>
      <c r="M156" s="636"/>
      <c r="N156" s="593" t="str" cm="1">
        <f t="array" ref="N156">angleDecimal2Txt(AD155)</f>
        <v>+180°02.00 (+180.0333) [+180°02'00.00]</v>
      </c>
      <c r="O156" s="567"/>
      <c r="P156" s="567"/>
      <c r="Q156" s="567"/>
      <c r="R156" s="567"/>
      <c r="S156" s="593" t="str" cm="1">
        <f t="array" ref="S156">angleDecimal2Txt(AD157)</f>
        <v>+14°59.87 (+14.9979) [+14°59'52.79]</v>
      </c>
      <c r="T156" s="792"/>
      <c r="U156" s="792"/>
      <c r="V156" s="792"/>
      <c r="W156" s="792"/>
      <c r="Z156" s="12"/>
      <c r="AB156" s="59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2"/>
    </row>
    <row r="157" spans="1:66" s="14" customFormat="1" ht="17.25" customHeight="1" collapsed="1">
      <c r="A157" s="32" t="s">
        <v>495</v>
      </c>
      <c r="C157" s="57"/>
      <c r="D157" s="57"/>
      <c r="E157" s="57"/>
      <c r="Z157" s="12"/>
      <c r="AB157" s="59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2"/>
    </row>
    <row r="158" spans="1:66" s="14" customFormat="1" ht="17.25" hidden="1" customHeight="1" outlineLevel="1">
      <c r="C158" s="1445" t="s">
        <v>576</v>
      </c>
      <c r="D158" s="634" t="s">
        <v>406</v>
      </c>
      <c r="E158" s="634"/>
      <c r="F158" s="634"/>
      <c r="G158" s="634"/>
      <c r="H158" s="634"/>
      <c r="I158" s="583" t="s">
        <v>514</v>
      </c>
      <c r="J158" s="583"/>
      <c r="K158" s="583"/>
      <c r="L158" s="583"/>
      <c r="M158" s="583"/>
      <c r="AB158" s="59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2"/>
    </row>
    <row r="159" spans="1:66" s="14" customFormat="1" ht="17.25" hidden="1" customHeight="1" outlineLevel="1">
      <c r="C159" s="1445"/>
      <c r="D159" s="634"/>
      <c r="E159" s="634"/>
      <c r="F159" s="634"/>
      <c r="G159" s="634"/>
      <c r="H159" s="634"/>
      <c r="I159" s="583"/>
      <c r="J159" s="583"/>
      <c r="K159" s="583"/>
      <c r="L159" s="583"/>
      <c r="M159" s="583"/>
      <c r="O159" s="14" t="s">
        <v>772</v>
      </c>
      <c r="Q159" s="14" t="s">
        <v>770</v>
      </c>
      <c r="W159" s="12"/>
      <c r="X159" s="12"/>
      <c r="AB159" s="59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2"/>
    </row>
    <row r="160" spans="1:66" s="14" customFormat="1" ht="17.25" hidden="1" customHeight="1" outlineLevel="1">
      <c r="C160" s="1445"/>
      <c r="D160" s="596" t="str">
        <f>IF(G144=AD143,AD161,"---")</f>
        <v>---</v>
      </c>
      <c r="E160" s="596"/>
      <c r="F160" s="596"/>
      <c r="G160" s="596"/>
      <c r="H160" s="596"/>
      <c r="I160" s="586" t="s">
        <v>5</v>
      </c>
      <c r="J160" s="1558" t="str">
        <f>angleDecimal2Txt(T160,0)</f>
        <v>+267°24.79</v>
      </c>
      <c r="K160" s="1558"/>
      <c r="L160" s="1558"/>
      <c r="M160" s="1558"/>
      <c r="O160" s="38" t="s">
        <v>769</v>
      </c>
      <c r="P160" s="14">
        <f>angleConvert2Decimal(O160)</f>
        <v>121.31833333333333</v>
      </c>
      <c r="Q160" s="38" t="s">
        <v>771</v>
      </c>
      <c r="R160" s="14">
        <f>angleConvert2Decimal(Q160)</f>
        <v>146.095</v>
      </c>
      <c r="S160" s="14">
        <f>R160+P160</f>
        <v>267.4133333333333</v>
      </c>
      <c r="T160" s="14">
        <f>MOD(360+S160,360)</f>
        <v>267.4133333333333</v>
      </c>
      <c r="W160" s="12"/>
      <c r="X160" s="12"/>
      <c r="AB160" s="59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2"/>
    </row>
    <row r="161" spans="1:66" s="14" customFormat="1" ht="17.25" hidden="1" customHeight="1" outlineLevel="1" thickBot="1">
      <c r="C161" s="1445"/>
      <c r="D161" s="596"/>
      <c r="E161" s="596"/>
      <c r="F161" s="596"/>
      <c r="G161" s="596"/>
      <c r="H161" s="596"/>
      <c r="I161" s="586"/>
      <c r="J161" s="1558"/>
      <c r="K161" s="1558"/>
      <c r="L161" s="1558"/>
      <c r="M161" s="1558"/>
      <c r="S161" s="12"/>
      <c r="T161" s="12"/>
      <c r="U161" s="12"/>
      <c r="V161" s="12"/>
      <c r="W161" s="12"/>
      <c r="X161" s="12"/>
      <c r="AB161" s="59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2"/>
    </row>
    <row r="162" spans="1:66" s="14" customFormat="1" ht="17.25" hidden="1" customHeight="1" outlineLevel="1" thickTop="1" thickBot="1">
      <c r="C162" s="1445"/>
      <c r="D162" s="565" t="str" cm="1">
        <f t="array" ref="D162">angleDecimal2Txt(AD161)</f>
        <v>+267°24.78 (+267.4131) [+267°24'47.39]</v>
      </c>
      <c r="E162" s="565"/>
      <c r="F162" s="565"/>
      <c r="G162" s="565"/>
      <c r="H162" s="565"/>
      <c r="I162"/>
      <c r="J162"/>
      <c r="K162"/>
      <c r="L162"/>
      <c r="M162"/>
      <c r="S162" s="12"/>
      <c r="T162" s="12"/>
      <c r="U162" s="12"/>
      <c r="V162" s="12"/>
      <c r="W162" s="12"/>
      <c r="X162" s="12"/>
      <c r="AB162" s="59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2"/>
    </row>
    <row r="163" spans="1:66" s="14" customFormat="1" ht="17.25" customHeight="1" collapsed="1" thickBot="1">
      <c r="C163"/>
      <c r="D163"/>
      <c r="E163"/>
      <c r="I163"/>
      <c r="J163"/>
      <c r="K163"/>
      <c r="L163"/>
      <c r="M163"/>
      <c r="S163" s="12"/>
      <c r="T163" s="12"/>
      <c r="U163" s="12"/>
      <c r="V163" s="12"/>
      <c r="W163" s="12"/>
      <c r="X163" s="12"/>
      <c r="AB163" s="59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2"/>
    </row>
    <row r="164" spans="1:66" s="12" customFormat="1" ht="17.25" customHeight="1" thickBot="1">
      <c r="A164" s="14"/>
      <c r="B164" s="23" t="s">
        <v>43</v>
      </c>
      <c r="C164" s="73"/>
      <c r="D164" s="73"/>
      <c r="E164" s="73"/>
      <c r="F164" s="603">
        <f>I165</f>
        <v>96.007834035647079</v>
      </c>
      <c r="G164" s="603"/>
      <c r="H164" s="603"/>
      <c r="I164" s="24"/>
      <c r="J164" s="1959"/>
      <c r="K164" s="1959"/>
      <c r="L164" s="1959"/>
      <c r="M164" s="1960"/>
      <c r="N164" s="1960"/>
      <c r="O164" s="1960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62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9"/>
    </row>
    <row r="165" spans="1:66" s="14" customFormat="1" ht="17.25" customHeight="1" thickTop="1" thickBot="1">
      <c r="C165" s="790" t="s">
        <v>21</v>
      </c>
      <c r="D165" s="790"/>
      <c r="E165" s="790"/>
      <c r="F165" s="790"/>
      <c r="G165" s="790"/>
      <c r="H165" s="790"/>
      <c r="I165" s="844">
        <f>AD166</f>
        <v>96.007834035647079</v>
      </c>
      <c r="J165" s="844"/>
      <c r="K165" s="844"/>
      <c r="L165" s="845"/>
      <c r="M165" s="34" t="s">
        <v>45</v>
      </c>
      <c r="N165" s="555">
        <f>AD165</f>
        <v>96.007834035647079</v>
      </c>
      <c r="O165" s="555"/>
      <c r="P165" s="555"/>
      <c r="Q165" s="555"/>
      <c r="R165" s="708" t="str" cm="1">
        <f t="array" ref="R165">angleDecimal2Txt(AD166)</f>
        <v>+96°00.47 (+96.0078) [+96°00'28.20]</v>
      </c>
      <c r="S165" s="842"/>
      <c r="T165" s="842"/>
      <c r="U165" s="842"/>
      <c r="V165" s="842"/>
      <c r="W165" s="843"/>
      <c r="AB165" s="59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2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4" customFormat="1" ht="17.25" customHeight="1" thickBot="1">
      <c r="B168" s="23" t="s">
        <v>44</v>
      </c>
      <c r="C168" s="24"/>
      <c r="D168" s="45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60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2"/>
    </row>
    <row r="169" spans="1:66" ht="17.25" customHeight="1">
      <c r="H169" s="332" t="s">
        <v>70</v>
      </c>
      <c r="I169" s="1943" t="str">
        <f>J95</f>
        <v>BordSup</v>
      </c>
      <c r="J169" s="1871"/>
      <c r="K169" s="1871"/>
      <c r="L169" s="1871"/>
      <c r="M169" s="1871"/>
      <c r="N169" s="14"/>
    </row>
    <row r="170" spans="1:66" ht="17.25" customHeight="1">
      <c r="E170" s="689" t="s">
        <v>25</v>
      </c>
      <c r="F170" s="690"/>
      <c r="G170" s="690"/>
      <c r="H170" s="690"/>
      <c r="I170" s="625">
        <f>IF(I169=AE95,AE96,AD96)</f>
        <v>-1</v>
      </c>
      <c r="J170" s="626"/>
      <c r="K170" s="626"/>
      <c r="L170" s="626"/>
      <c r="M170" s="627"/>
      <c r="N170" s="14"/>
    </row>
    <row r="171" spans="1:66" ht="17.25" customHeight="1" thickBot="1">
      <c r="E171" s="691"/>
      <c r="F171" s="692"/>
      <c r="G171" s="692"/>
      <c r="H171" s="692"/>
      <c r="I171" s="727"/>
      <c r="J171" s="728"/>
      <c r="K171" s="728"/>
      <c r="L171" s="728"/>
      <c r="M171" s="814"/>
      <c r="N171" s="14"/>
    </row>
    <row r="172" spans="1:66" ht="17.25" customHeight="1" thickTop="1" thickBot="1">
      <c r="E172" s="693"/>
      <c r="F172" s="694"/>
      <c r="G172" s="694"/>
      <c r="H172" s="694"/>
      <c r="I172" s="708" t="str" cm="1">
        <f t="array" ref="I172">angleDecimal2Txt(I170)</f>
        <v>-01°00.00 (-01.0000) [-01°00'00.00]</v>
      </c>
      <c r="J172" s="709"/>
      <c r="K172" s="709"/>
      <c r="L172" s="709"/>
      <c r="M172" s="570"/>
      <c r="N172" s="14"/>
      <c r="O172" s="14"/>
      <c r="P172" s="14"/>
      <c r="Q172" s="14"/>
      <c r="R172" s="14"/>
      <c r="S172" s="14"/>
      <c r="T172" s="12"/>
      <c r="U172" s="12"/>
      <c r="V172" s="12"/>
      <c r="W172" s="12"/>
      <c r="X172" s="12"/>
      <c r="Y172" s="12"/>
      <c r="Z172" s="14"/>
      <c r="AA172" s="14"/>
      <c r="AB172" s="59"/>
    </row>
    <row r="173" spans="1:66" s="14" customFormat="1" ht="17.25" customHeight="1" thickTop="1">
      <c r="C173" s="57"/>
      <c r="D173" s="57"/>
      <c r="T173" s="12"/>
      <c r="U173" s="12"/>
      <c r="V173" s="12"/>
      <c r="W173" s="12"/>
      <c r="X173" s="12"/>
      <c r="Y173" s="12"/>
      <c r="AB173" s="59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2"/>
    </row>
    <row r="174" spans="1:66" s="14" customFormat="1" ht="17.25" customHeight="1">
      <c r="C174" s="57"/>
      <c r="D174" s="57"/>
      <c r="O174" s="834" t="s">
        <v>86</v>
      </c>
      <c r="P174" s="835"/>
      <c r="Q174" s="835"/>
      <c r="R174" s="835"/>
      <c r="S174" s="835"/>
      <c r="T174" s="835"/>
      <c r="U174" s="835"/>
      <c r="V174" s="835"/>
      <c r="W174" s="835"/>
      <c r="X174" s="835"/>
      <c r="Y174" s="835"/>
      <c r="Z174" s="835"/>
      <c r="AA174" s="835"/>
      <c r="AB174" s="59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2"/>
    </row>
    <row r="175" spans="1:66" s="14" customFormat="1" ht="17.25" customHeight="1">
      <c r="C175" s="57"/>
      <c r="D175" s="57"/>
      <c r="O175" s="688" t="s">
        <v>222</v>
      </c>
      <c r="P175" s="688"/>
      <c r="Q175" s="688">
        <f>I170</f>
        <v>-1</v>
      </c>
      <c r="R175" s="688"/>
      <c r="S175" s="688"/>
      <c r="T175" s="836" t="s">
        <v>54</v>
      </c>
      <c r="U175" s="688">
        <f>Q175*Outils!$F$4</f>
        <v>-1.7453292519943295E-2</v>
      </c>
      <c r="V175" s="688"/>
      <c r="W175" s="688"/>
      <c r="X175" s="809" t="s">
        <v>64</v>
      </c>
      <c r="AB175" s="59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2"/>
    </row>
    <row r="176" spans="1:66">
      <c r="E176" s="846" t="s">
        <v>92</v>
      </c>
      <c r="F176" s="847"/>
      <c r="G176" s="847"/>
      <c r="H176" s="848"/>
      <c r="I176" s="625" cm="1">
        <f t="array" ref="I176">astroCalculZ(Q177,Q176,Q178)</f>
        <v>78.164247773463131</v>
      </c>
      <c r="J176" s="626"/>
      <c r="K176" s="626"/>
      <c r="L176" s="626"/>
      <c r="M176" s="627"/>
      <c r="N176" s="14"/>
      <c r="O176" s="688" t="s">
        <v>84</v>
      </c>
      <c r="P176" s="688"/>
      <c r="Q176" s="688">
        <f>F122</f>
        <v>10.229434643529011</v>
      </c>
      <c r="R176" s="688"/>
      <c r="S176" s="688"/>
      <c r="T176" s="836"/>
      <c r="U176" s="688">
        <f>Q176*Outils!$F$4</f>
        <v>0.17853731514715371</v>
      </c>
      <c r="V176" s="688"/>
      <c r="W176" s="688"/>
      <c r="X176" s="809"/>
      <c r="Y176" s="14"/>
      <c r="Z176" s="14"/>
      <c r="AA176" s="14"/>
      <c r="AB176" s="59"/>
    </row>
    <row r="177" spans="5:29" ht="15.75" thickBot="1">
      <c r="E177" s="849"/>
      <c r="F177" s="850"/>
      <c r="G177" s="850"/>
      <c r="H177" s="851"/>
      <c r="I177" s="727"/>
      <c r="J177" s="728"/>
      <c r="K177" s="728"/>
      <c r="L177" s="728"/>
      <c r="M177" s="814"/>
      <c r="N177" s="46" t="s">
        <v>116</v>
      </c>
      <c r="O177" s="688" t="s">
        <v>85</v>
      </c>
      <c r="P177" s="688"/>
      <c r="Q177" s="688">
        <f>G98</f>
        <v>27.583333333333332</v>
      </c>
      <c r="R177" s="688"/>
      <c r="S177" s="688"/>
      <c r="T177" s="836"/>
      <c r="U177" s="688">
        <f>Q177*Outils!$F$4</f>
        <v>0.48141998534176922</v>
      </c>
      <c r="V177" s="688"/>
      <c r="W177" s="688"/>
      <c r="X177" s="809"/>
      <c r="Y177" s="14"/>
      <c r="Z177" s="14"/>
      <c r="AA177" s="14"/>
      <c r="AB177" s="59"/>
    </row>
    <row r="178" spans="5:29" ht="16.5" thickTop="1" thickBot="1">
      <c r="E178" s="852"/>
      <c r="F178" s="853"/>
      <c r="G178" s="853"/>
      <c r="H178" s="854"/>
      <c r="I178" s="866" t="str" cm="1">
        <f t="array" ref="I178">angleDecimal2Txt(I176)</f>
        <v>+78°09.85 (+78.1642) [+78°09'51.29]</v>
      </c>
      <c r="J178" s="867"/>
      <c r="K178" s="867"/>
      <c r="L178" s="867"/>
      <c r="M178" s="868"/>
      <c r="N178" s="14"/>
      <c r="O178" s="688" t="s">
        <v>43</v>
      </c>
      <c r="P178" s="688"/>
      <c r="Q178" s="688">
        <f>F164</f>
        <v>96.007834035647079</v>
      </c>
      <c r="R178" s="688"/>
      <c r="S178" s="688"/>
      <c r="T178" s="836"/>
      <c r="U178" s="688">
        <f>Q178*Outils!$F$4</f>
        <v>1.6756528116303164</v>
      </c>
      <c r="V178" s="688"/>
      <c r="W178" s="688"/>
      <c r="X178" s="809"/>
      <c r="Y178" s="14"/>
      <c r="Z178" s="14"/>
      <c r="AA178" s="14"/>
      <c r="AB178" s="59"/>
    </row>
    <row r="179" spans="5:29" ht="15.75" thickTop="1"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59"/>
    </row>
    <row r="180" spans="5:29">
      <c r="E180" s="57"/>
      <c r="F180" s="14"/>
      <c r="G180" s="14"/>
      <c r="H180" s="14"/>
      <c r="I180" s="796" t="s">
        <v>143</v>
      </c>
      <c r="J180" s="797"/>
      <c r="K180" s="797"/>
      <c r="L180" s="797"/>
      <c r="M180" s="797"/>
      <c r="N180" s="798"/>
      <c r="O180" s="796" t="s">
        <v>144</v>
      </c>
      <c r="P180" s="797"/>
      <c r="Q180" s="797"/>
      <c r="R180" s="797"/>
      <c r="S180" s="797"/>
      <c r="T180" s="798"/>
      <c r="U180" s="14"/>
      <c r="V180" s="14"/>
      <c r="W180" s="14"/>
      <c r="X180" s="14"/>
      <c r="Y180" s="14"/>
      <c r="Z180" s="14"/>
      <c r="AA180" s="14"/>
      <c r="AB180" s="59"/>
    </row>
    <row r="181" spans="5:29">
      <c r="E181" s="57"/>
      <c r="F181" s="14"/>
      <c r="G181" s="14"/>
      <c r="H181" s="14"/>
      <c r="I181" s="840"/>
      <c r="J181" s="801" t="s">
        <v>117</v>
      </c>
      <c r="K181" s="802"/>
      <c r="L181" s="803"/>
      <c r="M181" s="807" t="s">
        <v>118</v>
      </c>
      <c r="N181" s="808"/>
      <c r="O181" s="840"/>
      <c r="P181" s="801" t="s">
        <v>117</v>
      </c>
      <c r="Q181" s="802"/>
      <c r="R181" s="803"/>
      <c r="S181" s="807" t="s">
        <v>119</v>
      </c>
      <c r="T181" s="808"/>
      <c r="U181" s="14"/>
      <c r="V181" s="14"/>
      <c r="W181" s="14"/>
      <c r="X181" s="14"/>
      <c r="Y181" s="14"/>
      <c r="Z181" s="14"/>
      <c r="AA181" s="14"/>
      <c r="AB181" s="59"/>
    </row>
    <row r="182" spans="5:29">
      <c r="E182" s="57"/>
      <c r="F182" s="14"/>
      <c r="G182" s="14"/>
      <c r="H182" s="14"/>
      <c r="I182" s="841"/>
      <c r="J182" s="804" t="s">
        <v>87</v>
      </c>
      <c r="K182" s="805"/>
      <c r="L182" s="806"/>
      <c r="M182" s="799" t="s">
        <v>88</v>
      </c>
      <c r="N182" s="800"/>
      <c r="O182" s="841"/>
      <c r="P182" s="804" t="s">
        <v>87</v>
      </c>
      <c r="Q182" s="805"/>
      <c r="R182" s="806"/>
      <c r="S182" s="799" t="s">
        <v>89</v>
      </c>
      <c r="T182" s="800"/>
      <c r="U182" s="14"/>
      <c r="V182" s="14"/>
      <c r="W182" s="14"/>
      <c r="X182" s="14"/>
      <c r="Y182" s="14"/>
      <c r="Z182" s="14"/>
      <c r="AA182" s="14"/>
      <c r="AB182" s="59"/>
    </row>
    <row r="183" spans="5:29">
      <c r="E183" s="57"/>
      <c r="F183" s="12"/>
      <c r="G183" s="12"/>
      <c r="H183" s="12"/>
      <c r="I183" s="12"/>
      <c r="J183" s="12"/>
      <c r="K183" s="12"/>
      <c r="L183" s="14"/>
      <c r="M183" s="14"/>
      <c r="N183" s="14"/>
      <c r="O183" s="14"/>
      <c r="P183" s="14"/>
      <c r="Q183" s="12"/>
      <c r="R183" s="12"/>
      <c r="S183" s="12"/>
      <c r="T183" s="1607"/>
      <c r="U183" s="1607"/>
      <c r="V183" s="1607"/>
      <c r="W183" s="12"/>
      <c r="X183" s="1607"/>
      <c r="Y183" s="1607"/>
      <c r="Z183" s="1607"/>
      <c r="AA183" s="14"/>
      <c r="AB183" s="59"/>
    </row>
    <row r="184" spans="5:29">
      <c r="E184" s="57"/>
      <c r="F184" s="12"/>
      <c r="G184" s="57"/>
      <c r="H184" s="14"/>
      <c r="I184" s="14"/>
      <c r="J184" s="14"/>
      <c r="K184" s="14"/>
      <c r="L184" s="14"/>
      <c r="M184" s="14"/>
      <c r="N184" s="1608"/>
      <c r="O184" s="1608"/>
      <c r="P184" s="14"/>
      <c r="Q184" s="1607"/>
      <c r="R184" s="1607"/>
      <c r="S184" s="1607"/>
      <c r="T184" s="1607"/>
      <c r="U184" s="1607"/>
      <c r="V184" s="1607"/>
      <c r="W184" s="12"/>
      <c r="X184" s="1607"/>
      <c r="Y184" s="1607"/>
      <c r="Z184" s="1607"/>
      <c r="AA184" s="14"/>
      <c r="AB184" s="59"/>
      <c r="AC184" t="s">
        <v>515</v>
      </c>
    </row>
    <row r="185" spans="5:29">
      <c r="E185" s="57"/>
      <c r="F185" s="57"/>
      <c r="G185" s="57"/>
      <c r="H185" s="14"/>
      <c r="I185" s="688" t="s">
        <v>85</v>
      </c>
      <c r="J185" s="688"/>
      <c r="K185" s="55">
        <f>G76</f>
        <v>0</v>
      </c>
      <c r="L185" s="642" t="str">
        <f>CONCATENATE("Sens: ",IF(Q177&gt;0,"Nord","Sud"))</f>
        <v>Sens: Nord</v>
      </c>
      <c r="M185" s="598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59"/>
      <c r="AC185" t="s">
        <v>516</v>
      </c>
    </row>
    <row r="186" spans="5:29" ht="15.75" thickBot="1">
      <c r="E186" s="57"/>
      <c r="F186" s="57"/>
      <c r="G186" s="57"/>
      <c r="H186" s="14"/>
      <c r="I186" s="688" t="s">
        <v>43</v>
      </c>
      <c r="J186" s="688"/>
      <c r="K186" s="55">
        <f>Q178</f>
        <v>96.007834035647079</v>
      </c>
      <c r="L186" s="642" t="str">
        <f>CONCATENATE("Is &gt; 180? ", IF(Q178&gt;180,"Y", "N"))</f>
        <v>Is &gt; 180? N</v>
      </c>
      <c r="M186" s="598"/>
      <c r="N186" s="14"/>
      <c r="O186" s="1411" t="s">
        <v>93</v>
      </c>
      <c r="P186" s="1412"/>
      <c r="Q186" s="1412"/>
      <c r="R186" s="1412"/>
      <c r="S186" s="1412"/>
      <c r="T186" s="568" cm="1">
        <f t="array" ref="T186">astroCalculZ2Zn(Q177,I176,Q178)</f>
        <v>281.8357522265369</v>
      </c>
      <c r="U186" s="569"/>
      <c r="V186" s="48" t="s">
        <v>28</v>
      </c>
      <c r="W186" s="12"/>
      <c r="X186" s="14"/>
      <c r="Y186" s="14"/>
      <c r="Z186" s="14"/>
      <c r="AA186" s="14"/>
      <c r="AB186" s="59"/>
    </row>
    <row r="187" spans="5:29" ht="16.5" thickTop="1" thickBot="1">
      <c r="E187" s="57"/>
      <c r="F187" s="57"/>
      <c r="G187" s="57"/>
      <c r="H187" s="14"/>
      <c r="I187" s="587" t="s">
        <v>120</v>
      </c>
      <c r="J187" s="588"/>
      <c r="K187" s="643"/>
      <c r="L187" s="642" t="str">
        <f>IF(K185&gt;0,IF(K186&gt;180,M181,M182),IF(K186&gt;180,S181,S182))</f>
        <v>Zn = 180 +  Z</v>
      </c>
      <c r="M187" s="598"/>
      <c r="N187" s="14"/>
      <c r="O187" s="14"/>
      <c r="P187" s="14"/>
      <c r="Q187" s="14"/>
      <c r="R187" s="14"/>
      <c r="S187" s="14"/>
      <c r="T187" s="567" t="str" cm="1">
        <f t="array" ref="T187">angleDecimal2Txt(T186)</f>
        <v>+281°50.14 (+281.8357) [+281°50'08.70]</v>
      </c>
      <c r="U187" s="567"/>
      <c r="V187" s="567"/>
      <c r="W187" s="567"/>
      <c r="X187" s="567"/>
      <c r="Y187" s="567"/>
      <c r="Z187" s="14"/>
      <c r="AA187" s="14"/>
      <c r="AB187" s="59"/>
    </row>
    <row r="188" spans="5:29" ht="15.75" thickTop="1"/>
  </sheetData>
  <protectedRanges>
    <protectedRange sqref="I12:Y12" name="Heure visee" securityDescriptor="O:WDG:WDD:(A;;CC;;;WD)"/>
  </protectedRanges>
  <mergeCells count="350"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1:C35"/>
    <mergeCell ref="S26:W27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D47:H49"/>
    <mergeCell ref="I47:J50"/>
    <mergeCell ref="K47:M48"/>
    <mergeCell ref="N47:N48"/>
    <mergeCell ref="O47:R48"/>
    <mergeCell ref="K56:M56"/>
    <mergeCell ref="D52:H53"/>
    <mergeCell ref="I52:J53"/>
    <mergeCell ref="K52:M53"/>
    <mergeCell ref="N52:R53"/>
    <mergeCell ref="N56:R56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S147:X148"/>
    <mergeCell ref="C144:F144"/>
    <mergeCell ref="G144:I144"/>
    <mergeCell ref="D156:H156"/>
    <mergeCell ref="K156:M156"/>
    <mergeCell ref="D152:H153"/>
    <mergeCell ref="I152:J153"/>
    <mergeCell ref="K152:M153"/>
    <mergeCell ref="N152:R153"/>
    <mergeCell ref="N156:R156"/>
    <mergeCell ref="C131:C135"/>
    <mergeCell ref="D147:H149"/>
    <mergeCell ref="I147:J150"/>
    <mergeCell ref="K147:M148"/>
    <mergeCell ref="N147:N148"/>
    <mergeCell ref="O147:R148"/>
    <mergeCell ref="C137:C141"/>
    <mergeCell ref="D137:H138"/>
    <mergeCell ref="I137:M138"/>
    <mergeCell ref="D139:H140"/>
    <mergeCell ref="I139:I140"/>
    <mergeCell ref="J139:M140"/>
    <mergeCell ref="D141:H141"/>
    <mergeCell ref="F143:H143"/>
    <mergeCell ref="L143:M143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</mergeCells>
  <conditionalFormatting sqref="I118:M118 G120:H120">
    <cfRule type="expression" dxfId="3" priority="1">
      <formula>($AD$120&lt;&gt;0)</formula>
    </cfRule>
    <cfRule type="expression" dxfId="2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topLeftCell="A12" workbookViewId="0">
      <selection activeCell="B35" sqref="B35:B36"/>
    </sheetView>
  </sheetViews>
  <sheetFormatPr defaultColWidth="11.42578125" defaultRowHeight="15"/>
  <cols>
    <col min="6" max="6" width="13.42578125" customWidth="1"/>
  </cols>
  <sheetData>
    <row r="2" spans="2:66" ht="15.75" thickBot="1">
      <c r="K2" s="1969" t="s">
        <v>677</v>
      </c>
      <c r="L2" s="1969"/>
      <c r="M2" s="1969"/>
      <c r="N2" s="1969"/>
      <c r="O2" s="1969"/>
      <c r="P2" s="1969"/>
      <c r="Q2" s="1969"/>
      <c r="R2" s="1969"/>
      <c r="S2" s="1969"/>
      <c r="T2" s="1969"/>
      <c r="U2" s="1969"/>
      <c r="V2" s="1969"/>
      <c r="W2" s="1969"/>
      <c r="X2" s="1969"/>
      <c r="Y2" s="1969"/>
      <c r="Z2" s="1969"/>
    </row>
    <row r="3" spans="2:66">
      <c r="C3" s="1972" t="s">
        <v>102</v>
      </c>
      <c r="D3" s="1973"/>
      <c r="E3" s="1973"/>
      <c r="F3" s="1974"/>
      <c r="J3" s="1700" t="s">
        <v>678</v>
      </c>
      <c r="K3" s="89" t="s">
        <v>312</v>
      </c>
      <c r="L3" s="89">
        <v>52</v>
      </c>
      <c r="M3" s="89">
        <v>54</v>
      </c>
      <c r="N3" s="89">
        <v>55</v>
      </c>
      <c r="O3" s="89">
        <v>55.5</v>
      </c>
      <c r="P3" s="89">
        <v>56</v>
      </c>
      <c r="Q3" s="89">
        <v>56.5</v>
      </c>
      <c r="R3" s="89">
        <v>57</v>
      </c>
      <c r="S3" s="89">
        <v>57.5</v>
      </c>
      <c r="T3" s="89">
        <v>58</v>
      </c>
      <c r="U3" s="89">
        <v>58.5</v>
      </c>
      <c r="V3" s="89">
        <v>59</v>
      </c>
      <c r="W3" s="89">
        <v>59.5</v>
      </c>
      <c r="X3" s="89">
        <v>60</v>
      </c>
      <c r="Y3" s="89">
        <v>61</v>
      </c>
      <c r="Z3" s="89">
        <v>63</v>
      </c>
    </row>
    <row r="4" spans="2:66">
      <c r="C4" s="50" t="s">
        <v>53</v>
      </c>
      <c r="D4" s="51" t="s">
        <v>90</v>
      </c>
      <c r="E4" s="52" t="s">
        <v>149</v>
      </c>
      <c r="F4" s="217">
        <f>PI()/180</f>
        <v>1.7453292519943295E-2</v>
      </c>
      <c r="J4" s="1700"/>
      <c r="K4" s="89" t="s">
        <v>679</v>
      </c>
      <c r="L4" s="89">
        <f>J9*L3+K9</f>
        <v>0.47217147409615379</v>
      </c>
      <c r="M4" s="89">
        <v>0.49</v>
      </c>
      <c r="N4" s="89">
        <v>0.5</v>
      </c>
      <c r="O4" s="89">
        <v>0.505</v>
      </c>
      <c r="P4" s="89">
        <v>0.51</v>
      </c>
      <c r="Q4" s="89">
        <v>0.51333333299999995</v>
      </c>
      <c r="R4" s="89">
        <v>0.51833333299999995</v>
      </c>
      <c r="S4" s="89">
        <v>0.52333333299999996</v>
      </c>
      <c r="T4" s="89">
        <v>0.52833333299999996</v>
      </c>
      <c r="U4" s="89">
        <v>0.53333333299999997</v>
      </c>
      <c r="V4" s="89">
        <v>0.53666666699999999</v>
      </c>
      <c r="W4" s="89">
        <v>0.54166666699999999</v>
      </c>
      <c r="X4" s="89">
        <v>0.546666667</v>
      </c>
      <c r="Y4" s="89">
        <v>0.55500000000000005</v>
      </c>
      <c r="Z4" s="89">
        <f>Z3*J9+K9</f>
        <v>0.57423878221153846</v>
      </c>
    </row>
    <row r="5" spans="2:66" ht="15.75" thickBot="1">
      <c r="C5" s="17" t="s">
        <v>91</v>
      </c>
      <c r="D5" s="53" t="s">
        <v>90</v>
      </c>
      <c r="E5" s="54" t="s">
        <v>150</v>
      </c>
      <c r="F5" s="218">
        <f>180/PI()</f>
        <v>57.295779513082323</v>
      </c>
      <c r="J5" s="1970" t="s">
        <v>683</v>
      </c>
      <c r="K5" s="1971"/>
      <c r="L5" s="89">
        <f>L3*$M$8+$O$8</f>
        <v>0.47217147409615379</v>
      </c>
      <c r="M5" s="89">
        <f t="shared" ref="M5:Z5" si="0">M3*$M$8+$O$8</f>
        <v>0.49072916648076914</v>
      </c>
      <c r="N5" s="89">
        <f t="shared" si="0"/>
        <v>0.50000801267307693</v>
      </c>
      <c r="O5" s="89">
        <f t="shared" si="0"/>
        <v>0.50464743576923077</v>
      </c>
      <c r="P5" s="89">
        <f t="shared" si="0"/>
        <v>0.50928685886538461</v>
      </c>
      <c r="Q5" s="89">
        <f t="shared" si="0"/>
        <v>0.51392628196153844</v>
      </c>
      <c r="R5" s="89">
        <f t="shared" si="0"/>
        <v>0.51856570505769228</v>
      </c>
      <c r="S5" s="89">
        <f t="shared" si="0"/>
        <v>0.52320512815384612</v>
      </c>
      <c r="T5" s="89">
        <f t="shared" si="0"/>
        <v>0.52784455124999996</v>
      </c>
      <c r="U5" s="89">
        <f t="shared" si="0"/>
        <v>0.5324839743461538</v>
      </c>
      <c r="V5" s="89">
        <f t="shared" si="0"/>
        <v>0.53712339744230764</v>
      </c>
      <c r="W5" s="89">
        <f t="shared" si="0"/>
        <v>0.54176282053846148</v>
      </c>
      <c r="X5" s="89">
        <f t="shared" si="0"/>
        <v>0.54640224363461531</v>
      </c>
      <c r="Y5" s="89">
        <f t="shared" si="0"/>
        <v>0.5556810898269231</v>
      </c>
      <c r="Z5" s="89">
        <f t="shared" si="0"/>
        <v>0.57423878221153846</v>
      </c>
    </row>
    <row r="6" spans="2:66" ht="15.75" thickBot="1">
      <c r="J6" s="1332" t="s">
        <v>684</v>
      </c>
      <c r="K6" s="1332"/>
      <c r="L6" s="89">
        <f>POWER((L4-L5),2)</f>
        <v>0</v>
      </c>
      <c r="M6" s="89">
        <f t="shared" ref="M6:Z6" si="1">POWER((M4-M5),2)</f>
        <v>5.3168375667726719E-7</v>
      </c>
      <c r="N6" s="89">
        <f t="shared" si="1"/>
        <v>6.4202929837746229E-11</v>
      </c>
      <c r="O6" s="89">
        <f t="shared" si="1"/>
        <v>1.243015368179036E-7</v>
      </c>
      <c r="P6" s="89">
        <f t="shared" si="1"/>
        <v>5.0857027788054385E-7</v>
      </c>
      <c r="Q6" s="89">
        <f t="shared" si="1"/>
        <v>3.5158847098958261E-7</v>
      </c>
      <c r="R6" s="89">
        <f t="shared" si="1"/>
        <v>5.3996773196168285E-8</v>
      </c>
      <c r="S6" s="89">
        <f t="shared" si="1"/>
        <v>1.6436482577328327E-8</v>
      </c>
      <c r="T6" s="89">
        <f t="shared" si="1"/>
        <v>2.3890759913306272E-7</v>
      </c>
      <c r="U6" s="89">
        <f t="shared" si="1"/>
        <v>7.2141012286337154E-7</v>
      </c>
      <c r="V6" s="89">
        <f t="shared" si="1"/>
        <v>2.0860269693054276E-7</v>
      </c>
      <c r="W6" s="89">
        <f t="shared" si="1"/>
        <v>9.2455029586643398E-9</v>
      </c>
      <c r="X6" s="89">
        <f t="shared" si="1"/>
        <v>6.9919716161360301E-8</v>
      </c>
      <c r="Y6" s="89">
        <f t="shared" si="1"/>
        <v>4.6388335233807518E-7</v>
      </c>
      <c r="Z6" s="89">
        <f t="shared" si="1"/>
        <v>0</v>
      </c>
      <c r="AA6">
        <f>SUM(L7:Z7)</f>
        <v>0</v>
      </c>
    </row>
    <row r="7" spans="2:66" ht="15.75" thickBot="1">
      <c r="C7" s="1962" t="s">
        <v>34</v>
      </c>
      <c r="D7" s="1963"/>
      <c r="E7" s="1964"/>
    </row>
    <row r="8" spans="2:66">
      <c r="C8" s="15" t="s">
        <v>41</v>
      </c>
      <c r="D8" s="30" t="s">
        <v>42</v>
      </c>
      <c r="E8" s="16"/>
      <c r="J8" s="1332" t="s">
        <v>680</v>
      </c>
      <c r="K8" s="1332"/>
      <c r="L8" s="324" t="s">
        <v>681</v>
      </c>
      <c r="M8" s="324">
        <f>J9</f>
        <v>9.2788461923076944E-3</v>
      </c>
      <c r="N8" s="331" t="s">
        <v>682</v>
      </c>
      <c r="O8" s="324">
        <f>K9</f>
        <v>-1.0328527903846307E-2</v>
      </c>
    </row>
    <row r="9" spans="2:66">
      <c r="C9" s="15" t="s">
        <v>3</v>
      </c>
      <c r="D9" s="30" t="s">
        <v>5</v>
      </c>
      <c r="E9" s="16">
        <v>1</v>
      </c>
      <c r="J9" s="89">
        <f t="array" ref="J9:K9">LINEST(M4:Y4,M3:Y3,TRUE,FALSE)</f>
        <v>9.2788461923076944E-3</v>
      </c>
      <c r="K9" s="89">
        <v>-1.0328527903846307E-2</v>
      </c>
    </row>
    <row r="10" spans="2:66" ht="15.75" thickBot="1">
      <c r="C10" s="17" t="s">
        <v>4</v>
      </c>
      <c r="D10" s="18" t="s">
        <v>6</v>
      </c>
      <c r="E10" s="19">
        <v>-1</v>
      </c>
    </row>
    <row r="11" spans="2:66" ht="15.75" thickBot="1"/>
    <row r="12" spans="2:66" ht="15.75" thickBot="1">
      <c r="C12" s="1972" t="s">
        <v>551</v>
      </c>
      <c r="D12" s="1973"/>
      <c r="E12" s="1973"/>
      <c r="F12" s="1974"/>
      <c r="I12" s="1962" t="s">
        <v>755</v>
      </c>
      <c r="J12" s="1963"/>
      <c r="K12" s="1963"/>
      <c r="L12" s="1964"/>
    </row>
    <row r="13" spans="2:66">
      <c r="B13" s="315"/>
      <c r="C13" s="50" t="s">
        <v>518</v>
      </c>
      <c r="D13" s="51" t="s">
        <v>90</v>
      </c>
      <c r="E13" s="52" t="s">
        <v>519</v>
      </c>
      <c r="F13" s="217">
        <f>1/0.3048</f>
        <v>3.280839895013123</v>
      </c>
      <c r="G13" s="222"/>
      <c r="I13" s="1965" t="s">
        <v>233</v>
      </c>
      <c r="J13" s="1966"/>
      <c r="K13" s="347" t="s">
        <v>41</v>
      </c>
      <c r="L13" s="349" t="s">
        <v>457</v>
      </c>
      <c r="M13" t="str">
        <f>latitudeDecimal2Txt(angleConvert2Decimal(L13))</f>
        <v>N 00°00.00 (N 00.0000) [N 00°00'00.00]</v>
      </c>
    </row>
    <row r="14" spans="2:66" ht="15.75" thickBot="1">
      <c r="B14" s="315">
        <v>15</v>
      </c>
      <c r="C14" s="17" t="s">
        <v>521</v>
      </c>
      <c r="D14" s="53" t="s">
        <v>90</v>
      </c>
      <c r="E14" s="54" t="s">
        <v>520</v>
      </c>
      <c r="F14" s="218">
        <f>0.3048</f>
        <v>0.30480000000000002</v>
      </c>
      <c r="G14" s="222">
        <f>B14*F14</f>
        <v>4.5720000000000001</v>
      </c>
      <c r="I14" s="1967"/>
      <c r="J14" s="1968"/>
      <c r="K14" s="52" t="s">
        <v>42</v>
      </c>
      <c r="L14" s="348" t="s">
        <v>746</v>
      </c>
      <c r="M14" t="str">
        <f>longitudeDecimal2Txt(angleConvert2Decimal(L14))</f>
        <v>E 136°21.00 (E 136.3499) [E 136°21'00.00]</v>
      </c>
    </row>
    <row r="15" spans="2:66" s="14" customFormat="1" ht="17.25" customHeight="1" thickBot="1">
      <c r="B15" s="316"/>
      <c r="C15"/>
      <c r="D15"/>
      <c r="E15"/>
      <c r="G15" s="75"/>
      <c r="H15" s="38" t="s">
        <v>758</v>
      </c>
      <c r="I15" s="50" t="s">
        <v>756</v>
      </c>
      <c r="J15" s="51" t="s">
        <v>90</v>
      </c>
      <c r="K15" s="52" t="s">
        <v>757</v>
      </c>
      <c r="L15" s="217" t="str">
        <f>IF(O15&lt;0,CONCATENATE("+ ",TEXT(Q15,"00"),"h"),CONCATENATE("- ",TEXT(Q15,"00"),"h"))</f>
        <v>- 09h</v>
      </c>
      <c r="M15" s="14" t="str">
        <f>heureDecimal2Txt( heureConvert2Decimal(H15) + (-1)*O15*Q15)</f>
        <v>06:35:00.00(06.5833)</v>
      </c>
      <c r="N15" s="224">
        <f>angleConvert2Decimal(L14)</f>
        <v>136.35</v>
      </c>
      <c r="O15" s="224">
        <f>SIGN(N15)</f>
        <v>1</v>
      </c>
      <c r="P15" s="224">
        <f>ABS(12 * N15/180)</f>
        <v>9.09</v>
      </c>
      <c r="Q15" s="224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2:66" s="14" customFormat="1" ht="17.25" customHeight="1" thickBot="1">
      <c r="B16" s="316"/>
      <c r="C16" s="1972" t="s">
        <v>552</v>
      </c>
      <c r="D16" s="1973"/>
      <c r="E16" s="1973"/>
      <c r="F16" s="1974"/>
      <c r="G16" s="75"/>
      <c r="H16" s="38" t="s">
        <v>744</v>
      </c>
      <c r="I16" s="17" t="s">
        <v>757</v>
      </c>
      <c r="J16" s="53" t="s">
        <v>90</v>
      </c>
      <c r="K16" s="54" t="s">
        <v>756</v>
      </c>
      <c r="L16" s="217" t="str">
        <f>IF(O16&lt;0,CONCATENATE("+ ",TEXT(Q16,"00"),"h"),CONCATENATE("- ",TEXT(Q16,"00"),"h"))</f>
        <v>+ 09h</v>
      </c>
      <c r="M16" s="14" t="str">
        <f>heureDecimal2Txt( heureConvert2Decimal(H16) + (-1)*O16*Q16)</f>
        <v>28:35:00.00(28.5833)</v>
      </c>
      <c r="N16" s="236">
        <f>N15</f>
        <v>136.35</v>
      </c>
      <c r="O16" s="236">
        <f>O15*(-1)</f>
        <v>-1</v>
      </c>
      <c r="P16" s="236">
        <f>P15</f>
        <v>9.09</v>
      </c>
      <c r="Q16" s="23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2"/>
    </row>
    <row r="17" spans="1:66" s="14" customFormat="1" ht="17.25" customHeight="1">
      <c r="B17" s="316"/>
      <c r="C17" s="50" t="s">
        <v>553</v>
      </c>
      <c r="D17" s="51" t="s">
        <v>90</v>
      </c>
      <c r="E17" s="52" t="s">
        <v>556</v>
      </c>
      <c r="F17" s="217">
        <v>0.39370100000000002</v>
      </c>
      <c r="G17" s="75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2"/>
    </row>
    <row r="18" spans="1:66" s="14" customFormat="1" ht="17.25" customHeight="1" thickBot="1">
      <c r="B18" s="316">
        <v>15</v>
      </c>
      <c r="C18" s="17" t="s">
        <v>554</v>
      </c>
      <c r="D18" s="53" t="s">
        <v>90</v>
      </c>
      <c r="E18" s="54" t="s">
        <v>555</v>
      </c>
      <c r="F18" s="218">
        <f>1/F17</f>
        <v>2.5399986284007405</v>
      </c>
      <c r="G18" s="75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2"/>
    </row>
    <row r="19" spans="1:66" ht="15.75" thickBot="1">
      <c r="B19" s="315"/>
      <c r="G19" s="222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66" ht="15.75" thickBot="1">
      <c r="B20" s="315"/>
      <c r="C20" s="1962" t="s">
        <v>614</v>
      </c>
      <c r="D20" s="1963"/>
      <c r="E20" s="1963"/>
      <c r="F20" s="1964"/>
      <c r="G20" s="222"/>
    </row>
    <row r="21" spans="1:66">
      <c r="B21" s="315">
        <v>7</v>
      </c>
      <c r="C21" s="15" t="s">
        <v>615</v>
      </c>
      <c r="D21" s="312" t="s">
        <v>90</v>
      </c>
      <c r="E21" s="313" t="s">
        <v>616</v>
      </c>
      <c r="F21" s="314" t="s">
        <v>617</v>
      </c>
      <c r="G21" s="222">
        <f>B21*(9/5)+32</f>
        <v>44.6</v>
      </c>
    </row>
    <row r="22" spans="1:66" ht="15.75" thickBot="1">
      <c r="B22" s="315">
        <v>44</v>
      </c>
      <c r="C22" s="17" t="s">
        <v>616</v>
      </c>
      <c r="D22" s="53" t="s">
        <v>90</v>
      </c>
      <c r="E22" s="54" t="s">
        <v>615</v>
      </c>
      <c r="F22" s="311" t="s">
        <v>618</v>
      </c>
      <c r="G22" s="222">
        <f>(B22-32)*(5/9)</f>
        <v>6.666666666666667</v>
      </c>
    </row>
    <row r="27" spans="1:66">
      <c r="A27" t="s">
        <v>752</v>
      </c>
      <c r="C27" t="s">
        <v>809</v>
      </c>
    </row>
    <row r="28" spans="1:66">
      <c r="A28" t="s">
        <v>753</v>
      </c>
      <c r="C28" t="s">
        <v>810</v>
      </c>
    </row>
  </sheetData>
  <sheetProtection selectLockedCells="1" selectUnlockedCells="1"/>
  <mergeCells count="12">
    <mergeCell ref="C3:F3"/>
    <mergeCell ref="C7:E7"/>
    <mergeCell ref="C12:F12"/>
    <mergeCell ref="C16:F16"/>
    <mergeCell ref="C20:F20"/>
    <mergeCell ref="I12:L12"/>
    <mergeCell ref="I13:J14"/>
    <mergeCell ref="K2:Z2"/>
    <mergeCell ref="J3:J4"/>
    <mergeCell ref="J6:K6"/>
    <mergeCell ref="J8:K8"/>
    <mergeCell ref="J5:K5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2CBDE-669C-43DB-8D74-8994959D59D9}">
  <sheetPr codeName="Sheet7"/>
  <dimension ref="B3:Y22"/>
  <sheetViews>
    <sheetView topLeftCell="B1" workbookViewId="0">
      <selection activeCell="AA7" sqref="AA7"/>
    </sheetView>
  </sheetViews>
  <sheetFormatPr defaultRowHeight="15"/>
  <cols>
    <col min="2" max="3" width="13.85546875" customWidth="1"/>
    <col min="4" max="4" width="12.7109375" bestFit="1" customWidth="1"/>
  </cols>
  <sheetData>
    <row r="3" spans="2:25">
      <c r="B3" s="332" t="s">
        <v>851</v>
      </c>
      <c r="C3" s="332"/>
      <c r="D3" s="332">
        <v>1</v>
      </c>
      <c r="E3" s="332">
        <f t="shared" ref="E3:Y3" si="0">D3+1</f>
        <v>2</v>
      </c>
      <c r="F3" s="332">
        <f t="shared" si="0"/>
        <v>3</v>
      </c>
      <c r="G3" s="332">
        <f t="shared" si="0"/>
        <v>4</v>
      </c>
      <c r="H3" s="332">
        <f t="shared" si="0"/>
        <v>5</v>
      </c>
      <c r="I3" s="332">
        <f t="shared" si="0"/>
        <v>6</v>
      </c>
      <c r="J3" s="332">
        <f t="shared" si="0"/>
        <v>7</v>
      </c>
      <c r="K3" s="332">
        <f t="shared" si="0"/>
        <v>8</v>
      </c>
      <c r="L3" s="332">
        <f t="shared" si="0"/>
        <v>9</v>
      </c>
      <c r="M3" s="332">
        <f t="shared" si="0"/>
        <v>10</v>
      </c>
      <c r="N3" s="332">
        <f t="shared" si="0"/>
        <v>11</v>
      </c>
      <c r="O3" s="332">
        <f t="shared" si="0"/>
        <v>12</v>
      </c>
      <c r="P3" s="332">
        <f t="shared" si="0"/>
        <v>13</v>
      </c>
      <c r="Q3" s="332">
        <f t="shared" si="0"/>
        <v>14</v>
      </c>
      <c r="R3" s="332">
        <f t="shared" si="0"/>
        <v>15</v>
      </c>
      <c r="S3" s="332">
        <f t="shared" si="0"/>
        <v>16</v>
      </c>
      <c r="T3" s="332">
        <f t="shared" si="0"/>
        <v>17</v>
      </c>
      <c r="U3" s="332">
        <f t="shared" si="0"/>
        <v>18</v>
      </c>
      <c r="V3" s="332">
        <f t="shared" si="0"/>
        <v>19</v>
      </c>
      <c r="W3" s="332">
        <f t="shared" si="0"/>
        <v>20</v>
      </c>
      <c r="X3" s="332">
        <f t="shared" si="0"/>
        <v>21</v>
      </c>
      <c r="Y3" s="332">
        <f t="shared" si="0"/>
        <v>22</v>
      </c>
    </row>
    <row r="4" spans="2:25">
      <c r="B4" t="s">
        <v>852</v>
      </c>
      <c r="D4" t="s">
        <v>860</v>
      </c>
      <c r="E4" t="s">
        <v>861</v>
      </c>
      <c r="F4" t="s">
        <v>862</v>
      </c>
      <c r="G4" t="s">
        <v>867</v>
      </c>
      <c r="H4" t="s">
        <v>868</v>
      </c>
      <c r="I4" t="s">
        <v>869</v>
      </c>
      <c r="J4" t="s">
        <v>870</v>
      </c>
      <c r="K4" t="s">
        <v>871</v>
      </c>
      <c r="L4" t="s">
        <v>872</v>
      </c>
      <c r="M4" t="s">
        <v>873</v>
      </c>
      <c r="N4" t="s">
        <v>874</v>
      </c>
      <c r="O4" t="str">
        <f t="shared" ref="O4:Y4" si="1">CONCATENATE("cas ", O3)</f>
        <v>cas 12</v>
      </c>
      <c r="P4" t="str">
        <f t="shared" si="1"/>
        <v>cas 13</v>
      </c>
      <c r="Q4" t="str">
        <f t="shared" si="1"/>
        <v>cas 14</v>
      </c>
      <c r="R4" t="str">
        <f t="shared" si="1"/>
        <v>cas 15</v>
      </c>
      <c r="S4" t="str">
        <f t="shared" si="1"/>
        <v>cas 16</v>
      </c>
      <c r="T4" t="str">
        <f t="shared" si="1"/>
        <v>cas 17</v>
      </c>
      <c r="U4" t="str">
        <f t="shared" si="1"/>
        <v>cas 18</v>
      </c>
      <c r="V4" t="str">
        <f t="shared" si="1"/>
        <v>cas 19</v>
      </c>
      <c r="W4" t="str">
        <f t="shared" si="1"/>
        <v>cas 20</v>
      </c>
      <c r="X4" t="str">
        <f t="shared" si="1"/>
        <v>cas 21</v>
      </c>
      <c r="Y4" t="str">
        <f t="shared" si="1"/>
        <v>cas 22</v>
      </c>
    </row>
    <row r="5" spans="2:25">
      <c r="C5" s="89" t="s">
        <v>853</v>
      </c>
      <c r="D5" s="89">
        <v>46.1</v>
      </c>
      <c r="E5" s="89">
        <v>40.016599999999997</v>
      </c>
      <c r="F5" s="89">
        <v>39.85</v>
      </c>
      <c r="G5" s="89" cm="1">
        <f t="array" ref="G5">angleConvert2Decimal("27°15")</f>
        <v>27.25</v>
      </c>
      <c r="H5" s="89">
        <v>-0.5</v>
      </c>
      <c r="I5" s="89" cm="1">
        <f t="array" ref="I5">angleConvert2Decimal("57°15")</f>
        <v>57.25</v>
      </c>
      <c r="J5" s="89" cm="1">
        <f t="array" ref="J5">angleConvert2Decimal("57°02,2")</f>
        <v>57.036666666666669</v>
      </c>
      <c r="K5" s="89" cm="1">
        <f t="array" ref="K5">angleConvert2Decimal("-20°10")</f>
        <v>-20.166666666666668</v>
      </c>
      <c r="L5" s="89" cm="1">
        <f t="array" ref="L5">angleConvert2Decimal("-33°20")</f>
        <v>-33.333333333333336</v>
      </c>
      <c r="M5" s="89" cm="1">
        <f t="array" ref="M5">angleConvert2Decimal("34°02")</f>
        <v>34.033333333333331</v>
      </c>
      <c r="N5" s="89" cm="1">
        <f t="array" ref="N5">angleConvert2Decimal("33°51,7")</f>
        <v>33.861666666666665</v>
      </c>
      <c r="O5" s="89" cm="1">
        <f t="array" ref="O5">angleConvert2Decimal("15°30")</f>
        <v>15.5</v>
      </c>
      <c r="P5" s="89" cm="1">
        <f t="array" ref="P5">angleConvert2Decimal("15°30")</f>
        <v>15.5</v>
      </c>
      <c r="Q5" s="89" cm="1">
        <f t="array" ref="Q5">angleConvert2Decimal("-10°")</f>
        <v>-10</v>
      </c>
      <c r="R5" s="89" cm="1">
        <f t="array" ref="R5">angleConvert2Decimal("-10°")</f>
        <v>-10</v>
      </c>
      <c r="S5" s="89" cm="1">
        <f t="array" ref="S5">angleConvert2Decimal("-10°")</f>
        <v>-10</v>
      </c>
      <c r="T5" s="89" cm="1">
        <f t="array" ref="T5">angleConvert2Decimal("33°51")</f>
        <v>33.85</v>
      </c>
      <c r="U5" s="89" cm="1">
        <f t="array" ref="U5">angleConvert2Decimal("52°02")</f>
        <v>52.033333333333331</v>
      </c>
      <c r="V5" s="89" cm="1">
        <f t="array" ref="V5">angleConvert2Decimal("52°02")</f>
        <v>52.033333333333331</v>
      </c>
      <c r="W5" s="89" cm="1">
        <f t="array" ref="W5">angleConvert2Decimal("52°02")</f>
        <v>52.033333333333331</v>
      </c>
      <c r="X5" s="89" cm="1">
        <f t="array" ref="X5">angleConvert2Decimal("52°02,00")</f>
        <v>52.033333333333331</v>
      </c>
      <c r="Y5" s="89" cm="1">
        <f t="array" ref="Y5">angleConvert2Decimal("52°02")</f>
        <v>52.033333333333331</v>
      </c>
    </row>
    <row r="6" spans="2:25">
      <c r="C6" s="89" t="s">
        <v>854</v>
      </c>
      <c r="D6" s="89">
        <v>23.140499999999999</v>
      </c>
      <c r="E6" s="89">
        <v>23.1416</v>
      </c>
      <c r="F6" s="89">
        <v>23.135000000000002</v>
      </c>
      <c r="G6" s="89" cm="1">
        <f t="array" ref="G6">angleConvert2Decimal("23°7,6")</f>
        <v>23.126666666666665</v>
      </c>
      <c r="H6" s="89" cm="1">
        <f t="array" ref="H6">angleConvert2Decimal("23°8,5")</f>
        <v>23.141666666666666</v>
      </c>
      <c r="I6" s="89" cm="1">
        <f t="array" ref="I6">angleConvert2Decimal("23°8")</f>
        <v>23.133333333333333</v>
      </c>
      <c r="J6" s="89" cm="1">
        <f t="array" ref="J6">angleConvert2Decimal("23°7,8")</f>
        <v>23.13</v>
      </c>
      <c r="K6" s="89" cm="1">
        <f t="array" ref="K6">angleConvert2Decimal("23°8,9")</f>
        <v>23.148333333333333</v>
      </c>
      <c r="L6" s="89" cm="1">
        <f t="array" ref="L6">angleConvert2Decimal("23°8,7")</f>
        <v>23.145</v>
      </c>
      <c r="M6" s="89" cm="1">
        <f t="array" ref="M6">angleConvert2Decimal("23°8,6")</f>
        <v>23.143333333333334</v>
      </c>
      <c r="N6" s="89" cm="1">
        <f t="array" ref="N6">angleConvert2Decimal("23°8,5")</f>
        <v>23.141666666666666</v>
      </c>
      <c r="O6" s="89" cm="1">
        <f t="array" ref="O6">angleConvert2Decimal("23°7,6")</f>
        <v>23.126666666666665</v>
      </c>
      <c r="P6" s="89" cm="1">
        <f t="array" ref="P6">angleConvert2Decimal("23°7,4")</f>
        <v>23.123333333333335</v>
      </c>
      <c r="Q6" s="89" cm="1">
        <f t="array" ref="Q6">angleConvert2Decimal("-57°06,5")</f>
        <v>-57.108333333333334</v>
      </c>
      <c r="R6" s="89" cm="1">
        <f t="array" ref="R6">angleConvert2Decimal("9°59,2")</f>
        <v>9.9866666666666664</v>
      </c>
      <c r="S6" s="89" cm="1">
        <f t="array" ref="S6">angleConvert2Decimal("15°4,3")</f>
        <v>15.071666666666667</v>
      </c>
      <c r="T6" s="89" cm="1">
        <f t="array" ref="T6">angleConvert2Decimal("-26°29,2")</f>
        <v>-26.486666666666668</v>
      </c>
      <c r="U6" s="89" cm="1">
        <f t="array" ref="U6">angleConvert2Decimal("-16°44,7")</f>
        <v>-16.745000000000001</v>
      </c>
      <c r="V6" s="89" cm="1">
        <f t="array" ref="V6">angleConvert2Decimal("11°50,9")</f>
        <v>11.848333333333333</v>
      </c>
      <c r="W6" s="89" cm="1">
        <f t="array" ref="W6">angleConvert2Decimal("-8°10,2")</f>
        <v>-8.17</v>
      </c>
      <c r="X6" s="89" cm="1">
        <f t="array" ref="X6">angleConvert2Decimal("45°22,3")</f>
        <v>45.37166666666667</v>
      </c>
      <c r="Y6" s="89" cm="1">
        <f t="array" ref="Y6">angleConvert2Decimal("23°34,8")</f>
        <v>23.58</v>
      </c>
    </row>
    <row r="7" spans="2:25">
      <c r="C7" s="89" t="s">
        <v>855</v>
      </c>
      <c r="D7" s="89">
        <v>327.1268</v>
      </c>
      <c r="E7" s="89">
        <v>334.55250000000001</v>
      </c>
      <c r="F7" s="89">
        <v>4.7817999999999996</v>
      </c>
      <c r="G7" s="89" cm="1">
        <f t="array" ref="G7">angleConvert2Decimal("328°56,1")</f>
        <v>328.935</v>
      </c>
      <c r="H7" s="89" cm="1">
        <f t="array" ref="H7">angleConvert2Decimal("336°48,4")</f>
        <v>336.80666666666667</v>
      </c>
      <c r="I7" s="89" cm="1">
        <f t="array" ref="I7">angleConvert2Decimal("351°31,5")</f>
        <v>351.52499999999998</v>
      </c>
      <c r="J7" s="89" cm="1">
        <f t="array" ref="J7">angleConvert2Decimal("13°40,1")</f>
        <v>13.668333333333333</v>
      </c>
      <c r="K7" s="89" cm="1">
        <f t="array" ref="K7">angleConvert2Decimal("326°46,1")</f>
        <v>326.76833333333332</v>
      </c>
      <c r="L7" s="89" cm="1">
        <f t="array" ref="L7">angleConvert2Decimal("323°51,5")</f>
        <v>323.85833333333335</v>
      </c>
      <c r="M7" s="89" cm="1">
        <f t="array" ref="M7">angleConvert2Decimal("345°0,3")</f>
        <v>345.005</v>
      </c>
      <c r="N7" s="89" cm="1">
        <f t="array" ref="N7">angleConvert2Decimal("6°12,6")</f>
        <v>6.21</v>
      </c>
      <c r="O7" s="89" cm="1">
        <f t="array" ref="O7">angleConvert2Decimal("351°29,5")</f>
        <v>351.49166666666667</v>
      </c>
      <c r="P7" s="89" cm="1">
        <f t="array" ref="P7">angleConvert2Decimal("7°52,9")</f>
        <v>7.8816666666666668</v>
      </c>
      <c r="Q7" s="89" cm="1">
        <f t="array" ref="Q7">angleConvert2Decimal("336°42,0")</f>
        <v>336.7</v>
      </c>
      <c r="R7" s="89" cm="1">
        <f t="array" ref="R7">angleConvert2Decimal("35°43,4")</f>
        <v>35.723333333333336</v>
      </c>
      <c r="S7" s="89" cm="1">
        <f t="array" ref="S7">angleConvert2Decimal("321°23,1")</f>
        <v>321.38499999999999</v>
      </c>
      <c r="T7" s="89" cm="1">
        <f t="array" ref="T7">angleConvert2Decimal("38°47,9")</f>
        <v>38.798333333333332</v>
      </c>
      <c r="U7" s="89" cm="1">
        <f t="array" ref="U7">angleConvert2Decimal("339°30,7")</f>
        <v>339.51166666666666</v>
      </c>
      <c r="V7" s="89" cm="1">
        <f t="array" ref="V7">angleConvert2Decimal("289°03,3")</f>
        <v>289.05500000000001</v>
      </c>
      <c r="W7" s="89" cm="1">
        <f t="array" ref="W7">angleConvert2Decimal("3°0,9")</f>
        <v>3.0150000000000001</v>
      </c>
      <c r="X7" s="89" cm="1">
        <f t="array" ref="X7">angleConvert2Decimal("132°09,2")</f>
        <v>132.15333333333334</v>
      </c>
      <c r="Y7" s="89" cm="1">
        <f t="array" ref="Y7">angleConvert2Decimal("51°59,9")</f>
        <v>51.998333333333335</v>
      </c>
    </row>
    <row r="8" spans="2:25"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</row>
    <row r="9" spans="2:25">
      <c r="C9" s="89" t="s">
        <v>856</v>
      </c>
      <c r="D9" s="89">
        <v>54.953099999999999</v>
      </c>
      <c r="E9" s="89">
        <v>62.6997</v>
      </c>
      <c r="F9" s="89">
        <v>72.802300000000002</v>
      </c>
      <c r="G9" s="89" cm="1">
        <f t="array" ref="G9">angleConvert2Decimal("61°39,7")</f>
        <v>61.661666666666669</v>
      </c>
      <c r="H9" s="89" cm="1">
        <f t="array" ref="H9">angleConvert2Decimal("57°19,6")</f>
        <v>57.326666666666668</v>
      </c>
      <c r="I9" s="89" cm="1">
        <f t="array" ref="I9">angleConvert2Decimal("55°19,9")</f>
        <v>55.331666666666663</v>
      </c>
      <c r="J9" s="89" cm="1">
        <f t="array" ref="J9">angleConvert2Decimal("54°39,8")</f>
        <v>54.663333333333334</v>
      </c>
      <c r="K9" s="89" cm="1">
        <f t="array" ref="K9">angleConvert2Decimal("35°54,2")</f>
        <v>35.903333333333336</v>
      </c>
      <c r="L9" s="89" cm="1">
        <f t="array" ref="L9">angleConvert2Decimal("23°51,2")</f>
        <v>23.853333333333332</v>
      </c>
      <c r="M9" s="89" cm="1">
        <f t="array" ref="M9">angleConvert2Decimal("72°56,9")</f>
        <v>72.948333333333338</v>
      </c>
      <c r="N9" s="89" cm="1">
        <f t="array" ref="N9">angleConvert2Decimal("77°58,9")</f>
        <v>77.981666666666669</v>
      </c>
      <c r="O9" s="89" cm="1">
        <f t="array" ref="O9">angleConvert2Decimal("78°55,9")</f>
        <v>78.931666666666672</v>
      </c>
      <c r="P9" s="89" cm="1">
        <f t="array" ref="P9">angleConvert2Decimal("79°21,3")</f>
        <v>79.355000000000004</v>
      </c>
      <c r="Q9" s="89" cm="1">
        <f t="array" ref="Q9">angleConvert2Decimal("39°34,1")</f>
        <v>39.568333333333335</v>
      </c>
      <c r="R9" s="89" cm="1">
        <f t="array" ref="R9">angleConvert2Decimal("49°13,6")</f>
        <v>49.226666666666667</v>
      </c>
      <c r="S9" s="89" cm="1">
        <f t="array" ref="S9">angleConvert2Decimal("44°15,4")</f>
        <v>44.256666666666668</v>
      </c>
      <c r="T9" s="89" cm="1">
        <f t="array" ref="T9">angleConvert2Decimal("19°19,4")</f>
        <v>19.323333333333334</v>
      </c>
      <c r="U9" s="89" cm="1">
        <f t="array" ref="U9">angleConvert2Decimal("18°56,9")</f>
        <v>18.948333333333334</v>
      </c>
      <c r="V9" s="89" cm="1">
        <f t="array" ref="V9">angleConvert2Decimal("21°00,3")</f>
        <v>21.004999999999999</v>
      </c>
      <c r="W9" s="89" cm="1">
        <f t="array" ref="W9">angleConvert2Decimal("29°44,5")</f>
        <v>29.741666666666667</v>
      </c>
      <c r="X9" s="89" cm="1">
        <f t="array" ref="X9">angleConvert2Decimal("15°43,5")</f>
        <v>15.725</v>
      </c>
      <c r="Y9" s="89" cm="1">
        <f t="array" ref="Y9">angleConvert2Decimal("41°29,5")</f>
        <v>41.491666666666667</v>
      </c>
    </row>
    <row r="10" spans="2:25" ht="15.75" thickBot="1">
      <c r="C10" s="89" t="s">
        <v>857</v>
      </c>
      <c r="D10" s="89" cm="1">
        <f t="array" ref="D10">astroCalculHc(D5,D6,D7)</f>
        <v>54.953095933320661</v>
      </c>
      <c r="E10" s="89" cm="1">
        <f t="array" ref="E10">astroCalculHc(E5,E6,E7)</f>
        <v>62.699730095209198</v>
      </c>
      <c r="F10" s="89" cm="1">
        <f t="array" ref="F10">astroCalculHc(F5,F6,F7)</f>
        <v>72.802249361243227</v>
      </c>
      <c r="G10" s="89" cm="1">
        <f t="array" ref="G10">astroCalculHc(G5,G6,G7)</f>
        <v>61.661312312725919</v>
      </c>
      <c r="H10" s="89" cm="1">
        <f t="array" ref="H10">astroCalculHc(H5,H6,H7)</f>
        <v>57.326266170493653</v>
      </c>
      <c r="I10" s="89" cm="1">
        <f t="array" ref="I10">astroCalculHc(I5,I6,I7)</f>
        <v>55.332306886240559</v>
      </c>
      <c r="J10" s="89" cm="1">
        <f t="array" ref="J10">astroCalculHc(J5,J6,J7)</f>
        <v>54.664260366862024</v>
      </c>
      <c r="K10" s="89" cm="1">
        <f t="array" ref="K10">astroCalculHc(K5,K6,K7)</f>
        <v>35.90477975647557</v>
      </c>
      <c r="L10" s="89" cm="1">
        <f t="array" ref="L10">astroCalculHc(L5,L6,L7)</f>
        <v>23.854330247117037</v>
      </c>
      <c r="M10" s="89" cm="1">
        <f t="array" ref="M10">astroCalculHc(M5,M6,M7)</f>
        <v>72.948909845530565</v>
      </c>
      <c r="N10" s="89" cm="1">
        <f t="array" ref="N10">astroCalculHc(N5,N6,N7)</f>
        <v>77.977912809620065</v>
      </c>
      <c r="O10" s="89" cm="1">
        <f t="array" ref="O10">astroCalculHc(O5,O6,O7)</f>
        <v>78.932217396007402</v>
      </c>
      <c r="P10" s="89" cm="1">
        <f t="array" ref="P10">astroCalculHc(P5,P6,P7)</f>
        <v>79.354786069009009</v>
      </c>
      <c r="Q10" s="89" cm="1">
        <f t="array" ref="Q10">astroCalculHc(Q5,Q6,Q7)</f>
        <v>39.568424644735863</v>
      </c>
      <c r="R10" s="89" cm="1">
        <f t="array" ref="R10">astroCalculHc(R5,R6,R7)</f>
        <v>49.22534839351276</v>
      </c>
      <c r="S10" s="89" cm="1">
        <f t="array" ref="S10">astroCalculHc(S5,S6,S7)</f>
        <v>44.255883633642995</v>
      </c>
      <c r="T10" s="89" cm="1">
        <f t="array" ref="T10">astroCalculHc(T5,T6,T7)</f>
        <v>19.322922453608804</v>
      </c>
      <c r="U10" s="89" cm="1">
        <f t="array" ref="U10">astroCalculHc(U5,U6,U7)</f>
        <v>18.948107383630614</v>
      </c>
      <c r="V10" s="89" cm="1">
        <f t="array" ref="V10">astroCalculHc(V5,V6,V7)</f>
        <v>21.004350369963817</v>
      </c>
      <c r="W10" s="89" cm="1">
        <f t="array" ref="W10">astroCalculHc(W5,W6,W7)</f>
        <v>29.741028550183376</v>
      </c>
      <c r="X10" s="89" cm="1">
        <f t="array" ref="X10">astroCalculHc(X5,X6,X7)</f>
        <v>15.724962200393263</v>
      </c>
      <c r="Y10" s="89" cm="1">
        <f t="array" ref="Y10">astroCalculHc(Y5,Y6,Y7)</f>
        <v>41.491955353367203</v>
      </c>
    </row>
    <row r="11" spans="2:25" ht="16.5" thickTop="1" thickBot="1">
      <c r="C11" s="89"/>
      <c r="D11" s="539" t="str" cm="1">
        <f t="array" ref="D11">angleDecimal2Txt(D10,0)</f>
        <v>+54°57.18</v>
      </c>
      <c r="E11" s="539" t="str" cm="1">
        <f t="array" ref="E11">angleDecimal2Txt(E10,0)</f>
        <v>+62°41.98</v>
      </c>
      <c r="F11" s="539" t="str" cm="1">
        <f t="array" ref="F11">angleDecimal2Txt(F10,0)</f>
        <v>+72°48.13</v>
      </c>
      <c r="G11" s="539" t="str" cm="1">
        <f t="array" ref="G11">angleDecimal2Txt(G10,0)</f>
        <v>+61°39.67</v>
      </c>
      <c r="H11" s="539" t="str" cm="1">
        <f t="array" ref="H11">angleDecimal2Txt(H10,0)</f>
        <v>+57°19.57</v>
      </c>
      <c r="I11" s="539" t="str" cm="1">
        <f t="array" ref="I11">angleDecimal2Txt(I10,0)</f>
        <v>+55°19.93</v>
      </c>
      <c r="J11" s="539" t="str" cm="1">
        <f t="array" ref="J11">angleDecimal2Txt(J10,0)</f>
        <v>+54°39.85</v>
      </c>
      <c r="K11" s="539" t="str" cm="1">
        <f t="array" ref="K11">angleDecimal2Txt(K10,0)</f>
        <v>+35°54.28</v>
      </c>
      <c r="L11" s="539" t="str" cm="1">
        <f t="array" ref="L11">angleDecimal2Txt(L10,0)</f>
        <v>+23°51.25</v>
      </c>
      <c r="M11" s="539" t="str" cm="1">
        <f t="array" ref="M11">angleDecimal2Txt(M10,0)</f>
        <v>+72°56.93</v>
      </c>
      <c r="N11" s="539" t="str" cm="1">
        <f t="array" ref="N11">angleDecimal2Txt(N10,0)</f>
        <v>+77°58.67</v>
      </c>
      <c r="O11" s="539" t="str" cm="1">
        <f t="array" ref="O11">angleDecimal2Txt(O10,0)</f>
        <v>+78°55.93</v>
      </c>
      <c r="P11" s="539" t="str" cm="1">
        <f t="array" ref="P11">angleDecimal2Txt(P10,0)</f>
        <v>+79°21.28</v>
      </c>
      <c r="Q11" s="539" t="str" cm="1">
        <f t="array" ref="Q11">angleDecimal2Txt(Q10,0)</f>
        <v>+39°34.10</v>
      </c>
      <c r="R11" s="539" t="str" cm="1">
        <f t="array" ref="R11">angleDecimal2Txt(R10,0)</f>
        <v>+49°13.52</v>
      </c>
      <c r="S11" s="539" t="str" cm="1">
        <f t="array" ref="S11">angleDecimal2Txt(S10,0)</f>
        <v>+44°15.35</v>
      </c>
      <c r="T11" s="539" t="str" cm="1">
        <f t="array" ref="T11">angleDecimal2Txt(T10,0)</f>
        <v>+19°19.37</v>
      </c>
      <c r="U11" s="539" t="str" cm="1">
        <f t="array" ref="U11">angleDecimal2Txt(U10,0)</f>
        <v>+18°56.88</v>
      </c>
      <c r="V11" s="539" t="str" cm="1">
        <f t="array" ref="V11">angleDecimal2Txt(V10,0)</f>
        <v>+21°00.26</v>
      </c>
      <c r="W11" s="539" t="str" cm="1">
        <f t="array" ref="W11">angleDecimal2Txt(W10,0)</f>
        <v>+29°44.46</v>
      </c>
      <c r="X11" s="539" t="str" cm="1">
        <f t="array" ref="X11">angleDecimal2Txt(X10,0)</f>
        <v>+15°43.49</v>
      </c>
      <c r="Y11" s="539" t="str" cm="1">
        <f t="array" ref="Y11">angleDecimal2Txt(Y10,0)</f>
        <v>+41°29.51</v>
      </c>
    </row>
    <row r="12" spans="2:25" ht="15.75" thickTop="1">
      <c r="C12" s="89" t="s">
        <v>858</v>
      </c>
      <c r="D12" s="89">
        <f t="shared" ref="D12:Y12" si="2">D10-D9</f>
        <v>-4.0666793381660682E-6</v>
      </c>
      <c r="E12" s="89">
        <f t="shared" si="2"/>
        <v>3.0095209197611439E-5</v>
      </c>
      <c r="F12" s="89">
        <f t="shared" si="2"/>
        <v>-5.0638756775356342E-5</v>
      </c>
      <c r="G12" s="89">
        <f t="shared" si="2"/>
        <v>-3.5435394075022941E-4</v>
      </c>
      <c r="H12" s="89">
        <f t="shared" si="2"/>
        <v>-4.0049617301463059E-4</v>
      </c>
      <c r="I12" s="89">
        <f t="shared" si="2"/>
        <v>6.4021957389570616E-4</v>
      </c>
      <c r="J12" s="89">
        <f t="shared" si="2"/>
        <v>9.2703352868994671E-4</v>
      </c>
      <c r="K12" s="89">
        <f t="shared" si="2"/>
        <v>1.4464231422337548E-3</v>
      </c>
      <c r="L12" s="89">
        <f t="shared" si="2"/>
        <v>9.9691378370536654E-4</v>
      </c>
      <c r="M12" s="89">
        <f t="shared" si="2"/>
        <v>5.7651219722743008E-4</v>
      </c>
      <c r="N12" s="89">
        <f t="shared" si="2"/>
        <v>-3.7538570466040255E-3</v>
      </c>
      <c r="O12" s="89">
        <f t="shared" si="2"/>
        <v>5.5072934073052693E-4</v>
      </c>
      <c r="P12" s="89">
        <f t="shared" si="2"/>
        <v>-2.1393099099498158E-4</v>
      </c>
      <c r="Q12" s="89">
        <f t="shared" si="2"/>
        <v>9.1311402528049257E-5</v>
      </c>
      <c r="R12" s="89">
        <f t="shared" si="2"/>
        <v>-1.318273153906091E-3</v>
      </c>
      <c r="S12" s="89">
        <f t="shared" si="2"/>
        <v>-7.8303302367288552E-4</v>
      </c>
      <c r="T12" s="89">
        <f t="shared" si="2"/>
        <v>-4.1087972453013322E-4</v>
      </c>
      <c r="U12" s="89">
        <f t="shared" si="2"/>
        <v>-2.2594970272038495E-4</v>
      </c>
      <c r="V12" s="89">
        <f t="shared" si="2"/>
        <v>-6.4963003618245807E-4</v>
      </c>
      <c r="W12" s="89">
        <f t="shared" si="2"/>
        <v>-6.3811648329092918E-4</v>
      </c>
      <c r="X12" s="89">
        <f t="shared" si="2"/>
        <v>-3.7799606737110025E-5</v>
      </c>
      <c r="Y12" s="89">
        <f t="shared" si="2"/>
        <v>2.8868670053583401E-4</v>
      </c>
    </row>
    <row r="13" spans="2:25">
      <c r="C13" s="89" t="s">
        <v>859</v>
      </c>
      <c r="D13" s="536" t="str">
        <f t="shared" ref="D13:Y13" si="3">IF(ABS(D12)&lt;0.01,"ok","ko")</f>
        <v>ok</v>
      </c>
      <c r="E13" s="536" t="str">
        <f t="shared" si="3"/>
        <v>ok</v>
      </c>
      <c r="F13" s="536" t="str">
        <f t="shared" si="3"/>
        <v>ok</v>
      </c>
      <c r="G13" s="536" t="str">
        <f t="shared" si="3"/>
        <v>ok</v>
      </c>
      <c r="H13" s="536" t="str">
        <f t="shared" si="3"/>
        <v>ok</v>
      </c>
      <c r="I13" s="536" t="str">
        <f t="shared" si="3"/>
        <v>ok</v>
      </c>
      <c r="J13" s="536" t="str">
        <f t="shared" si="3"/>
        <v>ok</v>
      </c>
      <c r="K13" s="536" t="str">
        <f t="shared" si="3"/>
        <v>ok</v>
      </c>
      <c r="L13" s="536" t="str">
        <f t="shared" si="3"/>
        <v>ok</v>
      </c>
      <c r="M13" s="536" t="str">
        <f t="shared" si="3"/>
        <v>ok</v>
      </c>
      <c r="N13" s="536" t="str">
        <f t="shared" si="3"/>
        <v>ok</v>
      </c>
      <c r="O13" s="536" t="str">
        <f t="shared" si="3"/>
        <v>ok</v>
      </c>
      <c r="P13" s="536" t="str">
        <f t="shared" si="3"/>
        <v>ok</v>
      </c>
      <c r="Q13" s="536" t="str">
        <f t="shared" si="3"/>
        <v>ok</v>
      </c>
      <c r="R13" s="536" t="str">
        <f t="shared" si="3"/>
        <v>ok</v>
      </c>
      <c r="S13" s="536" t="str">
        <f t="shared" si="3"/>
        <v>ok</v>
      </c>
      <c r="T13" s="536" t="str">
        <f t="shared" si="3"/>
        <v>ok</v>
      </c>
      <c r="U13" s="536" t="str">
        <f t="shared" si="3"/>
        <v>ok</v>
      </c>
      <c r="V13" s="536" t="str">
        <f t="shared" si="3"/>
        <v>ok</v>
      </c>
      <c r="W13" s="536" t="str">
        <f t="shared" si="3"/>
        <v>ok</v>
      </c>
      <c r="X13" s="536" t="str">
        <f t="shared" si="3"/>
        <v>ok</v>
      </c>
      <c r="Y13" s="536" t="str">
        <f t="shared" si="3"/>
        <v>ok</v>
      </c>
    </row>
    <row r="14" spans="2:25">
      <c r="I14">
        <f>I12*60</f>
        <v>3.841317443374237E-2</v>
      </c>
      <c r="J14">
        <f>J12*60</f>
        <v>5.5622011721396802E-2</v>
      </c>
    </row>
    <row r="15" spans="2:25">
      <c r="B15" t="s">
        <v>863</v>
      </c>
    </row>
    <row r="16" spans="2:25">
      <c r="B16" t="s">
        <v>864</v>
      </c>
      <c r="C16" s="89" t="s">
        <v>92</v>
      </c>
      <c r="D16" s="89" cm="1">
        <f t="array" ref="D16">astroCalculZ(D5,D6,D7)</f>
        <v>119.63898615633113</v>
      </c>
      <c r="E16" s="89" cm="1">
        <f t="array" ref="E16">astroCalculZ(E5,E6,E7)</f>
        <v>120.519554903478</v>
      </c>
      <c r="F16" s="89" cm="1">
        <f t="array" ref="F16">astroCalculZ(F5,F6,F7)</f>
        <v>164.97344508303777</v>
      </c>
      <c r="G16" s="89" cm="1">
        <f t="array" ref="G16">astroCalculZ(G5,G6,G7)</f>
        <v>91.389863801820454</v>
      </c>
      <c r="H16" s="89" cm="1">
        <f t="array" ref="H16">astroCalculZ(H5,H6,H7)</f>
        <v>137.86958529581665</v>
      </c>
      <c r="I16" s="89" cm="1">
        <f t="array" ref="I16">astroCalculZ(I5,I6,I7)</f>
        <v>166.21596789645631</v>
      </c>
      <c r="J16" s="89" cm="1">
        <f t="array" ref="J16">astroCalculZ(J5,J6,J7)</f>
        <v>157.93092278699649</v>
      </c>
      <c r="K16" s="89" cm="1">
        <f t="array" ref="K16">astroCalculZ(K5,K6,K7)</f>
        <v>141.52965336308364</v>
      </c>
      <c r="L16" s="89" cm="1">
        <f t="array" ref="L16">astroCalculZ(L5,L6,L7)</f>
        <v>143.63214797334996</v>
      </c>
      <c r="M16" s="89" cm="1">
        <f t="array" ref="M16">astroCalculZ(M5,M6,M7)</f>
        <v>125.77015618609653</v>
      </c>
      <c r="N16" s="89" cm="1">
        <f t="array" ref="N16">astroCalculZ(N5,N6,N7)</f>
        <v>151.47431803818472</v>
      </c>
      <c r="O16" s="89" cm="1">
        <f t="array" ref="O16">astroCalculZ(O5,O6,O7)</f>
        <v>45.135293912885963</v>
      </c>
      <c r="P16" s="89" cm="1">
        <f t="array" ref="P16">astroCalculZ(P5,P6,P7)</f>
        <v>43.054100336289864</v>
      </c>
      <c r="Q16" s="89" cm="1">
        <f t="array" ref="Q16">astroCalculZ(Q5,Q6,Q7)</f>
        <v>16.179690690831414</v>
      </c>
      <c r="R16" s="89" cm="1">
        <f t="array" ref="R16">astroCalculZ(R5,R6,R7)</f>
        <v>118.30036651926162</v>
      </c>
      <c r="S16" s="89" cm="1">
        <f t="array" ref="S16">astroCalculZ(S5,S6,S7)</f>
        <v>122.71465541609089</v>
      </c>
      <c r="T16" s="89" cm="1">
        <f t="array" ref="T16">astroCalculZ(T5,T6,T7)</f>
        <v>143.53787510461402</v>
      </c>
      <c r="U16" s="89" cm="1">
        <f t="array" ref="U16">astroCalculZ(U5,U6,U7)</f>
        <v>159.24471188369756</v>
      </c>
      <c r="V16" s="89" cm="1">
        <f t="array" ref="V16">astroCalculZ(V5,V6,V7)</f>
        <v>97.73107718489797</v>
      </c>
      <c r="W16" s="89" cm="1">
        <f t="array" ref="W16">astroCalculZ(W5,W6,W7)</f>
        <v>176.56236994206981</v>
      </c>
      <c r="X16" s="89" cm="1">
        <f t="array" ref="X16">astroCalculZ(X5,X6,X7)</f>
        <v>32.755331326980247</v>
      </c>
      <c r="Y16" s="89" cm="1">
        <f t="array" ref="Y16">astroCalculZ(Y5,Y6,Y7)</f>
        <v>105.38763989388706</v>
      </c>
    </row>
    <row r="17" spans="3:25">
      <c r="C17" s="89" t="s">
        <v>93</v>
      </c>
      <c r="D17" cm="1">
        <f t="array" ref="D17">astroCalculZ2Zn(D5,D16,D7)</f>
        <v>119.63898615633113</v>
      </c>
      <c r="E17" cm="1">
        <f t="array" ref="E17">astroCalculZ2Zn(E5,E16,E7)</f>
        <v>120.519554903478</v>
      </c>
      <c r="F17" cm="1">
        <f t="array" ref="F17">astroCalculZ2Zn(F5,F16,F7)</f>
        <v>195.02655491696223</v>
      </c>
      <c r="G17" cm="1">
        <f t="array" ref="G17">astroCalculZ2Zn(G5,G16,G7)</f>
        <v>91.389863801820454</v>
      </c>
      <c r="H17" cm="1">
        <f t="array" ref="H17">astroCalculZ2Zn(H5,H16,H7)</f>
        <v>42.130414704183352</v>
      </c>
      <c r="I17" cm="1">
        <f t="array" ref="I17">astroCalculZ2Zn(I5,I16,I7)</f>
        <v>166.21596789645631</v>
      </c>
      <c r="J17" cm="1">
        <f t="array" ref="J17">astroCalculZ2Zn(J5,J16,J7)</f>
        <v>202.06907721300351</v>
      </c>
      <c r="K17" cm="1">
        <f t="array" ref="K17">astroCalculZ2Zn(K5,K16,K7)</f>
        <v>38.470346636916361</v>
      </c>
      <c r="L17" cm="1">
        <f t="array" ref="L17">astroCalculZ2Zn(L5,L16,L7)</f>
        <v>36.367852026650041</v>
      </c>
      <c r="M17" cm="1">
        <f t="array" ref="M17">astroCalculZ2Zn(M5,M16,M7)</f>
        <v>125.77015618609653</v>
      </c>
      <c r="N17" cm="1">
        <f t="array" ref="N17">astroCalculZ2Zn(N5,N16,N7)</f>
        <v>208.52568196181528</v>
      </c>
      <c r="O17" cm="1">
        <f t="array" ref="O17">astroCalculZ2Zn(O5,O16,O7)</f>
        <v>45.135293912885963</v>
      </c>
      <c r="P17" cm="1">
        <f t="array" ref="P17">astroCalculZ2Zn(P5,P16,P7)</f>
        <v>316.94589966371012</v>
      </c>
      <c r="Q17" cm="1">
        <f t="array" ref="Q17">astroCalculZ2Zn(Q5,Q16,Q7)</f>
        <v>163.82030930916858</v>
      </c>
      <c r="R17" cm="1">
        <f t="array" ref="R17">astroCalculZ2Zn(R5,R16,R7)</f>
        <v>298.30036651926162</v>
      </c>
      <c r="S17" cm="1">
        <f t="array" ref="S17">astroCalculZ2Zn(S5,S16,S7)</f>
        <v>57.285344583909108</v>
      </c>
      <c r="T17" cm="1">
        <f t="array" ref="T17">astroCalculZ2Zn(T5,T16,T7)</f>
        <v>216.46212489538598</v>
      </c>
      <c r="U17" cm="1">
        <f t="array" ref="U17">astroCalculZ2Zn(U5,U16,U7)</f>
        <v>159.24471188369756</v>
      </c>
      <c r="V17" cm="1">
        <f t="array" ref="V17">astroCalculZ2Zn(V5,V16,V7)</f>
        <v>97.73107718489797</v>
      </c>
      <c r="W17" cm="1">
        <f t="array" ref="W17">astroCalculZ2Zn(W5,W16,W7)</f>
        <v>183.43763005793019</v>
      </c>
      <c r="X17" cm="1">
        <f t="array" ref="X17">astroCalculZ2Zn(X5,X16,X7)</f>
        <v>327.24466867301976</v>
      </c>
      <c r="Y17" cm="1">
        <f t="array" ref="Y17">astroCalculZ2Zn(Y5,Y16,Y7)</f>
        <v>254.61236010611293</v>
      </c>
    </row>
    <row r="18" spans="3:25">
      <c r="C18" s="89" t="s">
        <v>865</v>
      </c>
      <c r="D18" s="89" cm="1">
        <f t="array" ref="D18">angleConvert2Decimal("119°38,33")</f>
        <v>119.63883333333334</v>
      </c>
      <c r="E18" s="89" cm="1">
        <f t="array" ref="E18">angleConvert2Decimal("120°31,17")</f>
        <v>120.51949999999999</v>
      </c>
      <c r="F18" s="89" cm="1">
        <f t="array" ref="F18">angleConvert2Decimal("164°58,38")</f>
        <v>164.97300000000001</v>
      </c>
      <c r="G18" s="89">
        <v>91.4</v>
      </c>
      <c r="H18" s="89">
        <v>137.86959999999999</v>
      </c>
      <c r="I18" s="89">
        <v>166.2</v>
      </c>
      <c r="J18" s="89">
        <f>157.93</f>
        <v>157.93</v>
      </c>
      <c r="K18" s="89">
        <f>141.5297</f>
        <v>141.52969999999999</v>
      </c>
      <c r="L18" s="89">
        <v>143.63210000000001</v>
      </c>
      <c r="M18" s="89">
        <v>125.8</v>
      </c>
      <c r="N18" s="89">
        <v>151.47</v>
      </c>
      <c r="O18" s="89">
        <v>45.1</v>
      </c>
      <c r="P18" s="89">
        <v>43.054099999999998</v>
      </c>
      <c r="Q18" s="89">
        <v>16.2</v>
      </c>
      <c r="R18" s="89">
        <v>118.3</v>
      </c>
      <c r="S18" s="89">
        <v>122.7</v>
      </c>
      <c r="T18" s="89">
        <v>143.53</v>
      </c>
      <c r="U18" s="89">
        <v>159.19999999999999</v>
      </c>
      <c r="V18" s="89">
        <v>97.7</v>
      </c>
      <c r="W18" s="89">
        <v>176.56</v>
      </c>
      <c r="X18" s="89">
        <v>32.75</v>
      </c>
      <c r="Y18" s="89">
        <v>105.4</v>
      </c>
    </row>
    <row r="19" spans="3:25">
      <c r="C19" s="89" t="s">
        <v>866</v>
      </c>
      <c r="D19" s="89">
        <f>D18</f>
        <v>119.63883333333334</v>
      </c>
      <c r="E19" s="89" cm="1">
        <f t="array" ref="E19">angleConvert2Decimal("120°31,17")</f>
        <v>120.51949999999999</v>
      </c>
      <c r="F19" s="89" cm="1">
        <f t="array" ref="F19">angleConvert2Decimal("195°01,61")</f>
        <v>195.02683333333334</v>
      </c>
      <c r="G19" s="89">
        <v>91.4</v>
      </c>
      <c r="H19" s="89">
        <v>42.130409999999998</v>
      </c>
      <c r="I19" s="89">
        <v>166.2</v>
      </c>
      <c r="J19" s="89">
        <v>202.1</v>
      </c>
      <c r="K19" s="89">
        <v>38.5</v>
      </c>
      <c r="L19" s="89">
        <v>36.4</v>
      </c>
      <c r="M19" s="89">
        <v>125.8</v>
      </c>
      <c r="N19" s="89">
        <v>208.5</v>
      </c>
      <c r="O19" s="89">
        <v>45.1</v>
      </c>
      <c r="P19" s="89">
        <v>316.89999999999998</v>
      </c>
      <c r="Q19" s="89">
        <v>163.80000000000001</v>
      </c>
      <c r="R19" s="89">
        <v>298.3</v>
      </c>
      <c r="S19" s="89">
        <v>57.3</v>
      </c>
      <c r="T19" s="89">
        <v>216.5</v>
      </c>
      <c r="U19" s="89">
        <v>159.19999999999999</v>
      </c>
      <c r="V19" s="89">
        <v>97.7</v>
      </c>
      <c r="W19" s="89">
        <v>183.4</v>
      </c>
      <c r="X19" s="89">
        <v>327.2</v>
      </c>
      <c r="Y19" s="89">
        <v>254.6</v>
      </c>
    </row>
    <row r="20" spans="3:25">
      <c r="C20" s="89" t="s">
        <v>858</v>
      </c>
      <c r="D20" s="89">
        <f t="shared" ref="D20:Y20" si="4">D16-D18</f>
        <v>1.5282299779073583E-4</v>
      </c>
      <c r="E20" s="89">
        <f t="shared" si="4"/>
        <v>5.4903478002188422E-5</v>
      </c>
      <c r="F20" s="89">
        <f t="shared" si="4"/>
        <v>4.4508303776069624E-4</v>
      </c>
      <c r="G20" s="89">
        <f t="shared" si="4"/>
        <v>-1.0136198179552025E-2</v>
      </c>
      <c r="H20" s="89">
        <f t="shared" si="4"/>
        <v>-1.4704183342928445E-5</v>
      </c>
      <c r="I20" s="89">
        <f t="shared" si="4"/>
        <v>1.5967896456317021E-2</v>
      </c>
      <c r="J20" s="89">
        <f t="shared" si="4"/>
        <v>9.2278699648318252E-4</v>
      </c>
      <c r="K20" s="89">
        <f t="shared" si="4"/>
        <v>-4.663691635187206E-5</v>
      </c>
      <c r="L20" s="89">
        <f t="shared" si="4"/>
        <v>4.7973349950325428E-5</v>
      </c>
      <c r="M20" s="89">
        <f t="shared" si="4"/>
        <v>-2.9843813903468686E-2</v>
      </c>
      <c r="N20" s="89">
        <f t="shared" si="4"/>
        <v>4.3180381847207627E-3</v>
      </c>
      <c r="O20" s="89">
        <f t="shared" si="4"/>
        <v>3.5293912885961731E-2</v>
      </c>
      <c r="P20" s="89">
        <f t="shared" si="4"/>
        <v>3.3628986528810856E-7</v>
      </c>
      <c r="Q20" s="89">
        <f t="shared" si="4"/>
        <v>-2.0309309168585088E-2</v>
      </c>
      <c r="R20" s="89">
        <f t="shared" si="4"/>
        <v>3.6651926161823667E-4</v>
      </c>
      <c r="S20" s="89">
        <f t="shared" si="4"/>
        <v>1.4655416090889162E-2</v>
      </c>
      <c r="T20" s="89">
        <f t="shared" si="4"/>
        <v>7.8751046140155267E-3</v>
      </c>
      <c r="U20" s="89">
        <f t="shared" si="4"/>
        <v>4.4711883697573285E-2</v>
      </c>
      <c r="V20" s="89">
        <f t="shared" si="4"/>
        <v>3.1077184897966958E-2</v>
      </c>
      <c r="W20" s="89">
        <f t="shared" si="4"/>
        <v>2.3699420698051199E-3</v>
      </c>
      <c r="X20" s="89">
        <f t="shared" si="4"/>
        <v>5.3313269802472973E-3</v>
      </c>
      <c r="Y20" s="89">
        <f t="shared" si="4"/>
        <v>-1.2360106112950575E-2</v>
      </c>
    </row>
    <row r="21" spans="3:25">
      <c r="C21" s="89" t="s">
        <v>858</v>
      </c>
      <c r="D21" s="89">
        <f t="shared" ref="D21:Y21" si="5">D17-D19</f>
        <v>1.5282299779073583E-4</v>
      </c>
      <c r="E21" s="89">
        <f t="shared" si="5"/>
        <v>5.4903478002188422E-5</v>
      </c>
      <c r="F21" s="89">
        <f t="shared" si="5"/>
        <v>-2.7841637111691853E-4</v>
      </c>
      <c r="G21" s="89">
        <f t="shared" si="5"/>
        <v>-1.0136198179552025E-2</v>
      </c>
      <c r="H21" s="89">
        <f t="shared" si="5"/>
        <v>4.7041833539651634E-6</v>
      </c>
      <c r="I21" s="89">
        <f t="shared" si="5"/>
        <v>1.5967896456317021E-2</v>
      </c>
      <c r="J21" s="89">
        <f t="shared" si="5"/>
        <v>-3.0922786996484319E-2</v>
      </c>
      <c r="K21" s="89">
        <f t="shared" si="5"/>
        <v>-2.9653363083639306E-2</v>
      </c>
      <c r="L21" s="89">
        <f t="shared" si="5"/>
        <v>-3.2147973349957226E-2</v>
      </c>
      <c r="M21" s="89">
        <f t="shared" si="5"/>
        <v>-2.9843813903468686E-2</v>
      </c>
      <c r="N21" s="89">
        <f t="shared" si="5"/>
        <v>2.5681961815280374E-2</v>
      </c>
      <c r="O21" s="89">
        <f t="shared" si="5"/>
        <v>3.5293912885961731E-2</v>
      </c>
      <c r="P21" s="89">
        <f t="shared" si="5"/>
        <v>4.5899663710144978E-2</v>
      </c>
      <c r="Q21" s="89">
        <f t="shared" si="5"/>
        <v>2.0309309168567324E-2</v>
      </c>
      <c r="R21" s="89">
        <f t="shared" si="5"/>
        <v>3.6651926160402581E-4</v>
      </c>
      <c r="S21" s="89">
        <f t="shared" si="5"/>
        <v>-1.4655416090889162E-2</v>
      </c>
      <c r="T21" s="89">
        <f t="shared" si="5"/>
        <v>-3.7875104614016664E-2</v>
      </c>
      <c r="U21" s="89">
        <f t="shared" si="5"/>
        <v>4.4711883697573285E-2</v>
      </c>
      <c r="V21" s="89">
        <f t="shared" si="5"/>
        <v>3.1077184897966958E-2</v>
      </c>
      <c r="W21" s="89">
        <f t="shared" si="5"/>
        <v>3.7630057930186922E-2</v>
      </c>
      <c r="X21" s="89">
        <f t="shared" si="5"/>
        <v>4.4668673019771177E-2</v>
      </c>
      <c r="Y21" s="89">
        <f t="shared" si="5"/>
        <v>1.2360106112936364E-2</v>
      </c>
    </row>
    <row r="22" spans="3:25">
      <c r="C22" s="89" t="s">
        <v>859</v>
      </c>
      <c r="D22" s="536" t="str">
        <f t="shared" ref="D22:Y22" si="6">IF(AND(ABS(D20)&lt;0.1,ABS(D21)&lt;0.1),"ok","ko")</f>
        <v>ok</v>
      </c>
      <c r="E22" s="536" t="str">
        <f t="shared" si="6"/>
        <v>ok</v>
      </c>
      <c r="F22" s="536" t="str">
        <f t="shared" si="6"/>
        <v>ok</v>
      </c>
      <c r="G22" s="536" t="str">
        <f t="shared" si="6"/>
        <v>ok</v>
      </c>
      <c r="H22" s="536" t="str">
        <f t="shared" si="6"/>
        <v>ok</v>
      </c>
      <c r="I22" s="536" t="str">
        <f t="shared" si="6"/>
        <v>ok</v>
      </c>
      <c r="J22" s="536" t="str">
        <f t="shared" si="6"/>
        <v>ok</v>
      </c>
      <c r="K22" s="536" t="str">
        <f t="shared" si="6"/>
        <v>ok</v>
      </c>
      <c r="L22" s="536" t="str">
        <f t="shared" si="6"/>
        <v>ok</v>
      </c>
      <c r="M22" s="536" t="str">
        <f t="shared" si="6"/>
        <v>ok</v>
      </c>
      <c r="N22" s="536" t="str">
        <f t="shared" si="6"/>
        <v>ok</v>
      </c>
      <c r="O22" s="536" t="str">
        <f t="shared" si="6"/>
        <v>ok</v>
      </c>
      <c r="P22" s="536" t="str">
        <f t="shared" si="6"/>
        <v>ok</v>
      </c>
      <c r="Q22" s="536" t="str">
        <f t="shared" si="6"/>
        <v>ok</v>
      </c>
      <c r="R22" s="536" t="str">
        <f t="shared" si="6"/>
        <v>ok</v>
      </c>
      <c r="S22" s="536" t="str">
        <f t="shared" si="6"/>
        <v>ok</v>
      </c>
      <c r="T22" s="536" t="str">
        <f t="shared" si="6"/>
        <v>ok</v>
      </c>
      <c r="U22" s="536" t="str">
        <f t="shared" si="6"/>
        <v>ok</v>
      </c>
      <c r="V22" s="536" t="str">
        <f t="shared" si="6"/>
        <v>ok</v>
      </c>
      <c r="W22" s="536" t="str">
        <f t="shared" si="6"/>
        <v>ok</v>
      </c>
      <c r="X22" s="536" t="str">
        <f t="shared" si="6"/>
        <v>ok</v>
      </c>
      <c r="Y22" s="536" t="str">
        <f t="shared" si="6"/>
        <v>ok</v>
      </c>
    </row>
  </sheetData>
  <conditionalFormatting sqref="D13:Y13">
    <cfRule type="expression" dxfId="1" priority="2">
      <formula>D13="ko"</formula>
    </cfRule>
  </conditionalFormatting>
  <conditionalFormatting sqref="D22:Y22">
    <cfRule type="expression" dxfId="0" priority="1">
      <formula>D22="ko"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K18"/>
  <sheetViews>
    <sheetView workbookViewId="0">
      <selection activeCell="Q11" sqref="Q11"/>
    </sheetView>
  </sheetViews>
  <sheetFormatPr defaultColWidth="11.42578125" defaultRowHeight="15"/>
  <cols>
    <col min="1" max="1" width="11.7109375" bestFit="1" customWidth="1"/>
    <col min="2" max="2" width="18.5703125" bestFit="1" customWidth="1"/>
    <col min="5" max="5" width="13.28515625" customWidth="1"/>
    <col min="6" max="6" width="18.5703125" customWidth="1"/>
    <col min="7" max="8" width="13.42578125" customWidth="1"/>
    <col min="9" max="9" width="15.5703125" customWidth="1"/>
    <col min="10" max="10" width="15.28515625" customWidth="1"/>
    <col min="11" max="11" width="27.85546875" customWidth="1"/>
  </cols>
  <sheetData>
    <row r="1" spans="2:11">
      <c r="E1" t="s">
        <v>384</v>
      </c>
      <c r="F1" s="190">
        <v>31557600</v>
      </c>
      <c r="I1" s="191" t="s">
        <v>388</v>
      </c>
      <c r="J1" s="191"/>
      <c r="K1">
        <f>5/30</f>
        <v>0.16666666666666666</v>
      </c>
    </row>
    <row r="2" spans="2:11" ht="15.75" thickBot="1"/>
    <row r="3" spans="2:11" ht="16.5" thickTop="1" thickBot="1">
      <c r="B3" s="542" t="s">
        <v>875</v>
      </c>
      <c r="C3" s="10" t="s">
        <v>377</v>
      </c>
      <c r="D3" s="10" t="s">
        <v>378</v>
      </c>
      <c r="E3" s="178" t="s">
        <v>383</v>
      </c>
      <c r="F3" s="192" t="s">
        <v>876</v>
      </c>
      <c r="G3" s="178" t="s">
        <v>382</v>
      </c>
      <c r="H3" s="306" t="s">
        <v>813</v>
      </c>
      <c r="I3" s="538" t="s">
        <v>386</v>
      </c>
      <c r="J3" s="178" t="s">
        <v>387</v>
      </c>
      <c r="K3" s="193" t="s">
        <v>878</v>
      </c>
    </row>
    <row r="4" spans="2:11" ht="16.5" thickTop="1" thickBot="1">
      <c r="B4" s="543">
        <f>(E4 / 86400) + DATE(1970, 1,1)</f>
        <v>45200</v>
      </c>
      <c r="C4" s="195" t="s">
        <v>379</v>
      </c>
      <c r="D4" s="10">
        <v>0</v>
      </c>
      <c r="E4" s="178">
        <f>dateConvert2Decimal(C4)</f>
        <v>1696118400</v>
      </c>
      <c r="F4" s="178"/>
      <c r="G4" s="178"/>
      <c r="H4" s="306"/>
      <c r="I4" s="538"/>
      <c r="J4" s="178"/>
      <c r="K4" s="194"/>
    </row>
    <row r="5" spans="2:11" ht="16.5" thickTop="1" thickBot="1">
      <c r="B5" s="543">
        <f t="shared" ref="B5:B10" si="0">(E5 / 86400) + DATE(1970, 1,1)</f>
        <v>45413</v>
      </c>
      <c r="C5" s="158" t="s">
        <v>380</v>
      </c>
      <c r="D5" s="10">
        <f>1*60+2</f>
        <v>62</v>
      </c>
      <c r="E5" s="178">
        <f>dateConvert2Decimal(C5)</f>
        <v>1714521600</v>
      </c>
      <c r="F5" s="178">
        <f t="shared" ref="F5:F10" si="1">E5-$E$4</f>
        <v>18403200</v>
      </c>
      <c r="G5" s="178">
        <f t="shared" ref="G5:G10" si="2">$F$1*D5/F5</f>
        <v>106.3169014084507</v>
      </c>
      <c r="H5" s="306" t="str">
        <f t="shared" ref="H5:H10" si="3">CONCATENATE(INT(G5/60)," mn ",INT( 60*(G5/60 - INT(G5/60)))," s")</f>
        <v>1 mn 46 s</v>
      </c>
      <c r="I5" s="538">
        <f t="shared" ref="I5:I10" si="4">30*J5</f>
        <v>8.7323943661971821</v>
      </c>
      <c r="J5" s="178">
        <f t="shared" ref="J5:J10" si="5">G5/365.25</f>
        <v>0.29107981220657275</v>
      </c>
      <c r="K5" s="194">
        <f>I5*$K$1</f>
        <v>1.4553990610328635</v>
      </c>
    </row>
    <row r="6" spans="2:11" ht="16.5" thickTop="1" thickBot="1">
      <c r="B6" s="543">
        <f t="shared" si="0"/>
        <v>45495</v>
      </c>
      <c r="C6" s="158" t="s">
        <v>381</v>
      </c>
      <c r="D6" s="10">
        <f>1*60+13</f>
        <v>73</v>
      </c>
      <c r="E6" s="178">
        <f>dateConvert2Decimal(C6)</f>
        <v>1721606400</v>
      </c>
      <c r="F6" s="178">
        <f t="shared" si="1"/>
        <v>25488000</v>
      </c>
      <c r="G6" s="178">
        <f t="shared" si="2"/>
        <v>90.383898305084742</v>
      </c>
      <c r="H6" s="306" t="str">
        <f t="shared" si="3"/>
        <v>1 mn 30 s</v>
      </c>
      <c r="I6" s="538">
        <f t="shared" si="4"/>
        <v>7.4237288135593218</v>
      </c>
      <c r="J6" s="178">
        <f t="shared" si="5"/>
        <v>0.24745762711864405</v>
      </c>
      <c r="K6" s="194">
        <f t="shared" ref="K6:K10" si="6">I6*$K$1</f>
        <v>1.2372881355932202</v>
      </c>
    </row>
    <row r="7" spans="2:11" ht="16.5" thickTop="1" thickBot="1">
      <c r="B7" s="543">
        <f t="shared" si="0"/>
        <v>45509</v>
      </c>
      <c r="C7" s="195" t="s">
        <v>385</v>
      </c>
      <c r="D7" s="10">
        <f>1*60+26</f>
        <v>86</v>
      </c>
      <c r="E7" s="178">
        <f>dateConvert2Decimal(C7)</f>
        <v>1722816000</v>
      </c>
      <c r="F7" s="178">
        <f t="shared" si="1"/>
        <v>26697600</v>
      </c>
      <c r="G7" s="178">
        <f t="shared" si="2"/>
        <v>101.65533980582525</v>
      </c>
      <c r="H7" s="306" t="str">
        <f t="shared" si="3"/>
        <v>1 mn 41 s</v>
      </c>
      <c r="I7" s="538">
        <f t="shared" si="4"/>
        <v>8.3495145631067977</v>
      </c>
      <c r="J7" s="178">
        <f t="shared" si="5"/>
        <v>0.27831715210355989</v>
      </c>
      <c r="K7" s="194">
        <f t="shared" si="6"/>
        <v>1.3915857605177995</v>
      </c>
    </row>
    <row r="8" spans="2:11" ht="16.5" thickTop="1" thickBot="1">
      <c r="B8" s="543">
        <f t="shared" si="0"/>
        <v>45746</v>
      </c>
      <c r="C8" s="540" t="s">
        <v>685</v>
      </c>
      <c r="D8" s="10">
        <f>2*60+32</f>
        <v>152</v>
      </c>
      <c r="E8" s="178">
        <f>dateConvert2Decimal(C8)</f>
        <v>1743292800</v>
      </c>
      <c r="F8" s="178">
        <f t="shared" si="1"/>
        <v>47174400</v>
      </c>
      <c r="G8" s="178">
        <f t="shared" si="2"/>
        <v>101.68131868131869</v>
      </c>
      <c r="H8" s="306" t="str">
        <f t="shared" si="3"/>
        <v>1 mn 41 s</v>
      </c>
      <c r="I8" s="538">
        <f t="shared" si="4"/>
        <v>8.3516483516483522</v>
      </c>
      <c r="J8" s="178">
        <f t="shared" si="5"/>
        <v>0.2783882783882784</v>
      </c>
      <c r="K8" s="194">
        <f t="shared" si="6"/>
        <v>1.3919413919413919</v>
      </c>
    </row>
    <row r="9" spans="2:11" ht="16.5" thickTop="1" thickBot="1">
      <c r="B9" s="543">
        <f t="shared" si="0"/>
        <v>45925</v>
      </c>
      <c r="C9" s="540" t="s">
        <v>812</v>
      </c>
      <c r="D9" s="10">
        <f>3*60+24</f>
        <v>204</v>
      </c>
      <c r="E9" s="178">
        <f>dateConvert2Decimal(C9)</f>
        <v>1758758400</v>
      </c>
      <c r="F9" s="178">
        <f t="shared" si="1"/>
        <v>62640000</v>
      </c>
      <c r="G9" s="178">
        <f t="shared" si="2"/>
        <v>102.77379310344827</v>
      </c>
      <c r="H9" s="306" t="str">
        <f t="shared" si="3"/>
        <v>1 mn 42 s</v>
      </c>
      <c r="I9" s="538">
        <f t="shared" si="4"/>
        <v>8.4413793103448267</v>
      </c>
      <c r="J9" s="178">
        <f t="shared" si="5"/>
        <v>0.28137931034482755</v>
      </c>
      <c r="K9" s="194">
        <f t="shared" si="6"/>
        <v>1.4068965517241376</v>
      </c>
    </row>
    <row r="10" spans="2:11" ht="16.5" thickTop="1" thickBot="1">
      <c r="B10" s="543">
        <f t="shared" si="0"/>
        <v>46300</v>
      </c>
      <c r="C10" s="540" t="s">
        <v>877</v>
      </c>
      <c r="D10" s="10">
        <f>5*60+17</f>
        <v>317</v>
      </c>
      <c r="E10" s="537">
        <f>dateConvert2Decimal(C10)</f>
        <v>1791158400</v>
      </c>
      <c r="F10" s="537">
        <f t="shared" si="1"/>
        <v>95040000</v>
      </c>
      <c r="G10" s="537">
        <f t="shared" si="2"/>
        <v>105.2584090909091</v>
      </c>
      <c r="H10" s="306" t="str">
        <f t="shared" si="3"/>
        <v>1 mn 45 s</v>
      </c>
      <c r="I10" s="538">
        <f t="shared" si="4"/>
        <v>8.6454545454545464</v>
      </c>
      <c r="J10" s="537">
        <f t="shared" si="5"/>
        <v>0.28818181818181821</v>
      </c>
      <c r="K10" s="194">
        <f t="shared" si="6"/>
        <v>1.4409090909090909</v>
      </c>
    </row>
    <row r="11" spans="2:11" ht="16.5" thickTop="1" thickBot="1">
      <c r="B11" s="543"/>
      <c r="C11" s="541"/>
      <c r="D11" s="541"/>
    </row>
    <row r="12" spans="2:11" ht="16.5" thickTop="1" thickBot="1">
      <c r="B12" s="543"/>
      <c r="C12" s="541"/>
      <c r="D12" s="541"/>
    </row>
    <row r="13" spans="2:11" ht="16.5" thickTop="1" thickBot="1">
      <c r="B13" s="543"/>
      <c r="C13" s="541"/>
      <c r="D13" s="541"/>
      <c r="G13" s="332" t="s">
        <v>686</v>
      </c>
      <c r="H13" s="332"/>
      <c r="I13" s="332">
        <f>AVERAGE(I5:I12)</f>
        <v>8.3240199917185063</v>
      </c>
      <c r="J13" s="332" t="s">
        <v>687</v>
      </c>
    </row>
    <row r="14" spans="2:11" ht="16.5" thickTop="1" thickBot="1">
      <c r="B14" s="543"/>
      <c r="C14" s="541"/>
      <c r="D14" s="541"/>
    </row>
    <row r="15" spans="2:11" ht="16.5" thickTop="1" thickBot="1">
      <c r="B15" s="543"/>
      <c r="C15" s="541"/>
      <c r="D15" s="541"/>
    </row>
    <row r="16" spans="2:11" ht="16.5" thickTop="1" thickBot="1">
      <c r="B16" s="543"/>
      <c r="C16" s="541"/>
      <c r="D16" s="541"/>
    </row>
    <row r="17" spans="2:4" ht="16.5" thickTop="1" thickBot="1">
      <c r="B17" s="543"/>
      <c r="C17" s="541"/>
      <c r="D17" s="541"/>
    </row>
    <row r="18" spans="2:4" ht="15.75" thickTop="1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B5:J20"/>
  <sheetViews>
    <sheetView workbookViewId="0">
      <selection activeCell="F19" sqref="F19"/>
    </sheetView>
  </sheetViews>
  <sheetFormatPr defaultColWidth="9.140625" defaultRowHeight="15"/>
  <sheetData>
    <row r="5" spans="4:10">
      <c r="E5" s="11" t="s">
        <v>473</v>
      </c>
      <c r="F5" cm="1">
        <f t="array" ref="F5">heureConvert2Decimal(E5)</f>
        <v>12.336944444444445</v>
      </c>
    </row>
    <row r="6" spans="4:10">
      <c r="E6" s="11" t="s">
        <v>471</v>
      </c>
      <c r="F6" cm="1">
        <f t="array" ref="F6">heureConvert2Decimal(E6)</f>
        <v>8.5013888888888882</v>
      </c>
    </row>
    <row r="7" spans="4:10">
      <c r="E7" s="11" t="s">
        <v>472</v>
      </c>
      <c r="F7" cm="1">
        <f t="array" ref="F7">heureConvert2Decimal(E7)</f>
        <v>6.2694444444444448</v>
      </c>
    </row>
    <row r="9" spans="4:10">
      <c r="F9">
        <f>F6-F7</f>
        <v>2.2319444444444434</v>
      </c>
      <c r="G9">
        <f>F5-F6</f>
        <v>3.8355555555555565</v>
      </c>
    </row>
    <row r="10" spans="4:10">
      <c r="G10">
        <v>15</v>
      </c>
      <c r="H10">
        <f>$G$10*F9</f>
        <v>33.47916666666665</v>
      </c>
      <c r="I10">
        <f>$G$10*G9</f>
        <v>57.533333333333346</v>
      </c>
    </row>
    <row r="13" spans="4:10">
      <c r="D13">
        <v>0</v>
      </c>
      <c r="E13" s="11" t="s">
        <v>832</v>
      </c>
      <c r="F13" cm="1">
        <f t="array" ref="F13">angleConvert2Decimal(E13)</f>
        <v>23.166666666666668</v>
      </c>
    </row>
    <row r="14" spans="4:10" ht="15.75" thickBot="1">
      <c r="D14">
        <v>24</v>
      </c>
      <c r="E14" s="11" t="s">
        <v>833</v>
      </c>
      <c r="F14" cm="1">
        <f t="array" ref="F14">angleConvert2Decimal(E14)</f>
        <v>23.103333333333332</v>
      </c>
    </row>
    <row r="15" spans="4:10" ht="16.5" thickTop="1" thickBot="1">
      <c r="F15">
        <f>(F14-F13)/(D14-D13)</f>
        <v>-2.6388888888890052E-3</v>
      </c>
      <c r="G15" s="1908" t="str" cm="1">
        <f t="array" ref="G15">angleDecimal2Txt(F15)</f>
        <v>-00°00.15 (-00.0026) [-00°00'09.50]</v>
      </c>
      <c r="H15" s="1908"/>
      <c r="I15" s="1908"/>
      <c r="J15" s="1908"/>
    </row>
    <row r="16" spans="4:10" ht="15.75" thickTop="1"/>
    <row r="19" spans="2:3">
      <c r="B19" t="s">
        <v>836</v>
      </c>
    </row>
    <row r="20" spans="2:3">
      <c r="C20" t="s">
        <v>1</v>
      </c>
    </row>
  </sheetData>
  <mergeCells count="1">
    <mergeCell ref="G15:J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</vt:i4>
      </vt:variant>
    </vt:vector>
  </HeadingPairs>
  <TitlesOfParts>
    <vt:vector size="27" baseType="lpstr">
      <vt:lpstr>Droite de hauteur-soleil</vt:lpstr>
      <vt:lpstr>Heure Meridienne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ODT</vt:lpstr>
      <vt:lpstr>Montre</vt:lpstr>
      <vt:lpstr>Brouillon</vt:lpstr>
      <vt:lpstr>choix_calcul_des_erreurs</vt:lpstr>
      <vt:lpstr>choix_horizon_artificiel</vt:lpstr>
      <vt:lpstr>choix_typecalcul_AngleHoraire</vt:lpstr>
      <vt:lpstr>choix_typecalcul_declinaison</vt:lpstr>
      <vt:lpstr>meridienne_choix_calcul_des_erreurs</vt:lpstr>
      <vt:lpstr>meridienne_choix_horizon_artificiel</vt:lpstr>
      <vt:lpstr>meridienne_choix_typecalcul_declinaison</vt:lpstr>
      <vt:lpstr>'Droite de hauteur-etoileplanete'!Print_Area</vt:lpstr>
      <vt:lpstr>'Droite de hauteur-lune'!Print_Area</vt:lpstr>
      <vt:lpstr>'Droite de hauteur-soleil'!Print_Area</vt:lpstr>
      <vt:lpstr>'Heure Meridienne'!Print_Area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2026-10-09T15:33:17Z</cp:lastPrinted>
  <dcterms:created xsi:type="dcterms:W3CDTF">2023-12-16T12:20:09Z</dcterms:created>
  <dcterms:modified xsi:type="dcterms:W3CDTF">2026-10-09T17:25:54Z</dcterms:modified>
</cp:coreProperties>
</file>