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C964D496-49CE-4D52-BD43-CF91A11DC857}" xr6:coauthVersionLast="47" xr6:coauthVersionMax="47" xr10:uidLastSave="{00000000-0000-0000-0000-000000000000}"/>
  <bookViews>
    <workbookView xWindow="3855" yWindow="3855" windowWidth="24990" windowHeight="11295" tabRatio="872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Outils" sheetId="15" r:id="rId7"/>
    <sheet name="Montre" sheetId="18" r:id="rId8"/>
    <sheet name="Brouillon" sheetId="19" r:id="rId9"/>
  </sheets>
  <functionGroups builtInGroupCount="19"/>
  <definedNames>
    <definedName name="_xlnm.Print_Area" localSheetId="4">'Droite de hauteur-etoileplanete'!$B$53:$Y$104</definedName>
    <definedName name="_xlnm.Print_Area" localSheetId="3">'Droite de hauteur-lune'!$B$184:$Q$232</definedName>
    <definedName name="_xlnm.Print_Area" localSheetId="0">'Droite de hauteur-soleil'!$B$185:$Q$234</definedName>
    <definedName name="_xlnm.Print_Area" localSheetId="5">'Latitude Polaire'!$B$132:$Q$164</definedName>
    <definedName name="_xlnm.Print_Area" localSheetId="1">Meridienne!$B$214:$Q$252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2" i="17" l="1"/>
  <c r="V103" i="17"/>
  <c r="R103" i="17"/>
  <c r="N103" i="17"/>
  <c r="J103" i="17"/>
  <c r="Q109" i="13"/>
  <c r="H280" i="13"/>
  <c r="H279" i="13"/>
  <c r="H270" i="13" a="1"/>
  <c r="H270" i="13" s="1"/>
  <c r="H269" i="13"/>
  <c r="F269" i="13"/>
  <c r="E254" i="13"/>
  <c r="E252" i="13"/>
  <c r="I247" i="13"/>
  <c r="D247" i="13"/>
  <c r="AR32" i="11"/>
  <c r="AL27" i="11"/>
  <c r="AM28" i="11"/>
  <c r="I36" i="16"/>
  <c r="M95" i="16"/>
  <c r="J98" i="16"/>
  <c r="F6" i="19" a="1"/>
  <c r="F5" i="19" a="1"/>
  <c r="F7" i="19" a="1"/>
  <c r="E282" i="13"/>
  <c r="E274" i="13"/>
  <c r="H258" i="13" a="1"/>
  <c r="H273" i="13" a="1"/>
  <c r="H257" i="13" a="1"/>
  <c r="E271" i="13" a="1"/>
  <c r="H256" i="13" a="1"/>
  <c r="J270" i="13" a="1"/>
  <c r="E251" i="13" a="1"/>
  <c r="F262" i="13" a="1"/>
  <c r="H260" i="13" a="1"/>
  <c r="E253" i="13" a="1"/>
  <c r="J269" i="13" a="1"/>
  <c r="E281" i="13" a="1"/>
  <c r="H259" i="13" a="1"/>
  <c r="E255" i="13" a="1"/>
  <c r="E268" i="13" a="1"/>
  <c r="F264" i="13" a="1"/>
  <c r="F263" i="13" a="1"/>
  <c r="E261" i="13" a="1"/>
  <c r="Y29" i="11" a="1"/>
  <c r="AS32" i="11" a="1"/>
  <c r="AP33" i="11" a="1"/>
  <c r="AO33" i="11" a="1"/>
  <c r="AN33" i="11" a="1"/>
  <c r="AM33" i="11" a="1"/>
  <c r="AL33" i="11" a="1"/>
  <c r="AK33" i="11" a="1"/>
  <c r="AJ33" i="11" a="1"/>
  <c r="AI33" i="11" a="1"/>
  <c r="AH33" i="11" a="1"/>
  <c r="AG33" i="11" a="1"/>
  <c r="AF33" i="11" a="1"/>
  <c r="AE33" i="11" a="1"/>
  <c r="AD33" i="11" a="1"/>
  <c r="F31" i="17" a="1"/>
  <c r="J21" i="1"/>
  <c r="F31" i="17" l="1"/>
  <c r="E261" i="13"/>
  <c r="F263" i="13"/>
  <c r="F264" i="13"/>
  <c r="E268" i="13"/>
  <c r="E255" i="13"/>
  <c r="H259" i="13"/>
  <c r="E281" i="13"/>
  <c r="J269" i="13"/>
  <c r="E253" i="13"/>
  <c r="H260" i="13"/>
  <c r="F262" i="13"/>
  <c r="E251" i="13"/>
  <c r="J270" i="13"/>
  <c r="H256" i="13"/>
  <c r="E271" i="13"/>
  <c r="H257" i="13"/>
  <c r="H273" i="13"/>
  <c r="H258" i="13"/>
  <c r="Y29" i="11"/>
  <c r="AS32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D33" i="11"/>
  <c r="F5" i="19"/>
  <c r="F7" i="19"/>
  <c r="F6" i="19"/>
  <c r="F9" i="19" s="1"/>
  <c r="H10" i="19" s="1"/>
  <c r="V65" i="17"/>
  <c r="R65" i="17"/>
  <c r="N65" i="17"/>
  <c r="J65" i="17"/>
  <c r="E77" i="17"/>
  <c r="K19" i="17"/>
  <c r="D59" i="17"/>
  <c r="F65" i="17"/>
  <c r="F212" i="11"/>
  <c r="F208" i="11"/>
  <c r="M15" i="10"/>
  <c r="M59" i="10"/>
  <c r="H151" i="10"/>
  <c r="G151" i="10"/>
  <c r="E138" i="10"/>
  <c r="H208" i="11"/>
  <c r="H212" i="11"/>
  <c r="E191" i="11"/>
  <c r="H238" i="16"/>
  <c r="E223" i="16"/>
  <c r="F238" i="16"/>
  <c r="E194" i="1"/>
  <c r="H214" i="1"/>
  <c r="F214" i="1"/>
  <c r="H210" i="1"/>
  <c r="F210" i="1"/>
  <c r="E35" i="17"/>
  <c r="AG48" i="17"/>
  <c r="AG44" i="17"/>
  <c r="L46" i="17"/>
  <c r="L43" i="17"/>
  <c r="D31" i="17"/>
  <c r="O42" i="17"/>
  <c r="P42" i="17" s="1"/>
  <c r="Q42" i="17" s="1"/>
  <c r="R42" i="17" s="1"/>
  <c r="S42" i="17" s="1"/>
  <c r="T42" i="17" s="1"/>
  <c r="U42" i="17" s="1"/>
  <c r="V42" i="17" s="1"/>
  <c r="W42" i="17" s="1"/>
  <c r="X42" i="17" s="1"/>
  <c r="Y42" i="17" s="1"/>
  <c r="D27" i="17"/>
  <c r="D39" i="17"/>
  <c r="C39" i="17"/>
  <c r="D38" i="17"/>
  <c r="C38" i="17"/>
  <c r="D37" i="17"/>
  <c r="C37" i="17"/>
  <c r="D36" i="17"/>
  <c r="C36" i="17"/>
  <c r="D35" i="17"/>
  <c r="C35" i="17"/>
  <c r="E39" i="17"/>
  <c r="E38" i="17"/>
  <c r="E37" i="17"/>
  <c r="E36" i="17"/>
  <c r="D30" i="17"/>
  <c r="D29" i="17"/>
  <c r="D28" i="17"/>
  <c r="H35" i="17"/>
  <c r="AH16" i="17"/>
  <c r="AH12" i="17"/>
  <c r="AG176" i="11"/>
  <c r="AD176" i="11"/>
  <c r="AD175" i="11"/>
  <c r="AD174" i="11"/>
  <c r="AE168" i="11"/>
  <c r="J118" i="11"/>
  <c r="O102" i="11"/>
  <c r="O101" i="11"/>
  <c r="I84" i="11"/>
  <c r="AD76" i="11"/>
  <c r="AD74" i="11"/>
  <c r="F72" i="11"/>
  <c r="AD70" i="11"/>
  <c r="AD68" i="11"/>
  <c r="AD67" i="11"/>
  <c r="AD58" i="11"/>
  <c r="AD56" i="11"/>
  <c r="AD52" i="11"/>
  <c r="AD50" i="11"/>
  <c r="AD49" i="11"/>
  <c r="AD41" i="11"/>
  <c r="AD36" i="11"/>
  <c r="J23" i="11"/>
  <c r="O106" i="11" s="1"/>
  <c r="AD107" i="11" s="1"/>
  <c r="AD108" i="11" s="1"/>
  <c r="J22" i="11"/>
  <c r="M82" i="11" s="1"/>
  <c r="J19" i="11"/>
  <c r="AD91" i="11" s="1"/>
  <c r="AD92" i="11" s="1"/>
  <c r="O91" i="11" s="1"/>
  <c r="AD10" i="11"/>
  <c r="AD9" i="11"/>
  <c r="E105" i="13"/>
  <c r="E104" i="13"/>
  <c r="G104" i="13" s="1"/>
  <c r="AD104" i="13" s="1"/>
  <c r="E103" i="13"/>
  <c r="E102" i="13"/>
  <c r="E101" i="13"/>
  <c r="AG96" i="13"/>
  <c r="AF96" i="13"/>
  <c r="AG95" i="13"/>
  <c r="AF95" i="13"/>
  <c r="AG94" i="13"/>
  <c r="AF94" i="13"/>
  <c r="AG93" i="13"/>
  <c r="AF93" i="13"/>
  <c r="AG92" i="13"/>
  <c r="AF92" i="13"/>
  <c r="E96" i="13"/>
  <c r="E95" i="13"/>
  <c r="E94" i="13"/>
  <c r="E93" i="13"/>
  <c r="E92" i="13"/>
  <c r="AF87" i="13"/>
  <c r="AE87" i="13"/>
  <c r="AF86" i="13"/>
  <c r="AE86" i="13"/>
  <c r="AF85" i="13"/>
  <c r="AE85" i="13"/>
  <c r="AF84" i="13"/>
  <c r="AE84" i="13"/>
  <c r="AF83" i="13"/>
  <c r="AE83" i="13"/>
  <c r="AD237" i="13"/>
  <c r="AD235" i="13"/>
  <c r="E235" i="13"/>
  <c r="AD236" i="13" s="1"/>
  <c r="R229" i="13"/>
  <c r="I226" i="13"/>
  <c r="J196" i="13"/>
  <c r="O180" i="13"/>
  <c r="O179" i="13"/>
  <c r="AD159" i="13"/>
  <c r="F159" i="13"/>
  <c r="AD157" i="13"/>
  <c r="AD153" i="13"/>
  <c r="AD151" i="13"/>
  <c r="AD150" i="13"/>
  <c r="P136" i="13"/>
  <c r="M134" i="13" s="1"/>
  <c r="P132" i="13"/>
  <c r="M130" i="13" s="1"/>
  <c r="J129" i="13"/>
  <c r="O184" i="13" s="1"/>
  <c r="AD185" i="13" s="1"/>
  <c r="AD186" i="13" s="1"/>
  <c r="J128" i="13"/>
  <c r="AD184" i="13" s="1"/>
  <c r="AD187" i="13" s="1"/>
  <c r="J125" i="13"/>
  <c r="AD169" i="13" s="1"/>
  <c r="AD170" i="13" s="1"/>
  <c r="O169" i="13" s="1"/>
  <c r="C56" i="13"/>
  <c r="J36" i="13"/>
  <c r="I36" i="13"/>
  <c r="AD36" i="13" s="1"/>
  <c r="F32" i="13"/>
  <c r="E51" i="13" s="1"/>
  <c r="AD16" i="13"/>
  <c r="AD11" i="13"/>
  <c r="E206" i="16"/>
  <c r="AD208" i="16"/>
  <c r="AD206" i="16"/>
  <c r="AG178" i="1"/>
  <c r="AD178" i="1"/>
  <c r="AD177" i="1"/>
  <c r="AD176" i="1"/>
  <c r="AE170" i="1"/>
  <c r="AD130" i="16"/>
  <c r="AD128" i="16"/>
  <c r="AD122" i="16"/>
  <c r="AD121" i="16"/>
  <c r="AD41" i="1"/>
  <c r="H152" i="10" a="1"/>
  <c r="U169" i="13" a="1"/>
  <c r="J134" i="13" a="1"/>
  <c r="AD37" i="13" a="1"/>
  <c r="AD160" i="13" a="1"/>
  <c r="AD84" i="13"/>
  <c r="AD85" i="13"/>
  <c r="AH94" i="13"/>
  <c r="AH93" i="13"/>
  <c r="F43" i="13"/>
  <c r="E137" i="10" a="1"/>
  <c r="AD83" i="13"/>
  <c r="E222" i="16" a="1"/>
  <c r="AE187" i="13" a="1"/>
  <c r="AD87" i="13"/>
  <c r="AH92" i="13"/>
  <c r="AD12" i="13" a="1"/>
  <c r="AE150" i="13" a="1"/>
  <c r="E136" i="10" a="1"/>
  <c r="D7" i="18"/>
  <c r="G206" i="16" a="1"/>
  <c r="AG86" i="13"/>
  <c r="AG85" i="13"/>
  <c r="AE92" i="13"/>
  <c r="AD86" i="13"/>
  <c r="S132" i="13" a="1"/>
  <c r="AH96" i="13"/>
  <c r="G207" i="16" a="1"/>
  <c r="G235" i="13" a="1"/>
  <c r="J127" i="13" a="1"/>
  <c r="AE93" i="13"/>
  <c r="O32" i="13" a="1"/>
  <c r="E220" i="16" a="1"/>
  <c r="AE95" i="13"/>
  <c r="J123" i="13" a="1"/>
  <c r="AE94" i="13"/>
  <c r="J93" i="16" a="1"/>
  <c r="D5" i="18"/>
  <c r="AG84" i="13"/>
  <c r="AD158" i="13" a="1"/>
  <c r="I104" i="13"/>
  <c r="J126" i="13" a="1"/>
  <c r="AE96" i="13"/>
  <c r="R202" i="13" a="1"/>
  <c r="N7" i="13"/>
  <c r="J130" i="13" a="1"/>
  <c r="G236" i="13" a="1"/>
  <c r="F28" i="13"/>
  <c r="J122" i="13" a="1"/>
  <c r="AD17" i="13" a="1"/>
  <c r="AE151" i="13" a="1"/>
  <c r="O202" i="13" a="1"/>
  <c r="AG83" i="13"/>
  <c r="N7" i="16"/>
  <c r="S136" i="13" a="1"/>
  <c r="F21" i="13"/>
  <c r="AH95" i="13"/>
  <c r="D4" i="18"/>
  <c r="AG87" i="13"/>
  <c r="D6" i="18"/>
  <c r="F161" i="13" a="1"/>
  <c r="AD59" i="11" a="1"/>
  <c r="AD8" i="11" a="1"/>
  <c r="J20" i="11" a="1"/>
  <c r="AD77" i="11" a="1"/>
  <c r="J21" i="11" a="1"/>
  <c r="AD42" i="11" a="1"/>
  <c r="H193" i="11" a="1"/>
  <c r="AD11" i="11" a="1"/>
  <c r="O124" i="11" a="1"/>
  <c r="AE50" i="11" a="1"/>
  <c r="AE67" i="11" a="1"/>
  <c r="U91" i="11" a="1"/>
  <c r="E7" i="11" a="1"/>
  <c r="G170" i="11" a="1"/>
  <c r="AD37" i="11" a="1"/>
  <c r="E190" i="11" a="1"/>
  <c r="J17" i="11" a="1"/>
  <c r="E188" i="11" a="1"/>
  <c r="J16" i="11" a="1"/>
  <c r="G169" i="11" a="1"/>
  <c r="R124" i="11" a="1"/>
  <c r="AD75" i="11" a="1"/>
  <c r="AD57" i="11" a="1"/>
  <c r="AE68" i="11" a="1"/>
  <c r="AE49" i="11" a="1"/>
  <c r="AI32" i="11"/>
  <c r="AK32" i="11"/>
  <c r="AD32" i="11"/>
  <c r="AJ32" i="11"/>
  <c r="AO32" i="11"/>
  <c r="AF32" i="11"/>
  <c r="AE32" i="11"/>
  <c r="AH32" i="11"/>
  <c r="AG32" i="11"/>
  <c r="AP32" i="11"/>
  <c r="AN32" i="11"/>
  <c r="AM32" i="11"/>
  <c r="AL32" i="11"/>
  <c r="J24" i="11" a="1"/>
  <c r="T6" i="17"/>
  <c r="M28" i="17"/>
  <c r="J81" i="17" a="1"/>
  <c r="M29" i="17"/>
  <c r="O28" i="17"/>
  <c r="J94" i="17" a="1"/>
  <c r="M27" i="17"/>
  <c r="T29" i="17"/>
  <c r="T28" i="17"/>
  <c r="T27" i="17"/>
  <c r="V67" i="17" a="1"/>
  <c r="G28" i="17"/>
  <c r="R67" i="17" a="1"/>
  <c r="G31" i="17"/>
  <c r="K43" i="17"/>
  <c r="O31" i="17"/>
  <c r="M31" i="17"/>
  <c r="M30" i="17"/>
  <c r="E6" i="17"/>
  <c r="O27" i="17"/>
  <c r="G27" i="17"/>
  <c r="N67" i="17" a="1"/>
  <c r="J67" i="17" a="1"/>
  <c r="J20" i="17" a="1"/>
  <c r="F67" i="17" a="1"/>
  <c r="I31" i="17"/>
  <c r="I27" i="17"/>
  <c r="O29" i="17"/>
  <c r="G29" i="17"/>
  <c r="I30" i="17"/>
  <c r="G30" i="17"/>
  <c r="I29" i="17"/>
  <c r="K44" i="17"/>
  <c r="V84" i="17" a="1"/>
  <c r="O30" i="17"/>
  <c r="F69" i="17" a="1"/>
  <c r="I28" i="17"/>
  <c r="D58" i="17" a="1"/>
  <c r="F16" i="17"/>
  <c r="F12" i="17"/>
  <c r="F36" i="17"/>
  <c r="F37" i="17"/>
  <c r="F39" i="17"/>
  <c r="F38" i="17"/>
  <c r="F84" i="17" a="1"/>
  <c r="F94" i="17" a="1"/>
  <c r="N84" i="17" a="1"/>
  <c r="N94" i="17" a="1"/>
  <c r="R94" i="17" a="1"/>
  <c r="T7" i="1"/>
  <c r="AI32" i="1"/>
  <c r="AN32" i="1"/>
  <c r="J17" i="1" a="1"/>
  <c r="E193" i="1" a="1"/>
  <c r="AG32" i="1"/>
  <c r="AL32" i="1"/>
  <c r="AF32" i="1"/>
  <c r="AH32" i="1"/>
  <c r="AM32" i="1"/>
  <c r="AC32" i="1"/>
  <c r="AE32" i="1"/>
  <c r="E7" i="1" a="1"/>
  <c r="AJ32" i="1"/>
  <c r="AD32" i="1"/>
  <c r="K210" i="1" a="1"/>
  <c r="AK32" i="1"/>
  <c r="AT35" i="17" l="1"/>
  <c r="F85" i="17"/>
  <c r="AK45" i="17"/>
  <c r="G9" i="19"/>
  <c r="I10" i="19" s="1"/>
  <c r="E189" i="11"/>
  <c r="R94" i="17"/>
  <c r="N94" i="17"/>
  <c r="J94" i="17"/>
  <c r="V84" i="17"/>
  <c r="N84" i="17"/>
  <c r="J81" i="17"/>
  <c r="F69" i="17"/>
  <c r="V67" i="17"/>
  <c r="R67" i="17"/>
  <c r="N67" i="17"/>
  <c r="J67" i="17"/>
  <c r="F94" i="17"/>
  <c r="F84" i="17"/>
  <c r="D58" i="17"/>
  <c r="F67" i="17"/>
  <c r="D55" i="17"/>
  <c r="H152" i="10"/>
  <c r="E137" i="10"/>
  <c r="E136" i="10"/>
  <c r="K210" i="1"/>
  <c r="H193" i="11"/>
  <c r="E190" i="11"/>
  <c r="E188" i="11"/>
  <c r="E7" i="11"/>
  <c r="D184" i="11" s="1"/>
  <c r="E222" i="16"/>
  <c r="E220" i="16"/>
  <c r="E7" i="1"/>
  <c r="AK47" i="17"/>
  <c r="AK49" i="17"/>
  <c r="E193" i="1"/>
  <c r="E5" i="18"/>
  <c r="F5" i="18" s="1"/>
  <c r="H5" i="18" s="1"/>
  <c r="G5" i="18" s="1"/>
  <c r="E6" i="18"/>
  <c r="F6" i="18" s="1"/>
  <c r="H6" i="18" s="1"/>
  <c r="G6" i="18" s="1"/>
  <c r="AL48" i="17"/>
  <c r="AL46" i="17"/>
  <c r="E7" i="18"/>
  <c r="F7" i="18" s="1"/>
  <c r="H7" i="18" s="1"/>
  <c r="G7" i="18" s="1"/>
  <c r="J17" i="1"/>
  <c r="AL47" i="17"/>
  <c r="AK46" i="17"/>
  <c r="AL45" i="17"/>
  <c r="X6" i="17"/>
  <c r="AA6" i="17" s="1"/>
  <c r="AI43" i="17" s="1"/>
  <c r="O35" i="17"/>
  <c r="O39" i="17"/>
  <c r="V77" i="17" s="1"/>
  <c r="V78" i="17" s="1"/>
  <c r="O38" i="17"/>
  <c r="R77" i="17" s="1"/>
  <c r="O37" i="17"/>
  <c r="N77" i="17" s="1"/>
  <c r="O36" i="17"/>
  <c r="J77" i="17" s="1"/>
  <c r="J20" i="17"/>
  <c r="J27" i="17" s="1"/>
  <c r="X7" i="1"/>
  <c r="AA7" i="1" s="1"/>
  <c r="AF25" i="1" s="1"/>
  <c r="AD103" i="11"/>
  <c r="AE68" i="11"/>
  <c r="AE49" i="11"/>
  <c r="AE50" i="11"/>
  <c r="AE67" i="11"/>
  <c r="AD11" i="11"/>
  <c r="J17" i="11"/>
  <c r="AD37" i="11"/>
  <c r="F36" i="11" s="1"/>
  <c r="AD75" i="11"/>
  <c r="AD8" i="11"/>
  <c r="AD59" i="11"/>
  <c r="G170" i="11"/>
  <c r="J16" i="11"/>
  <c r="J24" i="11"/>
  <c r="AJ28" i="11" s="1"/>
  <c r="O124" i="11"/>
  <c r="J20" i="11"/>
  <c r="U91" i="11"/>
  <c r="G169" i="11"/>
  <c r="J21" i="11"/>
  <c r="AD42" i="11"/>
  <c r="F41" i="11" s="1"/>
  <c r="AD57" i="11"/>
  <c r="AD77" i="11"/>
  <c r="R124" i="11"/>
  <c r="AD106" i="11"/>
  <c r="AD96" i="13"/>
  <c r="AC83" i="13"/>
  <c r="AD95" i="13"/>
  <c r="AD94" i="13"/>
  <c r="G103" i="13" s="1"/>
  <c r="AD93" i="13"/>
  <c r="AD92" i="13"/>
  <c r="AC87" i="13"/>
  <c r="AC86" i="13"/>
  <c r="AC85" i="13"/>
  <c r="AC84" i="13"/>
  <c r="AD181" i="13"/>
  <c r="AD238" i="13"/>
  <c r="AD239" i="13" s="1"/>
  <c r="AE151" i="13"/>
  <c r="AE150" i="13"/>
  <c r="O32" i="13"/>
  <c r="F161" i="13"/>
  <c r="AD158" i="13"/>
  <c r="E113" i="13"/>
  <c r="AD12" i="13"/>
  <c r="F11" i="13" s="1"/>
  <c r="J122" i="13"/>
  <c r="J130" i="13"/>
  <c r="J134" i="13"/>
  <c r="AD37" i="13"/>
  <c r="F36" i="13" s="1"/>
  <c r="AD17" i="13"/>
  <c r="F16" i="13" s="1"/>
  <c r="J126" i="13"/>
  <c r="E50" i="13"/>
  <c r="K50" i="13" s="1"/>
  <c r="J127" i="13"/>
  <c r="O202" i="13"/>
  <c r="G236" i="13"/>
  <c r="U169" i="13"/>
  <c r="J123" i="13"/>
  <c r="S132" i="13"/>
  <c r="S136" i="13"/>
  <c r="AD160" i="13"/>
  <c r="AE187" i="13"/>
  <c r="AD188" i="13" s="1"/>
  <c r="O185" i="13" s="1"/>
  <c r="R202" i="13"/>
  <c r="G235" i="13"/>
  <c r="AD207" i="16"/>
  <c r="AD209" i="16" s="1"/>
  <c r="AD210" i="16" s="1"/>
  <c r="G207" i="16"/>
  <c r="G206" i="16"/>
  <c r="E84" i="16"/>
  <c r="D216" i="16" s="1"/>
  <c r="J93" i="16"/>
  <c r="H213" i="11" a="1"/>
  <c r="H209" i="11" a="1"/>
  <c r="U151" i="13" a="1"/>
  <c r="U161" i="13" a="1"/>
  <c r="O16" i="13" a="1"/>
  <c r="P122" i="13" a="1"/>
  <c r="O21" i="13"/>
  <c r="O36" i="13" a="1"/>
  <c r="O11" i="13" a="1"/>
  <c r="J93" i="13"/>
  <c r="J92" i="13"/>
  <c r="P137" i="13" a="1"/>
  <c r="G83" i="13"/>
  <c r="U153" i="13" a="1"/>
  <c r="U185" i="13" a="1"/>
  <c r="G86" i="13"/>
  <c r="G87" i="13"/>
  <c r="P161" i="13" a="1"/>
  <c r="P133" i="13" a="1"/>
  <c r="P123" i="13" a="1"/>
  <c r="G84" i="13"/>
  <c r="O43" i="13"/>
  <c r="J94" i="13"/>
  <c r="P126" i="13" a="1"/>
  <c r="P127" i="13" a="1"/>
  <c r="J96" i="13"/>
  <c r="J95" i="13"/>
  <c r="O28" i="13" a="1"/>
  <c r="G85" i="13"/>
  <c r="I103" i="13"/>
  <c r="P93" i="16" a="1"/>
  <c r="K209" i="11" a="1"/>
  <c r="K208" i="11" a="1"/>
  <c r="U50" i="11" a="1"/>
  <c r="P20" i="11" a="1"/>
  <c r="U70" i="11" a="1"/>
  <c r="E206" i="11" a="1"/>
  <c r="U78" i="11" a="1"/>
  <c r="O41" i="11" a="1"/>
  <c r="O36" i="11" a="1"/>
  <c r="J212" i="11" a="1"/>
  <c r="J213" i="11" a="1"/>
  <c r="P21" i="11" a="1"/>
  <c r="P60" i="11" a="1"/>
  <c r="U60" i="11" a="1"/>
  <c r="U52" i="11" a="1"/>
  <c r="P16" i="11" a="1"/>
  <c r="P78" i="11" a="1"/>
  <c r="E207" i="11" a="1"/>
  <c r="P17" i="11" a="1"/>
  <c r="U68" i="11" a="1"/>
  <c r="P27" i="11" a="1"/>
  <c r="T66" i="17" a="1"/>
  <c r="S39" i="17"/>
  <c r="P66" i="17" a="1"/>
  <c r="H66" i="17" a="1"/>
  <c r="X66" i="17" a="1"/>
  <c r="L66" i="17" a="1"/>
  <c r="J84" i="17" a="1"/>
  <c r="V94" i="17" a="1"/>
  <c r="V81" i="17" a="1"/>
  <c r="R81" i="17" a="1"/>
  <c r="N81" i="17" a="1"/>
  <c r="F81" i="17" a="1"/>
  <c r="S38" i="17"/>
  <c r="S37" i="17"/>
  <c r="K27" i="17"/>
  <c r="R84" i="17" a="1"/>
  <c r="S36" i="17"/>
  <c r="S35" i="17"/>
  <c r="P20" i="17" a="1"/>
  <c r="F68" i="17" a="1"/>
  <c r="X78" i="17" a="1"/>
  <c r="D62" i="17" a="1"/>
  <c r="J16" i="17"/>
  <c r="D61" i="17" a="1"/>
  <c r="J12" i="17"/>
  <c r="AM47" i="17"/>
  <c r="AM45" i="17"/>
  <c r="AM46" i="17"/>
  <c r="F35" i="17"/>
  <c r="P17" i="1" a="1"/>
  <c r="R84" i="17" l="1"/>
  <c r="J84" i="17"/>
  <c r="L66" i="17"/>
  <c r="X66" i="17"/>
  <c r="H66" i="17"/>
  <c r="P66" i="17"/>
  <c r="T66" i="17"/>
  <c r="V66" i="17"/>
  <c r="R66" i="17"/>
  <c r="N66" i="17"/>
  <c r="J66" i="17"/>
  <c r="F66" i="17"/>
  <c r="N81" i="17"/>
  <c r="D62" i="17"/>
  <c r="R81" i="17"/>
  <c r="V94" i="17"/>
  <c r="D61" i="17"/>
  <c r="V81" i="17"/>
  <c r="V202" i="13"/>
  <c r="G105" i="13"/>
  <c r="X78" i="17"/>
  <c r="F81" i="17"/>
  <c r="J78" i="17"/>
  <c r="N78" i="17"/>
  <c r="R78" i="17"/>
  <c r="E206" i="11"/>
  <c r="E207" i="11"/>
  <c r="H230" i="11"/>
  <c r="F77" i="17"/>
  <c r="F68" i="17"/>
  <c r="H213" i="11"/>
  <c r="J213" i="11"/>
  <c r="J212" i="11"/>
  <c r="H209" i="11"/>
  <c r="K209" i="11"/>
  <c r="K208" i="11"/>
  <c r="G101" i="13"/>
  <c r="P17" i="1"/>
  <c r="AD105" i="13"/>
  <c r="Q39" i="17"/>
  <c r="P39" i="17"/>
  <c r="Q38" i="17"/>
  <c r="P38" i="17"/>
  <c r="Q37" i="17"/>
  <c r="P37" i="17"/>
  <c r="Q36" i="17"/>
  <c r="P36" i="17"/>
  <c r="Q35" i="17"/>
  <c r="P35" i="17"/>
  <c r="AJ45" i="17"/>
  <c r="AI45" i="17"/>
  <c r="AI44" i="17" s="1"/>
  <c r="AI51" i="17"/>
  <c r="AI50" i="17"/>
  <c r="AI47" i="17"/>
  <c r="AI46" i="17"/>
  <c r="AK48" i="17" s="1"/>
  <c r="AI49" i="17"/>
  <c r="AI48" i="17" s="1"/>
  <c r="J31" i="17"/>
  <c r="J28" i="17"/>
  <c r="J30" i="17"/>
  <c r="J29" i="17"/>
  <c r="P20" i="17"/>
  <c r="V124" i="11"/>
  <c r="P20" i="11"/>
  <c r="P78" i="11"/>
  <c r="U68" i="11"/>
  <c r="P21" i="11"/>
  <c r="P17" i="11"/>
  <c r="U60" i="11"/>
  <c r="U78" i="11"/>
  <c r="U52" i="11"/>
  <c r="P16" i="11"/>
  <c r="P60" i="11"/>
  <c r="O36" i="11"/>
  <c r="U50" i="11"/>
  <c r="O41" i="11"/>
  <c r="P27" i="11"/>
  <c r="U70" i="11"/>
  <c r="O90" i="11"/>
  <c r="O89" i="11"/>
  <c r="M18" i="11"/>
  <c r="AD51" i="11"/>
  <c r="E11" i="11"/>
  <c r="E159" i="11"/>
  <c r="Q143" i="11"/>
  <c r="K151" i="11"/>
  <c r="Q131" i="11"/>
  <c r="E160" i="11"/>
  <c r="O97" i="11"/>
  <c r="AD69" i="11"/>
  <c r="O28" i="13"/>
  <c r="AD103" i="13"/>
  <c r="G102" i="13"/>
  <c r="AD102" i="13" s="1"/>
  <c r="O11" i="13"/>
  <c r="P126" i="13"/>
  <c r="P123" i="13"/>
  <c r="O36" i="13"/>
  <c r="P137" i="13"/>
  <c r="O16" i="13"/>
  <c r="P133" i="13"/>
  <c r="U151" i="13"/>
  <c r="P122" i="13"/>
  <c r="U153" i="13"/>
  <c r="U161" i="13"/>
  <c r="P161" i="13"/>
  <c r="U185" i="13"/>
  <c r="P127" i="13"/>
  <c r="O168" i="13"/>
  <c r="M124" i="13"/>
  <c r="E55" i="13"/>
  <c r="F142" i="13"/>
  <c r="S214" i="13" s="1"/>
  <c r="P55" i="13"/>
  <c r="O183" i="13"/>
  <c r="E60" i="13"/>
  <c r="O175" i="13"/>
  <c r="AD152" i="13"/>
  <c r="O192" i="13"/>
  <c r="O167" i="13"/>
  <c r="P93" i="16"/>
  <c r="J124" i="13" a="1"/>
  <c r="U168" i="13" a="1"/>
  <c r="W202" i="13" a="1"/>
  <c r="U167" i="13" a="1"/>
  <c r="I105" i="13"/>
  <c r="I102" i="13"/>
  <c r="J94" i="16" a="1"/>
  <c r="K60" i="13"/>
  <c r="U175" i="13" a="1"/>
  <c r="I101" i="13"/>
  <c r="E12" i="11" a="1"/>
  <c r="I7" i="11" a="1"/>
  <c r="U90" i="11" a="1"/>
  <c r="W124" i="11" a="1"/>
  <c r="J18" i="11" a="1"/>
  <c r="U89" i="11" a="1"/>
  <c r="H195" i="11" a="1"/>
  <c r="U97" i="11" a="1"/>
  <c r="K29" i="17"/>
  <c r="N68" i="17" a="1"/>
  <c r="K30" i="17"/>
  <c r="X77" i="17" a="1"/>
  <c r="T77" i="17" a="1"/>
  <c r="P77" i="17" a="1"/>
  <c r="L77" i="17" a="1"/>
  <c r="L78" i="17" a="1"/>
  <c r="K28" i="17"/>
  <c r="V68" i="17" a="1"/>
  <c r="J68" i="17" a="1"/>
  <c r="K31" i="17"/>
  <c r="R68" i="17" a="1"/>
  <c r="P78" i="17" a="1"/>
  <c r="T78" i="17" a="1"/>
  <c r="L37" i="17"/>
  <c r="L35" i="17"/>
  <c r="AM48" i="17"/>
  <c r="L36" i="17"/>
  <c r="R35" i="17" l="1"/>
  <c r="T35" i="17" s="1"/>
  <c r="W202" i="13"/>
  <c r="P77" i="17"/>
  <c r="P78" i="17"/>
  <c r="N68" i="17"/>
  <c r="L78" i="17"/>
  <c r="L77" i="17"/>
  <c r="R68" i="17"/>
  <c r="J68" i="17"/>
  <c r="X77" i="17"/>
  <c r="V68" i="17"/>
  <c r="T77" i="17"/>
  <c r="T78" i="17"/>
  <c r="AJ48" i="17"/>
  <c r="AJ49" i="17"/>
  <c r="AL49" i="17" s="1"/>
  <c r="F78" i="17"/>
  <c r="H195" i="11"/>
  <c r="R38" i="17"/>
  <c r="T38" i="17" s="1"/>
  <c r="AJ47" i="17"/>
  <c r="AJ46" i="17"/>
  <c r="R36" i="17"/>
  <c r="R37" i="17"/>
  <c r="T37" i="17" s="1"/>
  <c r="R39" i="17"/>
  <c r="T39" i="17" s="1"/>
  <c r="AN27" i="11"/>
  <c r="AM27" i="11"/>
  <c r="AR28" i="11" s="1"/>
  <c r="AN28" i="11"/>
  <c r="O93" i="11"/>
  <c r="W124" i="11"/>
  <c r="U89" i="11"/>
  <c r="J18" i="11"/>
  <c r="U90" i="11"/>
  <c r="U97" i="11"/>
  <c r="E12" i="11"/>
  <c r="I7" i="11"/>
  <c r="I184" i="11" s="1"/>
  <c r="J123" i="11"/>
  <c r="M86" i="11"/>
  <c r="L151" i="11"/>
  <c r="AD90" i="11"/>
  <c r="L123" i="11"/>
  <c r="I76" i="11"/>
  <c r="AF78" i="11" s="1"/>
  <c r="I68" i="11"/>
  <c r="AD71" i="11" s="1"/>
  <c r="AF72" i="11" s="1"/>
  <c r="I58" i="11"/>
  <c r="AD60" i="11" s="1"/>
  <c r="F58" i="11" s="1"/>
  <c r="I50" i="11"/>
  <c r="AD53" i="11" s="1"/>
  <c r="AD54" i="11" s="1"/>
  <c r="F50" i="11" s="1"/>
  <c r="AD101" i="13"/>
  <c r="G107" i="13" s="1"/>
  <c r="U167" i="13"/>
  <c r="U168" i="13"/>
  <c r="U175" i="13"/>
  <c r="J124" i="13"/>
  <c r="M164" i="13"/>
  <c r="J201" i="13"/>
  <c r="O171" i="13"/>
  <c r="AD168" i="13"/>
  <c r="L201" i="13"/>
  <c r="J94" i="16"/>
  <c r="P94" i="16" a="1"/>
  <c r="L202" i="13" a="1"/>
  <c r="P124" i="13" a="1"/>
  <c r="I107" i="13"/>
  <c r="U171" i="13" a="1"/>
  <c r="E192" i="11" a="1"/>
  <c r="P18" i="11" a="1"/>
  <c r="U93" i="11" a="1"/>
  <c r="L124" i="11" a="1"/>
  <c r="F60" i="11" a="1"/>
  <c r="F54" i="11" a="1"/>
  <c r="V79" i="17" a="1"/>
  <c r="R79" i="17" a="1"/>
  <c r="N79" i="17" a="1"/>
  <c r="H77" i="17" a="1"/>
  <c r="F79" i="17" a="1"/>
  <c r="H78" i="17" a="1"/>
  <c r="AM49" i="17"/>
  <c r="L39" i="17"/>
  <c r="L38" i="17"/>
  <c r="AR29" i="11" l="1"/>
  <c r="AR30" i="11" s="1"/>
  <c r="AR31" i="11" s="1"/>
  <c r="V79" i="17"/>
  <c r="H77" i="17"/>
  <c r="N79" i="17"/>
  <c r="H78" i="17"/>
  <c r="F79" i="17"/>
  <c r="R79" i="17"/>
  <c r="V39" i="17"/>
  <c r="V37" i="17"/>
  <c r="V35" i="17"/>
  <c r="V38" i="17"/>
  <c r="F60" i="11"/>
  <c r="AD78" i="11"/>
  <c r="F76" i="11"/>
  <c r="E192" i="11"/>
  <c r="U38" i="17"/>
  <c r="U35" i="17"/>
  <c r="T36" i="17"/>
  <c r="U36" i="17"/>
  <c r="U39" i="17"/>
  <c r="U37" i="17"/>
  <c r="L124" i="11"/>
  <c r="O126" i="11" s="1"/>
  <c r="U93" i="11"/>
  <c r="F54" i="11"/>
  <c r="P18" i="11"/>
  <c r="AD72" i="11"/>
  <c r="F68" i="11"/>
  <c r="F45" i="11"/>
  <c r="Q107" i="13"/>
  <c r="P124" i="13"/>
  <c r="L202" i="13"/>
  <c r="O204" i="13" s="1"/>
  <c r="U171" i="13"/>
  <c r="P94" i="16"/>
  <c r="U204" i="13" a="1"/>
  <c r="J95" i="16" a="1"/>
  <c r="S107" i="13"/>
  <c r="S109" i="13"/>
  <c r="E214" i="11" a="1"/>
  <c r="U126" i="11" a="1"/>
  <c r="F78" i="11" a="1"/>
  <c r="K45" i="11" a="1"/>
  <c r="S30" i="11"/>
  <c r="V95" i="17" a="1"/>
  <c r="V82" i="17" a="1"/>
  <c r="R95" i="17" a="1"/>
  <c r="AB38" i="17" a="1"/>
  <c r="AB39" i="17" a="1"/>
  <c r="N95" i="17" a="1"/>
  <c r="N82" i="17" a="1"/>
  <c r="AB37" i="17" a="1"/>
  <c r="F95" i="17" a="1"/>
  <c r="F82" i="17" a="1"/>
  <c r="J79" i="17" a="1"/>
  <c r="R82" i="17" a="1"/>
  <c r="AB35" i="17" a="1"/>
  <c r="R80" i="17" a="1"/>
  <c r="F80" i="17" a="1"/>
  <c r="V80" i="17" a="1"/>
  <c r="J80" i="17" a="1"/>
  <c r="N80" i="17" a="1"/>
  <c r="F80" i="17" l="1"/>
  <c r="R80" i="17"/>
  <c r="N80" i="17"/>
  <c r="V80" i="17"/>
  <c r="J80" i="17"/>
  <c r="N95" i="17"/>
  <c r="N82" i="17"/>
  <c r="AB37" i="17"/>
  <c r="V95" i="17"/>
  <c r="V82" i="17"/>
  <c r="AB39" i="17"/>
  <c r="J79" i="17"/>
  <c r="R95" i="17"/>
  <c r="R82" i="17"/>
  <c r="AB38" i="17"/>
  <c r="F82" i="17"/>
  <c r="F95" i="17"/>
  <c r="AB35" i="17"/>
  <c r="W38" i="17"/>
  <c r="V36" i="17"/>
  <c r="E214" i="11"/>
  <c r="W35" i="17"/>
  <c r="V136" i="11"/>
  <c r="F78" i="11"/>
  <c r="F63" i="11"/>
  <c r="W36" i="17"/>
  <c r="W37" i="17"/>
  <c r="W39" i="17"/>
  <c r="P30" i="11"/>
  <c r="M28" i="11" s="1"/>
  <c r="U126" i="11"/>
  <c r="K45" i="11"/>
  <c r="Q142" i="11"/>
  <c r="Q130" i="11"/>
  <c r="M220" i="13"/>
  <c r="U204" i="13"/>
  <c r="J95" i="16"/>
  <c r="J96" i="16"/>
  <c r="P220" i="13"/>
  <c r="J97" i="16" a="1"/>
  <c r="P95" i="16" a="1"/>
  <c r="V137" i="11" a="1"/>
  <c r="E210" i="11" a="1"/>
  <c r="P222" i="11" a="1"/>
  <c r="X136" i="11"/>
  <c r="J28" i="11" a="1"/>
  <c r="AB36" i="17" a="1"/>
  <c r="J95" i="17" a="1"/>
  <c r="J82" i="17" a="1"/>
  <c r="J83" i="17" a="1"/>
  <c r="V83" i="17" a="1"/>
  <c r="N83" i="17" a="1"/>
  <c r="R83" i="17" a="1"/>
  <c r="F83" i="17" a="1"/>
  <c r="F83" i="17" l="1"/>
  <c r="J82" i="17"/>
  <c r="J95" i="17"/>
  <c r="AB36" i="17"/>
  <c r="V83" i="17"/>
  <c r="R83" i="17"/>
  <c r="J83" i="17"/>
  <c r="N83" i="17"/>
  <c r="V137" i="11"/>
  <c r="F103" i="17"/>
  <c r="E210" i="11"/>
  <c r="P222" i="11"/>
  <c r="AD83" i="11"/>
  <c r="AD84" i="11" s="1"/>
  <c r="I83" i="11" s="1"/>
  <c r="F82" i="11" s="1"/>
  <c r="L63" i="11"/>
  <c r="J28" i="11"/>
  <c r="AD109" i="11" s="1"/>
  <c r="E227" i="13"/>
  <c r="P95" i="16"/>
  <c r="J97" i="16"/>
  <c r="P97" i="16" a="1"/>
  <c r="X137" i="11"/>
  <c r="Q63" i="11"/>
  <c r="P223" i="11" a="1"/>
  <c r="E211" i="11" a="1"/>
  <c r="P31" i="11" a="1"/>
  <c r="AE109" i="11" a="1"/>
  <c r="E211" i="11" l="1"/>
  <c r="P223" i="11"/>
  <c r="H231" i="11"/>
  <c r="N83" i="11"/>
  <c r="AE109" i="11"/>
  <c r="AD110" i="11" s="1"/>
  <c r="O107" i="11" s="1"/>
  <c r="P31" i="11"/>
  <c r="O105" i="11"/>
  <c r="Q144" i="11"/>
  <c r="Q132" i="11"/>
  <c r="P97" i="16"/>
  <c r="H197" i="11" a="1"/>
  <c r="H198" i="11" a="1"/>
  <c r="U107" i="11" a="1"/>
  <c r="H197" i="11" l="1"/>
  <c r="H198" i="11"/>
  <c r="U107" i="11"/>
  <c r="O114" i="11"/>
  <c r="K152" i="11"/>
  <c r="L153" i="11" s="1"/>
  <c r="L152" i="11"/>
  <c r="P98" i="16" a="1"/>
  <c r="P98" i="16" l="1"/>
  <c r="J99" i="16"/>
  <c r="J100" i="16"/>
  <c r="E221" i="16" s="1"/>
  <c r="P103" i="16"/>
  <c r="M101" i="16" s="1"/>
  <c r="J101" i="16" a="1"/>
  <c r="S103" i="16" a="1"/>
  <c r="J101" i="16" l="1"/>
  <c r="S103" i="16"/>
  <c r="P104" i="16" a="1"/>
  <c r="P104" i="16" l="1"/>
  <c r="P107" i="16"/>
  <c r="M105" i="16" s="1"/>
  <c r="S107" i="16" a="1"/>
  <c r="J105" i="16" a="1"/>
  <c r="J105" i="16" l="1"/>
  <c r="S107" i="16"/>
  <c r="P108" i="16" a="1"/>
  <c r="P108" i="16" l="1"/>
  <c r="AE121" i="16" a="1"/>
  <c r="AE121" i="16" l="1"/>
  <c r="AD124" i="16"/>
  <c r="J238" i="16" a="1"/>
  <c r="U122" i="16" a="1"/>
  <c r="AD129" i="16" a="1"/>
  <c r="AE122" i="16" a="1"/>
  <c r="J238" i="16" l="1"/>
  <c r="U122" i="16"/>
  <c r="AE122" i="16"/>
  <c r="AD129" i="16"/>
  <c r="J239" i="16" a="1"/>
  <c r="U124" i="16" a="1"/>
  <c r="AD131" i="16" a="1"/>
  <c r="J239" i="16" l="1"/>
  <c r="U124" i="16"/>
  <c r="AD123" i="16"/>
  <c r="AD131" i="16"/>
  <c r="O138" i="16"/>
  <c r="M135" i="16" s="1"/>
  <c r="O139" i="16"/>
  <c r="AD139" i="16" s="1"/>
  <c r="AD140" i="16"/>
  <c r="AD141" i="16" s="1"/>
  <c r="O140" i="16" s="1"/>
  <c r="H239" i="16" a="1"/>
  <c r="U132" i="16" a="1"/>
  <c r="U139" i="16" a="1"/>
  <c r="H225" i="16" a="1"/>
  <c r="U140" i="16" a="1"/>
  <c r="U138" i="16" a="1"/>
  <c r="P132" i="16" a="1"/>
  <c r="H239" i="16" l="1"/>
  <c r="H225" i="16"/>
  <c r="U138" i="16"/>
  <c r="P132" i="16"/>
  <c r="U139" i="16"/>
  <c r="U132" i="16"/>
  <c r="O142" i="16"/>
  <c r="U140" i="16"/>
  <c r="O146" i="16"/>
  <c r="O150" i="16"/>
  <c r="O151" i="16"/>
  <c r="O154" i="16"/>
  <c r="O155" i="16"/>
  <c r="AD155" i="16"/>
  <c r="H228" i="16" a="1"/>
  <c r="U146" i="16" a="1"/>
  <c r="E224" i="16" a="1"/>
  <c r="U142" i="16" a="1"/>
  <c r="AD152" i="16" l="1"/>
  <c r="H228" i="16"/>
  <c r="E224" i="16"/>
  <c r="U146" i="16"/>
  <c r="U142" i="16"/>
  <c r="AD156" i="16"/>
  <c r="AD157" i="16" s="1"/>
  <c r="AD158" i="16"/>
  <c r="AE158" i="16" a="1"/>
  <c r="AE158" i="16" l="1"/>
  <c r="AD159" i="16" s="1"/>
  <c r="O156" i="16" s="1"/>
  <c r="U156" i="16" a="1"/>
  <c r="H229" i="16" a="1"/>
  <c r="H229" i="16" l="1"/>
  <c r="U156" i="16"/>
  <c r="O163" i="16"/>
  <c r="J167" i="16"/>
  <c r="J172" i="16"/>
  <c r="L172" i="16"/>
  <c r="L173" i="16" a="1"/>
  <c r="L173" i="16" l="1"/>
  <c r="R173" i="16" a="1"/>
  <c r="O173" i="16" a="1"/>
  <c r="R173" i="16" l="1"/>
  <c r="O173" i="16"/>
  <c r="I197" i="16"/>
  <c r="O175" i="16" l="1"/>
  <c r="V173" i="16"/>
  <c r="R200" i="16"/>
  <c r="W173" i="16" a="1"/>
  <c r="U175" i="16" a="1"/>
  <c r="U175" i="16" l="1"/>
  <c r="W173" i="16"/>
  <c r="AD36" i="16"/>
  <c r="J36" i="16"/>
  <c r="AD11" i="16"/>
  <c r="C56" i="16"/>
  <c r="F32" i="16"/>
  <c r="E51" i="16" s="1"/>
  <c r="AD16" i="16"/>
  <c r="P26" i="1"/>
  <c r="F5" i="15"/>
  <c r="F4" i="15"/>
  <c r="O32" i="16" a="1"/>
  <c r="AD37" i="16" a="1"/>
  <c r="F43" i="16"/>
  <c r="F21" i="16"/>
  <c r="AD17" i="16" a="1"/>
  <c r="F28" i="16"/>
  <c r="AD12" i="16" a="1"/>
  <c r="G172" i="1" a="1"/>
  <c r="G171" i="1" a="1"/>
  <c r="N86" i="17" l="1"/>
  <c r="R86" i="17"/>
  <c r="S86" i="17"/>
  <c r="G85" i="17"/>
  <c r="R85" i="17"/>
  <c r="N85" i="17"/>
  <c r="K85" i="17"/>
  <c r="S85" i="17"/>
  <c r="G86" i="17"/>
  <c r="W86" i="17"/>
  <c r="W85" i="17"/>
  <c r="V85" i="17"/>
  <c r="V86" i="17"/>
  <c r="K86" i="17"/>
  <c r="O85" i="17"/>
  <c r="F86" i="17"/>
  <c r="J85" i="17"/>
  <c r="O86" i="17"/>
  <c r="J86" i="17"/>
  <c r="R87" i="17"/>
  <c r="V87" i="17"/>
  <c r="F87" i="17"/>
  <c r="J87" i="17"/>
  <c r="N87" i="17"/>
  <c r="AG38" i="17"/>
  <c r="AG36" i="17"/>
  <c r="AG37" i="17"/>
  <c r="AG39" i="17"/>
  <c r="AG35" i="17"/>
  <c r="AD177" i="11"/>
  <c r="AD178" i="11" s="1"/>
  <c r="AJ35" i="17"/>
  <c r="G35" i="17"/>
  <c r="I35" i="17"/>
  <c r="J35" i="17" s="1"/>
  <c r="G36" i="17"/>
  <c r="G39" i="17"/>
  <c r="I37" i="17"/>
  <c r="J37" i="17" s="1"/>
  <c r="U143" i="11"/>
  <c r="G38" i="17"/>
  <c r="I36" i="17"/>
  <c r="J36" i="17" s="1"/>
  <c r="I39" i="17"/>
  <c r="J39" i="17" s="1"/>
  <c r="I38" i="17"/>
  <c r="J38" i="17" s="1"/>
  <c r="G37" i="17"/>
  <c r="U131" i="11"/>
  <c r="R93" i="11"/>
  <c r="AD97" i="11" s="1"/>
  <c r="AD101" i="11"/>
  <c r="AD102" i="11" s="1"/>
  <c r="AD104" i="11" s="1"/>
  <c r="O103" i="11" s="1"/>
  <c r="AM38" i="17"/>
  <c r="AM35" i="17"/>
  <c r="AU35" i="17" s="1"/>
  <c r="U130" i="11"/>
  <c r="AM39" i="17"/>
  <c r="AM36" i="17"/>
  <c r="U142" i="11"/>
  <c r="AM37" i="17"/>
  <c r="U132" i="11"/>
  <c r="H217" i="11" s="1"/>
  <c r="U144" i="11"/>
  <c r="AD179" i="1"/>
  <c r="AD180" i="1" s="1"/>
  <c r="R171" i="13"/>
  <c r="AD175" i="13" s="1"/>
  <c r="O176" i="13" s="1"/>
  <c r="AD179" i="13"/>
  <c r="AD180" i="13" s="1"/>
  <c r="AD182" i="13" s="1"/>
  <c r="O181" i="13" s="1"/>
  <c r="R142" i="16"/>
  <c r="AD146" i="16" s="1"/>
  <c r="O147" i="16" s="1"/>
  <c r="AD150" i="16"/>
  <c r="AD151" i="16" s="1"/>
  <c r="AD153" i="16" s="1"/>
  <c r="O152" i="16" s="1"/>
  <c r="AD37" i="16"/>
  <c r="F36" i="16" s="1"/>
  <c r="O32" i="16"/>
  <c r="E50" i="16"/>
  <c r="AD12" i="16"/>
  <c r="F11" i="16" s="1"/>
  <c r="AD17" i="16"/>
  <c r="F16" i="16" s="1"/>
  <c r="E60" i="16" s="1"/>
  <c r="G171" i="1"/>
  <c r="G172" i="1"/>
  <c r="D187" i="1"/>
  <c r="J19" i="1"/>
  <c r="U181" i="13" a="1"/>
  <c r="U147" i="16" a="1"/>
  <c r="O11" i="16" a="1"/>
  <c r="K60" i="16"/>
  <c r="O28" i="16" a="1"/>
  <c r="O43" i="16"/>
  <c r="U152" i="16" a="1"/>
  <c r="U176" i="13" a="1"/>
  <c r="P60" i="16"/>
  <c r="H227" i="16" a="1"/>
  <c r="O16" i="16" a="1"/>
  <c r="H226" i="16" a="1"/>
  <c r="O21" i="16"/>
  <c r="O36" i="16" a="1"/>
  <c r="U103" i="11" a="1"/>
  <c r="H194" i="11" a="1"/>
  <c r="F70" i="17" a="1"/>
  <c r="J70" i="17" a="1"/>
  <c r="R70" i="17" a="1"/>
  <c r="V70" i="17" a="1"/>
  <c r="N70" i="17" a="1"/>
  <c r="F74" i="17" a="1"/>
  <c r="K39" i="17"/>
  <c r="AU37" i="17" l="1"/>
  <c r="AN37" i="17"/>
  <c r="AU36" i="17"/>
  <c r="AN36" i="17"/>
  <c r="AN35" i="17"/>
  <c r="AU39" i="17"/>
  <c r="AN39" i="17"/>
  <c r="AU38" i="17"/>
  <c r="AN38" i="17"/>
  <c r="AI36" i="17"/>
  <c r="AH36" i="17"/>
  <c r="AI37" i="17"/>
  <c r="AH37" i="17"/>
  <c r="AL35" i="17"/>
  <c r="AK35" i="17"/>
  <c r="AI39" i="17"/>
  <c r="AH39" i="17"/>
  <c r="AI38" i="17"/>
  <c r="AH38" i="17"/>
  <c r="AI35" i="17"/>
  <c r="AH35" i="17"/>
  <c r="H70" i="16"/>
  <c r="R70" i="17"/>
  <c r="F70" i="17"/>
  <c r="V70" i="17"/>
  <c r="J70" i="17"/>
  <c r="N70" i="17"/>
  <c r="F89" i="17"/>
  <c r="N89" i="17"/>
  <c r="R89" i="17"/>
  <c r="V89" i="17"/>
  <c r="J89" i="17"/>
  <c r="P50" i="13"/>
  <c r="L55" i="13" s="1"/>
  <c r="H194" i="11"/>
  <c r="H216" i="11"/>
  <c r="H215" i="11"/>
  <c r="J216" i="11"/>
  <c r="J215" i="11"/>
  <c r="F74" i="17"/>
  <c r="H227" i="16"/>
  <c r="H226" i="16"/>
  <c r="U103" i="11"/>
  <c r="AF97" i="11"/>
  <c r="O98" i="11" s="1"/>
  <c r="AD130" i="11"/>
  <c r="U152" i="16"/>
  <c r="U147" i="16"/>
  <c r="U181" i="13"/>
  <c r="U176" i="13"/>
  <c r="O165" i="16"/>
  <c r="S135" i="16"/>
  <c r="O159" i="16"/>
  <c r="O161" i="16"/>
  <c r="S164" i="13"/>
  <c r="O194" i="13"/>
  <c r="O188" i="13"/>
  <c r="O190" i="13"/>
  <c r="E55" i="16"/>
  <c r="F113" i="16"/>
  <c r="K50" i="16"/>
  <c r="P55" i="16" s="1"/>
  <c r="O28" i="16"/>
  <c r="O36" i="16"/>
  <c r="O16" i="16"/>
  <c r="O11" i="16"/>
  <c r="F233" i="16" a="1"/>
  <c r="U165" i="16" a="1"/>
  <c r="V164" i="13" a="1"/>
  <c r="V135" i="16" a="1"/>
  <c r="E237" i="16" a="1"/>
  <c r="F232" i="16" a="1"/>
  <c r="F231" i="16" a="1"/>
  <c r="U194" i="13" a="1"/>
  <c r="H196" i="11" a="1"/>
  <c r="U98" i="11" a="1"/>
  <c r="F200" i="11" a="1"/>
  <c r="N90" i="17" a="1"/>
  <c r="R90" i="17" a="1"/>
  <c r="V90" i="17" a="1"/>
  <c r="J90" i="17" a="1"/>
  <c r="F90" i="17" a="1"/>
  <c r="K36" i="17"/>
  <c r="V73" i="17" a="1"/>
  <c r="F72" i="17" a="1"/>
  <c r="K35" i="17"/>
  <c r="V74" i="17" a="1"/>
  <c r="J73" i="17" a="1"/>
  <c r="K37" i="17"/>
  <c r="R72" i="17" a="1"/>
  <c r="N72" i="17" a="1"/>
  <c r="J72" i="17" a="1"/>
  <c r="M36" i="17"/>
  <c r="M35" i="17"/>
  <c r="F71" i="17" s="1" a="1"/>
  <c r="N74" i="17" a="1"/>
  <c r="F73" i="17" a="1"/>
  <c r="J74" i="17" a="1"/>
  <c r="V72" i="17" a="1"/>
  <c r="M38" i="17"/>
  <c r="K38" i="17"/>
  <c r="R74" i="17" a="1"/>
  <c r="M39" i="17"/>
  <c r="R73" i="17" a="1"/>
  <c r="M37" i="17"/>
  <c r="N73" i="17" a="1"/>
  <c r="AO38" i="17" l="1"/>
  <c r="AQ38" i="17" s="1"/>
  <c r="AO35" i="17"/>
  <c r="AQ35" i="17" s="1"/>
  <c r="AO37" i="17"/>
  <c r="AQ37" i="17" s="1"/>
  <c r="AO36" i="17"/>
  <c r="AO39" i="17"/>
  <c r="AQ39" i="17" s="1"/>
  <c r="R74" i="17"/>
  <c r="R72" i="17"/>
  <c r="F90" i="17"/>
  <c r="J74" i="17"/>
  <c r="R90" i="17"/>
  <c r="F233" i="16"/>
  <c r="F72" i="17"/>
  <c r="V72" i="17"/>
  <c r="J90" i="17"/>
  <c r="F73" i="17"/>
  <c r="J72" i="17"/>
  <c r="V73" i="17"/>
  <c r="N74" i="17"/>
  <c r="N72" i="17"/>
  <c r="J73" i="17"/>
  <c r="V74" i="17"/>
  <c r="V90" i="17"/>
  <c r="R73" i="17"/>
  <c r="N73" i="17"/>
  <c r="N90" i="17"/>
  <c r="F231" i="16"/>
  <c r="F232" i="16"/>
  <c r="E56" i="13"/>
  <c r="P50" i="16"/>
  <c r="L55" i="16" s="1"/>
  <c r="F200" i="11"/>
  <c r="AD131" i="11"/>
  <c r="AD132" i="11" s="1"/>
  <c r="I130" i="11" s="1"/>
  <c r="H219" i="11"/>
  <c r="F71" i="17"/>
  <c r="H196" i="11"/>
  <c r="E237" i="16"/>
  <c r="U98" i="11"/>
  <c r="O112" i="11"/>
  <c r="O110" i="11"/>
  <c r="O116" i="11"/>
  <c r="S86" i="11"/>
  <c r="AQ36" i="17"/>
  <c r="V135" i="16"/>
  <c r="U165" i="16"/>
  <c r="U194" i="13"/>
  <c r="V164" i="13"/>
  <c r="F164" i="13"/>
  <c r="Q209" i="13" s="1"/>
  <c r="I208" i="13" s="1"/>
  <c r="J166" i="13"/>
  <c r="F135" i="16"/>
  <c r="J137" i="16"/>
  <c r="X55" i="13"/>
  <c r="V70" i="13"/>
  <c r="V72" i="13" s="1"/>
  <c r="S185" i="16"/>
  <c r="O84" i="10"/>
  <c r="O83" i="10"/>
  <c r="AD55" i="10"/>
  <c r="AD53" i="10"/>
  <c r="AD49" i="10"/>
  <c r="AD47" i="10"/>
  <c r="AD46" i="10"/>
  <c r="AD34" i="10"/>
  <c r="AD29" i="10"/>
  <c r="AD24" i="10"/>
  <c r="O88" i="10"/>
  <c r="AD89" i="10" s="1"/>
  <c r="J18" i="10"/>
  <c r="M38" i="10" s="1"/>
  <c r="J15" i="10"/>
  <c r="AD72" i="10" s="1"/>
  <c r="AD73" i="10" s="1"/>
  <c r="O73" i="10" s="1"/>
  <c r="AD10" i="10"/>
  <c r="AD9" i="10"/>
  <c r="E7" i="10"/>
  <c r="D132" i="10" s="1"/>
  <c r="AD8" i="10" a="1"/>
  <c r="AD35" i="10" a="1"/>
  <c r="I210" i="13" a="1"/>
  <c r="J16" i="10" a="1"/>
  <c r="N104" i="10" a="1"/>
  <c r="AD25" i="10" a="1"/>
  <c r="N39" i="10" a="1"/>
  <c r="AD54" i="10" a="1"/>
  <c r="E230" i="16" a="1"/>
  <c r="H140" i="10" a="1"/>
  <c r="AD56" i="10" a="1"/>
  <c r="U73" i="10" a="1"/>
  <c r="J17" i="10" a="1"/>
  <c r="AE46" i="10" a="1"/>
  <c r="R104" i="10" a="1"/>
  <c r="AD11" i="10" a="1"/>
  <c r="AD30" i="10" a="1"/>
  <c r="AE47" i="10" a="1"/>
  <c r="X72" i="13"/>
  <c r="E220" i="11" a="1"/>
  <c r="I132" i="11" a="1"/>
  <c r="U116" i="11" a="1"/>
  <c r="F201" i="11" a="1"/>
  <c r="F202" i="11" a="1"/>
  <c r="V86" i="11" a="1"/>
  <c r="V71" i="17" a="1"/>
  <c r="N39" i="17"/>
  <c r="N37" i="17"/>
  <c r="N35" i="17"/>
  <c r="N38" i="17"/>
  <c r="N71" i="17" a="1"/>
  <c r="N36" i="17"/>
  <c r="J71" i="17" a="1"/>
  <c r="R71" i="17" a="1"/>
  <c r="X36" i="17" l="1"/>
  <c r="AP36" i="17"/>
  <c r="AR36" i="17" s="1"/>
  <c r="AS36" i="17" s="1"/>
  <c r="AV36" i="17" s="1"/>
  <c r="AC36" i="17" s="1"/>
  <c r="X39" i="17"/>
  <c r="AP39" i="17"/>
  <c r="X37" i="17"/>
  <c r="AP37" i="17"/>
  <c r="X35" i="17"/>
  <c r="AP35" i="17"/>
  <c r="AR35" i="17" s="1"/>
  <c r="AS35" i="17" s="1"/>
  <c r="AV35" i="17" s="1"/>
  <c r="AC35" i="17" s="1"/>
  <c r="X38" i="17"/>
  <c r="AP38" i="17"/>
  <c r="AR37" i="17"/>
  <c r="AS37" i="17" s="1"/>
  <c r="AV37" i="17" s="1"/>
  <c r="AC37" i="17" s="1"/>
  <c r="AR39" i="17"/>
  <c r="AS39" i="17" s="1"/>
  <c r="AV39" i="17" s="1"/>
  <c r="AC39" i="17" s="1"/>
  <c r="AR38" i="17"/>
  <c r="AS38" i="17" s="1"/>
  <c r="AV38" i="17" s="1"/>
  <c r="AC38" i="17" s="1"/>
  <c r="Z38" i="17"/>
  <c r="AA38" i="17" s="1"/>
  <c r="R93" i="17" s="1"/>
  <c r="F97" i="17"/>
  <c r="Z35" i="17"/>
  <c r="AA35" i="17" s="1"/>
  <c r="V97" i="17"/>
  <c r="V71" i="17"/>
  <c r="J97" i="17"/>
  <c r="AD141" i="11"/>
  <c r="H225" i="11" s="1"/>
  <c r="F201" i="11"/>
  <c r="F202" i="11"/>
  <c r="R71" i="17"/>
  <c r="J71" i="17"/>
  <c r="N71" i="17"/>
  <c r="X55" i="16"/>
  <c r="V70" i="16" s="1"/>
  <c r="E220" i="11"/>
  <c r="I132" i="11"/>
  <c r="AD142" i="11"/>
  <c r="AD143" i="11" s="1"/>
  <c r="I142" i="11" s="1"/>
  <c r="T152" i="11" s="1"/>
  <c r="H140" i="10"/>
  <c r="E230" i="16"/>
  <c r="Q180" i="16"/>
  <c r="V86" i="11"/>
  <c r="U116" i="11"/>
  <c r="Z36" i="17"/>
  <c r="J88" i="11"/>
  <c r="F86" i="11"/>
  <c r="B88" i="13"/>
  <c r="I210" i="13"/>
  <c r="V80" i="16"/>
  <c r="V78" i="16" s="1"/>
  <c r="E56" i="16"/>
  <c r="V74" i="13"/>
  <c r="V76" i="13" s="1"/>
  <c r="E117" i="13"/>
  <c r="AH86" i="13"/>
  <c r="AH84" i="13"/>
  <c r="AH87" i="13"/>
  <c r="AH83" i="13"/>
  <c r="AH85" i="13"/>
  <c r="J17" i="10"/>
  <c r="AD85" i="10"/>
  <c r="R104" i="10"/>
  <c r="N104" i="10"/>
  <c r="U73" i="10"/>
  <c r="AD88" i="10"/>
  <c r="AE47" i="10"/>
  <c r="AD25" i="10"/>
  <c r="F24" i="10" s="1"/>
  <c r="AD56" i="10"/>
  <c r="AE46" i="10"/>
  <c r="AD11" i="10"/>
  <c r="J16" i="10"/>
  <c r="O72" i="10" s="1"/>
  <c r="N39" i="10"/>
  <c r="AD54" i="10"/>
  <c r="AD8" i="10"/>
  <c r="AD30" i="10"/>
  <c r="F29" i="10" s="1"/>
  <c r="AD35" i="10"/>
  <c r="N34" i="10" s="1"/>
  <c r="M64" i="10"/>
  <c r="J23" i="1"/>
  <c r="E192" i="1" s="1"/>
  <c r="M24" i="1"/>
  <c r="P30" i="1"/>
  <c r="AD78" i="1"/>
  <c r="AD76" i="1"/>
  <c r="AD70" i="1"/>
  <c r="AD69" i="1"/>
  <c r="AD72" i="1"/>
  <c r="AD50" i="1"/>
  <c r="AD49" i="1"/>
  <c r="AD58" i="1"/>
  <c r="AD56" i="1"/>
  <c r="AD52" i="1"/>
  <c r="AD36" i="1"/>
  <c r="O24" i="10" a="1"/>
  <c r="U49" i="10" a="1"/>
  <c r="U47" i="10" a="1"/>
  <c r="O29" i="10" a="1"/>
  <c r="P57" i="10" a="1"/>
  <c r="P16" i="10" a="1"/>
  <c r="H242" i="16" a="1"/>
  <c r="E149" i="10" a="1"/>
  <c r="U57" i="10" a="1"/>
  <c r="K152" i="10" a="1"/>
  <c r="U79" i="10" a="1"/>
  <c r="Q39" i="10" a="1"/>
  <c r="X80" i="16"/>
  <c r="U72" i="10" a="1"/>
  <c r="Q34" i="10" a="1"/>
  <c r="AE91" i="10" a="1"/>
  <c r="E150" i="10" a="1"/>
  <c r="K151" i="10" a="1"/>
  <c r="X87" i="13"/>
  <c r="I117" i="13" a="1"/>
  <c r="I113" i="13"/>
  <c r="X84" i="13"/>
  <c r="X85" i="13"/>
  <c r="X86" i="13"/>
  <c r="X83" i="13"/>
  <c r="E232" i="11" a="1"/>
  <c r="H226" i="11" a="1"/>
  <c r="I144" i="11" a="1"/>
  <c r="T153" i="11" a="1"/>
  <c r="I86" i="11"/>
  <c r="E199" i="11" a="1"/>
  <c r="F104" i="17" a="1"/>
  <c r="J98" i="17" a="1"/>
  <c r="V98" i="17" a="1"/>
  <c r="F98" i="17" a="1"/>
  <c r="Y36" i="17"/>
  <c r="V91" i="17" a="1"/>
  <c r="Y39" i="17"/>
  <c r="N91" i="17" a="1"/>
  <c r="Y37" i="17"/>
  <c r="F91" i="17" a="1"/>
  <c r="Y35" i="17"/>
  <c r="R91" i="17" a="1"/>
  <c r="Y38" i="17"/>
  <c r="J104" i="17" a="1"/>
  <c r="N104" i="17" a="1"/>
  <c r="R104" i="17" a="1"/>
  <c r="V104" i="17" a="1"/>
  <c r="J91" i="17" a="1"/>
  <c r="AD79" i="1" a="1"/>
  <c r="O126" i="1" a="1"/>
  <c r="AD37" i="1" a="1"/>
  <c r="AD42" i="1" a="1"/>
  <c r="R126" i="1" a="1"/>
  <c r="S26" i="1" a="1"/>
  <c r="AD59" i="1" a="1"/>
  <c r="S30" i="1" a="1"/>
  <c r="AD57" i="1" a="1"/>
  <c r="AD77" i="1" a="1"/>
  <c r="AE49" i="1" a="1"/>
  <c r="AE50" i="1" a="1"/>
  <c r="AE69" i="1" a="1"/>
  <c r="AE70" i="1" a="1"/>
  <c r="F104" i="17" l="1"/>
  <c r="V98" i="17"/>
  <c r="J98" i="17"/>
  <c r="F98" i="17"/>
  <c r="F92" i="17"/>
  <c r="R92" i="17"/>
  <c r="R91" i="17"/>
  <c r="F91" i="17"/>
  <c r="N91" i="17"/>
  <c r="V91" i="17"/>
  <c r="R97" i="17"/>
  <c r="N97" i="17"/>
  <c r="Z37" i="17"/>
  <c r="Z39" i="17"/>
  <c r="R104" i="17"/>
  <c r="J91" i="17"/>
  <c r="V104" i="17"/>
  <c r="J104" i="17"/>
  <c r="N104" i="17"/>
  <c r="F93" i="17"/>
  <c r="AA36" i="17"/>
  <c r="J93" i="17" s="1"/>
  <c r="J92" i="17"/>
  <c r="V72" i="16"/>
  <c r="E199" i="11"/>
  <c r="H226" i="11"/>
  <c r="I144" i="11"/>
  <c r="E232" i="11"/>
  <c r="K152" i="10"/>
  <c r="K151" i="10"/>
  <c r="E150" i="10"/>
  <c r="E149" i="10"/>
  <c r="H242" i="16"/>
  <c r="I179" i="16"/>
  <c r="T153" i="11"/>
  <c r="I134" i="11"/>
  <c r="M159" i="11"/>
  <c r="E88" i="16"/>
  <c r="I117" i="13"/>
  <c r="AC96" i="13"/>
  <c r="AC92" i="13"/>
  <c r="AC95" i="13"/>
  <c r="AC93" i="13"/>
  <c r="I151" i="13"/>
  <c r="AD154" i="13" s="1"/>
  <c r="AD155" i="13" s="1"/>
  <c r="F151" i="13" s="1"/>
  <c r="I159" i="13"/>
  <c r="AD161" i="13" s="1"/>
  <c r="AC94" i="13"/>
  <c r="E11" i="10"/>
  <c r="I47" i="10" s="1"/>
  <c r="AD50" i="10" s="1"/>
  <c r="O29" i="10"/>
  <c r="O24" i="10"/>
  <c r="U72" i="10"/>
  <c r="U79" i="10"/>
  <c r="AE91" i="10"/>
  <c r="AD92" i="10" s="1"/>
  <c r="O89" i="10" s="1"/>
  <c r="AD71" i="10"/>
  <c r="L103" i="10"/>
  <c r="V104" i="10"/>
  <c r="Q34" i="10"/>
  <c r="Q39" i="10"/>
  <c r="P16" i="10"/>
  <c r="U47" i="10"/>
  <c r="U57" i="10"/>
  <c r="P57" i="10"/>
  <c r="U49" i="10"/>
  <c r="F33" i="10"/>
  <c r="F38" i="10"/>
  <c r="AD48" i="10"/>
  <c r="R126" i="1"/>
  <c r="O126" i="1"/>
  <c r="S30" i="1"/>
  <c r="S26" i="1"/>
  <c r="AE69" i="1"/>
  <c r="AE70" i="1"/>
  <c r="AE50" i="1"/>
  <c r="AE49" i="1"/>
  <c r="AD77" i="1"/>
  <c r="AD79" i="1"/>
  <c r="H211" i="1" s="1"/>
  <c r="AD59" i="1"/>
  <c r="AD57" i="1"/>
  <c r="J214" i="1" s="1" a="1"/>
  <c r="AD42" i="1"/>
  <c r="F41" i="1" s="1"/>
  <c r="AD37" i="1"/>
  <c r="F36" i="1" s="1"/>
  <c r="H232" i="1" s="1"/>
  <c r="E154" i="10" a="1"/>
  <c r="I84" i="16"/>
  <c r="X78" i="16"/>
  <c r="G7" i="10" a="1"/>
  <c r="E243" i="16"/>
  <c r="J33" i="10" a="1"/>
  <c r="E12" i="10" a="1"/>
  <c r="E251" i="16"/>
  <c r="L104" i="10" a="1"/>
  <c r="I181" i="16" a="1"/>
  <c r="W104" i="10" a="1"/>
  <c r="U89" i="10" a="1"/>
  <c r="E157" i="10" a="1"/>
  <c r="I88" i="16" a="1"/>
  <c r="G92" i="13"/>
  <c r="G93" i="13"/>
  <c r="F155" i="13" a="1"/>
  <c r="G96" i="13"/>
  <c r="G94" i="13"/>
  <c r="G95" i="13"/>
  <c r="I136" i="11" a="1"/>
  <c r="R98" i="17" a="1"/>
  <c r="N98" i="17" a="1"/>
  <c r="U70" i="1" a="1"/>
  <c r="U72" i="1" a="1"/>
  <c r="E209" i="1" a="1"/>
  <c r="E208" i="1" a="1"/>
  <c r="U50" i="1" a="1"/>
  <c r="U52" i="1" a="1"/>
  <c r="U80" i="1" a="1"/>
  <c r="U60" i="1" a="1"/>
  <c r="P80" i="1" a="1"/>
  <c r="H215" i="1" a="1"/>
  <c r="P60" i="1" a="1"/>
  <c r="O41" i="1" a="1"/>
  <c r="O36" i="1" a="1"/>
  <c r="N98" i="17" l="1"/>
  <c r="R98" i="17"/>
  <c r="AA39" i="17"/>
  <c r="V93" i="17" s="1"/>
  <c r="V92" i="17"/>
  <c r="AA37" i="17"/>
  <c r="N93" i="17" s="1"/>
  <c r="N92" i="17"/>
  <c r="V74" i="16"/>
  <c r="V76" i="16"/>
  <c r="E157" i="10"/>
  <c r="E154" i="10"/>
  <c r="H215" i="1"/>
  <c r="J214" i="1"/>
  <c r="I181" i="16"/>
  <c r="I216" i="16"/>
  <c r="E209" i="1"/>
  <c r="E208" i="1"/>
  <c r="E162" i="1"/>
  <c r="E161" i="1"/>
  <c r="I136" i="11"/>
  <c r="R163" i="11"/>
  <c r="AD169" i="11" s="1"/>
  <c r="AD159" i="11"/>
  <c r="T135" i="11"/>
  <c r="I88" i="16"/>
  <c r="I122" i="16"/>
  <c r="AD125" i="16" s="1"/>
  <c r="AD126" i="16" s="1"/>
  <c r="F122" i="16" s="1"/>
  <c r="I130" i="16"/>
  <c r="F155" i="13"/>
  <c r="F146" i="13"/>
  <c r="O41" i="1"/>
  <c r="O36" i="1"/>
  <c r="K153" i="1"/>
  <c r="Q145" i="1"/>
  <c r="Q133" i="1"/>
  <c r="I55" i="10"/>
  <c r="AD57" i="10" s="1"/>
  <c r="F55" i="10" s="1"/>
  <c r="E12" i="10"/>
  <c r="G7" i="10"/>
  <c r="I132" i="10" s="1"/>
  <c r="J33" i="10"/>
  <c r="P110" i="10"/>
  <c r="H109" i="10" s="1"/>
  <c r="W104" i="10"/>
  <c r="U89" i="10"/>
  <c r="L104" i="10"/>
  <c r="O96" i="10"/>
  <c r="AD51" i="10"/>
  <c r="F47" i="10" s="1"/>
  <c r="V126" i="1"/>
  <c r="U72" i="1"/>
  <c r="U70" i="1"/>
  <c r="U80" i="1"/>
  <c r="U60" i="1"/>
  <c r="P60" i="1"/>
  <c r="P80" i="1"/>
  <c r="AD71" i="1"/>
  <c r="AD51" i="1"/>
  <c r="U50" i="1"/>
  <c r="U52" i="1"/>
  <c r="F51" i="10" a="1"/>
  <c r="H111" i="10" a="1"/>
  <c r="I159" i="10" a="1"/>
  <c r="F57" i="10" a="1"/>
  <c r="F126" i="16" a="1"/>
  <c r="K146" i="13" a="1"/>
  <c r="E221" i="11" a="1"/>
  <c r="J16" i="1" a="1"/>
  <c r="W126" i="1" a="1"/>
  <c r="E221" i="11" l="1"/>
  <c r="I159" i="10"/>
  <c r="AD122" i="10"/>
  <c r="AD132" i="16"/>
  <c r="F130" i="16" s="1"/>
  <c r="F117" i="16" s="1"/>
  <c r="V135" i="11"/>
  <c r="Y135" i="11"/>
  <c r="E223" i="11" s="1"/>
  <c r="F126" i="16"/>
  <c r="K146" i="13"/>
  <c r="Q210" i="13"/>
  <c r="S215" i="13"/>
  <c r="F57" i="10"/>
  <c r="H111" i="10"/>
  <c r="F51" i="10"/>
  <c r="F42" i="10"/>
  <c r="W126" i="1"/>
  <c r="J16" i="1"/>
  <c r="J18" i="1" s="1"/>
  <c r="F132" i="16" a="1"/>
  <c r="E153" i="10" a="1"/>
  <c r="E240" i="16" a="1"/>
  <c r="K117" i="16" a="1"/>
  <c r="P16" i="1" a="1"/>
  <c r="I159" i="11" l="1"/>
  <c r="AD158" i="11" s="1"/>
  <c r="AD161" i="11" s="1"/>
  <c r="S159" i="11" s="1"/>
  <c r="E222" i="11"/>
  <c r="AD60" i="10"/>
  <c r="AD61" i="10" s="1"/>
  <c r="I60" i="10" s="1"/>
  <c r="L42" i="10"/>
  <c r="E153" i="10"/>
  <c r="H249" i="16"/>
  <c r="H248" i="16"/>
  <c r="E240" i="16"/>
  <c r="F132" i="16"/>
  <c r="K117" i="16"/>
  <c r="Q181" i="16"/>
  <c r="S186" i="16"/>
  <c r="AD217" i="13"/>
  <c r="AC214" i="13"/>
  <c r="AC215" i="13"/>
  <c r="U215" i="13" s="1"/>
  <c r="AD216" i="13"/>
  <c r="AD218" i="13"/>
  <c r="P16" i="1"/>
  <c r="AD93" i="1"/>
  <c r="AD94" i="1" s="1"/>
  <c r="O93" i="1" s="1"/>
  <c r="AD10" i="1"/>
  <c r="AD9" i="1"/>
  <c r="I61" i="10" a="1"/>
  <c r="P17" i="10" a="1"/>
  <c r="U159" i="11" a="1"/>
  <c r="AD8" i="1" a="1"/>
  <c r="H196" i="1"/>
  <c r="AD11" i="1" a="1"/>
  <c r="J20" i="1" a="1"/>
  <c r="U93" i="1" a="1"/>
  <c r="AD162" i="11" l="1"/>
  <c r="AD163" i="11" s="1"/>
  <c r="S160" i="11" s="1"/>
  <c r="AD171" i="11" s="1"/>
  <c r="N60" i="10"/>
  <c r="I61" i="10"/>
  <c r="F59" i="10"/>
  <c r="U159" i="11"/>
  <c r="AG177" i="11"/>
  <c r="AD170" i="11"/>
  <c r="AD172" i="11" s="1"/>
  <c r="AD188" i="16"/>
  <c r="AD189" i="16"/>
  <c r="AD187" i="16"/>
  <c r="AC186" i="16"/>
  <c r="U186" i="16" s="1"/>
  <c r="AC185" i="16"/>
  <c r="AC219" i="13"/>
  <c r="M219" i="13" s="1"/>
  <c r="U214" i="13"/>
  <c r="P17" i="10"/>
  <c r="O71" i="10"/>
  <c r="O75" i="10" s="1"/>
  <c r="U93" i="1"/>
  <c r="J20" i="1"/>
  <c r="AD11" i="1"/>
  <c r="AD8" i="1"/>
  <c r="D127" i="10"/>
  <c r="D126" i="10"/>
  <c r="E155" i="10" a="1"/>
  <c r="U71" i="10" a="1"/>
  <c r="E139" i="10" a="1"/>
  <c r="P219" i="13"/>
  <c r="U160" i="11" a="1"/>
  <c r="P20" i="1" a="1"/>
  <c r="E191" i="1" a="1"/>
  <c r="U160" i="11" l="1"/>
  <c r="E155" i="10"/>
  <c r="AD65" i="10"/>
  <c r="E139" i="10"/>
  <c r="E191" i="1"/>
  <c r="AD173" i="11"/>
  <c r="AG173" i="11" s="1"/>
  <c r="U185" i="16"/>
  <c r="AC190" i="16"/>
  <c r="M190" i="16" s="1"/>
  <c r="E226" i="13"/>
  <c r="S226" i="13" s="1"/>
  <c r="U71" i="10"/>
  <c r="J103" i="10"/>
  <c r="O106" i="10" s="1"/>
  <c r="E11" i="1"/>
  <c r="P20" i="1"/>
  <c r="O104" i="1"/>
  <c r="O103" i="1"/>
  <c r="O108" i="1"/>
  <c r="AD109" i="1" s="1"/>
  <c r="AD110" i="1" s="1"/>
  <c r="J22" i="1"/>
  <c r="U106" i="10" a="1"/>
  <c r="P190" i="16"/>
  <c r="E250" i="16" a="1"/>
  <c r="U75" i="10" a="1"/>
  <c r="U226" i="13" a="1"/>
  <c r="I7" i="1" a="1"/>
  <c r="E12" i="1" a="1"/>
  <c r="AD66" i="10" l="1"/>
  <c r="I65" i="10" s="1"/>
  <c r="N65" i="10"/>
  <c r="E250" i="16"/>
  <c r="AD108" i="1"/>
  <c r="AD111" i="1" s="1"/>
  <c r="D188" i="1"/>
  <c r="AG174" i="11"/>
  <c r="S169" i="11"/>
  <c r="AG179" i="11"/>
  <c r="E197" i="16"/>
  <c r="S197" i="16" s="1"/>
  <c r="U226" i="13"/>
  <c r="AG238" i="13"/>
  <c r="S235" i="13" s="1"/>
  <c r="AG239" i="13"/>
  <c r="S236" i="13" s="1"/>
  <c r="E12" i="1"/>
  <c r="R75" i="10"/>
  <c r="AD79" i="10" s="1"/>
  <c r="O80" i="10" s="1"/>
  <c r="AD83" i="10"/>
  <c r="AD84" i="10" s="1"/>
  <c r="U75" i="10"/>
  <c r="U106" i="10"/>
  <c r="J100" i="10"/>
  <c r="AD105" i="1"/>
  <c r="M28" i="1"/>
  <c r="I7" i="1"/>
  <c r="I187" i="1" s="1"/>
  <c r="M84" i="1"/>
  <c r="U80" i="10" a="1"/>
  <c r="U197" i="16" a="1"/>
  <c r="I66" i="10" a="1"/>
  <c r="U235" i="13" a="1"/>
  <c r="U236" i="13" a="1"/>
  <c r="U169" i="11" a="1"/>
  <c r="J24" i="1" a="1"/>
  <c r="AE111" i="1" a="1"/>
  <c r="J28" i="1" a="1"/>
  <c r="I66" i="10" l="1"/>
  <c r="F64" i="10"/>
  <c r="AE111" i="1"/>
  <c r="AD112" i="1" s="1"/>
  <c r="O109" i="1" s="1"/>
  <c r="U169" i="11"/>
  <c r="S170" i="11"/>
  <c r="AG180" i="11"/>
  <c r="U197" i="16"/>
  <c r="AG210" i="16"/>
  <c r="S207" i="16" s="1"/>
  <c r="AG209" i="16"/>
  <c r="S206" i="16" s="1"/>
  <c r="U236" i="13"/>
  <c r="U235" i="13"/>
  <c r="AD86" i="10"/>
  <c r="O85" i="10" s="1"/>
  <c r="U80" i="10"/>
  <c r="J28" i="1"/>
  <c r="J24" i="1"/>
  <c r="U85" i="10" a="1"/>
  <c r="U207" i="16" a="1"/>
  <c r="E156" i="10" a="1"/>
  <c r="H141" i="10" a="1"/>
  <c r="F145" i="10" a="1"/>
  <c r="U206" i="16" a="1"/>
  <c r="F144" i="10" a="1"/>
  <c r="F143" i="10" a="1"/>
  <c r="U170" i="11" a="1"/>
  <c r="P31" i="1" a="1"/>
  <c r="P27" i="1" a="1"/>
  <c r="H200" i="1" a="1"/>
  <c r="E156" i="10" l="1"/>
  <c r="P114" i="10"/>
  <c r="P122" i="10"/>
  <c r="H141" i="10"/>
  <c r="F143" i="10"/>
  <c r="F144" i="10"/>
  <c r="F145" i="10"/>
  <c r="H200" i="1"/>
  <c r="O116" i="1"/>
  <c r="U170" i="11"/>
  <c r="V68" i="10"/>
  <c r="O98" i="10"/>
  <c r="F68" i="10" s="1"/>
  <c r="U206" i="16"/>
  <c r="U207" i="16"/>
  <c r="U85" i="10"/>
  <c r="O94" i="10"/>
  <c r="O92" i="10"/>
  <c r="P27" i="1"/>
  <c r="P31" i="1"/>
  <c r="E142" i="10" a="1"/>
  <c r="Y68" i="10" a="1"/>
  <c r="J68" i="10" a="1"/>
  <c r="U98" i="10" a="1"/>
  <c r="E142" i="10" l="1"/>
  <c r="J70" i="10"/>
  <c r="U98" i="10"/>
  <c r="Y68" i="10"/>
  <c r="J68" i="10"/>
  <c r="P118" i="10"/>
  <c r="I70" i="1" l="1"/>
  <c r="AD73" i="1" s="1"/>
  <c r="AF74" i="1" s="1"/>
  <c r="AD74" i="1" s="1"/>
  <c r="I78" i="1"/>
  <c r="K211" i="1" s="1" a="1"/>
  <c r="K211" i="1" s="1"/>
  <c r="AF80" i="1" l="1"/>
  <c r="AD80" i="1" s="1"/>
  <c r="T110" i="10"/>
  <c r="O92" i="1"/>
  <c r="L153" i="1"/>
  <c r="O107" i="1"/>
  <c r="H199" i="1" a="1"/>
  <c r="U92" i="1" a="1"/>
  <c r="H199" i="1" l="1"/>
  <c r="F78" i="1"/>
  <c r="F70" i="1"/>
  <c r="U92" i="1"/>
  <c r="AD92" i="1"/>
  <c r="O99" i="1"/>
  <c r="L125" i="1"/>
  <c r="U145" i="1"/>
  <c r="U133" i="1"/>
  <c r="L126" i="1" a="1"/>
  <c r="U99" i="1" a="1"/>
  <c r="F80" i="1" a="1"/>
  <c r="J217" i="1" l="1"/>
  <c r="J218" i="1"/>
  <c r="F65" i="1"/>
  <c r="F80" i="1"/>
  <c r="L126" i="1"/>
  <c r="U99" i="1"/>
  <c r="U109" i="1" a="1"/>
  <c r="V139" i="1" a="1"/>
  <c r="E212" i="1" a="1"/>
  <c r="V139" i="1" l="1"/>
  <c r="E212" i="1"/>
  <c r="AD85" i="1"/>
  <c r="AD86" i="1" s="1"/>
  <c r="I85" i="1" s="1"/>
  <c r="U109" i="1"/>
  <c r="X139" i="1"/>
  <c r="P18" i="1" a="1"/>
  <c r="P225" i="1" a="1"/>
  <c r="P225" i="1" l="1"/>
  <c r="N85" i="1"/>
  <c r="P18" i="1"/>
  <c r="I50" i="1"/>
  <c r="AD53" i="1" s="1"/>
  <c r="AD54" i="1" s="1"/>
  <c r="F50" i="1" s="1"/>
  <c r="I58" i="1"/>
  <c r="J215" i="1" s="1" a="1"/>
  <c r="J215" i="1" s="1"/>
  <c r="F54" i="1" a="1"/>
  <c r="AD60" i="1" l="1"/>
  <c r="F54" i="1"/>
  <c r="F58" i="1" l="1"/>
  <c r="F45" i="1" s="1"/>
  <c r="F60" i="1" a="1"/>
  <c r="E216" i="1" a="1"/>
  <c r="K45" i="1" a="1"/>
  <c r="E216" i="1" l="1"/>
  <c r="V138" i="1"/>
  <c r="K45" i="1"/>
  <c r="Q144" i="1"/>
  <c r="Q132" i="1"/>
  <c r="F60" i="1"/>
  <c r="P224" i="1" a="1"/>
  <c r="X138" i="1"/>
  <c r="P224" i="1" l="1"/>
  <c r="U132" i="1"/>
  <c r="H217" i="1" s="1"/>
  <c r="U144" i="1"/>
  <c r="H218" i="1" l="1"/>
  <c r="L65" i="1"/>
  <c r="F74" i="1"/>
  <c r="T114" i="10" l="1"/>
  <c r="H113" i="10" s="1"/>
  <c r="T122" i="10"/>
  <c r="AD123" i="10" s="1"/>
  <c r="I160" i="10" a="1"/>
  <c r="H115" i="10" a="1"/>
  <c r="I160" i="10" l="1"/>
  <c r="H115" i="10"/>
  <c r="H117" i="10"/>
  <c r="H119" i="10" a="1"/>
  <c r="E163" i="10" a="1"/>
  <c r="E163" i="10" l="1"/>
  <c r="H119" i="10"/>
  <c r="F84" i="1"/>
  <c r="E213" i="1" a="1"/>
  <c r="E213" i="1" l="1"/>
  <c r="H233" i="1"/>
  <c r="Q134" i="1"/>
  <c r="Q146" i="1"/>
  <c r="L154" i="1" s="1"/>
  <c r="T118" i="10" l="1"/>
  <c r="U146" i="1"/>
  <c r="K154" i="1"/>
  <c r="L155" i="1" s="1"/>
  <c r="U134" i="1"/>
  <c r="AD132" i="1" l="1"/>
  <c r="H221" i="1" s="1"/>
  <c r="H219" i="1"/>
  <c r="P123" i="10"/>
  <c r="T123" i="10" s="1"/>
  <c r="AD124" i="10" s="1"/>
  <c r="AD125" i="10" s="1"/>
  <c r="AF125" i="10" s="1"/>
  <c r="H121" i="10" s="1"/>
  <c r="E164" i="10" a="1"/>
  <c r="P21" i="1" a="1"/>
  <c r="E164" i="10" l="1"/>
  <c r="AD133" i="1"/>
  <c r="AD134" i="1" s="1"/>
  <c r="I132" i="1" s="1"/>
  <c r="Q143" i="1" s="1"/>
  <c r="U143" i="1" s="1"/>
  <c r="AD143" i="1" s="1"/>
  <c r="AD144" i="1" s="1"/>
  <c r="AD145" i="1" s="1"/>
  <c r="AF145" i="1" s="1"/>
  <c r="P21" i="1"/>
  <c r="O91" i="1"/>
  <c r="H123" i="10" a="1"/>
  <c r="E222" i="1"/>
  <c r="I134" i="1" a="1"/>
  <c r="U91" i="1" a="1"/>
  <c r="I144" i="1" l="1"/>
  <c r="T154" i="1" s="1"/>
  <c r="I134" i="1"/>
  <c r="H123" i="10"/>
  <c r="U91" i="1"/>
  <c r="J125" i="1"/>
  <c r="O128" i="1" s="1"/>
  <c r="J120" i="1" s="1"/>
  <c r="M88" i="1"/>
  <c r="O95" i="1"/>
  <c r="U128" i="1" a="1"/>
  <c r="H228" i="1" a="1"/>
  <c r="T155" i="1" a="1"/>
  <c r="I146" i="1" a="1"/>
  <c r="E195" i="1" a="1"/>
  <c r="E234" i="1"/>
  <c r="U95" i="1" a="1"/>
  <c r="H227" i="1" l="1"/>
  <c r="H228" i="1"/>
  <c r="I146" i="1"/>
  <c r="M161" i="1"/>
  <c r="R165" i="1" s="1"/>
  <c r="AD171" i="1" s="1"/>
  <c r="E195" i="1"/>
  <c r="T155" i="1"/>
  <c r="U128" i="1"/>
  <c r="U95" i="1"/>
  <c r="R95" i="1"/>
  <c r="AD99" i="1" s="1"/>
  <c r="O100" i="1" s="1"/>
  <c r="AD103" i="1"/>
  <c r="AD104" i="1" s="1"/>
  <c r="AD106" i="1" s="1"/>
  <c r="U100" i="1" a="1"/>
  <c r="H198" i="1"/>
  <c r="AD161" i="1" l="1"/>
  <c r="U100" i="1"/>
  <c r="O105" i="1" l="1"/>
  <c r="I86" i="1"/>
  <c r="H197" i="1"/>
  <c r="U105" i="1" a="1"/>
  <c r="F202" i="1" a="1"/>
  <c r="F204" i="1"/>
  <c r="F203" i="1" a="1"/>
  <c r="F202" i="1" l="1"/>
  <c r="F203" i="1"/>
  <c r="U105" i="1"/>
  <c r="O114" i="1"/>
  <c r="O118" i="1"/>
  <c r="F88" i="1" s="1"/>
  <c r="O112" i="1"/>
  <c r="S88" i="1"/>
  <c r="U118" i="1" a="1"/>
  <c r="E223" i="1"/>
  <c r="E201" i="1" a="1"/>
  <c r="V88" i="1" a="1"/>
  <c r="E201" i="1" l="1"/>
  <c r="I136" i="1"/>
  <c r="U118" i="1"/>
  <c r="V88" i="1"/>
  <c r="J90" i="1"/>
  <c r="I138" i="1" a="1"/>
  <c r="I138" i="1" l="1"/>
  <c r="T137" i="1"/>
  <c r="X137" i="1" s="1"/>
  <c r="E225" i="1" s="1"/>
  <c r="V137" i="1" l="1"/>
  <c r="E224" i="1" l="1"/>
  <c r="AC224" i="1"/>
  <c r="I161" i="1"/>
  <c r="AD160" i="1" s="1"/>
  <c r="AD163" i="1" s="1"/>
  <c r="S161" i="1" l="1"/>
  <c r="AD164" i="1"/>
  <c r="AD165" i="1" s="1"/>
  <c r="S162" i="1" s="1"/>
  <c r="AD173" i="1" s="1"/>
  <c r="U161" i="1" a="1"/>
  <c r="U162" i="1" a="1"/>
  <c r="AG179" i="1" l="1"/>
  <c r="AD172" i="1"/>
  <c r="AD174" i="1" s="1"/>
  <c r="U162" i="1"/>
  <c r="U161" i="1"/>
  <c r="AD175" i="1" l="1"/>
  <c r="AG175" i="1" s="1"/>
  <c r="S171" i="1" l="1"/>
  <c r="AG181" i="1"/>
  <c r="AG176" i="1"/>
  <c r="U171" i="1" a="1"/>
  <c r="U171" i="1" l="1"/>
  <c r="S172" i="1"/>
  <c r="AG182" i="1"/>
  <c r="U172" i="1" a="1"/>
  <c r="U17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<sst xmlns="http://schemas.openxmlformats.org/spreadsheetml/2006/main" count="2141" uniqueCount="609">
  <si>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</si>
  <si>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</si>
  <si>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</si>
  <si>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</si>
  <si>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</si>
  <si>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</si>
  <si>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</si>
  <si>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</si>
  <si>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</si>
  <si>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</si>
  <si>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</si>
  <si>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</si>
  <si>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</si>
  <si>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</si>
  <si>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</si>
  <si>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</si>
  <si>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</si>
  <si>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</si>
  <si>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</si>
  <si>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</si>
  <si>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</si>
  <si>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</si>
  <si>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</si>
  <si>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</si>
  <si>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</si>
  <si>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</si>
  <si>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</si>
  <si>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</si>
  <si>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</si>
  <si>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</si>
  <si>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</si>
  <si>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</si>
  <si>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</si>
  <si>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</si>
  <si>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</si>
  <si>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</si>
  <si>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</si>
  <si>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</si>
  <si>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</si>
  <si>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</si>
  <si>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</si>
  <si>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</si>
  <si>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</si>
  <si>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</si>
  <si>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</si>
  <si>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</si>
  <si>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</si>
  <si>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</si>
  <si>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</si>
  <si>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</si>
  <si>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</si>
  <si>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</si>
  <si>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</si>
  <si>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</si>
  <si>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</si>
  <si>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</si>
  <si>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</si>
  <si>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</si>
  <si>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</si>
  <si>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</si>
  <si>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</si>
  <si>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</si>
  <si>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</si>
  <si>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</si>
  <si>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</si>
  <si>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</si>
  <si>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</si>
  <si>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</si>
  <si>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</si>
  <si>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</si>
  <si>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</si>
  <si>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</si>
  <si>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</si>
  <si>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</si>
  <si>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</si>
  <si>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32'</t>
  </si>
  <si>
    <t>0.173'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</si>
  <si>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</si>
  <si>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</si>
  <si>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</si>
  <si>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</si>
  <si>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</si>
  <si>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</si>
  <si>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</si>
  <si>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</si>
  <si>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</si>
  <si>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</si>
  <si>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</si>
  <si>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</si>
  <si>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(s - s * s) /  c * c </t>
  </si>
  <si>
    <t xml:space="preserve">sinon </t>
  </si>
  <si>
    <t>Zn = 360 - Z</t>
  </si>
  <si>
    <t>Zn = 180 +  Z</t>
  </si>
  <si>
    <t>-&gt;</t>
  </si>
  <si>
    <t>Rad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</si>
  <si>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</si>
  <si>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</si>
  <si>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</si>
  <si>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</si>
  <si>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</si>
  <si>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</si>
  <si>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</si>
  <si>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</si>
  <si>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 xml:space="preserve">HP --&gt; </t>
  </si>
  <si>
    <t>0.0'</t>
  </si>
  <si>
    <t>54'</t>
  </si>
  <si>
    <t>Diametre</t>
  </si>
  <si>
    <t xml:space="preserve">Diametre --&gt; </t>
  </si>
  <si>
    <t>10'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</si>
  <si>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</si>
  <si>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</si>
  <si>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</si>
  <si>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</si>
  <si>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</si>
  <si>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</si>
  <si>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</si>
  <si>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</si>
  <si>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0°0.96'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</si>
  <si>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</si>
  <si>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</si>
  <si>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</si>
  <si>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</si>
  <si>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</si>
  <si>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</si>
  <si>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</si>
  <si>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</si>
  <si>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</si>
  <si>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</si>
  <si>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</si>
  <si>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</si>
  <si>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</si>
  <si>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</si>
  <si>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</si>
  <si>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</si>
  <si>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</si>
  <si>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</si>
  <si>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12.24°</t>
  </si>
  <si>
    <t>176.49°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</si>
  <si>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</si>
  <si>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</si>
  <si>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</si>
  <si>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</si>
  <si>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</si>
  <si>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</si>
  <si>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</si>
  <si>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</si>
  <si>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</si>
  <si>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</si>
  <si>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</si>
  <si>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</si>
  <si>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</si>
  <si>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</si>
  <si>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</si>
  <si>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</si>
  <si>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</si>
  <si>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</si>
  <si>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</si>
  <si>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</si>
  <si>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</si>
  <si>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</si>
  <si>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</si>
  <si>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</si>
  <si>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</si>
  <si>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</si>
  <si>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</si>
  <si>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</si>
  <si>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</si>
  <si>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</si>
  <si>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</si>
  <si>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</si>
  <si>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</si>
  <si>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</si>
  <si>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</si>
  <si>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</si>
  <si>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</si>
  <si>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</si>
  <si>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</si>
  <si>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</si>
  <si>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</si>
  <si>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</si>
  <si>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</si>
  <si>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</si>
  <si>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</si>
  <si>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</si>
  <si>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</si>
  <si>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</si>
  <si>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</si>
  <si>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</si>
  <si>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</si>
  <si>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</si>
  <si>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</si>
  <si>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</si>
  <si>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</si>
  <si>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</si>
  <si>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</si>
  <si>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</si>
  <si>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</si>
  <si>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</si>
  <si>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</si>
  <si>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</si>
  <si>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</si>
  <si>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astres connus --&gt;</t>
  </si>
  <si>
    <t>Type de correction</t>
  </si>
  <si>
    <t>Correction en diametre</t>
  </si>
  <si>
    <t>s * s + c * s * c</t>
  </si>
  <si>
    <t>asin(s * s + c * s * c)</t>
  </si>
  <si>
    <t>acos((s - s * s) /  c * c )</t>
  </si>
  <si>
    <t>papa</t>
  </si>
  <si>
    <t>SHA</t>
  </si>
  <si>
    <t>signe dec</t>
  </si>
  <si>
    <t>Declinaison polaire</t>
  </si>
  <si>
    <t>29°05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</si>
  <si>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</si>
  <si>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</si>
  <si>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</si>
  <si>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</si>
  <si>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</si>
  <si>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</si>
  <si>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</si>
  <si>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</si>
  <si>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</si>
  <si>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</si>
  <si>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</si>
  <si>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</si>
  <si>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</si>
  <si>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</si>
  <si>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</si>
  <si>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</si>
  <si>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</si>
  <si>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</si>
  <si>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</si>
  <si>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</si>
  <si>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</si>
  <si>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</si>
  <si>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</si>
  <si>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</si>
  <si>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</si>
  <si>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</si>
  <si>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</si>
  <si>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</si>
  <si>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</si>
  <si>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</si>
  <si>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</si>
  <si>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</si>
  <si>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</si>
  <si>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</si>
  <si>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</si>
  <si>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</si>
  <si>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</si>
  <si>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</si>
  <si>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</si>
  <si>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</si>
  <si>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</si>
  <si>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</si>
  <si>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</si>
  <si>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</si>
  <si>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</si>
  <si>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</si>
  <si>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</si>
  <si>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</si>
  <si>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</si>
  <si>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</si>
  <si>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</si>
  <si>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</si>
  <si>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</si>
  <si>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</si>
  <si>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</si>
  <si>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Heure Meridienne Greenwitch du jour</t>
  </si>
  <si>
    <t>12:03:06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</si>
  <si>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</si>
  <si>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</si>
  <si>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</si>
  <si>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23°08,1</t>
  </si>
  <si>
    <t>Meridienne</t>
  </si>
  <si>
    <t>Dz = 90 - Hv</t>
  </si>
  <si>
    <t>23°08,0</t>
  </si>
  <si>
    <t>Dz + dec</t>
  </si>
  <si>
    <t>dec - Dz</t>
  </si>
  <si>
    <t>Dz - dec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</si>
  <si>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</si>
  <si>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</si>
  <si>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</si>
  <si>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</si>
  <si>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Ephemeride de la meridienne a Greenwitch</t>
  </si>
  <si>
    <t>Latitude moyenne 
(depend de la vitesse - pour nous sert pas trop à la voile)</t>
  </si>
  <si>
    <t>Route fond (COG) - Cap a defaut</t>
  </si>
  <si>
    <t>Vitesse fond - Loque a defaut (Nd)</t>
  </si>
  <si>
    <t>Vitesse en longitude = Vitesse * |sin(cap)|</t>
  </si>
  <si>
    <t>Vers l'est ?</t>
  </si>
  <si>
    <t>Calculs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</si>
  <si>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</si>
  <si>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Longitude horaire estimée au moment du point (attention angle Horaire &gt; 0)</t>
  </si>
  <si>
    <t>En angle horaire</t>
  </si>
  <si>
    <t>Memo vitesse horaire du soleil</t>
  </si>
  <si>
    <t>(*)</t>
  </si>
  <si>
    <r>
      <rPr>
        <b/>
        <sz val="12"/>
        <color rgb="FFFF0000"/>
        <rFont val="Calibri"/>
        <family val="2"/>
        <scheme val="minor"/>
      </rPr>
      <t>T</t>
    </r>
    <r>
      <rPr>
        <b/>
        <sz val="11"/>
        <color rgb="FFFA7D00"/>
        <rFont val="Calibri"/>
        <family val="2"/>
        <scheme val="minor"/>
      </rPr>
      <t xml:space="preserve"> = Temps pour que le soleil passe du meridien de grenwitch a la meridienne locale</t>
    </r>
  </si>
  <si>
    <t>Heure de la merdienne locale = (Heure GreenWitch + T)</t>
  </si>
  <si>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color rgb="FFFA7D00"/>
        <rFont val="Calibri"/>
        <family val="2"/>
        <scheme val="minor"/>
      </rPr>
      <t xml:space="preserve"> = temps de nav pour "atteindre" la meridienne = (Heure meridienne - Heure point estime)</t>
    </r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</si>
  <si>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</si>
  <si>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</si>
  <si>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</si>
  <si>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</si>
  <si>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</si>
  <si>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</si>
  <si>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</si>
  <si>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</si>
  <si>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</si>
  <si>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</si>
  <si>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</si>
  <si>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</si>
  <si>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</si>
  <si>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</si>
  <si>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</si>
  <si>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</si>
  <si>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</si>
  <si>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</si>
  <si>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</si>
  <si>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</si>
  <si>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</si>
  <si>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</si>
  <si>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</si>
  <si>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</si>
  <si>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</si>
  <si>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</si>
  <si>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</si>
  <si>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</si>
  <si>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</si>
  <si>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</si>
  <si>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</si>
  <si>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</si>
  <si>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</si>
  <si>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</si>
  <si>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</si>
  <si>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</si>
  <si>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</si>
  <si>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</si>
  <si>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</si>
  <si>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>12:50</t>
  </si>
  <si>
    <t xml:space="preserve">Heure Meridienne </t>
  </si>
  <si>
    <t>Prevu</t>
  </si>
  <si>
    <t>Realisation</t>
  </si>
  <si>
    <t>Est-ce realised?</t>
  </si>
  <si>
    <t>05/05/2010</t>
  </si>
  <si>
    <t>8:18:53</t>
  </si>
  <si>
    <t>50°13,4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</si>
  <si>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</si>
  <si>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</si>
  <si>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</si>
  <si>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</si>
  <si>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</si>
  <si>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</si>
  <si>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</si>
  <si>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</si>
  <si>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0°32,6</t>
  </si>
  <si>
    <t>0°32,4</t>
  </si>
  <si>
    <t>0°32,2</t>
  </si>
  <si>
    <t>0°32</t>
  </si>
  <si>
    <t>0°31,6</t>
  </si>
  <si>
    <t>0°31,8</t>
  </si>
  <si>
    <t>Taille du soleil par Mois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</si>
  <si>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</si>
  <si>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</si>
  <si>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</si>
  <si>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</si>
  <si>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</si>
  <si>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</si>
  <si>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</si>
  <si>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</si>
  <si>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</si>
  <si>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</si>
  <si>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</si>
  <si>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</si>
  <si>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</si>
  <si>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</si>
  <si>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</si>
  <si>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Infos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</si>
  <si>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</si>
  <si>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</si>
  <si>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</si>
  <si>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</si>
  <si>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</si>
  <si>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</si>
  <si>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</si>
  <si>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</si>
  <si>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</si>
  <si>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</si>
  <si>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</si>
  <si>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</si>
  <si>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</si>
  <si>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</si>
  <si>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</si>
  <si>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</si>
  <si>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</si>
  <si>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</si>
  <si>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</si>
  <si>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</si>
  <si>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</si>
  <si>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</si>
  <si>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</si>
  <si>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</si>
  <si>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</si>
  <si>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s * s + c * c * c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</si>
  <si>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</si>
  <si>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</si>
  <si>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</si>
  <si>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</si>
  <si>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</si>
  <si>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</si>
  <si>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</si>
  <si>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</si>
  <si>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</si>
  <si>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</si>
  <si>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</si>
  <si>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</si>
  <si>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</si>
  <si>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</si>
  <si>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</si>
  <si>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</si>
  <si>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0°01'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</si>
  <si>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</si>
  <si>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</si>
  <si>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</si>
  <si>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</si>
  <si>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</si>
  <si>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</si>
  <si>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</si>
  <si>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</si>
  <si>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</si>
  <si>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</si>
  <si>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</si>
  <si>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</si>
  <si>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</si>
  <si>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</si>
  <si>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</si>
  <si>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</si>
  <si>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</si>
  <si>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</si>
  <si>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</si>
  <si>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</si>
  <si>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</si>
  <si>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</si>
  <si>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</si>
  <si>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</si>
  <si>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</si>
  <si>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</si>
  <si>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</si>
  <si>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</si>
  <si>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</si>
  <si>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</si>
  <si>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</si>
  <si>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</si>
  <si>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</si>
  <si>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</si>
  <si>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</si>
  <si>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</si>
  <si>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</si>
  <si>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</si>
  <si>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</si>
  <si>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</si>
  <si>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</si>
  <si>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</si>
  <si>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</si>
  <si>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</si>
  <si>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</si>
  <si>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</si>
  <si>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{sin(Dec) - sin (Lat estimee) * sin(Hc)}    /  {cos(Lat estimee) * cos(Hc)}</t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</si>
  <si>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</si>
  <si>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</si>
  <si>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</si>
  <si>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</si>
  <si>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</si>
  <si>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</si>
  <si>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</si>
  <si>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</si>
  <si>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</si>
  <si>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</si>
  <si>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</si>
  <si>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</si>
  <si>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</si>
  <si>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</si>
  <si>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</si>
  <si>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</si>
  <si>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</si>
  <si>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</si>
  <si>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</si>
  <si>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</si>
  <si>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</si>
  <si>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</si>
  <si>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</si>
  <si>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</si>
  <si>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</si>
  <si>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</si>
  <si>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</si>
  <si>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</si>
  <si>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</si>
  <si>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</si>
  <si>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</si>
  <si>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</si>
  <si>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</si>
  <si>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</si>
  <si>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</si>
  <si>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</si>
  <si>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</si>
  <si>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</si>
  <si>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</si>
  <si>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</si>
  <si>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</si>
  <si>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</si>
  <si>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</si>
  <si>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18:48:30</t>
  </si>
  <si>
    <t>12°30</t>
  </si>
  <si>
    <t>28°55'</t>
  </si>
  <si>
    <t>0°00</t>
  </si>
  <si>
    <t>89°23.1</t>
  </si>
  <si>
    <t>311°25.8</t>
  </si>
  <si>
    <t>299°29.0</t>
  </si>
  <si>
    <t>314°31.4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</si>
  <si>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</si>
  <si>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</si>
  <si>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</si>
  <si>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</si>
  <si>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</si>
  <si>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</si>
  <si>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</si>
  <si>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t>0:0</t>
  </si>
  <si>
    <t>12:04:00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</si>
  <si>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</si>
  <si>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</si>
  <si>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</si>
  <si>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</si>
  <si>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14:50:15</t>
  </si>
  <si>
    <t>27°15</t>
  </si>
  <si>
    <t>72°41</t>
  </si>
  <si>
    <t>23°07,8</t>
  </si>
  <si>
    <t>23°07,7</t>
  </si>
  <si>
    <t>29°03,4</t>
  </si>
  <si>
    <t>44°03,3</t>
  </si>
  <si>
    <t>Longitude approximative (Longi. depart + Delta longi.)</t>
  </si>
  <si>
    <t xml:space="preserve">° de longitude parcourus </t>
  </si>
  <si>
    <t>13/8/2024</t>
  </si>
  <si>
    <t>08:30:05</t>
  </si>
  <si>
    <t>06:16:10</t>
  </si>
  <si>
    <t>12:20:13</t>
  </si>
  <si>
    <t>13°06.0</t>
  </si>
  <si>
    <t>26°30</t>
  </si>
  <si>
    <t>62°28.5</t>
  </si>
  <si>
    <t>14°40.8</t>
  </si>
  <si>
    <t>003°50.3</t>
  </si>
  <si>
    <t>0°54,4'</t>
  </si>
  <si>
    <t>Diam (texte)</t>
  </si>
  <si>
    <t>Diam (float)</t>
  </si>
  <si>
    <t>Diam cible</t>
  </si>
  <si>
    <t>SD Cible</t>
  </si>
  <si>
    <t>Check avec ephemeride: SD calculé</t>
  </si>
  <si>
    <t>40°30'</t>
  </si>
  <si>
    <t>3°30'</t>
  </si>
  <si>
    <t>17°02,5</t>
  </si>
  <si>
    <t>16°52,9</t>
  </si>
  <si>
    <t>35°40,5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</si>
  <si>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</si>
  <si>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</si>
  <si>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</si>
  <si>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</si>
  <si>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</si>
  <si>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</si>
  <si>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</si>
  <si>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</si>
  <si>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</si>
  <si>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</si>
  <si>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Kochab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</si>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</sst>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</numFmts>
  <fonts count="82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sz val="11"/>
      <color rgb="FFFF00FF"/>
      <name val="Calibri"/>
      <family val="2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</fonts>
  <fills count="4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5"/>
      </patternFill>
    </fill>
    <fill>
      <patternFill patternType="lightUp">
        <fgColor theme="5" tint="0.39994506668294322"/>
        <bgColor theme="0" tint="-0.14999847407452621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lightUp">
        <fgColor theme="5" tint="0.39994506668294322"/>
        <bgColor rgb="FF66FF99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</fills>
  <borders count="1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12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9" applyNumberFormat="0" applyFill="0" applyAlignment="0" applyProtection="0"/>
  </cellStyleXfs>
  <cellXfs count="1338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7" xfId="0" applyNumberFormat="1" applyFont="1" applyBorder="1" applyAlignment="1">
      <alignment horizontal="center"/>
    </xf>
    <xf numFmtId="164" fontId="10" fillId="9" borderId="57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94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0" fillId="12" borderId="2" xfId="0" quotePrefix="1" applyFill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2" fontId="10" fillId="10" borderId="59" xfId="0" applyNumberFormat="1" applyFont="1" applyFill="1" applyBorder="1"/>
    <xf numFmtId="2" fontId="10" fillId="10" borderId="58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10" borderId="98" xfId="0" applyNumberFormat="1" applyFont="1" applyFill="1" applyBorder="1" applyAlignment="1">
      <alignment horizontal="center" vertical="center"/>
    </xf>
    <xf numFmtId="164" fontId="10" fillId="10" borderId="11" xfId="0" quotePrefix="1" applyNumberFormat="1" applyFont="1" applyFill="1" applyBorder="1" applyAlignment="1">
      <alignment horizontal="center" vertical="center"/>
    </xf>
    <xf numFmtId="1" fontId="10" fillId="10" borderId="11" xfId="0" applyNumberFormat="1" applyFont="1" applyFill="1" applyBorder="1" applyAlignment="1">
      <alignment horizontal="center" vertical="center"/>
    </xf>
    <xf numFmtId="164" fontId="10" fillId="10" borderId="61" xfId="0" applyNumberFormat="1" applyFont="1" applyFill="1" applyBorder="1" applyAlignment="1">
      <alignment horizontal="center" vertical="center"/>
    </xf>
    <xf numFmtId="164" fontId="10" fillId="10" borderId="57" xfId="0" quotePrefix="1" applyNumberFormat="1" applyFont="1" applyFill="1" applyBorder="1" applyAlignment="1">
      <alignment horizontal="center" vertical="center"/>
    </xf>
    <xf numFmtId="1" fontId="10" fillId="10" borderId="57" xfId="0" applyNumberFormat="1" applyFont="1" applyFill="1" applyBorder="1" applyAlignment="1">
      <alignment horizontal="center"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10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49" fontId="10" fillId="0" borderId="0" xfId="0" applyNumberFormat="1" applyFont="1"/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0" fontId="12" fillId="2" borderId="1" xfId="1" applyFo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9" xfId="11" applyNumberFormat="1" applyFill="1" applyAlignment="1" applyProtection="1"/>
    <xf numFmtId="0" fontId="49" fillId="7" borderId="119" xfId="11" applyFill="1" applyAlignment="1" applyProtection="1">
      <alignment horizontal="center"/>
    </xf>
    <xf numFmtId="0" fontId="1" fillId="2" borderId="3" xfId="1" applyBorder="1" applyProtection="1"/>
    <xf numFmtId="0" fontId="12" fillId="2" borderId="3" xfId="1" applyFont="1" applyBorder="1" applyProtection="1"/>
    <xf numFmtId="164" fontId="4" fillId="30" borderId="0" xfId="3" applyNumberFormat="1" applyFill="1" applyBorder="1" applyProtection="1"/>
    <xf numFmtId="164" fontId="4" fillId="30" borderId="0" xfId="3" applyNumberFormat="1" applyFill="1" applyBorder="1" applyAlignment="1" applyProtection="1"/>
    <xf numFmtId="164" fontId="4" fillId="31" borderId="15" xfId="3" applyNumberFormat="1" applyFill="1" applyBorder="1" applyAlignment="1" applyProtection="1"/>
    <xf numFmtId="0" fontId="0" fillId="28" borderId="0" xfId="0" applyFill="1"/>
    <xf numFmtId="164" fontId="0" fillId="28" borderId="0" xfId="0" applyNumberFormat="1" applyFill="1"/>
    <xf numFmtId="0" fontId="56" fillId="28" borderId="0" xfId="0" applyFont="1" applyFill="1"/>
    <xf numFmtId="0" fontId="0" fillId="32" borderId="0" xfId="0" applyFill="1"/>
    <xf numFmtId="164" fontId="0" fillId="32" borderId="0" xfId="0" applyNumberFormat="1" applyFill="1"/>
    <xf numFmtId="0" fontId="56" fillId="32" borderId="0" xfId="0" applyFont="1" applyFill="1"/>
    <xf numFmtId="0" fontId="0" fillId="25" borderId="0" xfId="0" applyFill="1"/>
    <xf numFmtId="164" fontId="0" fillId="25" borderId="0" xfId="0" applyNumberFormat="1" applyFill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46" fillId="0" borderId="0" xfId="0" applyFont="1"/>
    <xf numFmtId="0" fontId="0" fillId="0" borderId="0" xfId="0" applyAlignment="1">
      <alignment horizontal="right"/>
    </xf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49" fontId="16" fillId="13" borderId="6" xfId="2" quotePrefix="1" applyNumberFormat="1" applyFont="1" applyBorder="1" applyAlignment="1" applyProtection="1">
      <alignment vertical="center"/>
      <protection locked="0"/>
    </xf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44" fontId="10" fillId="15" borderId="4" xfId="8" applyNumberFormat="1" applyFont="1" applyBorder="1" applyAlignment="1" applyProtection="1">
      <alignment vertical="center" wrapText="1"/>
    </xf>
    <xf numFmtId="44" fontId="10" fillId="15" borderId="12" xfId="8" applyNumberFormat="1" applyFont="1" applyBorder="1" applyAlignment="1" applyProtection="1">
      <alignment vertical="center" wrapText="1"/>
    </xf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6" fontId="1" fillId="2" borderId="1" xfId="1" applyNumberFormat="1" applyProtection="1"/>
    <xf numFmtId="164" fontId="4" fillId="4" borderId="0" xfId="3" applyNumberFormat="1" applyFill="1" applyBorder="1" applyProtection="1"/>
    <xf numFmtId="0" fontId="0" fillId="4" borderId="0" xfId="0" applyFill="1"/>
    <xf numFmtId="164" fontId="4" fillId="4" borderId="0" xfId="3" applyNumberFormat="1" applyFill="1" applyBorder="1" applyAlignment="1" applyProtection="1"/>
    <xf numFmtId="0" fontId="46" fillId="4" borderId="0" xfId="0" applyFont="1" applyFill="1"/>
    <xf numFmtId="0" fontId="0" fillId="12" borderId="6" xfId="0" applyFill="1" applyBorder="1"/>
    <xf numFmtId="0" fontId="11" fillId="12" borderId="6" xfId="0" applyFont="1" applyFill="1" applyBorder="1" applyAlignment="1">
      <alignment horizontal="right"/>
    </xf>
    <xf numFmtId="0" fontId="1" fillId="2" borderId="3" xfId="1" quotePrefix="1" applyBorder="1" applyProtection="1"/>
    <xf numFmtId="164" fontId="10" fillId="4" borderId="0" xfId="0" applyNumberFormat="1" applyFont="1" applyFill="1"/>
    <xf numFmtId="44" fontId="10" fillId="33" borderId="0" xfId="8" applyNumberFormat="1" applyFont="1" applyFill="1" applyBorder="1" applyAlignment="1" applyProtection="1">
      <alignment vertical="center" wrapText="1"/>
    </xf>
    <xf numFmtId="49" fontId="16" fillId="34" borderId="0" xfId="2" quotePrefix="1" applyNumberFormat="1" applyFont="1" applyFill="1" applyBorder="1" applyAlignment="1" applyProtection="1">
      <alignment vertical="center"/>
      <protection locked="0"/>
    </xf>
    <xf numFmtId="165" fontId="4" fillId="4" borderId="0" xfId="3" applyNumberFormat="1" applyFill="1" applyBorder="1" applyProtection="1"/>
    <xf numFmtId="164" fontId="4" fillId="4" borderId="0" xfId="3" applyNumberFormat="1" applyFill="1" applyBorder="1" applyAlignment="1" applyProtection="1">
      <alignment horizontal="right"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" fillId="2" borderId="21" xfId="1" applyBorder="1" applyProtection="1"/>
    <xf numFmtId="0" fontId="1" fillId="2" borderId="27" xfId="1" applyBorder="1" applyProtection="1"/>
    <xf numFmtId="166" fontId="1" fillId="2" borderId="27" xfId="1" applyNumberFormat="1" applyBorder="1" applyProtection="1"/>
    <xf numFmtId="1" fontId="1" fillId="2" borderId="27" xfId="1" applyNumberFormat="1" applyBorder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16" fillId="13" borderId="6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164" fontId="1" fillId="2" borderId="27" xfId="1" applyNumberFormat="1" applyBorder="1" applyProtection="1"/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7" fontId="10" fillId="0" borderId="0" xfId="0" applyNumberFormat="1" applyFont="1"/>
    <xf numFmtId="0" fontId="15" fillId="2" borderId="36" xfId="1" applyFont="1" applyBorder="1" applyAlignment="1" applyProtection="1"/>
    <xf numFmtId="0" fontId="15" fillId="2" borderId="3" xfId="1" applyFont="1" applyBorder="1" applyAlignment="1" applyProtection="1"/>
    <xf numFmtId="164" fontId="15" fillId="2" borderId="42" xfId="1" applyNumberFormat="1" applyFont="1" applyBorder="1" applyAlignment="1" applyProtection="1"/>
    <xf numFmtId="0" fontId="15" fillId="2" borderId="1" xfId="1" applyFont="1" applyAlignment="1" applyProtection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164" fontId="19" fillId="13" borderId="1" xfId="2" quotePrefix="1" applyNumberFormat="1" applyFont="1" applyAlignment="1" applyProtection="1">
      <alignment vertical="center"/>
      <protection locked="0"/>
    </xf>
    <xf numFmtId="164" fontId="19" fillId="13" borderId="1" xfId="2" applyNumberFormat="1" applyFont="1" applyAlignment="1" applyProtection="1">
      <alignment vertical="center"/>
      <protection locked="0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9" xfId="5" quotePrefix="1" applyNumberFormat="1" applyFont="1" applyFill="1" applyBorder="1" applyAlignment="1" applyProtection="1"/>
    <xf numFmtId="164" fontId="10" fillId="18" borderId="70" xfId="5" quotePrefix="1" applyNumberFormat="1" applyFont="1" applyFill="1" applyBorder="1" applyAlignment="1" applyProtection="1"/>
    <xf numFmtId="164" fontId="10" fillId="18" borderId="71" xfId="5" quotePrefix="1" applyNumberFormat="1" applyFont="1" applyFill="1" applyBorder="1" applyAlignment="1" applyProtection="1"/>
    <xf numFmtId="164" fontId="10" fillId="18" borderId="96" xfId="5" applyNumberFormat="1" applyFont="1" applyFill="1" applyBorder="1" applyAlignment="1" applyProtection="1"/>
    <xf numFmtId="164" fontId="10" fillId="18" borderId="67" xfId="5" applyNumberFormat="1" applyFont="1" applyFill="1" applyBorder="1" applyAlignment="1" applyProtection="1"/>
    <xf numFmtId="164" fontId="10" fillId="18" borderId="74" xfId="5" applyNumberFormat="1" applyFont="1" applyFill="1" applyBorder="1" applyAlignment="1" applyProtection="1"/>
    <xf numFmtId="164" fontId="10" fillId="18" borderId="72" xfId="5" applyNumberFormat="1" applyFont="1" applyFill="1" applyBorder="1" applyAlignment="1" applyProtection="1"/>
    <xf numFmtId="164" fontId="64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5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6" borderId="2" xfId="0" applyNumberFormat="1" applyFont="1" applyFill="1" applyBorder="1"/>
    <xf numFmtId="2" fontId="10" fillId="36" borderId="2" xfId="0" quotePrefix="1" applyNumberFormat="1" applyFont="1" applyFill="1" applyBorder="1"/>
    <xf numFmtId="2" fontId="0" fillId="35" borderId="2" xfId="0" applyNumberFormat="1" applyFill="1" applyBorder="1"/>
    <xf numFmtId="2" fontId="10" fillId="35" borderId="2" xfId="0" quotePrefix="1" applyNumberFormat="1" applyFont="1" applyFill="1" applyBorder="1"/>
    <xf numFmtId="164" fontId="57" fillId="37" borderId="28" xfId="0" applyNumberFormat="1" applyFont="1" applyFill="1" applyBorder="1" applyAlignment="1">
      <alignment horizontal="center" vertical="center"/>
    </xf>
    <xf numFmtId="164" fontId="57" fillId="37" borderId="29" xfId="0" quotePrefix="1" applyNumberFormat="1" applyFont="1" applyFill="1" applyBorder="1" applyAlignment="1">
      <alignment horizontal="center" vertical="center"/>
    </xf>
    <xf numFmtId="164" fontId="57" fillId="37" borderId="2" xfId="0" applyNumberFormat="1" applyFont="1" applyFill="1" applyBorder="1" applyAlignment="1">
      <alignment horizontal="center"/>
    </xf>
    <xf numFmtId="164" fontId="57" fillId="37" borderId="29" xfId="0" applyNumberFormat="1" applyFont="1" applyFill="1" applyBorder="1" applyAlignment="1">
      <alignment horizontal="center" vertical="center"/>
    </xf>
    <xf numFmtId="164" fontId="57" fillId="37" borderId="2" xfId="0" applyNumberFormat="1" applyFont="1" applyFill="1" applyBorder="1" applyAlignment="1">
      <alignment horizontal="center" vertical="center"/>
    </xf>
    <xf numFmtId="2" fontId="9" fillId="2" borderId="131" xfId="7" applyNumberFormat="1" applyBorder="1" applyAlignment="1">
      <alignment horizontal="center" vertical="center"/>
    </xf>
    <xf numFmtId="164" fontId="57" fillId="7" borderId="2" xfId="5" applyNumberFormat="1" applyFont="1" applyBorder="1"/>
    <xf numFmtId="0" fontId="15" fillId="2" borderId="1" xfId="1" quotePrefix="1" applyFont="1" applyAlignment="1" applyProtection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7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62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7" fontId="15" fillId="2" borderId="7" xfId="1" applyNumberFormat="1" applyFont="1" applyBorder="1" applyAlignment="1" applyProtection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6" fillId="0" borderId="0" xfId="0" applyFont="1"/>
    <xf numFmtId="0" fontId="0" fillId="27" borderId="0" xfId="0" applyFill="1"/>
    <xf numFmtId="0" fontId="68" fillId="0" borderId="2" xfId="0" applyFont="1" applyBorder="1" applyAlignment="1">
      <alignment horizontal="center"/>
    </xf>
    <xf numFmtId="0" fontId="68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71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32" xfId="0" applyNumberFormat="1" applyBorder="1"/>
    <xf numFmtId="164" fontId="0" fillId="0" borderId="132" xfId="0" applyNumberFormat="1" applyBorder="1" applyAlignment="1">
      <alignment horizontal="center"/>
    </xf>
    <xf numFmtId="0" fontId="0" fillId="0" borderId="132" xfId="0" applyBorder="1"/>
    <xf numFmtId="164" fontId="0" fillId="39" borderId="0" xfId="0" applyNumberFormat="1" applyFill="1" applyAlignment="1">
      <alignment horizontal="center"/>
    </xf>
    <xf numFmtId="164" fontId="73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7" fillId="0" borderId="2" xfId="0" applyNumberFormat="1" applyFont="1" applyBorder="1" applyAlignment="1">
      <alignment horizontal="center" vertical="center"/>
    </xf>
    <xf numFmtId="164" fontId="73" fillId="0" borderId="133" xfId="0" applyNumberFormat="1" applyFont="1" applyBorder="1" applyAlignment="1">
      <alignment horizontal="center" vertical="center"/>
    </xf>
    <xf numFmtId="166" fontId="75" fillId="2" borderId="134" xfId="7" applyNumberFormat="1" applyFont="1" applyBorder="1" applyAlignment="1">
      <alignment horizontal="center" vertical="center"/>
    </xf>
    <xf numFmtId="166" fontId="63" fillId="7" borderId="29" xfId="5" applyNumberFormat="1" applyFont="1" applyBorder="1" applyAlignment="1">
      <alignment horizontal="center" vertical="center"/>
    </xf>
    <xf numFmtId="166" fontId="63" fillId="7" borderId="2" xfId="5" applyNumberFormat="1" applyFont="1" applyBorder="1" applyAlignment="1">
      <alignment horizontal="center" vertical="center"/>
    </xf>
    <xf numFmtId="0" fontId="70" fillId="0" borderId="0" xfId="0" applyFont="1"/>
    <xf numFmtId="167" fontId="57" fillId="0" borderId="29" xfId="0" quotePrefix="1" applyNumberFormat="1" applyFont="1" applyBorder="1" applyAlignment="1">
      <alignment horizontal="center" vertical="center"/>
    </xf>
    <xf numFmtId="167" fontId="57" fillId="0" borderId="29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167" fontId="57" fillId="0" borderId="2" xfId="0" quotePrefix="1" applyNumberFormat="1" applyFont="1" applyBorder="1" applyAlignment="1">
      <alignment horizontal="center" vertical="center"/>
    </xf>
    <xf numFmtId="0" fontId="0" fillId="7" borderId="2" xfId="5" applyFont="1" applyBorder="1" applyAlignment="1" applyProtection="1">
      <alignment horizontal="center" vertical="center"/>
    </xf>
    <xf numFmtId="169" fontId="33" fillId="10" borderId="95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0" fontId="0" fillId="7" borderId="25" xfId="5" quotePrefix="1" applyFont="1" applyAlignment="1" applyProtection="1">
      <alignment horizontal="center"/>
    </xf>
    <xf numFmtId="164" fontId="10" fillId="0" borderId="0" xfId="0" applyNumberFormat="1" applyFont="1" applyProtection="1"/>
    <xf numFmtId="0" fontId="0" fillId="0" borderId="0" xfId="0" applyProtection="1"/>
    <xf numFmtId="164" fontId="25" fillId="0" borderId="0" xfId="0" applyNumberFormat="1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4" xfId="0" applyNumberFormat="1" applyFont="1" applyFill="1" applyBorder="1" applyProtection="1"/>
    <xf numFmtId="164" fontId="10" fillId="9" borderId="15" xfId="0" applyNumberFormat="1" applyFont="1" applyFill="1" applyBorder="1" applyProtection="1"/>
    <xf numFmtId="164" fontId="10" fillId="25" borderId="15" xfId="0" applyNumberFormat="1" applyFont="1" applyFill="1" applyBorder="1" applyAlignment="1" applyProtection="1">
      <alignment horizontal="center"/>
    </xf>
    <xf numFmtId="164" fontId="10" fillId="25" borderId="15" xfId="0" applyNumberFormat="1" applyFont="1" applyFill="1" applyBorder="1" applyProtection="1"/>
    <xf numFmtId="1" fontId="10" fillId="9" borderId="15" xfId="0" applyNumberFormat="1" applyFont="1" applyFill="1" applyBorder="1" applyProtection="1"/>
    <xf numFmtId="0" fontId="0" fillId="0" borderId="0" xfId="0" quotePrefix="1" applyProtection="1"/>
    <xf numFmtId="164" fontId="10" fillId="0" borderId="0" xfId="0" applyNumberFormat="1" applyFont="1" applyAlignment="1" applyProtection="1">
      <alignment horizontal="center" vertical="center"/>
    </xf>
    <xf numFmtId="0" fontId="18" fillId="0" borderId="0" xfId="0" applyFont="1" applyProtection="1"/>
    <xf numFmtId="164" fontId="10" fillId="9" borderId="22" xfId="0" applyNumberFormat="1" applyFont="1" applyFill="1" applyBorder="1" applyProtection="1"/>
    <xf numFmtId="0" fontId="11" fillId="12" borderId="2" xfId="0" applyFont="1" applyFill="1" applyBorder="1" applyAlignment="1" applyProtection="1">
      <alignment horizontal="right"/>
    </xf>
    <xf numFmtId="0" fontId="11" fillId="12" borderId="2" xfId="0" applyFont="1" applyFill="1" applyBorder="1" applyAlignment="1" applyProtection="1">
      <alignment horizontal="center"/>
    </xf>
    <xf numFmtId="0" fontId="0" fillId="12" borderId="2" xfId="0" quotePrefix="1" applyFill="1" applyBorder="1" applyAlignment="1" applyProtection="1">
      <alignment horizontal="center"/>
    </xf>
    <xf numFmtId="0" fontId="11" fillId="12" borderId="28" xfId="0" applyFont="1" applyFill="1" applyBorder="1" applyAlignment="1" applyProtection="1">
      <alignment horizontal="right"/>
    </xf>
    <xf numFmtId="0" fontId="0" fillId="12" borderId="28" xfId="0" applyFill="1" applyBorder="1" applyAlignment="1" applyProtection="1">
      <alignment horizontal="center"/>
    </xf>
    <xf numFmtId="0" fontId="11" fillId="7" borderId="2" xfId="5" quotePrefix="1" applyFont="1" applyBorder="1" applyAlignment="1" applyProtection="1">
      <alignment horizontal="center" vertical="center"/>
    </xf>
    <xf numFmtId="0" fontId="25" fillId="0" borderId="0" xfId="0" applyFont="1" applyProtection="1"/>
    <xf numFmtId="164" fontId="25" fillId="10" borderId="30" xfId="0" applyNumberFormat="1" applyFont="1" applyFill="1" applyBorder="1" applyAlignment="1" applyProtection="1">
      <alignment horizontal="center" vertical="center"/>
    </xf>
    <xf numFmtId="164" fontId="25" fillId="10" borderId="29" xfId="0" applyNumberFormat="1" applyFont="1" applyFill="1" applyBorder="1" applyAlignment="1" applyProtection="1">
      <alignment horizontal="center" vertical="center"/>
    </xf>
    <xf numFmtId="1" fontId="25" fillId="10" borderId="31" xfId="0" applyNumberFormat="1" applyFont="1" applyFill="1" applyBorder="1" applyAlignment="1" applyProtection="1">
      <alignment horizontal="center" vertical="center"/>
    </xf>
    <xf numFmtId="164" fontId="25" fillId="10" borderId="32" xfId="0" applyNumberFormat="1" applyFont="1" applyFill="1" applyBorder="1" applyAlignment="1" applyProtection="1">
      <alignment horizontal="center" vertical="center"/>
    </xf>
    <xf numFmtId="164" fontId="25" fillId="10" borderId="33" xfId="0" applyNumberFormat="1" applyFont="1" applyFill="1" applyBorder="1" applyAlignment="1" applyProtection="1">
      <alignment horizontal="center" vertical="center"/>
    </xf>
    <xf numFmtId="1" fontId="25" fillId="10" borderId="34" xfId="0" applyNumberFormat="1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right" vertical="center"/>
    </xf>
    <xf numFmtId="0" fontId="0" fillId="12" borderId="2" xfId="0" applyFill="1" applyBorder="1" applyProtection="1"/>
    <xf numFmtId="164" fontId="10" fillId="4" borderId="0" xfId="0" applyNumberFormat="1" applyFont="1" applyFill="1" applyAlignment="1" applyProtection="1">
      <alignment horizontal="left"/>
    </xf>
    <xf numFmtId="164" fontId="10" fillId="4" borderId="0" xfId="0" applyNumberFormat="1" applyFont="1" applyFill="1" applyAlignment="1" applyProtection="1">
      <alignment horizontal="center"/>
    </xf>
    <xf numFmtId="49" fontId="10" fillId="0" borderId="0" xfId="0" applyNumberFormat="1" applyFont="1" applyProtection="1"/>
    <xf numFmtId="164" fontId="31" fillId="0" borderId="0" xfId="0" applyNumberFormat="1" applyFont="1" applyAlignment="1" applyProtection="1">
      <alignment horizontal="center" vertical="center"/>
    </xf>
    <xf numFmtId="164" fontId="10" fillId="21" borderId="15" xfId="0" applyNumberFormat="1" applyFont="1" applyFill="1" applyBorder="1" applyProtection="1"/>
    <xf numFmtId="164" fontId="10" fillId="9" borderId="0" xfId="0" applyNumberFormat="1" applyFont="1" applyFill="1" applyProtection="1"/>
    <xf numFmtId="0" fontId="18" fillId="9" borderId="0" xfId="0" applyFont="1" applyFill="1" applyProtection="1"/>
    <xf numFmtId="164" fontId="10" fillId="9" borderId="2" xfId="0" applyNumberFormat="1" applyFont="1" applyFill="1" applyBorder="1" applyProtection="1"/>
    <xf numFmtId="164" fontId="10" fillId="9" borderId="2" xfId="0" quotePrefix="1" applyNumberFormat="1" applyFont="1" applyFill="1" applyBorder="1" applyProtection="1"/>
    <xf numFmtId="164" fontId="10" fillId="0" borderId="0" xfId="0" quotePrefix="1" applyNumberFormat="1" applyFont="1" applyProtection="1"/>
    <xf numFmtId="164" fontId="10" fillId="0" borderId="2" xfId="0" quotePrefix="1" applyNumberFormat="1" applyFont="1" applyBorder="1" applyProtection="1"/>
    <xf numFmtId="164" fontId="10" fillId="0" borderId="43" xfId="0" quotePrefix="1" applyNumberFormat="1" applyFont="1" applyBorder="1" applyProtection="1"/>
    <xf numFmtId="164" fontId="10" fillId="0" borderId="57" xfId="0" applyNumberFormat="1" applyFont="1" applyBorder="1" applyAlignment="1" applyProtection="1">
      <alignment horizontal="center"/>
    </xf>
    <xf numFmtId="164" fontId="10" fillId="9" borderId="57" xfId="0" applyNumberFormat="1" applyFont="1" applyFill="1" applyBorder="1" applyProtection="1"/>
    <xf numFmtId="164" fontId="10" fillId="0" borderId="0" xfId="0" quotePrefix="1" applyNumberFormat="1" applyFont="1" applyAlignment="1" applyProtection="1">
      <alignment horizontal="center"/>
    </xf>
    <xf numFmtId="0" fontId="18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10" fillId="9" borderId="16" xfId="0" applyNumberFormat="1" applyFont="1" applyFill="1" applyBorder="1" applyProtection="1"/>
    <xf numFmtId="164" fontId="10" fillId="0" borderId="0" xfId="0" applyNumberFormat="1" applyFont="1" applyAlignment="1" applyProtection="1">
      <alignment vertical="center"/>
    </xf>
    <xf numFmtId="164" fontId="0" fillId="0" borderId="0" xfId="0" applyNumberFormat="1" applyProtection="1"/>
    <xf numFmtId="0" fontId="0" fillId="28" borderId="14" xfId="0" applyFill="1" applyBorder="1" applyProtection="1"/>
    <xf numFmtId="0" fontId="0" fillId="28" borderId="15" xfId="0" applyFill="1" applyBorder="1" applyProtection="1"/>
    <xf numFmtId="0" fontId="0" fillId="28" borderId="16" xfId="0" applyFill="1" applyBorder="1" applyProtection="1"/>
    <xf numFmtId="164" fontId="13" fillId="27" borderId="2" xfId="0" applyNumberFormat="1" applyFont="1" applyFill="1" applyBorder="1" applyAlignment="1" applyProtection="1">
      <alignment horizontal="left" vertical="center"/>
    </xf>
    <xf numFmtId="0" fontId="0" fillId="32" borderId="0" xfId="0" applyFill="1" applyProtection="1"/>
    <xf numFmtId="164" fontId="0" fillId="32" borderId="0" xfId="0" applyNumberFormat="1" applyFill="1" applyProtection="1"/>
    <xf numFmtId="0" fontId="56" fillId="32" borderId="0" xfId="0" applyFont="1" applyFill="1" applyProtection="1"/>
    <xf numFmtId="0" fontId="0" fillId="25" borderId="0" xfId="0" applyFill="1" applyProtection="1"/>
    <xf numFmtId="0" fontId="0" fillId="28" borderId="0" xfId="0" applyFill="1" applyProtection="1"/>
    <xf numFmtId="164" fontId="0" fillId="28" borderId="0" xfId="0" applyNumberFormat="1" applyFill="1" applyProtection="1"/>
    <xf numFmtId="0" fontId="56" fillId="28" borderId="0" xfId="0" applyFont="1" applyFill="1" applyProtection="1"/>
    <xf numFmtId="164" fontId="0" fillId="25" borderId="0" xfId="0" applyNumberFormat="1" applyFill="1" applyProtection="1"/>
    <xf numFmtId="0" fontId="0" fillId="4" borderId="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 applyProtection="1"/>
    <xf numFmtId="0" fontId="0" fillId="0" borderId="0" xfId="0" applyAlignment="1" applyProtection="1">
      <alignment horizontal="center"/>
    </xf>
    <xf numFmtId="164" fontId="71" fillId="0" borderId="0" xfId="0" applyNumberFormat="1" applyFont="1" applyAlignment="1" applyProtection="1">
      <alignment horizontal="center"/>
    </xf>
    <xf numFmtId="0" fontId="0" fillId="0" borderId="132" xfId="0" applyBorder="1" applyProtection="1"/>
    <xf numFmtId="164" fontId="0" fillId="0" borderId="132" xfId="0" applyNumberFormat="1" applyBorder="1" applyAlignment="1" applyProtection="1">
      <alignment horizontal="center"/>
    </xf>
    <xf numFmtId="164" fontId="0" fillId="0" borderId="132" xfId="0" applyNumberFormat="1" applyBorder="1" applyProtection="1"/>
    <xf numFmtId="164" fontId="0" fillId="39" borderId="0" xfId="0" applyNumberFormat="1" applyFill="1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73" fillId="0" borderId="0" xfId="0" applyNumberFormat="1" applyFont="1" applyProtection="1"/>
    <xf numFmtId="168" fontId="0" fillId="0" borderId="0" xfId="0" applyNumberFormat="1" applyProtection="1"/>
    <xf numFmtId="0" fontId="0" fillId="30" borderId="0" xfId="0" applyFill="1" applyProtection="1"/>
    <xf numFmtId="164" fontId="10" fillId="9" borderId="14" xfId="0" applyNumberFormat="1" applyFont="1" applyFill="1" applyBorder="1" applyAlignment="1" applyProtection="1">
      <alignment horizontal="left" vertical="center"/>
    </xf>
    <xf numFmtId="164" fontId="10" fillId="9" borderId="15" xfId="0" applyNumberFormat="1" applyFont="1" applyFill="1" applyBorder="1" applyAlignment="1" applyProtection="1">
      <alignment horizontal="left" vertical="center"/>
    </xf>
    <xf numFmtId="0" fontId="46" fillId="0" borderId="0" xfId="0" applyFont="1" applyProtection="1"/>
    <xf numFmtId="0" fontId="46" fillId="30" borderId="0" xfId="0" applyFont="1" applyFill="1" applyProtection="1"/>
    <xf numFmtId="0" fontId="0" fillId="0" borderId="0" xfId="0" applyAlignment="1" applyProtection="1">
      <alignment horizontal="right"/>
    </xf>
    <xf numFmtId="0" fontId="0" fillId="12" borderId="2" xfId="0" applyFill="1" applyBorder="1" applyAlignment="1" applyProtection="1">
      <alignment horizontal="center"/>
    </xf>
    <xf numFmtId="0" fontId="10" fillId="0" borderId="0" xfId="0" applyFont="1" applyProtection="1"/>
    <xf numFmtId="164" fontId="10" fillId="0" borderId="0" xfId="0" applyNumberFormat="1" applyFont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0" fontId="0" fillId="7" borderId="25" xfId="5" applyFont="1"/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70" fontId="15" fillId="2" borderId="1" xfId="1" applyNumberFormat="1" applyFont="1" applyAlignment="1" applyProtection="1"/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2" fillId="7" borderId="29" xfId="5" quotePrefix="1" applyNumberFormat="1" applyFont="1" applyBorder="1" applyAlignment="1">
      <alignment horizontal="center" vertical="center"/>
    </xf>
    <xf numFmtId="167" fontId="62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5" borderId="2" xfId="0" applyNumberFormat="1" applyFont="1" applyFill="1" applyBorder="1" applyAlignment="1">
      <alignment horizontal="center"/>
    </xf>
    <xf numFmtId="164" fontId="10" fillId="35" borderId="2" xfId="0" quotePrefix="1" applyNumberFormat="1" applyFont="1" applyFill="1" applyBorder="1" applyAlignment="1">
      <alignment horizontal="center"/>
    </xf>
    <xf numFmtId="2" fontId="10" fillId="36" borderId="2" xfId="0" applyNumberFormat="1" applyFont="1" applyFill="1" applyBorder="1" applyAlignment="1">
      <alignment horizontal="center"/>
    </xf>
    <xf numFmtId="164" fontId="10" fillId="36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44" borderId="2" xfId="5" applyNumberFormat="1" applyFont="1" applyFill="1" applyBorder="1" applyAlignment="1" applyProtection="1">
      <alignment horizontal="center"/>
    </xf>
    <xf numFmtId="0" fontId="1" fillId="44" borderId="2" xfId="1" applyFill="1" applyBorder="1" applyAlignment="1" applyProtection="1">
      <alignment horizontal="center"/>
    </xf>
    <xf numFmtId="164" fontId="10" fillId="45" borderId="2" xfId="0" applyNumberFormat="1" applyFont="1" applyFill="1" applyBorder="1" applyAlignment="1">
      <alignment horizontal="center"/>
    </xf>
    <xf numFmtId="164" fontId="10" fillId="46" borderId="2" xfId="0" applyNumberFormat="1" applyFont="1" applyFill="1" applyBorder="1" applyAlignment="1">
      <alignment horizontal="center"/>
    </xf>
    <xf numFmtId="164" fontId="10" fillId="47" borderId="2" xfId="0" applyNumberFormat="1" applyFont="1" applyFill="1" applyBorder="1" applyAlignment="1">
      <alignment horizontal="center"/>
    </xf>
    <xf numFmtId="166" fontId="73" fillId="0" borderId="94" xfId="0" applyNumberFormat="1" applyFont="1" applyBorder="1" applyAlignment="1">
      <alignment horizontal="center" vertical="center"/>
    </xf>
    <xf numFmtId="166" fontId="73" fillId="42" borderId="2" xfId="0" applyNumberFormat="1" applyFont="1" applyFill="1" applyBorder="1" applyAlignment="1">
      <alignment horizontal="center" vertical="center"/>
    </xf>
    <xf numFmtId="166" fontId="73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5" borderId="5" xfId="0" applyNumberFormat="1" applyFont="1" applyFill="1" applyBorder="1"/>
    <xf numFmtId="170" fontId="10" fillId="36" borderId="5" xfId="0" applyNumberFormat="1" applyFont="1" applyFill="1" applyBorder="1"/>
    <xf numFmtId="164" fontId="73" fillId="9" borderId="144" xfId="5" applyNumberFormat="1" applyFont="1" applyFill="1" applyBorder="1" applyAlignment="1" applyProtection="1"/>
    <xf numFmtId="164" fontId="73" fillId="9" borderId="145" xfId="5" applyNumberFormat="1" applyFont="1" applyFill="1" applyBorder="1" applyAlignment="1" applyProtection="1"/>
    <xf numFmtId="164" fontId="73" fillId="9" borderId="147" xfId="5" applyNumberFormat="1" applyFont="1" applyFill="1" applyBorder="1" applyAlignment="1" applyProtection="1"/>
    <xf numFmtId="164" fontId="73" fillId="9" borderId="62" xfId="5" applyNumberFormat="1" applyFont="1" applyFill="1" applyBorder="1" applyAlignment="1" applyProtection="1"/>
    <xf numFmtId="164" fontId="10" fillId="25" borderId="2" xfId="0" applyNumberFormat="1" applyFont="1" applyFill="1" applyBorder="1" applyAlignment="1" applyProtection="1">
      <alignment horizontal="center" vertical="center"/>
    </xf>
    <xf numFmtId="164" fontId="73" fillId="7" borderId="69" xfId="5" quotePrefix="1" applyNumberFormat="1" applyFont="1" applyBorder="1" applyAlignment="1" applyProtection="1">
      <alignment horizontal="left"/>
    </xf>
    <xf numFmtId="164" fontId="73" fillId="7" borderId="70" xfId="5" quotePrefix="1" applyNumberFormat="1" applyFont="1" applyBorder="1" applyAlignment="1" applyProtection="1">
      <alignment horizontal="left"/>
    </xf>
    <xf numFmtId="164" fontId="73" fillId="7" borderId="71" xfId="5" quotePrefix="1" applyNumberFormat="1" applyFont="1" applyBorder="1" applyAlignment="1" applyProtection="1">
      <alignment horizontal="left"/>
    </xf>
    <xf numFmtId="164" fontId="73" fillId="7" borderId="96" xfId="5" applyNumberFormat="1" applyFont="1" applyBorder="1" applyAlignment="1" applyProtection="1">
      <alignment horizontal="center"/>
    </xf>
    <xf numFmtId="164" fontId="73" fillId="7" borderId="29" xfId="5" applyNumberFormat="1" applyFont="1" applyBorder="1" applyAlignment="1" applyProtection="1">
      <alignment horizontal="center"/>
    </xf>
    <xf numFmtId="164" fontId="73" fillId="7" borderId="67" xfId="5" applyNumberFormat="1" applyFont="1" applyBorder="1" applyAlignment="1" applyProtection="1">
      <alignment horizontal="left"/>
    </xf>
    <xf numFmtId="164" fontId="73" fillId="7" borderId="78" xfId="5" applyNumberFormat="1" applyFont="1" applyBorder="1" applyAlignment="1" applyProtection="1">
      <alignment horizontal="left"/>
    </xf>
    <xf numFmtId="164" fontId="73" fillId="7" borderId="66" xfId="5" applyNumberFormat="1" applyFont="1" applyBorder="1" applyAlignment="1" applyProtection="1">
      <alignment horizontal="left"/>
    </xf>
    <xf numFmtId="164" fontId="73" fillId="7" borderId="74" xfId="5" applyNumberFormat="1" applyFont="1" applyBorder="1" applyAlignment="1" applyProtection="1">
      <alignment horizontal="center"/>
    </xf>
    <xf numFmtId="164" fontId="73" fillId="7" borderId="75" xfId="5" applyNumberFormat="1" applyFont="1" applyBorder="1" applyAlignment="1" applyProtection="1">
      <alignment horizontal="center"/>
    </xf>
    <xf numFmtId="164" fontId="73" fillId="7" borderId="68" xfId="5" applyNumberFormat="1" applyFont="1" applyBorder="1" applyAlignment="1" applyProtection="1">
      <alignment horizontal="left"/>
    </xf>
    <xf numFmtId="164" fontId="73" fillId="7" borderId="76" xfId="5" applyNumberFormat="1" applyFont="1" applyBorder="1" applyAlignment="1" applyProtection="1">
      <alignment horizontal="left"/>
    </xf>
    <xf numFmtId="164" fontId="73" fillId="7" borderId="77" xfId="5" applyNumberFormat="1" applyFont="1" applyBorder="1" applyAlignment="1" applyProtection="1">
      <alignment horizontal="left"/>
    </xf>
    <xf numFmtId="164" fontId="73" fillId="7" borderId="72" xfId="5" applyNumberFormat="1" applyFont="1" applyBorder="1" applyAlignment="1" applyProtection="1">
      <alignment horizontal="center"/>
    </xf>
    <xf numFmtId="164" fontId="73" fillId="7" borderId="73" xfId="5" applyNumberFormat="1" applyFont="1" applyBorder="1" applyAlignment="1" applyProtection="1">
      <alignment horizontal="center"/>
    </xf>
    <xf numFmtId="164" fontId="0" fillId="21" borderId="2" xfId="0" applyNumberFormat="1" applyFill="1" applyBorder="1" applyAlignment="1" applyProtection="1">
      <alignment horizontal="center"/>
    </xf>
    <xf numFmtId="164" fontId="73" fillId="38" borderId="2" xfId="0" applyNumberFormat="1" applyFont="1" applyFill="1" applyBorder="1" applyAlignment="1" applyProtection="1">
      <alignment horizontal="center"/>
    </xf>
    <xf numFmtId="164" fontId="0" fillId="25" borderId="2" xfId="0" applyNumberFormat="1" applyFill="1" applyBorder="1" applyAlignment="1" applyProtection="1">
      <alignment horizontal="center"/>
    </xf>
    <xf numFmtId="164" fontId="0" fillId="25" borderId="28" xfId="0" applyNumberFormat="1" applyFill="1" applyBorder="1" applyAlignment="1" applyProtection="1">
      <alignment horizontal="center"/>
    </xf>
    <xf numFmtId="164" fontId="0" fillId="25" borderId="7" xfId="0" applyNumberFormat="1" applyFill="1" applyBorder="1" applyAlignment="1" applyProtection="1">
      <alignment horizontal="center" vertical="center"/>
    </xf>
    <xf numFmtId="164" fontId="0" fillId="25" borderId="9" xfId="0" applyNumberFormat="1" applyFill="1" applyBorder="1" applyAlignment="1" applyProtection="1">
      <alignment horizontal="center" vertical="center"/>
    </xf>
    <xf numFmtId="164" fontId="0" fillId="25" borderId="45" xfId="0" applyNumberFormat="1" applyFill="1" applyBorder="1" applyAlignment="1" applyProtection="1">
      <alignment horizontal="center" vertical="center"/>
    </xf>
    <xf numFmtId="164" fontId="0" fillId="25" borderId="4" xfId="0" applyNumberFormat="1" applyFill="1" applyBorder="1" applyAlignment="1" applyProtection="1">
      <alignment horizontal="center" vertical="center"/>
    </xf>
    <xf numFmtId="164" fontId="0" fillId="25" borderId="10" xfId="0" applyNumberFormat="1" applyFill="1" applyBorder="1" applyAlignment="1" applyProtection="1">
      <alignment horizontal="center" vertical="center"/>
    </xf>
    <xf numFmtId="164" fontId="0" fillId="25" borderId="12" xfId="0" applyNumberFormat="1" applyFill="1" applyBorder="1" applyAlignment="1" applyProtection="1">
      <alignment horizontal="center" vertical="center"/>
    </xf>
    <xf numFmtId="164" fontId="73" fillId="38" borderId="28" xfId="0" applyNumberFormat="1" applyFont="1" applyFill="1" applyBorder="1" applyAlignment="1" applyProtection="1">
      <alignment horizontal="center"/>
    </xf>
    <xf numFmtId="164" fontId="0" fillId="4" borderId="29" xfId="0" applyNumberForma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</xf>
    <xf numFmtId="164" fontId="73" fillId="38" borderId="2" xfId="0" applyNumberFormat="1" applyFont="1" applyFill="1" applyBorder="1" applyAlignment="1" applyProtection="1">
      <alignment horizontal="center" vertical="center"/>
    </xf>
    <xf numFmtId="0" fontId="73" fillId="38" borderId="28" xfId="0" applyFont="1" applyFill="1" applyBorder="1" applyAlignment="1" applyProtection="1">
      <alignment horizontal="center"/>
    </xf>
    <xf numFmtId="164" fontId="73" fillId="38" borderId="5" xfId="0" applyNumberFormat="1" applyFont="1" applyFill="1" applyBorder="1" applyAlignment="1" applyProtection="1">
      <alignment horizontal="center"/>
    </xf>
    <xf numFmtId="164" fontId="73" fillId="38" borderId="6" xfId="0" applyNumberFormat="1" applyFont="1" applyFill="1" applyBorder="1" applyAlignment="1" applyProtection="1">
      <alignment horizontal="center"/>
    </xf>
    <xf numFmtId="0" fontId="67" fillId="4" borderId="2" xfId="0" applyFont="1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 vertical="center"/>
    </xf>
    <xf numFmtId="0" fontId="19" fillId="13" borderId="10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18" fillId="12" borderId="2" xfId="0" applyFont="1" applyFill="1" applyBorder="1" applyAlignment="1" applyProtection="1">
      <alignment horizontal="left" vertical="center"/>
    </xf>
    <xf numFmtId="0" fontId="18" fillId="12" borderId="28" xfId="0" applyFont="1" applyFill="1" applyBorder="1" applyAlignment="1" applyProtection="1">
      <alignment horizontal="lef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 vertical="center"/>
    </xf>
    <xf numFmtId="164" fontId="71" fillId="4" borderId="29" xfId="0" applyNumberFormat="1" applyFont="1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22" fillId="6" borderId="24" xfId="4" applyNumberFormat="1" applyFont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22" fillId="6" borderId="24" xfId="4" applyNumberFormat="1" applyFont="1" applyAlignment="1" applyProtection="1">
      <alignment horizontal="center"/>
    </xf>
    <xf numFmtId="164" fontId="58" fillId="27" borderId="2" xfId="0" applyNumberFormat="1" applyFont="1" applyFill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 applyProtection="1">
      <alignment horizontal="center"/>
    </xf>
    <xf numFmtId="0" fontId="57" fillId="27" borderId="2" xfId="0" applyFont="1" applyFill="1" applyBorder="1" applyAlignment="1" applyProtection="1">
      <alignment horizontal="center"/>
    </xf>
    <xf numFmtId="164" fontId="57" fillId="27" borderId="2" xfId="0" applyNumberFormat="1" applyFont="1" applyFill="1" applyBorder="1" applyAlignment="1" applyProtection="1">
      <alignment horizontal="left"/>
    </xf>
    <xf numFmtId="0" fontId="57" fillId="27" borderId="2" xfId="0" applyFont="1" applyFill="1" applyBorder="1" applyAlignment="1" applyProtection="1">
      <alignment horizontal="left"/>
    </xf>
    <xf numFmtId="164" fontId="22" fillId="6" borderId="47" xfId="4" applyNumberFormat="1" applyFont="1" applyBorder="1" applyAlignment="1" applyProtection="1">
      <alignment horizontal="center"/>
    </xf>
    <xf numFmtId="164" fontId="10" fillId="9" borderId="15" xfId="0" applyNumberFormat="1" applyFont="1" applyFill="1" applyBorder="1" applyAlignment="1" applyProtection="1">
      <alignment horizontal="center"/>
    </xf>
    <xf numFmtId="0" fontId="0" fillId="7" borderId="117" xfId="5" quotePrefix="1" applyFont="1" applyBorder="1" applyAlignment="1" applyProtection="1">
      <alignment horizontal="center"/>
    </xf>
    <xf numFmtId="0" fontId="0" fillId="7" borderId="118" xfId="5" quotePrefix="1" applyFon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45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0" fontId="23" fillId="7" borderId="25" xfId="5" applyFont="1" applyProtection="1"/>
    <xf numFmtId="0" fontId="0" fillId="12" borderId="2" xfId="0" applyFill="1" applyBorder="1" applyAlignment="1" applyProtection="1">
      <alignment horizontal="center" vertical="center"/>
    </xf>
    <xf numFmtId="164" fontId="10" fillId="15" borderId="0" xfId="8" applyNumberFormat="1" applyFont="1" applyAlignment="1" applyProtection="1">
      <alignment horizontal="center"/>
    </xf>
    <xf numFmtId="164" fontId="10" fillId="15" borderId="37" xfId="8" applyNumberFormat="1" applyFont="1" applyBorder="1" applyAlignment="1" applyProtection="1">
      <alignment horizontal="center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164" fontId="19" fillId="13" borderId="3" xfId="2" applyNumberFormat="1" applyFont="1" applyBorder="1" applyAlignment="1" applyProtection="1">
      <alignment horizontal="center" vertical="center"/>
      <protection locked="0"/>
    </xf>
    <xf numFmtId="164" fontId="19" fillId="13" borderId="1" xfId="2" applyNumberFormat="1" applyFont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 wrapText="1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54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0" fillId="15" borderId="2" xfId="8" applyNumberFormat="1" applyFont="1" applyBorder="1" applyAlignment="1" applyProtection="1">
      <alignment horizontal="center" wrapText="1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9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93" xfId="1" applyNumberFormat="1" applyFont="1" applyBorder="1" applyAlignment="1" applyProtection="1">
      <alignment horizontal="center"/>
    </xf>
    <xf numFmtId="164" fontId="22" fillId="6" borderId="110" xfId="4" applyNumberFormat="1" applyFont="1" applyBorder="1" applyAlignment="1" applyProtection="1">
      <alignment horizontal="left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0" fontId="10" fillId="15" borderId="0" xfId="8" applyFont="1" applyBorder="1" applyAlignment="1" applyProtection="1">
      <alignment horizontal="right" vertical="center"/>
    </xf>
    <xf numFmtId="164" fontId="15" fillId="2" borderId="107" xfId="1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164" fontId="21" fillId="5" borderId="15" xfId="3" applyNumberFormat="1" applyFont="1" applyBorder="1" applyAlignment="1" applyProtection="1">
      <alignment horizontal="center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0" fontId="21" fillId="5" borderId="2" xfId="3" applyFont="1" applyBorder="1" applyAlignment="1" applyProtection="1">
      <alignment horizontal="center"/>
    </xf>
    <xf numFmtId="164" fontId="15" fillId="2" borderId="13" xfId="1" applyNumberFormat="1" applyFont="1" applyBorder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0" fontId="10" fillId="15" borderId="2" xfId="8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164" fontId="19" fillId="13" borderId="3" xfId="2" quotePrefix="1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0" fontId="10" fillId="19" borderId="28" xfId="8" applyFont="1" applyFill="1" applyBorder="1" applyAlignment="1" applyProtection="1">
      <alignment horizontal="right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164" fontId="10" fillId="15" borderId="1" xfId="8" applyNumberFormat="1" applyFont="1" applyBorder="1" applyAlignment="1" applyProtection="1">
      <alignment horizontal="center" vertical="center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92" xfId="2" quotePrefix="1" applyNumberFormat="1" applyFont="1" applyBorder="1" applyAlignment="1" applyProtection="1">
      <alignment horizontal="center" vertical="center"/>
      <protection locked="0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0" fontId="15" fillId="2" borderId="1" xfId="1" applyFont="1" applyAlignment="1" applyProtection="1">
      <alignment horizontal="center" vertical="center"/>
    </xf>
    <xf numFmtId="164" fontId="19" fillId="13" borderId="84" xfId="2" applyNumberFormat="1" applyFont="1" applyBorder="1" applyAlignment="1" applyProtection="1">
      <alignment horizontal="center" vertical="center"/>
      <protection locked="0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0" fontId="19" fillId="13" borderId="17" xfId="2" applyFont="1" applyBorder="1" applyAlignment="1" applyProtection="1">
      <alignment horizontal="center" vertical="center"/>
      <protection locked="0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 vertical="center"/>
    </xf>
    <xf numFmtId="0" fontId="10" fillId="15" borderId="1" xfId="8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/>
    </xf>
    <xf numFmtId="0" fontId="1" fillId="2" borderId="1" xfId="1" applyAlignment="1" applyProtection="1">
      <alignment horizontal="center"/>
    </xf>
    <xf numFmtId="164" fontId="10" fillId="9" borderId="93" xfId="0" applyNumberFormat="1" applyFont="1" applyFill="1" applyBorder="1" applyAlignment="1" applyProtection="1">
      <alignment horizontal="center"/>
    </xf>
    <xf numFmtId="164" fontId="10" fillId="7" borderId="96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3" fillId="7" borderId="62" xfId="5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0" fontId="28" fillId="5" borderId="2" xfId="3" applyFont="1" applyBorder="1" applyAlignment="1" applyProtection="1">
      <alignment horizontal="center" vertical="center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0" fontId="19" fillId="13" borderId="2" xfId="2" quotePrefix="1" applyFont="1" applyBorder="1" applyAlignment="1" applyProtection="1">
      <alignment horizontal="center"/>
      <protection locked="0"/>
    </xf>
    <xf numFmtId="44" fontId="10" fillId="15" borderId="80" xfId="8" applyNumberFormat="1" applyFont="1" applyBorder="1" applyAlignment="1" applyProtection="1">
      <alignment horizontal="center" vertical="center" wrapText="1"/>
    </xf>
    <xf numFmtId="44" fontId="10" fillId="15" borderId="81" xfId="8" applyNumberFormat="1" applyFont="1" applyBorder="1" applyAlignment="1" applyProtection="1">
      <alignment horizontal="center" vertical="center" wrapText="1"/>
    </xf>
    <xf numFmtId="44" fontId="10" fillId="15" borderId="82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6" fillId="6" borderId="83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164" fontId="22" fillId="6" borderId="40" xfId="4" applyNumberFormat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104" xfId="8" applyFont="1" applyFill="1" applyBorder="1" applyAlignment="1" applyProtection="1">
      <alignment horizontal="right"/>
    </xf>
    <xf numFmtId="0" fontId="13" fillId="16" borderId="105" xfId="8" applyFont="1" applyFill="1" applyBorder="1" applyAlignment="1" applyProtection="1">
      <alignment horizontal="right"/>
    </xf>
    <xf numFmtId="0" fontId="13" fillId="16" borderId="106" xfId="8" applyFont="1" applyFill="1" applyBorder="1" applyAlignment="1" applyProtection="1">
      <alignment horizontal="right"/>
    </xf>
    <xf numFmtId="0" fontId="3" fillId="13" borderId="129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93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0" fillId="11" borderId="2" xfId="6" quotePrefix="1" applyNumberFormat="1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10" fillId="0" borderId="0" xfId="0" quotePrefix="1" applyNumberFormat="1" applyFont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21" fillId="5" borderId="41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21" fillId="5" borderId="63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164" fontId="15" fillId="2" borderId="13" xfId="1" applyNumberFormat="1" applyFont="1" applyBorder="1" applyAlignment="1" applyProtection="1">
      <alignment horizontal="center"/>
    </xf>
    <xf numFmtId="0" fontId="18" fillId="3" borderId="5" xfId="0" applyFont="1" applyFill="1" applyBorder="1" applyAlignment="1" applyProtection="1">
      <alignment horizontal="center"/>
    </xf>
    <xf numFmtId="0" fontId="18" fillId="3" borderId="23" xfId="0" applyFont="1" applyFill="1" applyBorder="1" applyAlignment="1" applyProtection="1">
      <alignment horizontal="center"/>
    </xf>
    <xf numFmtId="0" fontId="18" fillId="3" borderId="6" xfId="0" applyFont="1" applyFill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5" xfId="5" quotePrefix="1" applyFont="1" applyBorder="1" applyAlignment="1" applyProtection="1">
      <alignment horizontal="center"/>
    </xf>
    <xf numFmtId="0" fontId="0" fillId="7" borderId="116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30" fillId="7" borderId="22" xfId="5" applyNumberFormat="1" applyFont="1" applyBorder="1" applyAlignment="1" applyProtection="1">
      <alignment horizontal="center"/>
    </xf>
    <xf numFmtId="164" fontId="22" fillId="6" borderId="83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164" fontId="20" fillId="11" borderId="45" xfId="6" applyNumberFormat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/>
    </xf>
    <xf numFmtId="0" fontId="18" fillId="0" borderId="0" xfId="0" applyFont="1" applyProtection="1"/>
    <xf numFmtId="164" fontId="10" fillId="7" borderId="67" xfId="5" applyNumberFormat="1" applyFont="1" applyBorder="1" applyAlignment="1" applyProtection="1">
      <alignment horizontal="left"/>
    </xf>
    <xf numFmtId="164" fontId="10" fillId="7" borderId="78" xfId="5" applyNumberFormat="1" applyFont="1" applyBorder="1" applyAlignment="1" applyProtection="1">
      <alignment horizontal="left"/>
    </xf>
    <xf numFmtId="164" fontId="10" fillId="7" borderId="66" xfId="5" applyNumberFormat="1" applyFont="1" applyBorder="1" applyAlignment="1" applyProtection="1">
      <alignment horizontal="left"/>
    </xf>
    <xf numFmtId="164" fontId="10" fillId="7" borderId="68" xfId="5" applyNumberFormat="1" applyFont="1" applyBorder="1" applyAlignment="1" applyProtection="1">
      <alignment horizontal="left"/>
    </xf>
    <xf numFmtId="164" fontId="10" fillId="7" borderId="76" xfId="5" applyNumberFormat="1" applyFont="1" applyBorder="1" applyAlignment="1" applyProtection="1">
      <alignment horizontal="left"/>
    </xf>
    <xf numFmtId="164" fontId="10" fillId="7" borderId="77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center"/>
    </xf>
    <xf numFmtId="164" fontId="10" fillId="7" borderId="75" xfId="5" applyNumberFormat="1" applyFont="1" applyBorder="1" applyAlignment="1" applyProtection="1">
      <alignment horizontal="center"/>
    </xf>
    <xf numFmtId="164" fontId="10" fillId="7" borderId="72" xfId="5" applyNumberFormat="1" applyFont="1" applyBorder="1" applyAlignment="1" applyProtection="1">
      <alignment horizontal="center"/>
    </xf>
    <xf numFmtId="164" fontId="10" fillId="7" borderId="73" xfId="5" applyNumberFormat="1" applyFont="1" applyBorder="1" applyAlignment="1" applyProtection="1">
      <alignment horizontal="center"/>
    </xf>
    <xf numFmtId="164" fontId="30" fillId="7" borderId="65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164" fontId="27" fillId="17" borderId="0" xfId="0" applyNumberFormat="1" applyFont="1" applyFill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 applyProtection="1">
      <alignment horizontal="center" vertical="center"/>
    </xf>
    <xf numFmtId="164" fontId="30" fillId="9" borderId="15" xfId="0" applyNumberFormat="1" applyFont="1" applyFill="1" applyBorder="1" applyAlignment="1" applyProtection="1">
      <alignment horizontal="center"/>
    </xf>
    <xf numFmtId="0" fontId="10" fillId="15" borderId="37" xfId="8" applyFont="1" applyBorder="1" applyAlignment="1" applyProtection="1">
      <alignment horizontal="right" vertical="center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0" fillId="27" borderId="2" xfId="0" applyNumberFormat="1" applyFont="1" applyFill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center" vertical="center"/>
    </xf>
    <xf numFmtId="164" fontId="10" fillId="0" borderId="11" xfId="0" applyNumberFormat="1" applyFont="1" applyBorder="1" applyAlignment="1" applyProtection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9" xfId="6" applyNumberFormat="1" applyFont="1" applyBorder="1" applyAlignment="1" applyProtection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0" fillId="0" borderId="0" xfId="0" applyNumberFormat="1" applyFont="1" applyAlignment="1" applyProtection="1">
      <alignment horizontal="center"/>
    </xf>
    <xf numFmtId="164" fontId="20" fillId="11" borderId="6" xfId="6" applyNumberFormat="1" applyFont="1" applyBorder="1" applyAlignment="1" applyProtection="1">
      <alignment horizontal="center"/>
    </xf>
    <xf numFmtId="164" fontId="13" fillId="3" borderId="5" xfId="0" applyNumberFormat="1" applyFont="1" applyFill="1" applyBorder="1" applyAlignment="1" applyProtection="1">
      <alignment horizontal="center"/>
    </xf>
    <xf numFmtId="164" fontId="13" fillId="3" borderId="23" xfId="0" applyNumberFormat="1" applyFont="1" applyFill="1" applyBorder="1" applyAlignment="1" applyProtection="1">
      <alignment horizontal="center"/>
    </xf>
    <xf numFmtId="164" fontId="13" fillId="3" borderId="9" xfId="0" applyNumberFormat="1" applyFont="1" applyFill="1" applyBorder="1" applyAlignment="1" applyProtection="1">
      <alignment horizontal="center"/>
    </xf>
    <xf numFmtId="164" fontId="10" fillId="7" borderId="69" xfId="5" quotePrefix="1" applyNumberFormat="1" applyFont="1" applyBorder="1" applyAlignment="1" applyProtection="1">
      <alignment horizontal="left"/>
    </xf>
    <xf numFmtId="164" fontId="10" fillId="7" borderId="70" xfId="5" quotePrefix="1" applyNumberFormat="1" applyFont="1" applyBorder="1" applyAlignment="1" applyProtection="1">
      <alignment horizontal="left"/>
    </xf>
    <xf numFmtId="164" fontId="10" fillId="7" borderId="71" xfId="5" quotePrefix="1" applyNumberFormat="1" applyFont="1" applyBorder="1" applyAlignment="1" applyProtection="1">
      <alignment horizontal="left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24" fillId="40" borderId="7" xfId="3" applyNumberFormat="1" applyFont="1" applyFill="1" applyBorder="1" applyAlignment="1" applyProtection="1">
      <alignment horizontal="center" vertical="center"/>
    </xf>
    <xf numFmtId="164" fontId="24" fillId="40" borderId="8" xfId="3" applyNumberFormat="1" applyFont="1" applyFill="1" applyBorder="1" applyAlignment="1" applyProtection="1">
      <alignment horizontal="center" vertical="center"/>
    </xf>
    <xf numFmtId="164" fontId="24" fillId="40" borderId="9" xfId="3" applyNumberFormat="1" applyFont="1" applyFill="1" applyBorder="1" applyAlignment="1" applyProtection="1">
      <alignment horizontal="center" vertical="center"/>
    </xf>
    <xf numFmtId="164" fontId="24" fillId="40" borderId="45" xfId="3" applyNumberFormat="1" applyFont="1" applyFill="1" applyBorder="1" applyAlignment="1" applyProtection="1">
      <alignment horizontal="center" vertical="center"/>
    </xf>
    <xf numFmtId="164" fontId="24" fillId="40" borderId="0" xfId="3" applyNumberFormat="1" applyFont="1" applyFill="1" applyBorder="1" applyAlignment="1" applyProtection="1">
      <alignment horizontal="center" vertical="center"/>
    </xf>
    <xf numFmtId="164" fontId="24" fillId="40" borderId="4" xfId="3" applyNumberFormat="1" applyFont="1" applyFill="1" applyBorder="1" applyAlignment="1" applyProtection="1">
      <alignment horizontal="center" vertical="center"/>
    </xf>
    <xf numFmtId="164" fontId="24" fillId="40" borderId="10" xfId="3" applyNumberFormat="1" applyFont="1" applyFill="1" applyBorder="1" applyAlignment="1" applyProtection="1">
      <alignment horizontal="center" vertical="center"/>
    </xf>
    <xf numFmtId="164" fontId="24" fillId="40" borderId="11" xfId="3" applyNumberFormat="1" applyFont="1" applyFill="1" applyBorder="1" applyAlignment="1" applyProtection="1">
      <alignment horizontal="center" vertical="center"/>
    </xf>
    <xf numFmtId="164" fontId="24" fillId="40" borderId="12" xfId="3" applyNumberFormat="1" applyFont="1" applyFill="1" applyBorder="1" applyAlignment="1" applyProtection="1">
      <alignment horizontal="center" vertical="center"/>
    </xf>
    <xf numFmtId="164" fontId="20" fillId="11" borderId="60" xfId="6" applyNumberFormat="1" applyFont="1" applyBorder="1" applyAlignment="1" applyProtection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" fontId="10" fillId="9" borderId="15" xfId="0" applyNumberFormat="1" applyFont="1" applyFill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164" fontId="10" fillId="9" borderId="0" xfId="0" applyNumberFormat="1" applyFont="1" applyFill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3" fillId="7" borderId="64" xfId="5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164" fontId="10" fillId="9" borderId="2" xfId="0" applyNumberFormat="1" applyFont="1" applyFill="1" applyBorder="1" applyAlignment="1" applyProtection="1">
      <alignment horizontal="left"/>
    </xf>
    <xf numFmtId="164" fontId="10" fillId="0" borderId="2" xfId="0" applyNumberFormat="1" applyFont="1" applyBorder="1" applyAlignment="1" applyProtection="1">
      <alignment horizontal="left"/>
    </xf>
    <xf numFmtId="0" fontId="11" fillId="7" borderId="2" xfId="5" applyFont="1" applyBorder="1" applyAlignment="1" applyProtection="1">
      <alignment horizontal="center" vertical="center"/>
    </xf>
    <xf numFmtId="0" fontId="15" fillId="2" borderId="35" xfId="1" applyFont="1" applyBorder="1" applyAlignment="1" applyProtection="1">
      <alignment horizontal="center"/>
    </xf>
    <xf numFmtId="164" fontId="20" fillId="11" borderId="8" xfId="6" applyNumberFormat="1" applyFont="1" applyBorder="1" applyAlignment="1" applyProtection="1">
      <alignment horizontal="center" vertical="center"/>
    </xf>
    <xf numFmtId="164" fontId="20" fillId="11" borderId="0" xfId="6" applyNumberFormat="1" applyFont="1" applyBorder="1" applyAlignment="1" applyProtection="1">
      <alignment horizontal="center" vertical="center"/>
    </xf>
    <xf numFmtId="164" fontId="20" fillId="11" borderId="4" xfId="6" applyNumberFormat="1" applyFont="1" applyBorder="1" applyAlignment="1" applyProtection="1">
      <alignment horizontal="center" vertical="center"/>
    </xf>
    <xf numFmtId="164" fontId="20" fillId="11" borderId="15" xfId="6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164" fontId="22" fillId="6" borderId="55" xfId="4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0" fontId="0" fillId="25" borderId="0" xfId="0" applyFill="1" applyAlignment="1" applyProtection="1">
      <alignment horizontal="center" vertical="center"/>
    </xf>
    <xf numFmtId="164" fontId="13" fillId="27" borderId="2" xfId="0" applyNumberFormat="1" applyFont="1" applyFill="1" applyBorder="1" applyAlignment="1" applyProtection="1">
      <alignment horizontal="left" vertical="center"/>
    </xf>
    <xf numFmtId="164" fontId="10" fillId="38" borderId="5" xfId="5" applyNumberFormat="1" applyFont="1" applyFill="1" applyBorder="1" applyAlignment="1" applyProtection="1">
      <alignment horizontal="center"/>
    </xf>
    <xf numFmtId="164" fontId="10" fillId="38" borderId="23" xfId="5" applyNumberFormat="1" applyFont="1" applyFill="1" applyBorder="1" applyAlignment="1" applyProtection="1">
      <alignment horizontal="center"/>
    </xf>
    <xf numFmtId="164" fontId="10" fillId="38" borderId="6" xfId="5" applyNumberFormat="1" applyFont="1" applyFill="1" applyBorder="1" applyAlignment="1" applyProtection="1">
      <alignment horizontal="center"/>
    </xf>
    <xf numFmtId="164" fontId="73" fillId="38" borderId="23" xfId="0" applyNumberFormat="1" applyFont="1" applyFill="1" applyBorder="1" applyAlignment="1" applyProtection="1">
      <alignment horizontal="center"/>
    </xf>
    <xf numFmtId="164" fontId="71" fillId="4" borderId="2" xfId="0" applyNumberFormat="1" applyFont="1" applyFill="1" applyBorder="1" applyAlignment="1" applyProtection="1">
      <alignment horizontal="center" vertical="center"/>
    </xf>
    <xf numFmtId="164" fontId="10" fillId="38" borderId="5" xfId="5" quotePrefix="1" applyNumberFormat="1" applyFont="1" applyFill="1" applyBorder="1" applyAlignment="1" applyProtection="1">
      <alignment horizontal="left"/>
    </xf>
    <xf numFmtId="164" fontId="10" fillId="38" borderId="23" xfId="5" quotePrefix="1" applyNumberFormat="1" applyFont="1" applyFill="1" applyBorder="1" applyAlignment="1" applyProtection="1">
      <alignment horizontal="left"/>
    </xf>
    <xf numFmtId="164" fontId="10" fillId="38" borderId="6" xfId="5" quotePrefix="1" applyNumberFormat="1" applyFont="1" applyFill="1" applyBorder="1" applyAlignment="1" applyProtection="1">
      <alignment horizontal="left"/>
    </xf>
    <xf numFmtId="164" fontId="10" fillId="38" borderId="2" xfId="5" applyNumberFormat="1" applyFont="1" applyFill="1" applyBorder="1" applyAlignment="1" applyProtection="1">
      <alignment horizontal="center"/>
    </xf>
    <xf numFmtId="164" fontId="10" fillId="38" borderId="2" xfId="5" quotePrefix="1" applyNumberFormat="1" applyFont="1" applyFill="1" applyBorder="1" applyAlignment="1" applyProtection="1">
      <alignment horizontal="left"/>
    </xf>
    <xf numFmtId="164" fontId="10" fillId="39" borderId="2" xfId="5" applyNumberFormat="1" applyFont="1" applyFill="1" applyBorder="1" applyAlignment="1" applyProtection="1">
      <alignment horizontal="center"/>
    </xf>
    <xf numFmtId="0" fontId="52" fillId="25" borderId="2" xfId="1" applyFont="1" applyFill="1" applyBorder="1" applyAlignment="1" applyProtection="1">
      <alignment horizontal="center" vertical="center"/>
    </xf>
    <xf numFmtId="166" fontId="15" fillId="7" borderId="25" xfId="5" applyNumberFormat="1" applyFont="1" applyAlignment="1" applyProtection="1">
      <alignment horizontal="center" vertical="center"/>
    </xf>
    <xf numFmtId="164" fontId="15" fillId="2" borderId="102" xfId="1" applyNumberFormat="1" applyFont="1" applyBorder="1" applyAlignment="1" applyProtection="1">
      <alignment horizontal="center"/>
    </xf>
    <xf numFmtId="164" fontId="15" fillId="2" borderId="100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0" fontId="19" fillId="13" borderId="99" xfId="2" quotePrefix="1" applyFont="1" applyBorder="1" applyAlignment="1" applyProtection="1">
      <alignment horizontal="center"/>
      <protection locked="0"/>
    </xf>
    <xf numFmtId="0" fontId="19" fillId="13" borderId="100" xfId="2" quotePrefix="1" applyFont="1" applyBorder="1" applyAlignment="1" applyProtection="1">
      <alignment horizontal="center"/>
      <protection locked="0"/>
    </xf>
    <xf numFmtId="0" fontId="19" fillId="13" borderId="101" xfId="2" quotePrefix="1" applyFont="1" applyBorder="1" applyAlignment="1" applyProtection="1">
      <alignment horizontal="center"/>
      <protection locked="0"/>
    </xf>
    <xf numFmtId="49" fontId="19" fillId="7" borderId="25" xfId="5" quotePrefix="1" applyNumberFormat="1" applyFont="1" applyAlignment="1" applyProtection="1">
      <alignment horizontal="center"/>
    </xf>
    <xf numFmtId="49" fontId="19" fillId="7" borderId="25" xfId="5" applyNumberFormat="1" applyFont="1" applyAlignment="1" applyProtection="1">
      <alignment horizontal="center"/>
    </xf>
    <xf numFmtId="0" fontId="52" fillId="3" borderId="2" xfId="1" applyFont="1" applyFill="1" applyBorder="1" applyAlignment="1" applyProtection="1">
      <alignment horizontal="center" vertic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 applyProtection="1">
      <alignment horizontal="center" vertical="center"/>
    </xf>
    <xf numFmtId="0" fontId="0" fillId="26" borderId="2" xfId="0" applyFill="1" applyBorder="1" applyAlignment="1" applyProtection="1">
      <alignment horizontal="center" vertical="center"/>
    </xf>
    <xf numFmtId="0" fontId="0" fillId="26" borderId="7" xfId="0" applyFill="1" applyBorder="1" applyAlignment="1" applyProtection="1">
      <alignment horizontal="center" vertical="center"/>
    </xf>
    <xf numFmtId="0" fontId="0" fillId="26" borderId="8" xfId="0" applyFill="1" applyBorder="1" applyAlignment="1" applyProtection="1">
      <alignment horizontal="center" vertical="center"/>
    </xf>
    <xf numFmtId="0" fontId="0" fillId="26" borderId="9" xfId="0" applyFill="1" applyBorder="1" applyAlignment="1" applyProtection="1">
      <alignment horizontal="center" vertical="center"/>
    </xf>
    <xf numFmtId="0" fontId="0" fillId="26" borderId="10" xfId="0" applyFill="1" applyBorder="1" applyAlignment="1" applyProtection="1">
      <alignment horizontal="center" vertical="center"/>
    </xf>
    <xf numFmtId="0" fontId="0" fillId="26" borderId="11" xfId="0" applyFill="1" applyBorder="1" applyAlignment="1" applyProtection="1">
      <alignment horizontal="center" vertical="center"/>
    </xf>
    <xf numFmtId="0" fontId="0" fillId="26" borderId="12" xfId="0" applyFill="1" applyBorder="1" applyAlignment="1" applyProtection="1">
      <alignment horizontal="center" vertical="center"/>
    </xf>
    <xf numFmtId="0" fontId="42" fillId="26" borderId="5" xfId="0" applyFont="1" applyFill="1" applyBorder="1" applyAlignment="1" applyProtection="1">
      <alignment horizontal="center" vertical="center"/>
    </xf>
    <xf numFmtId="0" fontId="42" fillId="26" borderId="23" xfId="0" applyFont="1" applyFill="1" applyBorder="1" applyAlignment="1" applyProtection="1">
      <alignment horizontal="center" vertical="center"/>
    </xf>
    <xf numFmtId="164" fontId="52" fillId="25" borderId="1" xfId="1" applyNumberFormat="1" applyFont="1" applyFill="1" applyAlignment="1" applyProtection="1">
      <alignment horizontal="center" vertical="center"/>
    </xf>
    <xf numFmtId="0" fontId="52" fillId="25" borderId="1" xfId="1" applyFont="1" applyFill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0" fontId="15" fillId="2" borderId="13" xfId="1" applyFont="1" applyBorder="1" applyAlignment="1" applyProtection="1">
      <alignment horizontal="center" vertical="center"/>
    </xf>
    <xf numFmtId="0" fontId="15" fillId="2" borderId="27" xfId="1" applyFont="1" applyBorder="1" applyAlignment="1" applyProtection="1">
      <alignment horizontal="center" vertical="center"/>
    </xf>
    <xf numFmtId="164" fontId="19" fillId="13" borderId="90" xfId="2" quotePrefix="1" applyNumberFormat="1" applyFont="1" applyBorder="1" applyAlignment="1" applyProtection="1">
      <alignment horizontal="center" vertical="center"/>
      <protection locked="0"/>
    </xf>
    <xf numFmtId="164" fontId="19" fillId="13" borderId="0" xfId="2" applyNumberFormat="1" applyFont="1" applyBorder="1" applyAlignment="1" applyProtection="1">
      <alignment horizontal="center" vertical="center"/>
      <protection locked="0"/>
    </xf>
    <xf numFmtId="164" fontId="19" fillId="13" borderId="91" xfId="2" applyNumberFormat="1" applyFont="1" applyBorder="1" applyAlignment="1" applyProtection="1">
      <alignment horizontal="center" vertical="center"/>
      <protection locked="0"/>
    </xf>
    <xf numFmtId="164" fontId="19" fillId="13" borderId="90" xfId="2" applyNumberFormat="1" applyFont="1" applyBorder="1" applyAlignment="1" applyProtection="1">
      <alignment horizontal="center" vertical="center"/>
      <protection locked="0"/>
    </xf>
    <xf numFmtId="164" fontId="19" fillId="13" borderId="92" xfId="2" applyNumberFormat="1" applyFont="1" applyBorder="1" applyAlignment="1" applyProtection="1">
      <alignment horizontal="center" vertical="center"/>
      <protection locked="0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0" fillId="15" borderId="7" xfId="8" applyNumberFormat="1" applyFont="1" applyBorder="1" applyAlignment="1" applyProtection="1">
      <alignment horizontal="left" vertical="center"/>
    </xf>
    <xf numFmtId="164" fontId="10" fillId="15" borderId="8" xfId="8" applyNumberFormat="1" applyFont="1" applyBorder="1" applyAlignment="1" applyProtection="1">
      <alignment horizontal="left" vertical="center"/>
    </xf>
    <xf numFmtId="164" fontId="10" fillId="15" borderId="9" xfId="8" applyNumberFormat="1" applyFont="1" applyBorder="1" applyAlignment="1" applyProtection="1">
      <alignment horizontal="left" vertical="center"/>
    </xf>
    <xf numFmtId="164" fontId="10" fillId="15" borderId="10" xfId="8" applyNumberFormat="1" applyFont="1" applyBorder="1" applyAlignment="1" applyProtection="1">
      <alignment horizontal="left" vertical="center"/>
    </xf>
    <xf numFmtId="164" fontId="10" fillId="15" borderId="11" xfId="8" applyNumberFormat="1" applyFont="1" applyBorder="1" applyAlignment="1" applyProtection="1">
      <alignment horizontal="left" vertical="center"/>
    </xf>
    <xf numFmtId="164" fontId="10" fillId="15" borderId="12" xfId="8" applyNumberFormat="1" applyFont="1" applyBorder="1" applyAlignment="1" applyProtection="1">
      <alignment horizontal="left" vertical="center"/>
    </xf>
    <xf numFmtId="0" fontId="1" fillId="2" borderId="1" xfId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2" fillId="3" borderId="1" xfId="1" applyNumberFormat="1" applyFont="1" applyFill="1" applyAlignment="1" applyProtection="1">
      <alignment horizontal="center" vertical="center"/>
    </xf>
    <xf numFmtId="0" fontId="52" fillId="3" borderId="35" xfId="1" applyFont="1" applyFill="1" applyBorder="1" applyAlignment="1" applyProtection="1">
      <alignment horizontal="center" vertical="center"/>
    </xf>
    <xf numFmtId="0" fontId="52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9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26" borderId="14" xfId="0" applyNumberFormat="1" applyFont="1" applyFill="1" applyBorder="1" applyAlignment="1" applyProtection="1">
      <alignment horizontal="left"/>
    </xf>
    <xf numFmtId="164" fontId="13" fillId="26" borderId="15" xfId="0" applyNumberFormat="1" applyFont="1" applyFill="1" applyBorder="1" applyAlignment="1" applyProtection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90" xfId="0" applyNumberFormat="1" applyBorder="1" applyAlignment="1" applyProtection="1">
      <alignment horizontal="center"/>
    </xf>
    <xf numFmtId="169" fontId="0" fillId="0" borderId="0" xfId="0" applyNumberFormat="1" applyAlignment="1" applyProtection="1">
      <alignment horizont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 applyProtection="1">
      <alignment horizontal="center" vertical="center"/>
    </xf>
    <xf numFmtId="0" fontId="1" fillId="2" borderId="121" xfId="1" applyBorder="1" applyAlignment="1" applyProtection="1">
      <alignment horizontal="center" vertical="center"/>
    </xf>
    <xf numFmtId="0" fontId="1" fillId="2" borderId="122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23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164" fontId="52" fillId="25" borderId="27" xfId="1" applyNumberFormat="1" applyFont="1" applyFill="1" applyBorder="1" applyAlignment="1" applyProtection="1">
      <alignment horizontal="center" vertical="center"/>
    </xf>
    <xf numFmtId="164" fontId="52" fillId="25" borderId="108" xfId="1" applyNumberFormat="1" applyFont="1" applyFill="1" applyBorder="1" applyAlignment="1" applyProtection="1">
      <alignment horizontal="center" vertical="center"/>
    </xf>
    <xf numFmtId="0" fontId="52" fillId="25" borderId="35" xfId="1" applyFont="1" applyFill="1" applyBorder="1" applyAlignment="1" applyProtection="1">
      <alignment horizontal="center" vertical="center"/>
    </xf>
    <xf numFmtId="164" fontId="52" fillId="25" borderId="28" xfId="1" applyNumberFormat="1" applyFont="1" applyFill="1" applyBorder="1" applyAlignment="1" applyProtection="1">
      <alignment horizontal="center" vertical="center"/>
    </xf>
    <xf numFmtId="164" fontId="52" fillId="25" borderId="29" xfId="1" applyNumberFormat="1" applyFont="1" applyFill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0" fontId="1" fillId="2" borderId="13" xfId="1" applyBorder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2" xfId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0" fontId="10" fillId="15" borderId="51" xfId="8" applyFont="1" applyBorder="1" applyAlignment="1" applyProtection="1">
      <alignment horizontal="center" vertical="center"/>
    </xf>
    <xf numFmtId="0" fontId="10" fillId="15" borderId="22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164" fontId="47" fillId="41" borderId="13" xfId="2" applyNumberFormat="1" applyFont="1" applyFill="1" applyBorder="1" applyAlignment="1" applyProtection="1">
      <alignment horizontal="center" vertical="center"/>
      <protection locked="0"/>
    </xf>
    <xf numFmtId="164" fontId="47" fillId="41" borderId="1" xfId="2" applyNumberFormat="1" applyFont="1" applyFill="1" applyAlignment="1" applyProtection="1">
      <alignment horizontal="center" vertical="center"/>
      <protection locked="0"/>
    </xf>
    <xf numFmtId="164" fontId="47" fillId="41" borderId="13" xfId="2" quotePrefix="1" applyNumberFormat="1" applyFont="1" applyFill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1" xfId="1" applyFont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15" fillId="2" borderId="126" xfId="1" applyNumberFormat="1" applyFont="1" applyBorder="1" applyAlignment="1" applyProtection="1">
      <alignment horizontal="center"/>
    </xf>
    <xf numFmtId="164" fontId="15" fillId="2" borderId="127" xfId="1" applyNumberFormat="1" applyFont="1" applyBorder="1" applyAlignment="1" applyProtection="1">
      <alignment horizontal="center"/>
    </xf>
    <xf numFmtId="164" fontId="15" fillId="2" borderId="128" xfId="1" applyNumberFormat="1" applyFont="1" applyBorder="1" applyAlignment="1" applyProtection="1">
      <alignment horizontal="center"/>
    </xf>
    <xf numFmtId="164" fontId="15" fillId="7" borderId="25" xfId="5" applyNumberFormat="1" applyFont="1" applyAlignment="1" applyProtection="1">
      <alignment horizontal="center" vertical="center"/>
    </xf>
    <xf numFmtId="0" fontId="15" fillId="7" borderId="25" xfId="5" applyFont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20" fillId="11" borderId="11" xfId="6" applyNumberFormat="1" applyFont="1" applyBorder="1" applyAlignment="1" applyProtection="1">
      <alignment horizontal="center" vertical="center"/>
    </xf>
    <xf numFmtId="164" fontId="22" fillId="6" borderId="113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14" xfId="4" applyNumberFormat="1" applyFont="1" applyBorder="1" applyAlignment="1" applyProtection="1">
      <alignment horizontal="left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21" fillId="5" borderId="5" xfId="3" applyNumberFormat="1" applyFont="1" applyBorder="1" applyAlignment="1" applyProtection="1">
      <alignment horizontal="right"/>
    </xf>
    <xf numFmtId="164" fontId="13" fillId="3" borderId="6" xfId="0" applyNumberFormat="1" applyFont="1" applyFill="1" applyBorder="1" applyAlignment="1" applyProtection="1">
      <alignment horizontal="center"/>
    </xf>
    <xf numFmtId="164" fontId="10" fillId="9" borderId="14" xfId="0" applyNumberFormat="1" applyFont="1" applyFill="1" applyBorder="1" applyAlignment="1" applyProtection="1">
      <alignment horizontal="left"/>
    </xf>
    <xf numFmtId="164" fontId="10" fillId="9" borderId="15" xfId="0" applyNumberFormat="1" applyFont="1" applyFill="1" applyBorder="1" applyAlignment="1" applyProtection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5" xfId="5" applyNumberFormat="1" applyFont="1" applyBorder="1" applyAlignment="1" applyProtection="1">
      <alignment horizontal="center"/>
    </xf>
    <xf numFmtId="164" fontId="10" fillId="7" borderId="23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124" xfId="1" applyNumberFormat="1" applyFont="1" applyBorder="1" applyAlignment="1" applyProtection="1">
      <alignment horizontal="center" vertical="center"/>
    </xf>
    <xf numFmtId="164" fontId="15" fillId="2" borderId="54" xfId="1" applyNumberFormat="1" applyFont="1" applyBorder="1" applyAlignment="1" applyProtection="1">
      <alignment horizontal="center" vertical="center"/>
    </xf>
    <xf numFmtId="164" fontId="15" fillId="2" borderId="125" xfId="1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52" fillId="25" borderId="140" xfId="1" applyFont="1" applyFill="1" applyBorder="1" applyAlignment="1" applyProtection="1">
      <alignment horizontal="center" vertical="center"/>
    </xf>
    <xf numFmtId="0" fontId="52" fillId="25" borderId="20" xfId="1" applyFont="1" applyFill="1" applyBorder="1" applyAlignment="1" applyProtection="1">
      <alignment horizontal="center" vertical="center"/>
    </xf>
    <xf numFmtId="0" fontId="52" fillId="25" borderId="44" xfId="1" applyFont="1" applyFill="1" applyBorder="1" applyAlignment="1" applyProtection="1">
      <alignment horizontal="center" vertical="center"/>
    </xf>
    <xf numFmtId="0" fontId="52" fillId="25" borderId="43" xfId="1" applyFont="1" applyFill="1" applyBorder="1" applyAlignment="1" applyProtection="1">
      <alignment horizontal="center" vertical="center"/>
    </xf>
    <xf numFmtId="164" fontId="80" fillId="25" borderId="2" xfId="4" applyNumberFormat="1" applyFont="1" applyFill="1" applyBorder="1" applyAlignment="1" applyProtection="1">
      <alignment horizontal="center" vertical="center"/>
    </xf>
    <xf numFmtId="167" fontId="15" fillId="2" borderId="5" xfId="1" applyNumberFormat="1" applyFont="1" applyBorder="1" applyAlignment="1" applyProtection="1">
      <alignment horizontal="center"/>
    </xf>
    <xf numFmtId="167" fontId="15" fillId="2" borderId="23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6" fillId="6" borderId="83" xfId="4" applyNumberForma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0" fillId="25" borderId="5" xfId="0" applyNumberFormat="1" applyFill="1" applyBorder="1" applyAlignment="1" applyProtection="1">
      <alignment horizontal="center"/>
    </xf>
    <xf numFmtId="164" fontId="0" fillId="25" borderId="23" xfId="0" applyNumberFormat="1" applyFill="1" applyBorder="1" applyAlignment="1" applyProtection="1">
      <alignment horizontal="center"/>
    </xf>
    <xf numFmtId="164" fontId="0" fillId="25" borderId="6" xfId="0" applyNumberFormat="1" applyFill="1" applyBorder="1" applyAlignment="1" applyProtection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3" fillId="26" borderId="14" xfId="0" applyNumberFormat="1" applyFont="1" applyFill="1" applyBorder="1" applyAlignment="1">
      <alignment horizontal="left"/>
    </xf>
    <xf numFmtId="164" fontId="13" fillId="26" borderId="15" xfId="0" applyNumberFormat="1" applyFont="1" applyFill="1" applyBorder="1" applyAlignment="1">
      <alignment horizontal="left"/>
    </xf>
    <xf numFmtId="44" fontId="57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164" fontId="59" fillId="29" borderId="2" xfId="9" applyNumberFormat="1" applyFont="1" applyFill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27" fillId="17" borderId="0" xfId="0" applyNumberFormat="1" applyFont="1" applyFill="1" applyAlignment="1">
      <alignment horizontal="center" vertical="center"/>
    </xf>
    <xf numFmtId="164" fontId="10" fillId="27" borderId="2" xfId="0" applyNumberFormat="1" applyFont="1" applyFill="1" applyBorder="1" applyAlignment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47" fillId="13" borderId="13" xfId="2" applyNumberFormat="1" applyFont="1" applyBorder="1" applyAlignment="1" applyProtection="1">
      <alignment horizontal="center" vertical="center"/>
      <protection locked="0"/>
    </xf>
    <xf numFmtId="164" fontId="47" fillId="13" borderId="1" xfId="2" applyNumberFormat="1" applyFont="1" applyAlignment="1" applyProtection="1">
      <alignment horizontal="center" vertical="center"/>
      <protection locked="0"/>
    </xf>
    <xf numFmtId="164" fontId="47" fillId="13" borderId="13" xfId="2" quotePrefix="1" applyNumberFormat="1" applyFont="1" applyBorder="1" applyAlignment="1" applyProtection="1">
      <alignment horizontal="center" vertical="center"/>
      <protection locked="0"/>
    </xf>
    <xf numFmtId="0" fontId="0" fillId="26" borderId="29" xfId="0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164" fontId="22" fillId="6" borderId="120" xfId="4" applyNumberFormat="1" applyFont="1" applyBorder="1" applyAlignment="1" applyProtection="1">
      <alignment horizontal="center" vertical="center"/>
    </xf>
    <xf numFmtId="164" fontId="22" fillId="6" borderId="0" xfId="4" applyNumberFormat="1" applyFont="1" applyBorder="1" applyAlignment="1" applyProtection="1">
      <alignment horizontal="center" vertical="center"/>
    </xf>
    <xf numFmtId="164" fontId="52" fillId="3" borderId="27" xfId="1" applyNumberFormat="1" applyFont="1" applyFill="1" applyBorder="1" applyAlignment="1" applyProtection="1">
      <alignment horizontal="center" vertical="center"/>
    </xf>
    <xf numFmtId="164" fontId="52" fillId="3" borderId="13" xfId="1" applyNumberFormat="1" applyFont="1" applyFill="1" applyBorder="1" applyAlignment="1" applyProtection="1">
      <alignment horizontal="center" vertical="center"/>
    </xf>
    <xf numFmtId="49" fontId="40" fillId="13" borderId="121" xfId="2" applyNumberFormat="1" applyFont="1" applyBorder="1" applyAlignment="1" applyProtection="1">
      <alignment horizontal="center" vertical="center"/>
    </xf>
    <xf numFmtId="49" fontId="40" fillId="13" borderId="130" xfId="2" applyNumberFormat="1" applyFont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83" xfId="4" applyFont="1" applyBorder="1" applyAlignment="1" applyProtection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166" fontId="3" fillId="13" borderId="1" xfId="2" applyNumberFormat="1" applyAlignment="1" applyProtection="1">
      <alignment horizont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164" fontId="0" fillId="3" borderId="25" xfId="5" applyNumberFormat="1" applyFont="1" applyFill="1" applyAlignment="1">
      <alignment horizontal="center"/>
    </xf>
    <xf numFmtId="0" fontId="0" fillId="12" borderId="6" xfId="0" applyFill="1" applyBorder="1" applyAlignment="1">
      <alignment horizontal="center" vertic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93" xfId="0" applyNumberFormat="1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0" fontId="18" fillId="12" borderId="28" xfId="0" applyFont="1" applyFill="1" applyBorder="1" applyAlignment="1">
      <alignment horizontal="lef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left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0" fontId="0" fillId="25" borderId="0" xfId="0" applyFill="1" applyAlignment="1">
      <alignment horizontal="center" vertical="center"/>
    </xf>
    <xf numFmtId="164" fontId="10" fillId="15" borderId="111" xfId="8" applyNumberFormat="1" applyFont="1" applyBorder="1" applyAlignment="1" applyProtection="1">
      <alignment horizontal="center" vertical="center" wrapText="1"/>
    </xf>
    <xf numFmtId="164" fontId="10" fillId="15" borderId="112" xfId="8" applyNumberFormat="1" applyFont="1" applyBorder="1" applyAlignment="1" applyProtection="1">
      <alignment horizontal="center" vertical="center" wrapText="1"/>
    </xf>
    <xf numFmtId="164" fontId="13" fillId="27" borderId="2" xfId="0" applyNumberFormat="1" applyFont="1" applyFill="1" applyBorder="1" applyAlignment="1">
      <alignment horizontal="left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3" fillId="3" borderId="6" xfId="0" applyNumberFormat="1" applyFont="1" applyFill="1" applyBorder="1" applyAlignment="1">
      <alignment horizontal="center"/>
    </xf>
    <xf numFmtId="164" fontId="10" fillId="15" borderId="2" xfId="8" applyNumberFormat="1" applyFont="1" applyBorder="1" applyAlignment="1" applyProtection="1">
      <alignment horizont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60" fillId="7" borderId="2" xfId="5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15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0" fontId="39" fillId="6" borderId="53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 vertical="center"/>
    </xf>
    <xf numFmtId="44" fontId="57" fillId="15" borderId="60" xfId="8" applyNumberFormat="1" applyFont="1" applyBorder="1" applyAlignment="1" applyProtection="1">
      <alignment horizontal="center" vertical="center" wrapText="1"/>
    </xf>
    <xf numFmtId="44" fontId="57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4" xfId="5" applyNumberFormat="1" applyFont="1" applyFill="1" applyBorder="1" applyAlignment="1">
      <alignment horizontal="center"/>
    </xf>
    <xf numFmtId="0" fontId="39" fillId="6" borderId="54" xfId="4" applyFont="1" applyBorder="1" applyAlignment="1" applyProtection="1">
      <alignment horizontal="center"/>
    </xf>
    <xf numFmtId="0" fontId="39" fillId="6" borderId="55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 vertic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44" fontId="57" fillId="15" borderId="111" xfId="8" applyNumberFormat="1" applyFont="1" applyBorder="1" applyAlignment="1" applyProtection="1">
      <alignment horizontal="center" vertical="center" wrapText="1"/>
    </xf>
    <xf numFmtId="44" fontId="57" fillId="15" borderId="22" xfId="8" applyNumberFormat="1" applyFont="1" applyBorder="1" applyAlignment="1" applyProtection="1">
      <alignment horizontal="center" vertical="center" wrapText="1"/>
    </xf>
    <xf numFmtId="44" fontId="57" fillId="15" borderId="112" xfId="8" applyNumberFormat="1" applyFont="1" applyBorder="1" applyAlignment="1" applyProtection="1">
      <alignment horizontal="center" vertical="center" wrapText="1"/>
    </xf>
    <xf numFmtId="44" fontId="57" fillId="15" borderId="10" xfId="8" applyNumberFormat="1" applyFont="1" applyBorder="1" applyAlignment="1" applyProtection="1">
      <alignment horizontal="center" vertical="center" wrapText="1"/>
    </xf>
    <xf numFmtId="44" fontId="57" fillId="15" borderId="11" xfId="8" applyNumberFormat="1" applyFont="1" applyBorder="1" applyAlignment="1" applyProtection="1">
      <alignment horizontal="center" vertical="center" wrapText="1"/>
    </xf>
    <xf numFmtId="44" fontId="57" fillId="15" borderId="12" xfId="8" applyNumberFormat="1" applyFont="1" applyBorder="1" applyAlignment="1" applyProtection="1">
      <alignment horizontal="center" vertical="center" wrapText="1"/>
    </xf>
    <xf numFmtId="44" fontId="57" fillId="15" borderId="2" xfId="8" applyNumberFormat="1" applyFont="1" applyBorder="1" applyAlignment="1" applyProtection="1">
      <alignment horizontal="center" vertical="center" wrapText="1"/>
    </xf>
    <xf numFmtId="44" fontId="57" fillId="15" borderId="7" xfId="8" applyNumberFormat="1" applyFont="1" applyBorder="1" applyAlignment="1" applyProtection="1">
      <alignment horizontal="center" vertical="center" wrapText="1"/>
    </xf>
    <xf numFmtId="44" fontId="57" fillId="15" borderId="8" xfId="8" applyNumberFormat="1" applyFont="1" applyBorder="1" applyAlignment="1" applyProtection="1">
      <alignment horizontal="center" vertical="center" wrapText="1"/>
    </xf>
    <xf numFmtId="44" fontId="57" fillId="15" borderId="9" xfId="8" applyNumberFormat="1" applyFont="1" applyBorder="1" applyAlignment="1" applyProtection="1">
      <alignment horizontal="center" vertical="center" wrapText="1"/>
    </xf>
    <xf numFmtId="164" fontId="10" fillId="15" borderId="111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24" xfId="8" applyNumberFormat="1" applyFont="1" applyBorder="1" applyAlignment="1" applyProtection="1">
      <alignment horizontal="center" vertical="center"/>
    </xf>
    <xf numFmtId="164" fontId="10" fillId="15" borderId="54" xfId="8" applyNumberFormat="1" applyFont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11" fillId="3" borderId="2" xfId="0" applyFont="1" applyFill="1" applyBorder="1" applyAlignment="1">
      <alignment horizontal="left" vertic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73" fillId="38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164" fontId="73" fillId="38" borderId="5" xfId="0" applyNumberFormat="1" applyFont="1" applyFill="1" applyBorder="1" applyAlignment="1">
      <alignment horizontal="center"/>
    </xf>
    <xf numFmtId="164" fontId="73" fillId="38" borderId="6" xfId="0" applyNumberFormat="1" applyFont="1" applyFill="1" applyBorder="1" applyAlignment="1">
      <alignment horizontal="center"/>
    </xf>
    <xf numFmtId="0" fontId="73" fillId="38" borderId="5" xfId="0" applyFont="1" applyFill="1" applyBorder="1" applyAlignment="1">
      <alignment horizontal="center"/>
    </xf>
    <xf numFmtId="0" fontId="73" fillId="38" borderId="23" xfId="0" applyFont="1" applyFill="1" applyBorder="1" applyAlignment="1">
      <alignment horizontal="center"/>
    </xf>
    <xf numFmtId="0" fontId="73" fillId="38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10" fillId="25" borderId="2" xfId="0" applyNumberFormat="1" applyFont="1" applyFill="1" applyBorder="1" applyAlignment="1">
      <alignment horizontal="center" vertical="center"/>
    </xf>
    <xf numFmtId="164" fontId="73" fillId="38" borderId="69" xfId="5" quotePrefix="1" applyNumberFormat="1" applyFont="1" applyFill="1" applyBorder="1" applyAlignment="1" applyProtection="1">
      <alignment horizontal="left"/>
    </xf>
    <xf numFmtId="164" fontId="73" fillId="38" borderId="70" xfId="5" quotePrefix="1" applyNumberFormat="1" applyFont="1" applyFill="1" applyBorder="1" applyAlignment="1" applyProtection="1">
      <alignment horizontal="left"/>
    </xf>
    <xf numFmtId="164" fontId="73" fillId="38" borderId="71" xfId="5" quotePrefix="1" applyNumberFormat="1" applyFont="1" applyFill="1" applyBorder="1" applyAlignment="1" applyProtection="1">
      <alignment horizontal="left"/>
    </xf>
    <xf numFmtId="164" fontId="73" fillId="39" borderId="96" xfId="5" applyNumberFormat="1" applyFont="1" applyFill="1" applyBorder="1" applyAlignment="1" applyProtection="1">
      <alignment horizontal="center"/>
    </xf>
    <xf numFmtId="164" fontId="73" fillId="39" borderId="29" xfId="5" applyNumberFormat="1" applyFont="1" applyFill="1" applyBorder="1" applyAlignment="1" applyProtection="1">
      <alignment horizontal="center"/>
    </xf>
    <xf numFmtId="164" fontId="73" fillId="38" borderId="67" xfId="5" applyNumberFormat="1" applyFont="1" applyFill="1" applyBorder="1" applyAlignment="1" applyProtection="1">
      <alignment horizontal="left"/>
    </xf>
    <xf numFmtId="164" fontId="73" fillId="38" borderId="78" xfId="5" applyNumberFormat="1" applyFont="1" applyFill="1" applyBorder="1" applyAlignment="1" applyProtection="1">
      <alignment horizontal="left"/>
    </xf>
    <xf numFmtId="164" fontId="73" fillId="38" borderId="66" xfId="5" applyNumberFormat="1" applyFont="1" applyFill="1" applyBorder="1" applyAlignment="1" applyProtection="1">
      <alignment horizontal="left"/>
    </xf>
    <xf numFmtId="164" fontId="73" fillId="38" borderId="74" xfId="5" applyNumberFormat="1" applyFont="1" applyFill="1" applyBorder="1" applyAlignment="1" applyProtection="1">
      <alignment horizontal="center"/>
    </xf>
    <xf numFmtId="164" fontId="73" fillId="38" borderId="75" xfId="5" applyNumberFormat="1" applyFont="1" applyFill="1" applyBorder="1" applyAlignment="1" applyProtection="1">
      <alignment horizontal="center"/>
    </xf>
    <xf numFmtId="164" fontId="73" fillId="38" borderId="96" xfId="5" applyNumberFormat="1" applyFont="1" applyFill="1" applyBorder="1" applyAlignment="1" applyProtection="1">
      <alignment horizontal="center"/>
    </xf>
    <xf numFmtId="164" fontId="73" fillId="38" borderId="29" xfId="5" applyNumberFormat="1" applyFont="1" applyFill="1" applyBorder="1" applyAlignment="1" applyProtection="1">
      <alignment horizontal="center"/>
    </xf>
    <xf numFmtId="164" fontId="73" fillId="38" borderId="68" xfId="5" applyNumberFormat="1" applyFont="1" applyFill="1" applyBorder="1" applyAlignment="1" applyProtection="1">
      <alignment horizontal="left"/>
    </xf>
    <xf numFmtId="164" fontId="73" fillId="38" borderId="76" xfId="5" applyNumberFormat="1" applyFont="1" applyFill="1" applyBorder="1" applyAlignment="1" applyProtection="1">
      <alignment horizontal="left"/>
    </xf>
    <xf numFmtId="164" fontId="73" fillId="38" borderId="77" xfId="5" applyNumberFormat="1" applyFont="1" applyFill="1" applyBorder="1" applyAlignment="1" applyProtection="1">
      <alignment horizontal="left"/>
    </xf>
    <xf numFmtId="164" fontId="73" fillId="38" borderId="72" xfId="5" applyNumberFormat="1" applyFont="1" applyFill="1" applyBorder="1" applyAlignment="1" applyProtection="1">
      <alignment horizontal="center"/>
    </xf>
    <xf numFmtId="164" fontId="73" fillId="38" borderId="73" xfId="5" applyNumberFormat="1" applyFont="1" applyFill="1" applyBorder="1" applyAlignment="1" applyProtection="1">
      <alignment horizontal="center"/>
    </xf>
    <xf numFmtId="164" fontId="0" fillId="21" borderId="2" xfId="0" applyNumberForma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0" fillId="25" borderId="28" xfId="0" applyNumberFormat="1" applyFill="1" applyBorder="1" applyAlignment="1">
      <alignment horizontal="center"/>
    </xf>
    <xf numFmtId="164" fontId="73" fillId="38" borderId="28" xfId="0" applyNumberFormat="1" applyFont="1" applyFill="1" applyBorder="1" applyAlignment="1">
      <alignment horizontal="center"/>
    </xf>
    <xf numFmtId="164" fontId="73" fillId="38" borderId="2" xfId="0" applyNumberFormat="1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/>
    </xf>
    <xf numFmtId="164" fontId="0" fillId="4" borderId="29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67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73" fillId="38" borderId="28" xfId="0" applyFont="1" applyFill="1" applyBorder="1" applyAlignment="1">
      <alignment horizontal="center"/>
    </xf>
    <xf numFmtId="0" fontId="0" fillId="4" borderId="29" xfId="0" applyFill="1" applyBorder="1" applyAlignment="1">
      <alignment horizontal="center" vertical="center"/>
    </xf>
    <xf numFmtId="164" fontId="71" fillId="4" borderId="29" xfId="0" applyNumberFormat="1" applyFont="1" applyFill="1" applyBorder="1" applyAlignment="1">
      <alignment horizontal="center" vertical="center"/>
    </xf>
    <xf numFmtId="0" fontId="0" fillId="4" borderId="29" xfId="0" applyFill="1" applyBorder="1" applyAlignment="1">
      <alignment horizontal="center"/>
    </xf>
    <xf numFmtId="0" fontId="0" fillId="12" borderId="2" xfId="0" applyFill="1" applyBorder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164" fontId="29" fillId="14" borderId="55" xfId="4" applyNumberFormat="1" applyFont="1" applyFill="1" applyBorder="1" applyAlignment="1" applyProtection="1">
      <alignment horizontal="center"/>
    </xf>
    <xf numFmtId="0" fontId="3" fillId="13" borderId="1" xfId="2" applyAlignment="1" applyProtection="1">
      <alignment horizontal="center"/>
      <protection locked="0"/>
    </xf>
    <xf numFmtId="164" fontId="10" fillId="0" borderId="11" xfId="0" applyNumberFormat="1" applyFont="1" applyBorder="1" applyAlignment="1">
      <alignment horizontal="center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164" fontId="58" fillId="27" borderId="2" xfId="0" applyNumberFormat="1" applyFont="1" applyFill="1" applyBorder="1" applyAlignment="1">
      <alignment horizontal="center" vertical="center"/>
    </xf>
    <xf numFmtId="164" fontId="73" fillId="27" borderId="2" xfId="0" applyNumberFormat="1" applyFont="1" applyFill="1" applyBorder="1" applyAlignment="1">
      <alignment horizontal="center"/>
    </xf>
    <xf numFmtId="164" fontId="73" fillId="27" borderId="2" xfId="0" applyNumberFormat="1" applyFont="1" applyFill="1" applyBorder="1" applyAlignment="1">
      <alignment horizontal="left"/>
    </xf>
    <xf numFmtId="0" fontId="73" fillId="27" borderId="2" xfId="0" applyFont="1" applyFill="1" applyBorder="1" applyAlignment="1">
      <alignment horizontal="center"/>
    </xf>
    <xf numFmtId="0" fontId="73" fillId="27" borderId="2" xfId="0" applyFont="1" applyFill="1" applyBorder="1" applyAlignment="1">
      <alignment horizontal="left"/>
    </xf>
    <xf numFmtId="0" fontId="1" fillId="2" borderId="90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10" xfId="4" applyBorder="1" applyAlignment="1">
      <alignment horizontal="center"/>
    </xf>
    <xf numFmtId="0" fontId="6" fillId="6" borderId="141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43" borderId="143" xfId="5" applyNumberFormat="1" applyFont="1" applyFill="1" applyBorder="1" applyAlignment="1" applyProtection="1">
      <alignment horizontal="center"/>
    </xf>
    <xf numFmtId="164" fontId="30" fillId="43" borderId="11" xfId="5" applyNumberFormat="1" applyFont="1" applyFill="1" applyBorder="1" applyAlignment="1" applyProtection="1">
      <alignment horizontal="center"/>
    </xf>
    <xf numFmtId="164" fontId="73" fillId="48" borderId="135" xfId="0" applyNumberFormat="1" applyFont="1" applyFill="1" applyBorder="1" applyAlignment="1">
      <alignment horizontal="center"/>
    </xf>
    <xf numFmtId="164" fontId="73" fillId="48" borderId="23" xfId="0" applyNumberFormat="1" applyFont="1" applyFill="1" applyBorder="1" applyAlignment="1">
      <alignment horizontal="center"/>
    </xf>
    <xf numFmtId="164" fontId="73" fillId="48" borderId="136" xfId="0" applyNumberFormat="1" applyFont="1" applyFill="1" applyBorder="1" applyAlignment="1">
      <alignment horizontal="center"/>
    </xf>
    <xf numFmtId="164" fontId="73" fillId="9" borderId="149" xfId="5" quotePrefix="1" applyNumberFormat="1" applyFont="1" applyFill="1" applyBorder="1" applyAlignment="1" applyProtection="1">
      <alignment horizontal="center"/>
    </xf>
    <xf numFmtId="164" fontId="73" fillId="9" borderId="150" xfId="5" quotePrefix="1" applyNumberFormat="1" applyFont="1" applyFill="1" applyBorder="1" applyAlignment="1" applyProtection="1">
      <alignment horizontal="center"/>
    </xf>
    <xf numFmtId="164" fontId="73" fillId="9" borderId="151" xfId="5" quotePrefix="1" applyNumberFormat="1" applyFont="1" applyFill="1" applyBorder="1" applyAlignment="1" applyProtection="1">
      <alignment horizontal="center"/>
    </xf>
    <xf numFmtId="164" fontId="0" fillId="9" borderId="94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95" xfId="0" applyNumberFormat="1" applyFill="1" applyBorder="1" applyAlignment="1">
      <alignment horizontal="center"/>
    </xf>
    <xf numFmtId="164" fontId="0" fillId="25" borderId="94" xfId="0" applyNumberFormat="1" applyFill="1" applyBorder="1" applyAlignment="1">
      <alignment horizontal="center"/>
    </xf>
    <xf numFmtId="164" fontId="0" fillId="25" borderId="95" xfId="0" applyNumberFormat="1" applyFill="1" applyBorder="1" applyAlignment="1">
      <alignment horizontal="center"/>
    </xf>
    <xf numFmtId="164" fontId="73" fillId="0" borderId="6" xfId="0" applyNumberFormat="1" applyFont="1" applyBorder="1" applyAlignment="1">
      <alignment horizontal="center"/>
    </xf>
    <xf numFmtId="164" fontId="73" fillId="0" borderId="2" xfId="0" applyNumberFormat="1" applyFont="1" applyBorder="1" applyAlignment="1">
      <alignment horizontal="center"/>
    </xf>
    <xf numFmtId="164" fontId="73" fillId="0" borderId="5" xfId="0" applyNumberFormat="1" applyFon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/>
    </xf>
    <xf numFmtId="164" fontId="73" fillId="0" borderId="94" xfId="0" applyNumberFormat="1" applyFont="1" applyBorder="1" applyAlignment="1">
      <alignment horizontal="center"/>
    </xf>
    <xf numFmtId="164" fontId="73" fillId="0" borderId="95" xfId="0" applyNumberFormat="1" applyFont="1" applyBorder="1" applyAlignment="1">
      <alignment horizont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73" fillId="42" borderId="2" xfId="0" applyNumberFormat="1" applyFont="1" applyFill="1" applyBorder="1" applyAlignment="1">
      <alignment horizontal="center" vertical="center"/>
    </xf>
    <xf numFmtId="164" fontId="73" fillId="42" borderId="5" xfId="0" applyNumberFormat="1" applyFont="1" applyFill="1" applyBorder="1" applyAlignment="1">
      <alignment horizontal="center" vertical="center"/>
    </xf>
    <xf numFmtId="164" fontId="0" fillId="0" borderId="94" xfId="0" applyNumberFormat="1" applyBorder="1" applyAlignment="1">
      <alignment horizontal="center"/>
    </xf>
    <xf numFmtId="164" fontId="0" fillId="0" borderId="95" xfId="0" applyNumberFormat="1" applyBorder="1" applyAlignment="1">
      <alignment horizontal="center"/>
    </xf>
    <xf numFmtId="164" fontId="73" fillId="42" borderId="95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21" borderId="13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0" fillId="21" borderId="136" xfId="0" applyNumberFormat="1" applyFill="1" applyBorder="1" applyAlignment="1">
      <alignment horizontal="center"/>
    </xf>
    <xf numFmtId="164" fontId="73" fillId="38" borderId="135" xfId="0" applyNumberFormat="1" applyFont="1" applyFill="1" applyBorder="1" applyAlignment="1">
      <alignment horizontal="center"/>
    </xf>
    <xf numFmtId="164" fontId="73" fillId="38" borderId="23" xfId="0" applyNumberFormat="1" applyFont="1" applyFill="1" applyBorder="1" applyAlignment="1">
      <alignment horizontal="center"/>
    </xf>
    <xf numFmtId="164" fontId="73" fillId="38" borderId="136" xfId="0" applyNumberFormat="1" applyFont="1" applyFill="1" applyBorder="1" applyAlignment="1">
      <alignment horizontal="center"/>
    </xf>
    <xf numFmtId="0" fontId="73" fillId="38" borderId="135" xfId="0" applyFont="1" applyFill="1" applyBorder="1" applyAlignment="1">
      <alignment horizontal="center"/>
    </xf>
    <xf numFmtId="0" fontId="73" fillId="38" borderId="136" xfId="0" applyFont="1" applyFill="1" applyBorder="1" applyAlignment="1">
      <alignment horizontal="center"/>
    </xf>
    <xf numFmtId="0" fontId="79" fillId="4" borderId="14" xfId="0" applyFont="1" applyFill="1" applyBorder="1" applyAlignment="1">
      <alignment horizontal="center"/>
    </xf>
    <xf numFmtId="0" fontId="79" fillId="4" borderId="15" xfId="0" applyFont="1" applyFill="1" applyBorder="1" applyAlignment="1">
      <alignment horizontal="center"/>
    </xf>
    <xf numFmtId="0" fontId="79" fillId="4" borderId="16" xfId="0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8" xfId="0" applyFill="1" applyBorder="1" applyAlignment="1">
      <alignment horizontal="center"/>
    </xf>
    <xf numFmtId="164" fontId="10" fillId="25" borderId="137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10" fillId="25" borderId="139" xfId="0" applyNumberFormat="1" applyFont="1" applyFill="1" applyBorder="1" applyAlignment="1">
      <alignment horizontal="center" vertical="center"/>
    </xf>
    <xf numFmtId="164" fontId="73" fillId="9" borderId="25" xfId="5" applyNumberFormat="1" applyFont="1" applyFill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3" fillId="0" borderId="2" xfId="0" applyNumberFormat="1" applyFont="1" applyBorder="1" applyAlignment="1">
      <alignment horizontal="center" vertical="center"/>
    </xf>
    <xf numFmtId="164" fontId="73" fillId="0" borderId="5" xfId="0" applyNumberFormat="1" applyFont="1" applyBorder="1" applyAlignment="1">
      <alignment horizontal="center" vertical="center"/>
    </xf>
    <xf numFmtId="164" fontId="64" fillId="9" borderId="25" xfId="5" applyNumberFormat="1" applyFont="1" applyFill="1" applyAlignment="1">
      <alignment horizontal="center"/>
    </xf>
    <xf numFmtId="164" fontId="73" fillId="9" borderId="62" xfId="5" applyNumberFormat="1" applyFont="1" applyFill="1" applyBorder="1" applyAlignment="1" applyProtection="1">
      <alignment horizontal="center"/>
    </xf>
    <xf numFmtId="164" fontId="73" fillId="9" borderId="148" xfId="5" applyNumberFormat="1" applyFont="1" applyFill="1" applyBorder="1" applyAlignment="1" applyProtection="1">
      <alignment horizontal="center"/>
    </xf>
    <xf numFmtId="164" fontId="73" fillId="9" borderId="145" xfId="5" applyNumberFormat="1" applyFont="1" applyFill="1" applyBorder="1" applyAlignment="1" applyProtection="1">
      <alignment horizontal="center"/>
    </xf>
    <xf numFmtId="164" fontId="73" fillId="9" borderId="146" xfId="5" applyNumberFormat="1" applyFont="1" applyFill="1" applyBorder="1" applyAlignment="1" applyProtection="1">
      <alignment horizontal="center"/>
    </xf>
    <xf numFmtId="164" fontId="57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3" fillId="38" borderId="7" xfId="0" applyNumberFormat="1" applyFont="1" applyFill="1" applyBorder="1" applyAlignment="1">
      <alignment horizontal="center" vertical="center"/>
    </xf>
    <xf numFmtId="164" fontId="73" fillId="38" borderId="9" xfId="0" applyNumberFormat="1" applyFont="1" applyFill="1" applyBorder="1" applyAlignment="1">
      <alignment horizontal="center" vertical="center"/>
    </xf>
    <xf numFmtId="164" fontId="73" fillId="38" borderId="45" xfId="0" applyNumberFormat="1" applyFont="1" applyFill="1" applyBorder="1" applyAlignment="1">
      <alignment horizontal="center" vertical="center"/>
    </xf>
    <xf numFmtId="164" fontId="73" fillId="38" borderId="4" xfId="0" applyNumberFormat="1" applyFont="1" applyFill="1" applyBorder="1" applyAlignment="1">
      <alignment horizontal="center" vertical="center"/>
    </xf>
    <xf numFmtId="164" fontId="73" fillId="38" borderId="10" xfId="0" applyNumberFormat="1" applyFont="1" applyFill="1" applyBorder="1" applyAlignment="1">
      <alignment horizontal="center" vertical="center"/>
    </xf>
    <xf numFmtId="164" fontId="73" fillId="38" borderId="12" xfId="0" applyNumberFormat="1" applyFont="1" applyFill="1" applyBorder="1" applyAlignment="1">
      <alignment horizontal="center" vertical="center"/>
    </xf>
    <xf numFmtId="164" fontId="73" fillId="38" borderId="5" xfId="0" applyNumberFormat="1" applyFont="1" applyFill="1" applyBorder="1" applyAlignment="1">
      <alignment horizontal="right"/>
    </xf>
    <xf numFmtId="164" fontId="73" fillId="38" borderId="23" xfId="0" applyNumberFormat="1" applyFont="1" applyFill="1" applyBorder="1" applyAlignment="1">
      <alignment horizontal="right"/>
    </xf>
    <xf numFmtId="164" fontId="79" fillId="4" borderId="5" xfId="0" applyNumberFormat="1" applyFont="1" applyFill="1" applyBorder="1" applyAlignment="1">
      <alignment horizontal="center"/>
    </xf>
    <xf numFmtId="164" fontId="79" fillId="4" borderId="23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5" fillId="2" borderId="35" xfId="1" applyNumberFormat="1" applyFont="1" applyBorder="1" applyAlignment="1" applyProtection="1">
      <alignment horizontal="center" vertical="center"/>
    </xf>
    <xf numFmtId="164" fontId="15" fillId="2" borderId="3" xfId="1" applyNumberFormat="1" applyFont="1" applyBorder="1" applyAlignment="1" applyProtection="1">
      <alignment horizontal="center" vertical="center"/>
    </xf>
    <xf numFmtId="164" fontId="10" fillId="35" borderId="2" xfId="0" applyNumberFormat="1" applyFont="1" applyFill="1" applyBorder="1" applyAlignment="1">
      <alignment horizontal="center" textRotation="255"/>
    </xf>
    <xf numFmtId="164" fontId="10" fillId="36" borderId="2" xfId="0" applyNumberFormat="1" applyFont="1" applyFill="1" applyBorder="1" applyAlignment="1">
      <alignment horizontal="center" textRotation="255"/>
    </xf>
    <xf numFmtId="166" fontId="57" fillId="0" borderId="28" xfId="0" applyNumberFormat="1" applyFont="1" applyBorder="1" applyAlignment="1">
      <alignment horizontal="center" vertical="center"/>
    </xf>
    <xf numFmtId="166" fontId="57" fillId="0" borderId="60" xfId="0" applyNumberFormat="1" applyFont="1" applyBorder="1" applyAlignment="1">
      <alignment horizontal="center" vertical="center"/>
    </xf>
    <xf numFmtId="166" fontId="57" fillId="0" borderId="29" xfId="0" applyNumberFormat="1" applyFont="1" applyBorder="1" applyAlignment="1">
      <alignment horizontal="center" vertical="center"/>
    </xf>
    <xf numFmtId="0" fontId="79" fillId="4" borderId="5" xfId="0" applyFont="1" applyFill="1" applyBorder="1" applyAlignment="1">
      <alignment horizontal="center"/>
    </xf>
    <xf numFmtId="0" fontId="79" fillId="4" borderId="6" xfId="0" applyFont="1" applyFill="1" applyBorder="1" applyAlignment="1">
      <alignment horizontal="center"/>
    </xf>
    <xf numFmtId="170" fontId="79" fillId="4" borderId="23" xfId="0" applyNumberFormat="1" applyFont="1" applyFill="1" applyBorder="1" applyAlignment="1">
      <alignment horizontal="center"/>
    </xf>
    <xf numFmtId="164" fontId="10" fillId="0" borderId="2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64" fontId="57" fillId="0" borderId="2" xfId="0" applyNumberFormat="1" applyFont="1" applyBorder="1" applyAlignment="1">
      <alignment horizontal="center" vertical="center"/>
    </xf>
    <xf numFmtId="164" fontId="22" fillId="6" borderId="83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2" fontId="10" fillId="7" borderId="2" xfId="5" applyNumberFormat="1" applyFont="1" applyBorder="1" applyAlignment="1">
      <alignment horizontal="center" vertical="center"/>
    </xf>
    <xf numFmtId="170" fontId="57" fillId="0" borderId="2" xfId="0" applyNumberFormat="1" applyFont="1" applyBorder="1" applyAlignment="1">
      <alignment horizontal="center" vertic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57" fillId="0" borderId="2" xfId="0" applyNumberFormat="1" applyFont="1" applyBorder="1" applyAlignment="1">
      <alignment horizontal="center" vertical="center" wrapText="1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" fontId="10" fillId="9" borderId="15" xfId="0" applyNumberFormat="1" applyFont="1" applyFill="1" applyBorder="1" applyAlignment="1">
      <alignment horizont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60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71" fillId="4" borderId="2" xfId="0" applyNumberFormat="1" applyFont="1" applyFill="1" applyBorder="1" applyAlignment="1">
      <alignment horizontal="center" vertical="center"/>
    </xf>
    <xf numFmtId="0" fontId="79" fillId="4" borderId="142" xfId="0" applyFont="1" applyFill="1" applyBorder="1" applyAlignment="1">
      <alignment horizontal="center"/>
    </xf>
    <xf numFmtId="0" fontId="79" fillId="4" borderId="111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0" fontId="79" fillId="4" borderId="97" xfId="0" applyFont="1" applyFill="1" applyBorder="1" applyAlignment="1">
      <alignment horizontal="center"/>
    </xf>
    <xf numFmtId="0" fontId="79" fillId="4" borderId="22" xfId="0" applyFont="1" applyFill="1" applyBorder="1" applyAlignment="1">
      <alignment horizontal="center"/>
    </xf>
    <xf numFmtId="0" fontId="79" fillId="4" borderId="56" xfId="0" applyFont="1" applyFill="1" applyBorder="1" applyAlignment="1">
      <alignment horizontal="center"/>
    </xf>
    <xf numFmtId="164" fontId="73" fillId="38" borderId="28" xfId="0" applyNumberFormat="1" applyFont="1" applyFill="1" applyBorder="1" applyAlignment="1">
      <alignment horizontal="center" vertical="center"/>
    </xf>
    <xf numFmtId="164" fontId="73" fillId="38" borderId="29" xfId="0" applyNumberFormat="1" applyFont="1" applyFill="1" applyBorder="1" applyAlignment="1">
      <alignment horizontal="center" vertical="center"/>
    </xf>
    <xf numFmtId="164" fontId="57" fillId="38" borderId="28" xfId="0" applyNumberFormat="1" applyFont="1" applyFill="1" applyBorder="1" applyAlignment="1">
      <alignment horizontal="center" vertical="center"/>
    </xf>
    <xf numFmtId="164" fontId="57" fillId="38" borderId="29" xfId="0" applyNumberFormat="1" applyFont="1" applyFill="1" applyBorder="1" applyAlignment="1">
      <alignment horizontal="center" vertic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0" fontId="10" fillId="0" borderId="0" xfId="0" applyFont="1"/>
    <xf numFmtId="164" fontId="14" fillId="5" borderId="97" xfId="3" applyNumberFormat="1" applyFont="1" applyBorder="1" applyAlignment="1" applyProtection="1">
      <alignment horizontal="center" vertical="center"/>
    </xf>
    <xf numFmtId="164" fontId="14" fillId="5" borderId="22" xfId="3" applyNumberFormat="1" applyFont="1" applyBorder="1" applyAlignment="1" applyProtection="1">
      <alignment horizontal="center" vertical="center"/>
    </xf>
    <xf numFmtId="164" fontId="14" fillId="5" borderId="56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0" fillId="9" borderId="105" xfId="0" applyNumberFormat="1" applyFont="1" applyFill="1" applyBorder="1" applyAlignment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88" xfId="2" applyNumberFormat="1" applyFont="1" applyBorder="1" applyAlignment="1" applyProtection="1">
      <alignment horizontal="center" vertical="center"/>
      <protection locked="0"/>
    </xf>
    <xf numFmtId="164" fontId="19" fillId="13" borderId="89" xfId="2" applyNumberFormat="1" applyFont="1" applyBorder="1" applyAlignment="1" applyProtection="1">
      <alignment horizontal="center" vertical="center"/>
      <protection locked="0"/>
    </xf>
    <xf numFmtId="164" fontId="19" fillId="13" borderId="84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87" xfId="2" quotePrefix="1" applyNumberFormat="1" applyFont="1" applyBorder="1" applyAlignment="1" applyProtection="1">
      <alignment horizontal="center" vertical="center"/>
      <protection locked="0"/>
    </xf>
    <xf numFmtId="164" fontId="10" fillId="15" borderId="10" xfId="8" applyNumberFormat="1" applyFont="1" applyBorder="1" applyAlignment="1" applyProtection="1">
      <alignment horizontal="center" wrapText="1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92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91" xfId="2" quotePrefix="1" applyNumberFormat="1" applyFont="1" applyBorder="1" applyAlignment="1" applyProtection="1">
      <alignment horizontal="center" vertic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2" fillId="6" borderId="55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 applyProtection="1">
      <alignment horizontal="center" vertical="center"/>
    </xf>
    <xf numFmtId="0" fontId="22" fillId="6" borderId="40" xfId="4" applyFont="1" applyBorder="1" applyAlignment="1" applyProtection="1">
      <alignment horizontal="center" vertical="center"/>
    </xf>
    <xf numFmtId="164" fontId="35" fillId="11" borderId="2" xfId="6" applyNumberFormat="1" applyFont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17" fillId="2" borderId="2" xfId="1" applyNumberFormat="1" applyFont="1" applyBorder="1" applyAlignment="1" applyProtection="1">
      <alignment horizontal="center" vertical="center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164" fontId="30" fillId="7" borderId="2" xfId="5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0" fontId="10" fillId="0" borderId="0" xfId="0" quotePrefix="1" applyFont="1"/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</cellXfs>
  <cellStyles count="12">
    <cellStyle name="20% - Accent5" xfId="10" builtinId="46"/>
    <cellStyle name="60% - Accent5" xfId="8" builtinId="48" customBuiltin="1"/>
    <cellStyle name="Accent1" xfId="9" builtinId="29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4"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EBFFED"/>
      <color rgb="FFD5FFDA"/>
      <color rgb="FF66FFFF"/>
      <color rgb="FFCCFFFF"/>
      <color rgb="FFFF99FF"/>
      <color rgb="FF00FF00"/>
      <color rgb="FFFFFFCC"/>
      <color rgb="FFC5FFC5"/>
      <color rgb="FFECEB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7.png"/><Relationship Id="rId5" Type="http://schemas.openxmlformats.org/officeDocument/2006/relationships/image" Target="../media/image4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419100</xdr:colOff>
      <xdr:row>101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C1CFD7C-378E-48EB-BD56-8ECAB56980E0}"/>
                </a:ext>
              </a:extLst>
            </xdr:cNvPr>
            <xdr:cNvSpPr txBox="1"/>
          </xdr:nvSpPr>
          <xdr:spPr>
            <a:xfrm>
              <a:off x="419100" y="216693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104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B46D64E-810B-46BF-948F-14916B12CE92}"/>
                </a:ext>
              </a:extLst>
            </xdr:cNvPr>
            <xdr:cNvSpPr txBox="1"/>
          </xdr:nvSpPr>
          <xdr:spPr>
            <a:xfrm>
              <a:off x="438150" y="22317075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122</xdr:row>
      <xdr:rowOff>123825</xdr:rowOff>
    </xdr:from>
    <xdr:to>
      <xdr:col>18</xdr:col>
      <xdr:colOff>361950</xdr:colOff>
      <xdr:row>123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147</xdr:row>
      <xdr:rowOff>200025</xdr:rowOff>
    </xdr:from>
    <xdr:to>
      <xdr:col>35</xdr:col>
      <xdr:colOff>482159</xdr:colOff>
      <xdr:row>157</xdr:row>
      <xdr:rowOff>50291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172</xdr:row>
      <xdr:rowOff>104775</xdr:rowOff>
    </xdr:from>
    <xdr:to>
      <xdr:col>28</xdr:col>
      <xdr:colOff>117155</xdr:colOff>
      <xdr:row>196</xdr:row>
      <xdr:rowOff>142688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91450" y="37204650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224</xdr:row>
      <xdr:rowOff>9525</xdr:rowOff>
    </xdr:from>
    <xdr:to>
      <xdr:col>13</xdr:col>
      <xdr:colOff>419100</xdr:colOff>
      <xdr:row>224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186</xdr:row>
      <xdr:rowOff>28451</xdr:rowOff>
    </xdr:from>
    <xdr:to>
      <xdr:col>13</xdr:col>
      <xdr:colOff>401337</xdr:colOff>
      <xdr:row>189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183</xdr:row>
          <xdr:rowOff>104775</xdr:rowOff>
        </xdr:from>
        <xdr:to>
          <xdr:col>7</xdr:col>
          <xdr:colOff>295275</xdr:colOff>
          <xdr:row>184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147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3" name="TextBox 1">
              <a:extLst>
                <a:ext uri="{FF2B5EF4-FFF2-40B4-BE49-F238E27FC236}">
                  <a16:creationId xmlns:a16="http://schemas.microsoft.com/office/drawing/2014/main" id="{2D86F6D7-24DE-4360-ACBD-4FB1F295B512}"/>
                </a:ext>
              </a:extLst>
            </xdr:cNvPr>
            <xdr:cNvSpPr txBox="1"/>
          </xdr:nvSpPr>
          <xdr:spPr>
            <a:xfrm>
              <a:off x="14716125" y="165449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150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148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8E6FF436-68D1-4B98-A4EC-FB2B51A238D9}"/>
                </a:ext>
              </a:extLst>
            </xdr:cNvPr>
            <xdr:cNvSpPr txBox="1"/>
          </xdr:nvSpPr>
          <xdr:spPr>
            <a:xfrm>
              <a:off x="419100" y="167640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151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6" name="TextBox 4">
              <a:extLst>
                <a:ext uri="{FF2B5EF4-FFF2-40B4-BE49-F238E27FC236}">
                  <a16:creationId xmlns:a16="http://schemas.microsoft.com/office/drawing/2014/main" id="{27AC465E-7469-44F4-B0BB-54490D236C38}"/>
                </a:ext>
              </a:extLst>
            </xdr:cNvPr>
            <xdr:cNvSpPr txBox="1"/>
          </xdr:nvSpPr>
          <xdr:spPr>
            <a:xfrm>
              <a:off x="438150" y="174117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169</xdr:row>
      <xdr:rowOff>123825</xdr:rowOff>
    </xdr:from>
    <xdr:to>
      <xdr:col>18</xdr:col>
      <xdr:colOff>361950</xdr:colOff>
      <xdr:row>170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192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210</xdr:row>
      <xdr:rowOff>13709</xdr:rowOff>
    </xdr:from>
    <xdr:to>
      <xdr:col>33</xdr:col>
      <xdr:colOff>352426</xdr:colOff>
      <xdr:row>234</xdr:row>
      <xdr:rowOff>23047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215</xdr:row>
      <xdr:rowOff>0</xdr:rowOff>
    </xdr:from>
    <xdr:to>
      <xdr:col>13</xdr:col>
      <xdr:colOff>400051</xdr:colOff>
      <xdr:row>218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212</xdr:row>
          <xdr:rowOff>38100</xdr:rowOff>
        </xdr:from>
        <xdr:to>
          <xdr:col>10</xdr:col>
          <xdr:colOff>9525</xdr:colOff>
          <xdr:row>213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214</xdr:row>
      <xdr:rowOff>142874</xdr:rowOff>
    </xdr:from>
    <xdr:to>
      <xdr:col>15</xdr:col>
      <xdr:colOff>266699</xdr:colOff>
      <xdr:row>218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78</xdr:row>
      <xdr:rowOff>19051</xdr:rowOff>
    </xdr:from>
    <xdr:to>
      <xdr:col>9</xdr:col>
      <xdr:colOff>361950</xdr:colOff>
      <xdr:row>81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78</xdr:row>
      <xdr:rowOff>28576</xdr:rowOff>
    </xdr:from>
    <xdr:to>
      <xdr:col>29</xdr:col>
      <xdr:colOff>895350</xdr:colOff>
      <xdr:row>81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176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2D6C6F6-0FD4-4419-AA45-B5EE3A5B5757}"/>
                </a:ext>
              </a:extLst>
            </xdr:cNvPr>
            <xdr:cNvSpPr txBox="1"/>
          </xdr:nvSpPr>
          <xdr:spPr>
            <a:xfrm>
              <a:off x="13592175" y="285845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179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177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DD2DB094-DA46-456C-AE7C-4E23C01F67DF}"/>
                </a:ext>
              </a:extLst>
            </xdr:cNvPr>
            <xdr:cNvSpPr txBox="1"/>
          </xdr:nvSpPr>
          <xdr:spPr>
            <a:xfrm>
              <a:off x="400050" y="28803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180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9" name="TextBox 4">
              <a:extLst>
                <a:ext uri="{FF2B5EF4-FFF2-40B4-BE49-F238E27FC236}">
                  <a16:creationId xmlns:a16="http://schemas.microsoft.com/office/drawing/2014/main" id="{5F9FDA2D-762F-4967-BCCF-05D877DB9BA2}"/>
                </a:ext>
              </a:extLst>
            </xdr:cNvPr>
            <xdr:cNvSpPr txBox="1"/>
          </xdr:nvSpPr>
          <xdr:spPr>
            <a:xfrm>
              <a:off x="409575" y="29451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198</xdr:row>
      <xdr:rowOff>123825</xdr:rowOff>
    </xdr:from>
    <xdr:to>
      <xdr:col>18</xdr:col>
      <xdr:colOff>361950</xdr:colOff>
      <xdr:row>199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221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236</xdr:row>
      <xdr:rowOff>13709</xdr:rowOff>
    </xdr:from>
    <xdr:to>
      <xdr:col>36</xdr:col>
      <xdr:colOff>352426</xdr:colOff>
      <xdr:row>259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88</xdr:row>
          <xdr:rowOff>142875</xdr:rowOff>
        </xdr:from>
        <xdr:to>
          <xdr:col>26</xdr:col>
          <xdr:colOff>361950</xdr:colOff>
          <xdr:row>89</xdr:row>
          <xdr:rowOff>171450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246</xdr:row>
      <xdr:rowOff>0</xdr:rowOff>
    </xdr:from>
    <xdr:to>
      <xdr:col>13</xdr:col>
      <xdr:colOff>400051</xdr:colOff>
      <xdr:row>249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243</xdr:row>
          <xdr:rowOff>38100</xdr:rowOff>
        </xdr:from>
        <xdr:to>
          <xdr:col>10</xdr:col>
          <xdr:colOff>9525</xdr:colOff>
          <xdr:row>244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245</xdr:row>
      <xdr:rowOff>142874</xdr:rowOff>
    </xdr:from>
    <xdr:to>
      <xdr:col>15</xdr:col>
      <xdr:colOff>266699</xdr:colOff>
      <xdr:row>249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161925</xdr:colOff>
      <xdr:row>102</xdr:row>
      <xdr:rowOff>9525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D9746E3A-C132-46CD-9E4D-6E25F7FAB5EA}"/>
                </a:ext>
              </a:extLst>
            </xdr:cNvPr>
            <xdr:cNvSpPr txBox="1"/>
          </xdr:nvSpPr>
          <xdr:spPr>
            <a:xfrm>
              <a:off x="590550" y="2244090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120</xdr:row>
      <xdr:rowOff>123825</xdr:rowOff>
    </xdr:from>
    <xdr:to>
      <xdr:col>18</xdr:col>
      <xdr:colOff>361950</xdr:colOff>
      <xdr:row>121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145</xdr:row>
      <xdr:rowOff>200025</xdr:rowOff>
    </xdr:from>
    <xdr:to>
      <xdr:col>35</xdr:col>
      <xdr:colOff>482159</xdr:colOff>
      <xdr:row>155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17</xdr:col>
      <xdr:colOff>142875</xdr:colOff>
      <xdr:row>170</xdr:row>
      <xdr:rowOff>209550</xdr:rowOff>
    </xdr:from>
    <xdr:to>
      <xdr:col>28</xdr:col>
      <xdr:colOff>126680</xdr:colOff>
      <xdr:row>193</xdr:row>
      <xdr:rowOff>209363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0975" y="3753802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19050</xdr:colOff>
      <xdr:row>74</xdr:row>
      <xdr:rowOff>57150</xdr:rowOff>
    </xdr:from>
    <xdr:to>
      <xdr:col>35</xdr:col>
      <xdr:colOff>572373</xdr:colOff>
      <xdr:row>98</xdr:row>
      <xdr:rowOff>162673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20875" y="16354425"/>
          <a:ext cx="6258798" cy="5363323"/>
        </a:xfrm>
        <a:prstGeom prst="rect">
          <a:avLst/>
        </a:prstGeom>
      </xdr:spPr>
    </xdr:pic>
    <xdr:clientData/>
  </xdr:twoCellAnchor>
  <xdr:oneCellAnchor>
    <xdr:from>
      <xdr:col>0</xdr:col>
      <xdr:colOff>219075</xdr:colOff>
      <xdr:row>98</xdr:row>
      <xdr:rowOff>209550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66879E96-C210-46B8-BD63-739F2FEECA00}"/>
                </a:ext>
              </a:extLst>
            </xdr:cNvPr>
            <xdr:cNvSpPr txBox="1"/>
          </xdr:nvSpPr>
          <xdr:spPr>
            <a:xfrm>
              <a:off x="219075" y="217646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222</xdr:row>
      <xdr:rowOff>0</xdr:rowOff>
    </xdr:from>
    <xdr:to>
      <xdr:col>14</xdr:col>
      <xdr:colOff>0</xdr:colOff>
      <xdr:row>222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183</xdr:row>
      <xdr:rowOff>19051</xdr:rowOff>
    </xdr:from>
    <xdr:to>
      <xdr:col>13</xdr:col>
      <xdr:colOff>116649</xdr:colOff>
      <xdr:row>186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180</xdr:row>
          <xdr:rowOff>57150</xdr:rowOff>
        </xdr:from>
        <xdr:to>
          <xdr:col>7</xdr:col>
          <xdr:colOff>361950</xdr:colOff>
          <xdr:row>181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41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44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31</xdr:row>
      <xdr:rowOff>48875</xdr:rowOff>
    </xdr:from>
    <xdr:to>
      <xdr:col>2</xdr:col>
      <xdr:colOff>101623</xdr:colOff>
      <xdr:row>36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39</xdr:row>
      <xdr:rowOff>63500</xdr:rowOff>
    </xdr:from>
    <xdr:to>
      <xdr:col>9</xdr:col>
      <xdr:colOff>10584</xdr:colOff>
      <xdr:row>41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39</xdr:row>
      <xdr:rowOff>31750</xdr:rowOff>
    </xdr:from>
    <xdr:to>
      <xdr:col>13</xdr:col>
      <xdr:colOff>412750</xdr:colOff>
      <xdr:row>40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54</xdr:row>
      <xdr:rowOff>28088</xdr:rowOff>
    </xdr:from>
    <xdr:to>
      <xdr:col>10</xdr:col>
      <xdr:colOff>255180</xdr:colOff>
      <xdr:row>57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51</xdr:row>
          <xdr:rowOff>95250</xdr:rowOff>
        </xdr:from>
        <xdr:to>
          <xdr:col>7</xdr:col>
          <xdr:colOff>9525</xdr:colOff>
          <xdr:row>52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54</xdr:row>
      <xdr:rowOff>1</xdr:rowOff>
    </xdr:from>
    <xdr:to>
      <xdr:col>11</xdr:col>
      <xdr:colOff>496506</xdr:colOff>
      <xdr:row>59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54</xdr:row>
      <xdr:rowOff>41842</xdr:rowOff>
    </xdr:from>
    <xdr:to>
      <xdr:col>13</xdr:col>
      <xdr:colOff>137582</xdr:colOff>
      <xdr:row>57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80</xdr:row>
      <xdr:rowOff>114300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E836849-A698-46B6-B9D9-C91F8A1A4C1C}"/>
                </a:ext>
              </a:extLst>
            </xdr:cNvPr>
            <xdr:cNvSpPr txBox="1"/>
          </xdr:nvSpPr>
          <xdr:spPr>
            <a:xfrm>
              <a:off x="14716125" y="1947862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161925</xdr:colOff>
      <xdr:row>83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0</xdr:col>
      <xdr:colOff>419100</xdr:colOff>
      <xdr:row>81</xdr:row>
      <xdr:rowOff>114300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69723C0-E72D-444A-B490-BE942675657F}"/>
                </a:ext>
              </a:extLst>
            </xdr:cNvPr>
            <xdr:cNvSpPr txBox="1"/>
          </xdr:nvSpPr>
          <xdr:spPr>
            <a:xfrm>
              <a:off x="419100" y="196977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1</xdr:col>
      <xdr:colOff>9525</xdr:colOff>
      <xdr:row>84</xdr:row>
      <xdr:rowOff>104775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522FE8F-0418-41C0-8DAB-18A760537F36}"/>
                </a:ext>
              </a:extLst>
            </xdr:cNvPr>
            <xdr:cNvSpPr txBox="1"/>
          </xdr:nvSpPr>
          <xdr:spPr>
            <a:xfrm>
              <a:off x="438150" y="203454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133</xdr:row>
      <xdr:rowOff>12213</xdr:rowOff>
    </xdr:from>
    <xdr:to>
      <xdr:col>16</xdr:col>
      <xdr:colOff>142875</xdr:colOff>
      <xdr:row>134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131</xdr:row>
      <xdr:rowOff>19050</xdr:rowOff>
    </xdr:from>
    <xdr:to>
      <xdr:col>14</xdr:col>
      <xdr:colOff>381000</xdr:colOff>
      <xdr:row>134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112</xdr:row>
      <xdr:rowOff>5808</xdr:rowOff>
    </xdr:from>
    <xdr:to>
      <xdr:col>27</xdr:col>
      <xdr:colOff>64290</xdr:colOff>
      <xdr:row>113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110</xdr:row>
      <xdr:rowOff>119063</xdr:rowOff>
    </xdr:from>
    <xdr:to>
      <xdr:col>26</xdr:col>
      <xdr:colOff>1049910</xdr:colOff>
      <xdr:row>111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128</xdr:row>
          <xdr:rowOff>95250</xdr:rowOff>
        </xdr:from>
        <xdr:to>
          <xdr:col>7</xdr:col>
          <xdr:colOff>9525</xdr:colOff>
          <xdr:row>129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130</xdr:row>
      <xdr:rowOff>37146</xdr:rowOff>
    </xdr:from>
    <xdr:to>
      <xdr:col>16</xdr:col>
      <xdr:colOff>279890</xdr:colOff>
      <xdr:row>132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9"/>
  <sheetViews>
    <sheetView tabSelected="1" topLeftCell="A214" zoomScaleNormal="100" workbookViewId="0">
      <selection activeCell="A62" sqref="A62:XFD62"/>
    </sheetView>
  </sheetViews>
  <sheetFormatPr defaultColWidth="5.140625" defaultRowHeight="17.25" customHeight="1" outlineLevelCol="1"/>
  <cols>
    <col min="1" max="2" width="6.42578125" style="300" customWidth="1"/>
    <col min="3" max="7" width="7" style="303" customWidth="1"/>
    <col min="8" max="9" width="7" style="300" customWidth="1"/>
    <col min="10" max="10" width="6.42578125" style="300" customWidth="1"/>
    <col min="11" max="11" width="8" style="300" customWidth="1"/>
    <col min="12" max="19" width="6.42578125" style="300" customWidth="1"/>
    <col min="20" max="20" width="7.28515625" style="300" customWidth="1"/>
    <col min="21" max="21" width="6.42578125" style="300" customWidth="1"/>
    <col min="22" max="22" width="7.28515625" style="300" customWidth="1"/>
    <col min="23" max="27" width="6.42578125" style="300" customWidth="1"/>
    <col min="28" max="28" width="1.28515625" style="61" customWidth="1" outlineLevel="1"/>
    <col min="29" max="29" width="21.28515625" style="301" customWidth="1" outlineLevel="1"/>
    <col min="30" max="30" width="15.5703125" style="301" customWidth="1" outlineLevel="1"/>
    <col min="31" max="31" width="9.5703125" style="301" customWidth="1" outlineLevel="1"/>
    <col min="32" max="46" width="19" style="301" customWidth="1" outlineLevel="1"/>
    <col min="47" max="65" width="15.85546875" style="301" customWidth="1" outlineLevel="1"/>
    <col min="66" max="66" width="15.85546875" style="302" customWidth="1" outlineLevel="1"/>
    <col min="67" max="16384" width="5.140625" style="300"/>
  </cols>
  <sheetData>
    <row r="1" spans="2:66" ht="17.25" customHeight="1">
      <c r="C1" s="721" t="s">
        <v>143</v>
      </c>
      <c r="D1" s="721"/>
      <c r="E1" s="721"/>
      <c r="F1" s="721"/>
      <c r="G1" s="713" t="s">
        <v>144</v>
      </c>
      <c r="H1" s="713"/>
      <c r="I1" s="713"/>
      <c r="J1" s="713"/>
      <c r="K1" s="713"/>
      <c r="L1" s="713"/>
      <c r="M1" s="713"/>
      <c r="N1" s="713"/>
      <c r="O1" s="713"/>
      <c r="P1" s="713"/>
      <c r="Q1" s="713"/>
      <c r="R1" s="713"/>
      <c r="S1" s="713"/>
      <c r="T1" s="713"/>
      <c r="U1" s="713"/>
      <c r="V1" s="713"/>
      <c r="W1" s="713"/>
      <c r="X1" s="713"/>
      <c r="Y1" s="713"/>
    </row>
    <row r="2" spans="2:66" ht="17.25" customHeight="1">
      <c r="C2" s="721"/>
      <c r="D2" s="721"/>
      <c r="E2" s="721"/>
      <c r="F2" s="721"/>
      <c r="G2" s="713"/>
      <c r="H2" s="713"/>
      <c r="I2" s="713"/>
      <c r="J2" s="713"/>
      <c r="K2" s="713"/>
      <c r="L2" s="713"/>
      <c r="M2" s="713"/>
      <c r="N2" s="713"/>
      <c r="O2" s="713"/>
      <c r="P2" s="713"/>
      <c r="Q2" s="713"/>
      <c r="R2" s="713"/>
      <c r="S2" s="713"/>
      <c r="T2" s="713"/>
      <c r="U2" s="713"/>
      <c r="V2" s="713"/>
      <c r="W2" s="713"/>
      <c r="X2" s="713"/>
      <c r="Y2" s="713"/>
    </row>
    <row r="3" spans="2:66" ht="17.25" customHeight="1">
      <c r="C3" s="721"/>
      <c r="D3" s="721"/>
      <c r="E3" s="721"/>
      <c r="F3" s="721"/>
      <c r="G3" s="718" t="s">
        <v>148</v>
      </c>
      <c r="H3" s="718"/>
      <c r="I3" s="718"/>
      <c r="J3" s="719" t="s">
        <v>147</v>
      </c>
      <c r="K3" s="719"/>
      <c r="L3" s="719"/>
      <c r="N3" s="726" t="s">
        <v>242</v>
      </c>
      <c r="O3" s="726"/>
      <c r="P3" s="726"/>
      <c r="Q3" s="727" t="s">
        <v>207</v>
      </c>
      <c r="R3" s="727"/>
      <c r="S3" s="727"/>
    </row>
    <row r="4" spans="2:66" ht="17.25" customHeight="1">
      <c r="C4" s="721"/>
      <c r="D4" s="721"/>
      <c r="E4" s="721"/>
      <c r="F4" s="721"/>
      <c r="G4" s="613"/>
      <c r="H4" s="613"/>
      <c r="I4" s="613"/>
      <c r="J4" s="720"/>
      <c r="K4" s="720"/>
      <c r="L4" s="720"/>
      <c r="N4" s="726"/>
      <c r="O4" s="726"/>
      <c r="P4" s="726"/>
      <c r="Q4" s="727"/>
      <c r="R4" s="727"/>
      <c r="S4" s="727"/>
    </row>
    <row r="6" spans="2:66" ht="17.25" customHeight="1" thickBot="1"/>
    <row r="7" spans="2:66" ht="17.25" customHeight="1" thickBot="1">
      <c r="B7" s="304" t="s">
        <v>0</v>
      </c>
      <c r="C7" s="305"/>
      <c r="D7" s="305"/>
      <c r="E7" s="105" t="str" cm="1">
        <f t="array" ref="E7">dateDecimale2txt(dateConvert2Decimal(E8),0)</f>
        <v>2024/08/13</v>
      </c>
      <c r="F7" s="105"/>
      <c r="G7" s="306"/>
      <c r="H7" s="307"/>
      <c r="I7" s="105" t="str" cm="1">
        <f t="array" ref="I7">heureDecimal2Txt(E11)</f>
        <v>12:20:13.00(12.3369)</v>
      </c>
      <c r="J7" s="105"/>
      <c r="K7" s="105"/>
      <c r="L7" s="305"/>
      <c r="M7" s="305"/>
      <c r="N7" s="305" t="s">
        <v>349</v>
      </c>
      <c r="O7" s="305"/>
      <c r="P7" s="305"/>
      <c r="Q7" s="305"/>
      <c r="R7" s="305"/>
      <c r="S7" s="305" t="s">
        <v>350</v>
      </c>
      <c r="T7" s="760">
        <f>dateConvert2Decimal(E8)</f>
        <v>1723507200</v>
      </c>
      <c r="U7" s="760"/>
      <c r="V7" s="760"/>
      <c r="W7" s="305" t="s">
        <v>351</v>
      </c>
      <c r="X7" s="766">
        <f>(T7/86400)+DATE(1970,1,1)</f>
        <v>45517</v>
      </c>
      <c r="Y7" s="766"/>
      <c r="Z7" s="305" t="s">
        <v>352</v>
      </c>
      <c r="AA7" s="308">
        <f>INT(MONTH(X7))</f>
        <v>8</v>
      </c>
      <c r="AB7" s="62"/>
    </row>
    <row r="8" spans="2:66" ht="17.25" customHeight="1">
      <c r="C8" s="714" t="s">
        <v>1</v>
      </c>
      <c r="D8" s="715"/>
      <c r="E8" s="596" t="s">
        <v>539</v>
      </c>
      <c r="F8" s="597"/>
      <c r="G8" s="597"/>
      <c r="H8" s="303"/>
      <c r="I8" s="728"/>
      <c r="J8" s="728"/>
      <c r="K8" s="728"/>
      <c r="L8" s="728"/>
      <c r="M8" s="728"/>
      <c r="N8" s="728"/>
      <c r="O8" s="728"/>
      <c r="AC8" s="3" t="s">
        <v>173</v>
      </c>
      <c r="AD8" s="3" cm="1">
        <f t="array" ref="AD8">heureConvert2Decimal(I11)</f>
        <v>12.336944444444445</v>
      </c>
    </row>
    <row r="9" spans="2:66" ht="17.25" customHeight="1" thickBot="1">
      <c r="C9" s="495" t="s">
        <v>11</v>
      </c>
      <c r="D9" s="497"/>
      <c r="E9" s="495" t="s">
        <v>2</v>
      </c>
      <c r="F9" s="496"/>
      <c r="G9" s="496"/>
      <c r="H9" s="497"/>
      <c r="I9" s="636" t="s">
        <v>244</v>
      </c>
      <c r="J9" s="636"/>
      <c r="K9" s="636"/>
      <c r="L9" s="636" t="s">
        <v>240</v>
      </c>
      <c r="M9" s="636"/>
      <c r="N9" s="636"/>
      <c r="O9" s="636"/>
      <c r="P9" s="636"/>
      <c r="Q9" s="636" t="s">
        <v>241</v>
      </c>
      <c r="R9" s="636"/>
      <c r="S9" s="636"/>
      <c r="T9" s="636"/>
      <c r="U9" s="636"/>
      <c r="V9" s="629" t="s">
        <v>131</v>
      </c>
      <c r="W9" s="630"/>
      <c r="X9" s="630"/>
      <c r="Y9" s="631"/>
      <c r="AB9" s="63"/>
      <c r="AC9" s="3" t="s">
        <v>174</v>
      </c>
      <c r="AD9" s="67">
        <f>L11</f>
        <v>0</v>
      </c>
    </row>
    <row r="10" spans="2:66" ht="17.25" customHeight="1">
      <c r="C10" s="716"/>
      <c r="D10" s="717"/>
      <c r="E10" s="498"/>
      <c r="F10" s="499"/>
      <c r="G10" s="499"/>
      <c r="H10" s="500"/>
      <c r="I10" s="636"/>
      <c r="J10" s="636"/>
      <c r="K10" s="636"/>
      <c r="L10" s="636"/>
      <c r="M10" s="636"/>
      <c r="N10" s="636"/>
      <c r="O10" s="636"/>
      <c r="P10" s="636"/>
      <c r="Q10" s="636"/>
      <c r="R10" s="636"/>
      <c r="S10" s="636"/>
      <c r="T10" s="636"/>
      <c r="U10" s="636"/>
      <c r="V10" s="632"/>
      <c r="W10" s="633"/>
      <c r="X10" s="633"/>
      <c r="Y10" s="634"/>
      <c r="AC10" s="3" t="s">
        <v>175</v>
      </c>
      <c r="AD10" s="3">
        <f>Q11/3600</f>
        <v>0</v>
      </c>
    </row>
    <row r="11" spans="2:66" ht="17.25" customHeight="1" thickBot="1">
      <c r="C11" s="498"/>
      <c r="D11" s="500"/>
      <c r="E11" s="763">
        <f>AD8+AD9+AD10+AD11</f>
        <v>12.336944444444445</v>
      </c>
      <c r="F11" s="764"/>
      <c r="G11" s="764"/>
      <c r="H11" s="765"/>
      <c r="I11" s="635" t="s">
        <v>542</v>
      </c>
      <c r="J11" s="635"/>
      <c r="K11" s="635"/>
      <c r="L11" s="626">
        <v>0</v>
      </c>
      <c r="M11" s="626"/>
      <c r="N11" s="626"/>
      <c r="O11" s="626"/>
      <c r="P11" s="626"/>
      <c r="Q11" s="626">
        <v>0</v>
      </c>
      <c r="R11" s="626"/>
      <c r="S11" s="626"/>
      <c r="T11" s="626"/>
      <c r="U11" s="627"/>
      <c r="V11" s="625" t="s">
        <v>524</v>
      </c>
      <c r="W11" s="625"/>
      <c r="X11" s="625"/>
      <c r="Y11" s="625"/>
      <c r="AC11" s="3" t="s">
        <v>29</v>
      </c>
      <c r="AD11" s="3" cm="1">
        <f t="array" ref="AD11">heureConvert2Decimal(V11) / 60</f>
        <v>0</v>
      </c>
    </row>
    <row r="12" spans="2:66" s="301" customFormat="1" ht="17.25" customHeight="1" thickTop="1" thickBot="1">
      <c r="B12" s="300"/>
      <c r="E12" s="637" t="str" cm="1">
        <f t="array" ref="E12">heureDecimal2Txt(E11)</f>
        <v>12:20:13.00(12.3369)</v>
      </c>
      <c r="F12" s="638"/>
      <c r="G12" s="638"/>
      <c r="H12" s="639"/>
      <c r="I12" s="309"/>
      <c r="J12" s="309"/>
      <c r="K12" s="309"/>
      <c r="V12" s="309"/>
      <c r="W12" s="309"/>
      <c r="X12" s="309"/>
      <c r="Y12" s="309"/>
      <c r="Z12" s="300"/>
      <c r="AA12" s="300"/>
      <c r="AB12" s="61"/>
      <c r="BN12" s="302"/>
    </row>
    <row r="13" spans="2:66" ht="17.25" customHeight="1" thickTop="1" thickBot="1">
      <c r="C13" s="310"/>
      <c r="D13" s="310"/>
      <c r="E13" s="311"/>
      <c r="F13" s="311"/>
      <c r="G13" s="311"/>
      <c r="H13" s="311"/>
      <c r="I13" s="311"/>
      <c r="J13" s="311"/>
      <c r="K13" s="311"/>
      <c r="L13" s="311"/>
      <c r="M13" s="311"/>
      <c r="N13" s="311"/>
      <c r="O13" s="311"/>
      <c r="P13" s="311"/>
      <c r="Q13" s="311"/>
      <c r="R13" s="311"/>
      <c r="S13" s="311"/>
      <c r="T13" s="311"/>
      <c r="U13" s="311"/>
      <c r="V13" s="311"/>
      <c r="W13" s="311"/>
      <c r="X13" s="311"/>
      <c r="Y13" s="311"/>
    </row>
    <row r="14" spans="2:66" ht="17.25" customHeight="1" thickBot="1">
      <c r="B14" s="304" t="s">
        <v>18</v>
      </c>
      <c r="C14" s="305"/>
      <c r="D14" s="305"/>
      <c r="E14" s="305"/>
      <c r="F14" s="305"/>
      <c r="G14" s="305"/>
      <c r="H14" s="305"/>
      <c r="I14" s="305"/>
      <c r="J14" s="305"/>
      <c r="K14" s="305"/>
      <c r="L14" s="305"/>
      <c r="M14" s="312"/>
      <c r="N14" s="312"/>
      <c r="O14" s="312"/>
      <c r="P14" s="305"/>
      <c r="Q14" s="305"/>
      <c r="R14" s="305"/>
      <c r="S14" s="305"/>
      <c r="T14" s="305"/>
      <c r="U14" s="305"/>
      <c r="V14" s="305"/>
      <c r="W14" s="305"/>
      <c r="X14" s="305"/>
      <c r="Y14" s="305"/>
      <c r="Z14" s="305"/>
      <c r="AA14" s="305"/>
      <c r="AB14" s="62"/>
    </row>
    <row r="15" spans="2:66" s="16" customFormat="1" ht="18" customHeight="1" thickBot="1">
      <c r="B15"/>
      <c r="C15" s="651" t="s">
        <v>176</v>
      </c>
      <c r="D15" s="652"/>
      <c r="E15" s="652"/>
      <c r="F15" s="652"/>
      <c r="G15" s="652"/>
      <c r="H15" s="652"/>
      <c r="I15" s="653"/>
      <c r="J15" s="654" t="s">
        <v>178</v>
      </c>
      <c r="K15" s="655"/>
      <c r="L15" s="655"/>
      <c r="M15" s="655"/>
      <c r="N15" s="655"/>
      <c r="O15" s="656"/>
      <c r="P15"/>
      <c r="Q15"/>
      <c r="R15"/>
      <c r="S15"/>
      <c r="T15"/>
      <c r="U15"/>
      <c r="V15"/>
      <c r="W15"/>
      <c r="X15"/>
      <c r="Y15"/>
      <c r="Z15"/>
      <c r="AA15"/>
      <c r="AB15" s="61"/>
      <c r="AC15" s="68" t="s">
        <v>177</v>
      </c>
      <c r="AD15" s="68" t="s">
        <v>178</v>
      </c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ht="18.75" customHeight="1" thickTop="1" thickBot="1">
      <c r="C16" s="647" t="s">
        <v>138</v>
      </c>
      <c r="D16" s="648"/>
      <c r="E16" s="648"/>
      <c r="F16" s="648"/>
      <c r="G16" s="648"/>
      <c r="H16" s="648"/>
      <c r="I16" s="648"/>
      <c r="J16" s="649" cm="1">
        <f t="array" ref="J16">angleConvert2Decimal(M16)</f>
        <v>0</v>
      </c>
      <c r="K16" s="650"/>
      <c r="L16" s="650"/>
      <c r="M16" s="628">
        <v>0</v>
      </c>
      <c r="N16" s="568"/>
      <c r="O16" s="568"/>
      <c r="P16" s="640" t="str" cm="1">
        <f t="array" ref="P16">angleDecimal2Txt(J16)</f>
        <v>+00°00.00 (+00.0000) [+00°00'00.00]</v>
      </c>
      <c r="Q16" s="474"/>
      <c r="R16" s="474"/>
      <c r="S16" s="474"/>
      <c r="T16" s="474"/>
      <c r="U16" s="474"/>
      <c r="V16" s="474"/>
      <c r="W16" s="474"/>
      <c r="X16" s="474"/>
      <c r="Y16" s="311"/>
    </row>
    <row r="17" spans="2:40" ht="18.75" customHeight="1" thickTop="1" thickBot="1">
      <c r="C17" s="641" t="s">
        <v>420</v>
      </c>
      <c r="D17" s="641"/>
      <c r="E17" s="641"/>
      <c r="F17" s="641"/>
      <c r="G17" s="641"/>
      <c r="H17" s="641"/>
      <c r="I17" s="641"/>
      <c r="J17" s="642" cm="1">
        <f t="array" ref="J17">angleConvert2Decimal(M17)</f>
        <v>0</v>
      </c>
      <c r="K17" s="643"/>
      <c r="L17" s="780"/>
      <c r="M17" s="628">
        <v>0</v>
      </c>
      <c r="N17" s="628"/>
      <c r="O17" s="628"/>
      <c r="P17" s="640" t="str" cm="1">
        <f t="array" ref="P17">angleDecimal2Txt(J17)</f>
        <v>+00°00.00 (+00.0000) [+00°00'00.00]</v>
      </c>
      <c r="Q17" s="474"/>
      <c r="R17" s="474"/>
      <c r="S17" s="474"/>
      <c r="T17" s="474"/>
      <c r="U17" s="474"/>
      <c r="V17" s="474"/>
      <c r="W17" s="474"/>
      <c r="X17" s="474"/>
      <c r="Y17" s="311"/>
    </row>
    <row r="18" spans="2:40" ht="18.75" customHeight="1" thickTop="1" thickBot="1">
      <c r="C18" s="641" t="s">
        <v>146</v>
      </c>
      <c r="D18" s="641"/>
      <c r="E18" s="641"/>
      <c r="F18" s="641"/>
      <c r="G18" s="641"/>
      <c r="H18" s="641"/>
      <c r="I18" s="641"/>
      <c r="J18" s="657">
        <f>J16/2</f>
        <v>0</v>
      </c>
      <c r="K18" s="657"/>
      <c r="L18" s="657"/>
      <c r="M18" s="725">
        <v>0</v>
      </c>
      <c r="N18" s="725"/>
      <c r="O18" s="725"/>
      <c r="P18" s="474" t="str" cm="1">
        <f t="array" ref="P18">angleDecimal2Txt(J18)</f>
        <v>+00°00.00 (+00.0000) [+00°00'00.00]</v>
      </c>
      <c r="Q18" s="474"/>
      <c r="R18" s="474"/>
      <c r="S18" s="474"/>
      <c r="T18" s="474"/>
      <c r="U18" s="474"/>
      <c r="V18" s="474"/>
      <c r="W18" s="474"/>
      <c r="X18" s="474"/>
      <c r="Y18" s="311"/>
    </row>
    <row r="19" spans="2:40" ht="18" customHeight="1" thickTop="1" thickBot="1">
      <c r="C19" s="658" t="s">
        <v>19</v>
      </c>
      <c r="D19" s="658"/>
      <c r="E19" s="658"/>
      <c r="F19" s="658"/>
      <c r="G19" s="658"/>
      <c r="H19" s="658"/>
      <c r="I19" s="658"/>
      <c r="J19" s="644">
        <f>M19</f>
        <v>0</v>
      </c>
      <c r="K19" s="645"/>
      <c r="L19" s="646"/>
      <c r="M19" s="538">
        <v>0</v>
      </c>
      <c r="N19" s="538"/>
      <c r="O19" s="538"/>
      <c r="P19" s="311"/>
      <c r="Q19" s="311"/>
      <c r="R19" s="311"/>
      <c r="S19" s="311"/>
      <c r="T19" s="311"/>
      <c r="U19" s="311"/>
      <c r="V19" s="311"/>
      <c r="W19" s="311"/>
      <c r="X19" s="311"/>
      <c r="Y19" s="311"/>
    </row>
    <row r="20" spans="2:40" ht="18" customHeight="1" thickTop="1" thickBot="1">
      <c r="B20" s="311"/>
      <c r="C20" s="545" t="s">
        <v>20</v>
      </c>
      <c r="D20" s="546"/>
      <c r="E20" s="546"/>
      <c r="F20" s="546"/>
      <c r="G20" s="546"/>
      <c r="H20" s="546"/>
      <c r="I20" s="547"/>
      <c r="J20" s="642" cm="1">
        <f t="array" ref="J20">angleConvert2Decimal(M20)</f>
        <v>0</v>
      </c>
      <c r="K20" s="643"/>
      <c r="L20" s="643"/>
      <c r="M20" s="537">
        <v>0</v>
      </c>
      <c r="N20" s="538"/>
      <c r="O20" s="538"/>
      <c r="P20" s="474" t="str" cm="1">
        <f t="array" ref="P20">angleDecimal2Txt(J20)</f>
        <v>+00°00.00 (+00.0000) [+00°00'00.00]</v>
      </c>
      <c r="Q20" s="474"/>
      <c r="R20" s="474"/>
      <c r="S20" s="474"/>
      <c r="T20" s="474"/>
      <c r="U20" s="474"/>
      <c r="V20" s="474"/>
      <c r="W20" s="474"/>
      <c r="X20" s="474"/>
      <c r="Y20" s="311"/>
    </row>
    <row r="21" spans="2:40" ht="18" customHeight="1" thickTop="1" thickBot="1">
      <c r="C21" s="558" t="s">
        <v>26</v>
      </c>
      <c r="D21" s="558"/>
      <c r="E21" s="558"/>
      <c r="F21" s="558"/>
      <c r="G21" s="558"/>
      <c r="H21" s="558"/>
      <c r="I21" s="558"/>
      <c r="J21" s="642">
        <f>IF(J15=AC15,J18,angleConvert2Decimal(M21))</f>
        <v>13.1</v>
      </c>
      <c r="K21" s="643"/>
      <c r="L21" s="643"/>
      <c r="M21" s="537" t="s">
        <v>543</v>
      </c>
      <c r="N21" s="538"/>
      <c r="O21" s="538"/>
      <c r="P21" s="474" t="str" cm="1">
        <f t="array" ref="P21">angleDecimal2Txt(J21)</f>
        <v>+13°06.00 (+13.0999) [+13°06'00.00]</v>
      </c>
      <c r="Q21" s="474"/>
      <c r="R21" s="474"/>
      <c r="S21" s="474"/>
      <c r="T21" s="474"/>
      <c r="U21" s="474"/>
      <c r="V21" s="474"/>
      <c r="W21" s="474"/>
      <c r="X21" s="474"/>
      <c r="Y21" s="311"/>
    </row>
    <row r="22" spans="2:40" ht="18" customHeight="1" thickTop="1">
      <c r="C22" s="548" t="s">
        <v>30</v>
      </c>
      <c r="D22" s="548"/>
      <c r="E22" s="548"/>
      <c r="F22" s="548"/>
      <c r="G22" s="548"/>
      <c r="H22" s="548"/>
      <c r="I22" s="548"/>
      <c r="J22" s="549" t="str">
        <f>M22</f>
        <v>Soleil</v>
      </c>
      <c r="K22" s="550"/>
      <c r="L22" s="551"/>
      <c r="M22" s="598" t="s">
        <v>31</v>
      </c>
      <c r="N22" s="599"/>
      <c r="O22" s="600"/>
      <c r="P22" s="311"/>
      <c r="Q22" s="311"/>
      <c r="R22" s="311"/>
      <c r="S22" s="311"/>
      <c r="T22" s="311"/>
      <c r="U22" s="311"/>
      <c r="V22" s="311"/>
      <c r="W22" s="311"/>
      <c r="X22" s="311"/>
      <c r="Y22" s="311"/>
      <c r="AG22" s="300"/>
      <c r="AH22" s="300"/>
    </row>
    <row r="23" spans="2:40" ht="18" customHeight="1">
      <c r="C23" s="548" t="s">
        <v>56</v>
      </c>
      <c r="D23" s="548"/>
      <c r="E23" s="548"/>
      <c r="F23" s="548"/>
      <c r="G23" s="548"/>
      <c r="H23" s="548"/>
      <c r="I23" s="548"/>
      <c r="J23" s="569" t="str">
        <f>M23</f>
        <v>BordInf</v>
      </c>
      <c r="K23" s="569"/>
      <c r="L23" s="569"/>
      <c r="M23" s="568" t="s">
        <v>57</v>
      </c>
      <c r="N23" s="568"/>
      <c r="O23" s="568"/>
      <c r="P23" s="311"/>
      <c r="Q23" s="311"/>
      <c r="R23" s="311"/>
      <c r="S23" s="311"/>
      <c r="T23" s="311"/>
      <c r="U23" s="311"/>
      <c r="V23" s="311"/>
      <c r="W23" s="311"/>
      <c r="X23" s="311"/>
      <c r="Y23" s="311"/>
      <c r="AC23" s="313" t="s">
        <v>201</v>
      </c>
      <c r="AD23" s="314" t="s">
        <v>32</v>
      </c>
      <c r="AE23" s="314" t="s">
        <v>33</v>
      </c>
      <c r="AF23" s="314" t="s">
        <v>31</v>
      </c>
      <c r="AG23" s="300"/>
      <c r="AH23" s="300"/>
    </row>
    <row r="24" spans="2:40" ht="17.25" customHeight="1">
      <c r="C24" s="559" t="s">
        <v>162</v>
      </c>
      <c r="D24" s="560"/>
      <c r="E24" s="27"/>
      <c r="F24" s="27"/>
      <c r="G24" s="27"/>
      <c r="H24" s="27"/>
      <c r="I24" s="28"/>
      <c r="J24" s="609" cm="1">
        <f t="array" ref="J24">angleConvert2Decimal(M24)</f>
        <v>2.8833333333333332E-3</v>
      </c>
      <c r="K24" s="610"/>
      <c r="L24" s="611"/>
      <c r="M24" s="618" t="str">
        <f>P26</f>
        <v>0.173'</v>
      </c>
      <c r="N24" s="619"/>
      <c r="O24" s="619"/>
      <c r="P24" s="624" t="s">
        <v>101</v>
      </c>
      <c r="Q24" s="624"/>
      <c r="R24" s="624"/>
      <c r="S24" s="311"/>
      <c r="T24" s="311"/>
      <c r="U24" s="311"/>
      <c r="V24" s="311"/>
      <c r="W24" s="311"/>
      <c r="X24" s="311"/>
      <c r="Y24" s="311"/>
      <c r="AC24" s="313" t="s">
        <v>103</v>
      </c>
      <c r="AD24" s="315" t="s">
        <v>104</v>
      </c>
      <c r="AE24" s="315" t="s">
        <v>105</v>
      </c>
      <c r="AF24" s="315" t="s">
        <v>76</v>
      </c>
      <c r="AG24" s="300"/>
      <c r="AH24" s="300"/>
    </row>
    <row r="25" spans="2:40" ht="17.25" customHeight="1" thickBot="1">
      <c r="C25" s="29"/>
      <c r="D25" s="787" t="s">
        <v>163</v>
      </c>
      <c r="E25" s="787"/>
      <c r="F25" s="787"/>
      <c r="G25" s="787"/>
      <c r="H25" s="787"/>
      <c r="I25" s="788"/>
      <c r="J25" s="612"/>
      <c r="K25" s="613"/>
      <c r="L25" s="614"/>
      <c r="M25" s="620"/>
      <c r="N25" s="621"/>
      <c r="O25" s="621"/>
      <c r="P25" s="624"/>
      <c r="Q25" s="624"/>
      <c r="R25" s="624"/>
      <c r="S25" s="311"/>
      <c r="T25" s="311"/>
      <c r="U25" s="311"/>
      <c r="V25" s="311"/>
      <c r="W25" s="311"/>
      <c r="X25" s="311"/>
      <c r="Y25" s="311"/>
      <c r="AC25" s="313" t="s">
        <v>107</v>
      </c>
      <c r="AD25" s="315" t="s">
        <v>104</v>
      </c>
      <c r="AE25" s="315" t="s">
        <v>108</v>
      </c>
      <c r="AF25" s="315">
        <f>HLOOKUP(AA7,AC30:AN32,3)</f>
        <v>0.52666666666666673</v>
      </c>
      <c r="AG25" s="300"/>
      <c r="AH25" s="300"/>
    </row>
    <row r="26" spans="2:40" ht="17.25" customHeight="1" thickTop="1" thickBot="1">
      <c r="C26" s="29"/>
      <c r="D26" s="787"/>
      <c r="E26" s="787"/>
      <c r="F26" s="787"/>
      <c r="G26" s="787"/>
      <c r="H26" s="787"/>
      <c r="I26" s="788"/>
      <c r="J26" s="612"/>
      <c r="K26" s="613"/>
      <c r="L26" s="614"/>
      <c r="M26" s="620"/>
      <c r="N26" s="621"/>
      <c r="O26" s="621"/>
      <c r="P26" s="542" t="str">
        <f>HLOOKUP(M22,AD23:AF25,2,FALSE)</f>
        <v>0.173'</v>
      </c>
      <c r="Q26" s="542"/>
      <c r="R26" s="542"/>
      <c r="S26" s="540" t="str" cm="1">
        <f t="array" ref="S26">angleDecimal2Txt(angleConvert2Decimal(P26))</f>
        <v>+00°00.17 (+00.0028) [+00°00'10.37]</v>
      </c>
      <c r="T26" s="540"/>
      <c r="U26" s="540"/>
      <c r="V26" s="540"/>
      <c r="W26" s="540"/>
      <c r="X26" s="541"/>
      <c r="Y26" s="311"/>
    </row>
    <row r="27" spans="2:40" ht="17.25" customHeight="1" thickTop="1" thickBot="1">
      <c r="C27" s="30"/>
      <c r="D27" s="789"/>
      <c r="E27" s="789"/>
      <c r="F27" s="789"/>
      <c r="G27" s="789"/>
      <c r="H27" s="789"/>
      <c r="I27" s="790"/>
      <c r="J27" s="615"/>
      <c r="K27" s="616"/>
      <c r="L27" s="617"/>
      <c r="M27" s="622"/>
      <c r="N27" s="623"/>
      <c r="O27" s="623"/>
      <c r="P27" s="480" t="str" cm="1">
        <f t="array" ref="P27">angleDecimal2Txt(J24)</f>
        <v>+00°00.17 (+00.0028) [+00°00'10.37]</v>
      </c>
      <c r="Q27" s="480"/>
      <c r="R27" s="480"/>
      <c r="S27" s="474"/>
      <c r="T27" s="474"/>
      <c r="U27" s="474"/>
      <c r="V27" s="474"/>
      <c r="W27" s="474"/>
      <c r="X27" s="474"/>
      <c r="Y27" s="311"/>
      <c r="AC27" s="313" t="s">
        <v>102</v>
      </c>
      <c r="AD27" s="314" t="s">
        <v>57</v>
      </c>
      <c r="AE27" s="314" t="s">
        <v>199</v>
      </c>
      <c r="AF27" s="314" t="s">
        <v>58</v>
      </c>
    </row>
    <row r="28" spans="2:40" ht="17.25" customHeight="1" thickTop="1">
      <c r="C28" s="601" t="s">
        <v>106</v>
      </c>
      <c r="D28" s="602"/>
      <c r="E28" s="602"/>
      <c r="F28" s="602"/>
      <c r="G28" s="602"/>
      <c r="H28" s="602"/>
      <c r="I28" s="603"/>
      <c r="J28" s="609" cm="1">
        <f t="array" ref="J28">angleConvert2Decimal(M28)</f>
        <v>0.52666666666666695</v>
      </c>
      <c r="K28" s="610"/>
      <c r="L28" s="611"/>
      <c r="M28" s="618">
        <f>P30</f>
        <v>0.52666666666666673</v>
      </c>
      <c r="N28" s="619"/>
      <c r="O28" s="619"/>
      <c r="P28" s="624" t="s">
        <v>101</v>
      </c>
      <c r="Q28" s="624"/>
      <c r="R28" s="624"/>
      <c r="S28" s="311"/>
      <c r="T28" s="311"/>
      <c r="U28" s="311"/>
      <c r="V28" s="311"/>
      <c r="W28" s="311"/>
      <c r="X28" s="311"/>
      <c r="Y28" s="311"/>
      <c r="AC28" s="316" t="s">
        <v>200</v>
      </c>
      <c r="AD28" s="317">
        <v>0.5</v>
      </c>
      <c r="AE28" s="317">
        <v>-0.5</v>
      </c>
      <c r="AF28" s="317">
        <v>0</v>
      </c>
    </row>
    <row r="29" spans="2:40" ht="17.25" customHeight="1" thickBot="1">
      <c r="C29" s="604"/>
      <c r="D29" s="531"/>
      <c r="E29" s="531"/>
      <c r="F29" s="531"/>
      <c r="G29" s="531"/>
      <c r="H29" s="531"/>
      <c r="I29" s="605"/>
      <c r="J29" s="612"/>
      <c r="K29" s="613"/>
      <c r="L29" s="614"/>
      <c r="M29" s="620"/>
      <c r="N29" s="621"/>
      <c r="O29" s="621"/>
      <c r="P29" s="624"/>
      <c r="Q29" s="624"/>
      <c r="R29" s="624"/>
      <c r="S29" s="311"/>
      <c r="T29" s="311"/>
      <c r="U29" s="311"/>
      <c r="V29" s="311"/>
      <c r="W29" s="311"/>
      <c r="X29" s="311"/>
      <c r="Y29" s="311"/>
      <c r="AC29" s="779" t="s">
        <v>359</v>
      </c>
      <c r="AD29" s="779"/>
      <c r="AE29" s="779"/>
      <c r="AF29" s="779"/>
      <c r="AG29" s="779"/>
      <c r="AH29" s="779"/>
      <c r="AI29" s="779"/>
      <c r="AJ29" s="779"/>
      <c r="AK29" s="779"/>
      <c r="AL29" s="779"/>
      <c r="AM29" s="779"/>
      <c r="AN29" s="779"/>
    </row>
    <row r="30" spans="2:40" ht="17.25" customHeight="1" thickTop="1" thickBot="1">
      <c r="C30" s="604"/>
      <c r="D30" s="531"/>
      <c r="E30" s="531"/>
      <c r="F30" s="531"/>
      <c r="G30" s="531"/>
      <c r="H30" s="531"/>
      <c r="I30" s="605"/>
      <c r="J30" s="612"/>
      <c r="K30" s="613"/>
      <c r="L30" s="614"/>
      <c r="M30" s="620"/>
      <c r="N30" s="621"/>
      <c r="O30" s="621"/>
      <c r="P30" s="542">
        <f>HLOOKUP(M22,AD23:AF25,3,FALSE)</f>
        <v>0.52666666666666673</v>
      </c>
      <c r="Q30" s="542"/>
      <c r="R30" s="542"/>
      <c r="S30" s="540" t="str" cm="1">
        <f t="array" ref="S30">angleDecimal2Txt(angleConvert2Decimal(P30))</f>
        <v>+00°31.60 (+00.5266) [+00°31'36.00]</v>
      </c>
      <c r="T30" s="540"/>
      <c r="U30" s="540"/>
      <c r="V30" s="540"/>
      <c r="W30" s="540"/>
      <c r="X30" s="541"/>
      <c r="Y30" s="311"/>
      <c r="AC30" s="296">
        <v>1</v>
      </c>
      <c r="AD30" s="296">
        <v>2</v>
      </c>
      <c r="AE30" s="296">
        <v>3</v>
      </c>
      <c r="AF30" s="296">
        <v>4</v>
      </c>
      <c r="AG30" s="296">
        <v>5</v>
      </c>
      <c r="AH30" s="296">
        <v>6</v>
      </c>
      <c r="AI30" s="296">
        <v>7</v>
      </c>
      <c r="AJ30" s="296">
        <v>8</v>
      </c>
      <c r="AK30" s="296">
        <v>9</v>
      </c>
      <c r="AL30" s="296">
        <v>10</v>
      </c>
      <c r="AM30" s="296">
        <v>11</v>
      </c>
      <c r="AN30" s="296">
        <v>12</v>
      </c>
    </row>
    <row r="31" spans="2:40" ht="17.25" customHeight="1" thickTop="1" thickBot="1">
      <c r="C31" s="606"/>
      <c r="D31" s="607"/>
      <c r="E31" s="607"/>
      <c r="F31" s="607"/>
      <c r="G31" s="607"/>
      <c r="H31" s="607"/>
      <c r="I31" s="608"/>
      <c r="J31" s="615"/>
      <c r="K31" s="616"/>
      <c r="L31" s="617"/>
      <c r="M31" s="622"/>
      <c r="N31" s="623"/>
      <c r="O31" s="623"/>
      <c r="P31" s="480" t="str" cm="1">
        <f t="array" ref="P31">angleDecimal2Txt(J28)</f>
        <v>+00°31.60 (+00.5266) [+00°31'36.00]</v>
      </c>
      <c r="Q31" s="480"/>
      <c r="R31" s="480"/>
      <c r="S31" s="474"/>
      <c r="T31" s="474"/>
      <c r="U31" s="474"/>
      <c r="V31" s="474"/>
      <c r="W31" s="474"/>
      <c r="X31" s="474"/>
      <c r="Y31" s="311"/>
      <c r="AC31" s="318" t="s">
        <v>353</v>
      </c>
      <c r="AD31" s="318" t="s">
        <v>354</v>
      </c>
      <c r="AE31" s="318" t="s">
        <v>355</v>
      </c>
      <c r="AF31" s="318" t="s">
        <v>356</v>
      </c>
      <c r="AG31" s="318" t="s">
        <v>357</v>
      </c>
      <c r="AH31" s="318" t="s">
        <v>357</v>
      </c>
      <c r="AI31" s="318" t="s">
        <v>357</v>
      </c>
      <c r="AJ31" s="318" t="s">
        <v>357</v>
      </c>
      <c r="AK31" s="318" t="s">
        <v>358</v>
      </c>
      <c r="AL31" s="318" t="s">
        <v>355</v>
      </c>
      <c r="AM31" s="318" t="s">
        <v>354</v>
      </c>
      <c r="AN31" s="318" t="s">
        <v>353</v>
      </c>
    </row>
    <row r="32" spans="2:40" ht="17.25" customHeight="1" thickTop="1" thickBot="1">
      <c r="C32" s="311"/>
      <c r="D32" s="311"/>
      <c r="E32" s="311"/>
      <c r="F32" s="311"/>
      <c r="G32" s="311"/>
      <c r="H32" s="311"/>
      <c r="I32" s="311"/>
      <c r="J32" s="311"/>
      <c r="K32" s="311"/>
      <c r="L32" s="311"/>
      <c r="M32" s="311"/>
      <c r="N32" s="311"/>
      <c r="O32" s="311"/>
      <c r="P32" s="311"/>
      <c r="Q32" s="311"/>
      <c r="R32" s="311"/>
      <c r="S32" s="311"/>
      <c r="T32" s="311"/>
      <c r="U32" s="311"/>
      <c r="V32" s="311"/>
      <c r="W32" s="311"/>
      <c r="X32" s="311"/>
      <c r="Y32" s="311"/>
      <c r="AC32" s="296">
        <f>angleConvert2Decimal(AC31)</f>
        <v>0.54333333333333333</v>
      </c>
      <c r="AD32" s="296">
        <f>angleConvert2Decimal(AD31)</f>
        <v>0.53999999999999992</v>
      </c>
      <c r="AE32" s="296">
        <f>angleConvert2Decimal(AE31)</f>
        <v>0.53666666666666674</v>
      </c>
      <c r="AF32" s="296">
        <f>angleConvert2Decimal(AF31)</f>
        <v>0.53333333333333333</v>
      </c>
      <c r="AG32" s="296">
        <f>angleConvert2Decimal(AG31)</f>
        <v>0.52666666666666673</v>
      </c>
      <c r="AH32" s="296">
        <f t="shared" ref="AH32:AN32" si="0">angleConvert2Decimal(AH31)</f>
        <v>0.52666666666666673</v>
      </c>
      <c r="AI32" s="296">
        <f t="shared" si="0"/>
        <v>0.52666666666666673</v>
      </c>
      <c r="AJ32" s="296">
        <f t="shared" si="0"/>
        <v>0.52666666666666673</v>
      </c>
      <c r="AK32" s="296">
        <f t="shared" si="0"/>
        <v>0.53</v>
      </c>
      <c r="AL32" s="296">
        <f t="shared" si="0"/>
        <v>0.53666666666666674</v>
      </c>
      <c r="AM32" s="296">
        <f t="shared" si="0"/>
        <v>0.53999999999999992</v>
      </c>
      <c r="AN32" s="296">
        <f t="shared" si="0"/>
        <v>0.54333333333333333</v>
      </c>
    </row>
    <row r="33" spans="1:66" ht="17.25" customHeight="1" thickBot="1">
      <c r="B33" s="304" t="s">
        <v>214</v>
      </c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T33" s="305"/>
      <c r="U33" s="305"/>
      <c r="V33" s="305"/>
      <c r="W33" s="305"/>
      <c r="X33" s="305"/>
      <c r="Y33" s="305"/>
      <c r="Z33" s="305"/>
      <c r="AA33" s="305"/>
      <c r="AB33" s="62"/>
    </row>
    <row r="34" spans="1:66" ht="17.25" customHeight="1">
      <c r="C34" s="311"/>
      <c r="D34" s="311"/>
      <c r="E34" s="561" t="s">
        <v>7</v>
      </c>
      <c r="F34" s="561"/>
      <c r="G34" s="561"/>
      <c r="H34" s="561"/>
      <c r="I34" s="311"/>
      <c r="J34" s="311"/>
      <c r="K34" s="311"/>
      <c r="L34" s="311"/>
      <c r="M34" s="311"/>
      <c r="N34" s="311"/>
      <c r="O34" s="311"/>
      <c r="P34" s="311"/>
      <c r="Q34" s="311"/>
      <c r="R34" s="311"/>
      <c r="S34" s="311"/>
      <c r="T34" s="311"/>
      <c r="U34" s="311"/>
      <c r="V34" s="311"/>
    </row>
    <row r="35" spans="1:66" ht="17.25" customHeight="1" thickBot="1">
      <c r="C35" s="311"/>
      <c r="D35" s="311"/>
      <c r="E35" s="561"/>
      <c r="F35" s="561"/>
      <c r="G35" s="561"/>
      <c r="H35" s="561"/>
      <c r="I35" s="311"/>
      <c r="J35" s="311" t="s">
        <v>140</v>
      </c>
      <c r="K35" s="311"/>
      <c r="L35" s="311" t="s">
        <v>141</v>
      </c>
      <c r="M35" s="311"/>
      <c r="N35" s="311"/>
      <c r="O35" s="311"/>
      <c r="P35" s="311"/>
      <c r="Q35" s="311"/>
      <c r="R35" s="311"/>
      <c r="S35" s="311"/>
      <c r="T35" s="311"/>
      <c r="U35" s="311"/>
      <c r="V35" s="311"/>
    </row>
    <row r="36" spans="1:66" ht="17.25" customHeight="1" thickTop="1" thickBot="1">
      <c r="A36" s="555" t="s">
        <v>34</v>
      </c>
      <c r="B36" s="556"/>
      <c r="C36" s="557"/>
      <c r="D36" s="311"/>
      <c r="E36" s="311"/>
      <c r="F36" s="544">
        <f>AD37</f>
        <v>-26.5</v>
      </c>
      <c r="G36" s="570"/>
      <c r="H36" s="570"/>
      <c r="I36" s="514" t="s">
        <v>4</v>
      </c>
      <c r="J36" s="539" t="s">
        <v>544</v>
      </c>
      <c r="K36" s="514"/>
      <c r="L36" s="514"/>
      <c r="M36" s="514"/>
      <c r="N36" s="514"/>
      <c r="O36" s="472" t="str" cm="1">
        <f t="array" ref="O36">angleDecimal2Txt(F36)</f>
        <v>-26°30.00 (-26.5000) [-26°30'00.00]</v>
      </c>
      <c r="P36" s="472"/>
      <c r="Q36" s="472"/>
      <c r="R36" s="472"/>
      <c r="S36" s="472"/>
      <c r="T36" s="472"/>
      <c r="U36" s="472"/>
      <c r="V36" s="472"/>
      <c r="W36" s="472"/>
      <c r="X36" s="472"/>
      <c r="Y36" s="311"/>
      <c r="Z36" s="311"/>
      <c r="AC36" s="3" t="s">
        <v>179</v>
      </c>
      <c r="AD36" s="3">
        <f>VLOOKUP(I36,A38:C39,3)</f>
        <v>-1</v>
      </c>
      <c r="BN36" s="319"/>
    </row>
    <row r="37" spans="1:66" ht="17.25" customHeight="1" thickTop="1" thickBot="1">
      <c r="A37" s="320" t="s">
        <v>41</v>
      </c>
      <c r="B37" s="321" t="s">
        <v>42</v>
      </c>
      <c r="C37" s="322"/>
      <c r="D37" s="311"/>
      <c r="E37" s="311"/>
      <c r="F37" s="570"/>
      <c r="G37" s="570"/>
      <c r="H37" s="570"/>
      <c r="I37" s="514"/>
      <c r="J37" s="514"/>
      <c r="K37" s="514"/>
      <c r="L37" s="514"/>
      <c r="M37" s="514"/>
      <c r="N37" s="514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311"/>
      <c r="Z37" s="311"/>
      <c r="AC37" s="3" t="s">
        <v>180</v>
      </c>
      <c r="AD37" s="3" cm="1">
        <f t="array" ref="AD37">angleConvert2Decimal(J36)*AD36</f>
        <v>-26.5</v>
      </c>
      <c r="BN37" s="319"/>
    </row>
    <row r="38" spans="1:66" ht="17.25" customHeight="1" thickTop="1">
      <c r="A38" s="320" t="s">
        <v>3</v>
      </c>
      <c r="B38" s="321" t="s">
        <v>5</v>
      </c>
      <c r="C38" s="322">
        <v>1</v>
      </c>
      <c r="D38" s="311"/>
      <c r="E38" s="311"/>
      <c r="F38" s="311"/>
      <c r="G38" s="311"/>
      <c r="H38" s="311"/>
      <c r="BN38" s="319"/>
    </row>
    <row r="39" spans="1:66" ht="17.25" customHeight="1" thickBot="1">
      <c r="A39" s="323" t="s">
        <v>4</v>
      </c>
      <c r="B39" s="324" t="s">
        <v>6</v>
      </c>
      <c r="C39" s="325">
        <v>-1</v>
      </c>
      <c r="D39" s="311"/>
      <c r="E39" s="577" t="s">
        <v>8</v>
      </c>
      <c r="F39" s="577"/>
      <c r="G39" s="577"/>
      <c r="H39" s="577"/>
      <c r="I39" s="311"/>
      <c r="J39" s="311"/>
      <c r="K39" s="311"/>
      <c r="L39" s="311"/>
      <c r="M39" s="311"/>
      <c r="N39" s="311"/>
      <c r="O39" s="311"/>
      <c r="P39" s="311"/>
      <c r="Q39" s="311"/>
      <c r="R39" s="311"/>
      <c r="S39" s="311"/>
      <c r="T39" s="311"/>
      <c r="U39" s="311"/>
      <c r="V39" s="311"/>
      <c r="BN39" s="319"/>
    </row>
    <row r="40" spans="1:66" ht="17.25" customHeight="1" thickBot="1">
      <c r="C40" s="311"/>
      <c r="D40" s="311"/>
      <c r="E40" s="577"/>
      <c r="F40" s="577"/>
      <c r="G40" s="577"/>
      <c r="H40" s="577"/>
      <c r="I40" s="311"/>
      <c r="J40" s="311" t="s">
        <v>140</v>
      </c>
      <c r="K40" s="311"/>
      <c r="L40" s="311" t="s">
        <v>149</v>
      </c>
      <c r="M40" s="311"/>
      <c r="N40" s="311"/>
      <c r="O40" s="311"/>
      <c r="P40" s="311"/>
      <c r="Q40" s="311"/>
      <c r="R40" s="311"/>
      <c r="S40" s="311"/>
      <c r="T40" s="311"/>
      <c r="U40" s="311"/>
      <c r="V40" s="311"/>
      <c r="BN40" s="319"/>
    </row>
    <row r="41" spans="1:66" ht="17.25" customHeight="1" thickTop="1" thickBot="1">
      <c r="B41" s="311"/>
      <c r="C41" s="311"/>
      <c r="D41" s="311"/>
      <c r="E41" s="311"/>
      <c r="F41" s="544">
        <f>AD42</f>
        <v>62.475000000000001</v>
      </c>
      <c r="G41" s="570"/>
      <c r="H41" s="570"/>
      <c r="I41" s="514" t="s">
        <v>5</v>
      </c>
      <c r="J41" s="539" t="s">
        <v>545</v>
      </c>
      <c r="K41" s="514"/>
      <c r="L41" s="514"/>
      <c r="M41" s="514"/>
      <c r="N41" s="514"/>
      <c r="O41" s="472" t="str" cm="1">
        <f t="array" ref="O41">angleDecimal2Txt(F41)</f>
        <v>+62°28.50 (+62.4750) [+62°28'30.00]</v>
      </c>
      <c r="P41" s="472"/>
      <c r="Q41" s="472"/>
      <c r="R41" s="472"/>
      <c r="S41" s="472"/>
      <c r="T41" s="472"/>
      <c r="U41" s="472"/>
      <c r="V41" s="472"/>
      <c r="W41" s="472"/>
      <c r="X41" s="472"/>
      <c r="Y41" s="311"/>
      <c r="Z41" s="311"/>
      <c r="AC41" s="3" t="s">
        <v>181</v>
      </c>
      <c r="AD41" s="3">
        <f>VLOOKUP(I41,B38:C39,2)</f>
        <v>1</v>
      </c>
    </row>
    <row r="42" spans="1:66" ht="17.25" customHeight="1" thickTop="1" thickBot="1">
      <c r="C42" s="311"/>
      <c r="D42" s="311"/>
      <c r="E42" s="311"/>
      <c r="F42" s="570"/>
      <c r="G42" s="570"/>
      <c r="H42" s="570"/>
      <c r="I42" s="514"/>
      <c r="J42" s="514"/>
      <c r="K42" s="514"/>
      <c r="L42" s="514"/>
      <c r="M42" s="514"/>
      <c r="N42" s="514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311"/>
      <c r="Z42" s="311"/>
      <c r="AC42" s="3" t="s">
        <v>182</v>
      </c>
      <c r="AD42" s="3" cm="1">
        <f t="array" ref="AD42">angleConvert2Decimal(J41)*AD41</f>
        <v>62.475000000000001</v>
      </c>
    </row>
    <row r="43" spans="1:66" ht="17.25" customHeight="1" thickTop="1">
      <c r="C43" s="311"/>
      <c r="D43" s="311"/>
      <c r="E43" s="311"/>
      <c r="F43" s="311"/>
      <c r="G43" s="311"/>
      <c r="H43" s="311"/>
      <c r="I43" s="311"/>
      <c r="J43" s="311"/>
      <c r="K43" s="311"/>
      <c r="L43" s="311"/>
      <c r="M43" s="311"/>
      <c r="N43" s="311"/>
      <c r="O43" s="311"/>
      <c r="P43" s="311"/>
      <c r="Q43" s="311"/>
      <c r="R43" s="311"/>
      <c r="S43" s="311"/>
      <c r="T43" s="311"/>
      <c r="U43" s="311"/>
      <c r="V43" s="311"/>
      <c r="W43" s="311"/>
      <c r="X43" s="311"/>
      <c r="Y43" s="311"/>
      <c r="Z43" s="311"/>
    </row>
    <row r="44" spans="1:66" ht="17.25" customHeight="1" thickBot="1"/>
    <row r="45" spans="1:66" ht="17.25" customHeight="1" thickBot="1">
      <c r="B45" s="304" t="s">
        <v>9</v>
      </c>
      <c r="C45" s="305"/>
      <c r="D45" s="305"/>
      <c r="E45" s="305"/>
      <c r="F45" s="532">
        <f>IF(G46=AD46,F50,F58)</f>
        <v>14.68</v>
      </c>
      <c r="G45" s="532"/>
      <c r="H45" s="532"/>
      <c r="I45" s="305"/>
      <c r="J45" s="305"/>
      <c r="K45" s="305" t="str" cm="1">
        <f t="array" ref="K45">angleDecimal2Txt(F45)</f>
        <v>+14°40.79 (+14.6799) [+14°40'48.00]</v>
      </c>
      <c r="L45" s="305"/>
      <c r="M45" s="305"/>
      <c r="N45" s="305"/>
      <c r="O45" s="305"/>
      <c r="P45" s="305"/>
      <c r="Q45" s="305"/>
      <c r="R45" s="305"/>
      <c r="S45" s="305"/>
      <c r="T45" s="305"/>
      <c r="U45" s="305"/>
      <c r="V45" s="305"/>
      <c r="W45" s="305"/>
      <c r="X45" s="305"/>
      <c r="Y45" s="305"/>
      <c r="Z45" s="305"/>
      <c r="AA45" s="305"/>
      <c r="AB45" s="64"/>
    </row>
    <row r="46" spans="1:66" s="326" customFormat="1" ht="17.25" customHeight="1">
      <c r="C46" s="531" t="s">
        <v>35</v>
      </c>
      <c r="D46" s="531"/>
      <c r="E46" s="531"/>
      <c r="F46" s="531"/>
      <c r="G46" s="724" t="s">
        <v>14</v>
      </c>
      <c r="H46" s="724"/>
      <c r="I46" s="724"/>
      <c r="AB46" s="65"/>
      <c r="AC46" s="508" t="s">
        <v>36</v>
      </c>
      <c r="AD46" s="327" t="s">
        <v>10</v>
      </c>
      <c r="AE46" s="301"/>
      <c r="AH46" s="301"/>
      <c r="AI46" s="301"/>
      <c r="AJ46" s="301"/>
      <c r="AK46" s="301"/>
      <c r="AL46" s="301"/>
      <c r="AM46" s="301"/>
      <c r="AN46" s="301"/>
      <c r="AO46" s="301"/>
      <c r="AP46" s="301"/>
      <c r="AQ46" s="301"/>
      <c r="AR46" s="301"/>
      <c r="AS46" s="301"/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/>
      <c r="BF46" s="301"/>
      <c r="BG46" s="301"/>
      <c r="BH46" s="301"/>
      <c r="BI46" s="301"/>
      <c r="BJ46" s="301"/>
      <c r="BK46" s="301"/>
      <c r="BL46" s="301"/>
      <c r="BM46" s="301"/>
    </row>
    <row r="47" spans="1:66" ht="17.25" customHeight="1">
      <c r="C47" s="328" t="s">
        <v>10</v>
      </c>
      <c r="D47" s="328"/>
      <c r="E47" s="329"/>
      <c r="F47" s="329"/>
      <c r="G47" s="311"/>
      <c r="H47" s="311"/>
      <c r="I47" s="311"/>
      <c r="AC47" s="508"/>
      <c r="AD47" s="327" t="s">
        <v>14</v>
      </c>
      <c r="AF47" s="300"/>
      <c r="AG47" s="300"/>
    </row>
    <row r="48" spans="1:66" ht="17.25" customHeight="1">
      <c r="F48" s="515" t="s">
        <v>9</v>
      </c>
      <c r="G48" s="515"/>
      <c r="H48" s="515"/>
      <c r="I48" s="515" t="s">
        <v>12</v>
      </c>
      <c r="J48" s="515"/>
      <c r="K48" s="515"/>
      <c r="L48" s="515"/>
      <c r="M48" s="516" t="s">
        <v>13</v>
      </c>
      <c r="N48" s="516"/>
      <c r="O48" s="516"/>
      <c r="P48" s="520" t="s">
        <v>15</v>
      </c>
      <c r="Q48" s="520"/>
      <c r="R48" s="520"/>
      <c r="S48" s="520"/>
      <c r="T48" s="520"/>
      <c r="U48" s="311"/>
      <c r="AD48" s="73" t="s">
        <v>73</v>
      </c>
      <c r="AE48" s="3" t="s">
        <v>191</v>
      </c>
    </row>
    <row r="49" spans="3:35" ht="17.25" customHeight="1" thickBot="1">
      <c r="F49" s="515"/>
      <c r="G49" s="515"/>
      <c r="H49" s="515"/>
      <c r="I49" s="515"/>
      <c r="J49" s="515"/>
      <c r="K49" s="515"/>
      <c r="L49" s="515"/>
      <c r="M49" s="516"/>
      <c r="N49" s="516"/>
      <c r="O49" s="516"/>
      <c r="P49" s="520"/>
      <c r="Q49" s="520"/>
      <c r="R49" s="520"/>
      <c r="S49" s="520"/>
      <c r="T49" s="520"/>
      <c r="U49" s="311"/>
      <c r="AC49" s="3" t="s">
        <v>183</v>
      </c>
      <c r="AD49" s="3">
        <f>VLOOKUP(P50,$A$38:$C$39,3)</f>
        <v>1</v>
      </c>
      <c r="AE49" s="3" cm="1">
        <f t="array" ref="AE49">AD49*angleConvert2Decimal(Q50)</f>
        <v>23.13</v>
      </c>
    </row>
    <row r="50" spans="3:35" ht="17.25" customHeight="1" thickTop="1" thickBot="1">
      <c r="E50" s="300"/>
      <c r="F50" s="543" t="str">
        <f>IF(G46=AD47,"---",AD54)</f>
        <v>---</v>
      </c>
      <c r="G50" s="543"/>
      <c r="H50" s="543"/>
      <c r="I50" s="486">
        <f>E11</f>
        <v>12.336944444444445</v>
      </c>
      <c r="J50" s="486"/>
      <c r="K50" s="486"/>
      <c r="L50" s="486"/>
      <c r="M50" s="771">
        <v>14</v>
      </c>
      <c r="N50" s="512"/>
      <c r="O50" s="512"/>
      <c r="P50" s="512" t="s">
        <v>3</v>
      </c>
      <c r="Q50" s="635" t="s">
        <v>533</v>
      </c>
      <c r="R50" s="791"/>
      <c r="S50" s="791"/>
      <c r="T50" s="791"/>
      <c r="U50" s="472" t="str" cm="1">
        <f t="array" ref="U50">angleDecimal2Txt(AE49)</f>
        <v>+23°07.79 (+23.1299) [+23°07'48.00]</v>
      </c>
      <c r="V50" s="576"/>
      <c r="W50" s="576"/>
      <c r="X50" s="576"/>
      <c r="Y50" s="576"/>
      <c r="AC50" s="3" t="s">
        <v>184</v>
      </c>
      <c r="AD50" s="3">
        <f>VLOOKUP(P52,$A$38:$C$39,3)</f>
        <v>1</v>
      </c>
      <c r="AE50" s="3" cm="1">
        <f t="array" ref="AE50">AD50*angleConvert2Decimal(Q52)</f>
        <v>23.128333333333334</v>
      </c>
    </row>
    <row r="51" spans="3:35" ht="17.25" customHeight="1" thickTop="1" thickBot="1">
      <c r="F51" s="544"/>
      <c r="G51" s="544"/>
      <c r="H51" s="544"/>
      <c r="I51" s="486"/>
      <c r="J51" s="486"/>
      <c r="K51" s="486"/>
      <c r="L51" s="486"/>
      <c r="M51" s="513"/>
      <c r="N51" s="514"/>
      <c r="O51" s="514"/>
      <c r="P51" s="514"/>
      <c r="Q51" s="554"/>
      <c r="R51" s="554"/>
      <c r="S51" s="554"/>
      <c r="T51" s="554"/>
      <c r="U51" s="576"/>
      <c r="V51" s="576"/>
      <c r="W51" s="576"/>
      <c r="X51" s="576"/>
      <c r="Y51" s="576"/>
      <c r="AC51" s="3" t="s">
        <v>38</v>
      </c>
      <c r="AD51" s="5">
        <f>AE50-AE49</f>
        <v>-1.6666666666651508E-3</v>
      </c>
    </row>
    <row r="52" spans="3:35" ht="17.25" customHeight="1" thickTop="1" thickBot="1">
      <c r="F52" s="544"/>
      <c r="G52" s="544"/>
      <c r="H52" s="544"/>
      <c r="I52" s="486"/>
      <c r="J52" s="486"/>
      <c r="K52" s="486"/>
      <c r="L52" s="486"/>
      <c r="M52" s="552">
        <v>16</v>
      </c>
      <c r="N52" s="514"/>
      <c r="O52" s="514"/>
      <c r="P52" s="514" t="s">
        <v>3</v>
      </c>
      <c r="Q52" s="553" t="s">
        <v>534</v>
      </c>
      <c r="R52" s="554"/>
      <c r="S52" s="554"/>
      <c r="T52" s="554"/>
      <c r="U52" s="472" t="str" cm="1">
        <f t="array" ref="U52">angleDecimal2Txt((AE50))</f>
        <v>+23°07.70 (+23.1283) [+23°07'42.00]</v>
      </c>
      <c r="V52" s="576"/>
      <c r="W52" s="576"/>
      <c r="X52" s="576"/>
      <c r="Y52" s="576"/>
      <c r="AC52" s="3" t="s">
        <v>185</v>
      </c>
      <c r="AD52" s="5">
        <f>M52-M50</f>
        <v>2</v>
      </c>
      <c r="AE52" s="300"/>
      <c r="AF52" s="300"/>
      <c r="AG52" s="300"/>
      <c r="AH52" s="300"/>
    </row>
    <row r="53" spans="3:35" ht="17.25" customHeight="1" thickTop="1" thickBot="1">
      <c r="F53" s="544"/>
      <c r="G53" s="544"/>
      <c r="H53" s="544"/>
      <c r="I53" s="486"/>
      <c r="J53" s="486"/>
      <c r="K53" s="486"/>
      <c r="L53" s="486"/>
      <c r="M53" s="513"/>
      <c r="N53" s="514"/>
      <c r="O53" s="514"/>
      <c r="P53" s="514"/>
      <c r="Q53" s="554"/>
      <c r="R53" s="554"/>
      <c r="S53" s="554"/>
      <c r="T53" s="554"/>
      <c r="U53" s="576"/>
      <c r="V53" s="576"/>
      <c r="W53" s="576"/>
      <c r="X53" s="576"/>
      <c r="Y53" s="576"/>
      <c r="AC53" s="3" t="s">
        <v>39</v>
      </c>
      <c r="AD53" s="5">
        <f>I50-M50</f>
        <v>-1.6630555555555553</v>
      </c>
      <c r="AI53" s="309"/>
    </row>
    <row r="54" spans="3:35" ht="17.25" customHeight="1" thickTop="1" thickBot="1">
      <c r="F54" s="474" t="e" cm="1">
        <f t="array" ref="F54">angleDecimal2Txt(F50)</f>
        <v>#VALUE!</v>
      </c>
      <c r="G54" s="474"/>
      <c r="H54" s="474"/>
      <c r="I54" s="480"/>
      <c r="J54" s="480"/>
      <c r="K54" s="480"/>
      <c r="AA54" s="311"/>
      <c r="AC54" s="3" t="s">
        <v>37</v>
      </c>
      <c r="AD54" s="3">
        <f>AE49+(AD51/AD52)*AD53</f>
        <v>23.131385879629626</v>
      </c>
    </row>
    <row r="55" spans="3:35" ht="17.25" customHeight="1" thickTop="1">
      <c r="C55" s="328" t="s">
        <v>14</v>
      </c>
      <c r="D55" s="328"/>
      <c r="E55" s="329"/>
      <c r="F55" s="329"/>
      <c r="G55" s="311"/>
      <c r="H55" s="311"/>
      <c r="I55" s="311"/>
      <c r="AA55" s="311"/>
    </row>
    <row r="56" spans="3:35" ht="17.25" customHeight="1">
      <c r="C56" s="311"/>
      <c r="D56" s="311"/>
      <c r="E56" s="311"/>
      <c r="F56" s="515" t="s">
        <v>9</v>
      </c>
      <c r="G56" s="515"/>
      <c r="H56" s="515"/>
      <c r="I56" s="515" t="s">
        <v>12</v>
      </c>
      <c r="J56" s="515"/>
      <c r="K56" s="515"/>
      <c r="L56" s="515"/>
      <c r="M56" s="516" t="s">
        <v>13</v>
      </c>
      <c r="N56" s="516"/>
      <c r="O56" s="516"/>
      <c r="P56" s="520" t="s">
        <v>16</v>
      </c>
      <c r="Q56" s="520"/>
      <c r="R56" s="520"/>
      <c r="S56" s="520"/>
      <c r="T56" s="520"/>
      <c r="U56" s="520" t="s">
        <v>142</v>
      </c>
      <c r="V56" s="520"/>
      <c r="W56" s="520"/>
      <c r="X56" s="520"/>
      <c r="Y56" s="520"/>
      <c r="AA56" s="311"/>
      <c r="AC56" s="3" t="s">
        <v>186</v>
      </c>
      <c r="AD56" s="3">
        <f>VLOOKUP(P58,$A$38:$C$39,3)</f>
        <v>1</v>
      </c>
    </row>
    <row r="57" spans="3:35" ht="17.25" customHeight="1">
      <c r="F57" s="515"/>
      <c r="G57" s="515"/>
      <c r="H57" s="515"/>
      <c r="I57" s="515"/>
      <c r="J57" s="515"/>
      <c r="K57" s="515"/>
      <c r="L57" s="515"/>
      <c r="M57" s="516"/>
      <c r="N57" s="516"/>
      <c r="O57" s="516"/>
      <c r="P57" s="520"/>
      <c r="Q57" s="520"/>
      <c r="R57" s="520"/>
      <c r="S57" s="520"/>
      <c r="T57" s="520"/>
      <c r="U57" s="520"/>
      <c r="V57" s="520"/>
      <c r="W57" s="520"/>
      <c r="X57" s="520"/>
      <c r="Y57" s="520"/>
      <c r="Z57" s="311"/>
      <c r="AA57" s="311"/>
      <c r="AC57" s="3" t="s">
        <v>187</v>
      </c>
      <c r="AD57" s="3" cm="1">
        <f t="array" ref="AD57">angleConvert2Decimal(Q58)*AD56</f>
        <v>14.68</v>
      </c>
    </row>
    <row r="58" spans="3:35" ht="17.25" customHeight="1">
      <c r="E58" s="300"/>
      <c r="F58" s="543">
        <f>IF(G46=AD47,AD60,"---")</f>
        <v>14.68</v>
      </c>
      <c r="G58" s="543"/>
      <c r="H58" s="543"/>
      <c r="I58" s="486">
        <f>E11</f>
        <v>12.336944444444445</v>
      </c>
      <c r="J58" s="486"/>
      <c r="K58" s="486"/>
      <c r="L58" s="486"/>
      <c r="M58" s="511">
        <v>0</v>
      </c>
      <c r="N58" s="512"/>
      <c r="O58" s="512"/>
      <c r="P58" s="512" t="s">
        <v>3</v>
      </c>
      <c r="Q58" s="519" t="s">
        <v>546</v>
      </c>
      <c r="R58" s="512"/>
      <c r="S58" s="512"/>
      <c r="T58" s="512"/>
      <c r="U58" s="512" t="s">
        <v>3</v>
      </c>
      <c r="V58" s="519">
        <v>0</v>
      </c>
      <c r="W58" s="512"/>
      <c r="X58" s="512"/>
      <c r="Y58" s="512"/>
      <c r="Z58" s="311"/>
      <c r="AC58" s="3" t="s">
        <v>188</v>
      </c>
      <c r="AD58" s="3">
        <f>VLOOKUP(U58,$A$38:$C$39,3)</f>
        <v>1</v>
      </c>
    </row>
    <row r="59" spans="3:35" ht="17.25" customHeight="1" collapsed="1" thickBot="1">
      <c r="F59" s="544"/>
      <c r="G59" s="544"/>
      <c r="H59" s="544"/>
      <c r="I59" s="486"/>
      <c r="J59" s="486"/>
      <c r="K59" s="486"/>
      <c r="L59" s="486"/>
      <c r="M59" s="513"/>
      <c r="N59" s="514"/>
      <c r="O59" s="514"/>
      <c r="P59" s="514"/>
      <c r="Q59" s="514"/>
      <c r="R59" s="514"/>
      <c r="S59" s="514"/>
      <c r="T59" s="514"/>
      <c r="U59" s="514"/>
      <c r="V59" s="514"/>
      <c r="W59" s="514"/>
      <c r="X59" s="514"/>
      <c r="Y59" s="514"/>
      <c r="Z59" s="311"/>
      <c r="AC59" s="3" t="s">
        <v>189</v>
      </c>
      <c r="AD59" s="3" cm="1">
        <f t="array" ref="AD59">angleConvert2Decimal(V58)*AD58</f>
        <v>0</v>
      </c>
    </row>
    <row r="60" spans="3:35" ht="17.25" customHeight="1" thickTop="1" thickBot="1">
      <c r="F60" s="474" t="str" cm="1">
        <f t="array" ref="F60">angleDecimal2Txt(F58)</f>
        <v>+14°40.79 (+14.6799) [+14°40'48.00]</v>
      </c>
      <c r="G60" s="474"/>
      <c r="H60" s="474"/>
      <c r="I60" s="480"/>
      <c r="J60" s="480"/>
      <c r="K60" s="480"/>
      <c r="P60" s="474" t="str" cm="1">
        <f t="array" ref="P60">angleDecimal2Txt(AD57)</f>
        <v>+14°40.79 (+14.6799) [+14°40'48.00]</v>
      </c>
      <c r="Q60" s="474"/>
      <c r="R60" s="474"/>
      <c r="S60" s="474"/>
      <c r="T60" s="474"/>
      <c r="U60" s="474" t="str" cm="1">
        <f t="array" ref="U60">angleDecimal2Txt(AD59)</f>
        <v>+00°00.00 (+00.0000) [+00°00'00.00]</v>
      </c>
      <c r="V60" s="457"/>
      <c r="W60" s="457"/>
      <c r="X60" s="457"/>
      <c r="Y60" s="457"/>
      <c r="AC60" s="3" t="s">
        <v>190</v>
      </c>
      <c r="AD60" s="3">
        <f>AD57+AD59*(I58-M58)</f>
        <v>14.68</v>
      </c>
    </row>
    <row r="61" spans="3:35" ht="17.25" customHeight="1" thickTop="1">
      <c r="C61" s="328" t="s">
        <v>608</v>
      </c>
      <c r="D61" s="328"/>
      <c r="E61" s="329"/>
      <c r="F61" s="329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AC61" s="3"/>
      <c r="AD61" s="3"/>
    </row>
    <row r="62" spans="3:35" ht="17.25" customHeight="1">
      <c r="C62" s="328"/>
      <c r="D62" s="328"/>
      <c r="E62" s="329"/>
      <c r="F62" s="329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AC62" s="3"/>
      <c r="AD62" s="3"/>
    </row>
    <row r="63" spans="3:35" ht="17.25" customHeight="1">
      <c r="S63" s="311"/>
      <c r="T63" s="311"/>
      <c r="U63" s="311"/>
      <c r="V63" s="311"/>
      <c r="W63" s="311"/>
      <c r="X63" s="311"/>
    </row>
    <row r="64" spans="3:35" ht="17.25" customHeight="1" thickBot="1">
      <c r="S64" s="311"/>
      <c r="T64" s="311"/>
      <c r="U64" s="311"/>
      <c r="V64" s="311"/>
      <c r="W64" s="311"/>
      <c r="X64" s="311"/>
    </row>
    <row r="65" spans="1:32" ht="17.25" customHeight="1" thickBot="1">
      <c r="A65" s="326"/>
      <c r="B65" s="304" t="s">
        <v>145</v>
      </c>
      <c r="C65" s="305"/>
      <c r="D65" s="305"/>
      <c r="E65" s="305"/>
      <c r="F65" s="532">
        <f>IF(G66=AD66,F70,F78)</f>
        <v>3.8383333333333334</v>
      </c>
      <c r="G65" s="532"/>
      <c r="H65" s="532"/>
      <c r="I65" s="305"/>
      <c r="J65" s="305"/>
      <c r="K65" s="305"/>
      <c r="L65" s="722">
        <f>F65-360</f>
        <v>-356.16166666666669</v>
      </c>
      <c r="M65" s="722"/>
      <c r="N65" s="305" t="s">
        <v>28</v>
      </c>
      <c r="O65" s="305"/>
      <c r="P65" s="305"/>
      <c r="Q65" s="305"/>
      <c r="R65" s="305"/>
      <c r="S65" s="305"/>
      <c r="T65" s="305"/>
      <c r="U65" s="305"/>
      <c r="V65" s="305"/>
      <c r="W65" s="305"/>
      <c r="X65" s="305"/>
      <c r="Y65" s="305"/>
      <c r="Z65" s="305"/>
      <c r="AA65" s="305"/>
      <c r="AB65" s="64"/>
    </row>
    <row r="66" spans="1:32" ht="17.25" customHeight="1">
      <c r="B66" s="326"/>
      <c r="C66" s="531" t="s">
        <v>35</v>
      </c>
      <c r="D66" s="531"/>
      <c r="E66" s="531"/>
      <c r="F66" s="723"/>
      <c r="G66" s="573" t="s">
        <v>14</v>
      </c>
      <c r="H66" s="574"/>
      <c r="I66" s="575"/>
      <c r="J66" s="326"/>
      <c r="K66" s="326"/>
      <c r="L66" s="326"/>
      <c r="M66" s="326"/>
      <c r="N66" s="326"/>
      <c r="O66" s="326"/>
      <c r="P66" s="326"/>
      <c r="Q66" s="326"/>
      <c r="R66" s="326"/>
      <c r="S66" s="326"/>
      <c r="T66" s="326"/>
      <c r="U66" s="326"/>
      <c r="V66" s="326"/>
      <c r="W66" s="326"/>
      <c r="X66" s="326"/>
      <c r="Y66" s="326"/>
      <c r="Z66" s="326"/>
      <c r="AA66" s="326"/>
      <c r="AB66" s="65"/>
      <c r="AC66" s="508" t="s">
        <v>36</v>
      </c>
      <c r="AD66" s="327" t="s">
        <v>10</v>
      </c>
    </row>
    <row r="67" spans="1:32" ht="17.25" customHeight="1">
      <c r="C67" s="328" t="s">
        <v>10</v>
      </c>
      <c r="D67" s="328"/>
      <c r="E67" s="329"/>
      <c r="F67" s="329"/>
      <c r="G67" s="311"/>
      <c r="H67" s="311"/>
      <c r="I67" s="311"/>
      <c r="AC67" s="508"/>
      <c r="AD67" s="327" t="s">
        <v>14</v>
      </c>
    </row>
    <row r="68" spans="1:32" ht="17.25" customHeight="1">
      <c r="F68" s="495" t="s">
        <v>9</v>
      </c>
      <c r="G68" s="496"/>
      <c r="H68" s="497"/>
      <c r="I68" s="495" t="s">
        <v>12</v>
      </c>
      <c r="J68" s="496"/>
      <c r="K68" s="496"/>
      <c r="L68" s="497"/>
      <c r="M68" s="501" t="s">
        <v>13</v>
      </c>
      <c r="N68" s="502"/>
      <c r="O68" s="503"/>
      <c r="P68" s="487" t="s">
        <v>15</v>
      </c>
      <c r="Q68" s="488"/>
      <c r="R68" s="488"/>
      <c r="S68" s="488"/>
      <c r="T68" s="489"/>
      <c r="U68" s="311"/>
      <c r="AD68" s="73" t="s">
        <v>73</v>
      </c>
      <c r="AE68" s="3" t="s">
        <v>191</v>
      </c>
    </row>
    <row r="69" spans="1:32" ht="17.25" customHeight="1" thickBot="1">
      <c r="F69" s="498"/>
      <c r="G69" s="499"/>
      <c r="H69" s="500"/>
      <c r="I69" s="498"/>
      <c r="J69" s="499"/>
      <c r="K69" s="499"/>
      <c r="L69" s="500"/>
      <c r="M69" s="504"/>
      <c r="N69" s="505"/>
      <c r="O69" s="506"/>
      <c r="P69" s="490"/>
      <c r="Q69" s="491"/>
      <c r="R69" s="491"/>
      <c r="S69" s="491"/>
      <c r="T69" s="492"/>
      <c r="U69" s="311"/>
      <c r="Z69" s="301"/>
      <c r="AC69" s="3" t="s">
        <v>183</v>
      </c>
      <c r="AD69" s="3">
        <f>VLOOKUP(P70,$B$38:$C$39,2)</f>
        <v>1</v>
      </c>
      <c r="AE69" s="3" cm="1">
        <f t="array" ref="AE69">AD69*angleConvert2Decimal(Q70)</f>
        <v>29.056666666666668</v>
      </c>
    </row>
    <row r="70" spans="1:32" ht="17.25" customHeight="1" thickTop="1" thickBot="1">
      <c r="E70" s="300"/>
      <c r="F70" s="543" t="str">
        <f>IF(G66=AD67,"---",AF74)</f>
        <v>---</v>
      </c>
      <c r="G70" s="543"/>
      <c r="H70" s="543"/>
      <c r="I70" s="486">
        <f>E11</f>
        <v>12.336944444444445</v>
      </c>
      <c r="J70" s="486"/>
      <c r="K70" s="486"/>
      <c r="L70" s="486"/>
      <c r="M70" s="571">
        <v>14</v>
      </c>
      <c r="N70" s="572"/>
      <c r="O70" s="572"/>
      <c r="P70" s="486" t="s">
        <v>5</v>
      </c>
      <c r="Q70" s="562" t="s">
        <v>535</v>
      </c>
      <c r="R70" s="562"/>
      <c r="S70" s="562"/>
      <c r="T70" s="563"/>
      <c r="U70" s="472" t="str" cm="1">
        <f t="array" ref="U70">angleDecimal2Txt(AE69)</f>
        <v>+29°03.39 (+29.0566) [+29°03'24.00]</v>
      </c>
      <c r="V70" s="576"/>
      <c r="W70" s="576"/>
      <c r="X70" s="576"/>
      <c r="Y70" s="576"/>
      <c r="Z70" s="301"/>
      <c r="AC70" s="3" t="s">
        <v>184</v>
      </c>
      <c r="AD70" s="3">
        <f>VLOOKUP(P72,$B$38:$C$39,2)</f>
        <v>1</v>
      </c>
      <c r="AE70" s="3" cm="1">
        <f t="array" ref="AE70">AD70*angleConvert2Decimal(Q72)</f>
        <v>44.055</v>
      </c>
    </row>
    <row r="71" spans="1:32" ht="17.25" customHeight="1" thickTop="1" thickBot="1">
      <c r="F71" s="544"/>
      <c r="G71" s="544"/>
      <c r="H71" s="544"/>
      <c r="I71" s="486"/>
      <c r="J71" s="486"/>
      <c r="K71" s="486"/>
      <c r="L71" s="486"/>
      <c r="M71" s="529"/>
      <c r="N71" s="530"/>
      <c r="O71" s="530"/>
      <c r="P71" s="486"/>
      <c r="Q71" s="564"/>
      <c r="R71" s="564"/>
      <c r="S71" s="564"/>
      <c r="T71" s="565"/>
      <c r="U71" s="576"/>
      <c r="V71" s="576"/>
      <c r="W71" s="576"/>
      <c r="X71" s="576"/>
      <c r="Y71" s="576"/>
      <c r="Z71" s="301"/>
      <c r="AC71" s="3" t="s">
        <v>38</v>
      </c>
      <c r="AD71" s="5">
        <f>AE70-AE69</f>
        <v>14.998333333333331</v>
      </c>
    </row>
    <row r="72" spans="1:32" ht="17.25" customHeight="1" thickTop="1" thickBot="1">
      <c r="F72" s="544"/>
      <c r="G72" s="544"/>
      <c r="H72" s="544"/>
      <c r="I72" s="486"/>
      <c r="J72" s="486"/>
      <c r="K72" s="486"/>
      <c r="L72" s="486"/>
      <c r="M72" s="527">
        <v>15</v>
      </c>
      <c r="N72" s="528"/>
      <c r="O72" s="528"/>
      <c r="P72" s="486" t="s">
        <v>5</v>
      </c>
      <c r="Q72" s="566" t="s">
        <v>536</v>
      </c>
      <c r="R72" s="566"/>
      <c r="S72" s="566"/>
      <c r="T72" s="567"/>
      <c r="U72" s="472" t="str" cm="1">
        <f t="array" ref="U72">angleDecimal2Txt((AE70))</f>
        <v>+44°03.29 (+44.0549) [+44°03'18.00]</v>
      </c>
      <c r="V72" s="576"/>
      <c r="W72" s="576"/>
      <c r="X72" s="576"/>
      <c r="Y72" s="576"/>
      <c r="Z72" s="301"/>
      <c r="AC72" s="3" t="s">
        <v>185</v>
      </c>
      <c r="AD72" s="5">
        <f>M72-M70</f>
        <v>1</v>
      </c>
      <c r="AE72" s="300"/>
    </row>
    <row r="73" spans="1:32" ht="17.25" customHeight="1" thickTop="1" thickBot="1">
      <c r="F73" s="544"/>
      <c r="G73" s="544"/>
      <c r="H73" s="544"/>
      <c r="I73" s="486"/>
      <c r="J73" s="486"/>
      <c r="K73" s="486"/>
      <c r="L73" s="486"/>
      <c r="M73" s="529"/>
      <c r="N73" s="530"/>
      <c r="O73" s="530"/>
      <c r="P73" s="486"/>
      <c r="Q73" s="564"/>
      <c r="R73" s="564"/>
      <c r="S73" s="564"/>
      <c r="T73" s="565"/>
      <c r="U73" s="576"/>
      <c r="V73" s="576"/>
      <c r="W73" s="576"/>
      <c r="X73" s="576"/>
      <c r="Y73" s="576"/>
      <c r="Z73" s="301"/>
      <c r="AC73" s="3" t="s">
        <v>39</v>
      </c>
      <c r="AD73" s="5">
        <f>I70-M70</f>
        <v>-1.6630555555555553</v>
      </c>
    </row>
    <row r="74" spans="1:32" ht="17.25" customHeight="1" thickTop="1" thickBot="1">
      <c r="F74" s="696">
        <f>AC75</f>
        <v>0</v>
      </c>
      <c r="G74" s="697"/>
      <c r="H74" s="697"/>
      <c r="I74" s="785"/>
      <c r="J74" s="785"/>
      <c r="K74" s="786"/>
      <c r="Q74" s="330"/>
      <c r="Z74" s="301"/>
      <c r="AA74" s="311"/>
      <c r="AC74" s="3" t="s">
        <v>298</v>
      </c>
      <c r="AD74" s="3">
        <f>IF(AF74&gt;360,AF74-360,AF74)</f>
        <v>4.1136050925926</v>
      </c>
      <c r="AE74" s="3" t="s">
        <v>37</v>
      </c>
      <c r="AF74" s="3">
        <f>(AE69+(AD71/AD72)*AD73)</f>
        <v>4.1136050925926</v>
      </c>
    </row>
    <row r="75" spans="1:32" ht="17.25" customHeight="1" thickTop="1">
      <c r="C75" s="328" t="s">
        <v>14</v>
      </c>
      <c r="D75" s="328"/>
      <c r="E75" s="329"/>
      <c r="F75" s="329"/>
      <c r="G75" s="311"/>
      <c r="H75" s="311"/>
      <c r="I75" s="311"/>
      <c r="Z75" s="301"/>
      <c r="AA75" s="311"/>
    </row>
    <row r="76" spans="1:32" ht="17.25" customHeight="1">
      <c r="C76" s="311"/>
      <c r="D76" s="311"/>
      <c r="E76" s="311"/>
      <c r="F76" s="495" t="s">
        <v>9</v>
      </c>
      <c r="G76" s="496"/>
      <c r="H76" s="497"/>
      <c r="I76" s="495" t="s">
        <v>12</v>
      </c>
      <c r="J76" s="496"/>
      <c r="K76" s="496"/>
      <c r="L76" s="497"/>
      <c r="M76" s="501" t="s">
        <v>13</v>
      </c>
      <c r="N76" s="502"/>
      <c r="O76" s="503"/>
      <c r="P76" s="487" t="s">
        <v>16</v>
      </c>
      <c r="Q76" s="488"/>
      <c r="R76" s="488"/>
      <c r="S76" s="488"/>
      <c r="T76" s="489"/>
      <c r="U76" s="487" t="s">
        <v>98</v>
      </c>
      <c r="V76" s="488"/>
      <c r="W76" s="488"/>
      <c r="X76" s="488"/>
      <c r="Y76" s="489"/>
      <c r="AA76" s="311"/>
      <c r="AC76" s="3" t="s">
        <v>186</v>
      </c>
      <c r="AD76" s="3">
        <f>VLOOKUP(P78,$B$38:$C$39,2)</f>
        <v>1</v>
      </c>
    </row>
    <row r="77" spans="1:32" ht="17.25" customHeight="1" collapsed="1">
      <c r="F77" s="498"/>
      <c r="G77" s="499"/>
      <c r="H77" s="500"/>
      <c r="I77" s="498"/>
      <c r="J77" s="499"/>
      <c r="K77" s="499"/>
      <c r="L77" s="500"/>
      <c r="M77" s="504"/>
      <c r="N77" s="505"/>
      <c r="O77" s="506"/>
      <c r="P77" s="490"/>
      <c r="Q77" s="491"/>
      <c r="R77" s="491"/>
      <c r="S77" s="491"/>
      <c r="T77" s="492"/>
      <c r="U77" s="490"/>
      <c r="V77" s="493"/>
      <c r="W77" s="493"/>
      <c r="X77" s="493"/>
      <c r="Y77" s="494"/>
      <c r="Z77" s="311"/>
      <c r="AA77" s="311"/>
      <c r="AC77" s="3" t="s">
        <v>187</v>
      </c>
      <c r="AD77" s="3" cm="1">
        <f t="array" ref="AD77">angleConvert2Decimal(Q78)*AD76</f>
        <v>3.8383333333333334</v>
      </c>
    </row>
    <row r="78" spans="1:32" ht="17.25" customHeight="1">
      <c r="E78" s="300"/>
      <c r="F78" s="543">
        <f>IF(G66=AD67,AF80,"---")</f>
        <v>3.8383333333333334</v>
      </c>
      <c r="G78" s="543"/>
      <c r="H78" s="543"/>
      <c r="I78" s="665">
        <f>E11</f>
        <v>12.336944444444445</v>
      </c>
      <c r="J78" s="781"/>
      <c r="K78" s="781"/>
      <c r="L78" s="666"/>
      <c r="M78" s="571">
        <v>0</v>
      </c>
      <c r="N78" s="572"/>
      <c r="O78" s="572"/>
      <c r="P78" s="486" t="s">
        <v>5</v>
      </c>
      <c r="Q78" s="517" t="s">
        <v>547</v>
      </c>
      <c r="R78" s="517"/>
      <c r="S78" s="517"/>
      <c r="T78" s="517"/>
      <c r="U78" s="486" t="s">
        <v>5</v>
      </c>
      <c r="V78" s="485">
        <v>0</v>
      </c>
      <c r="W78" s="486"/>
      <c r="X78" s="486"/>
      <c r="Y78" s="486"/>
      <c r="Z78" s="311"/>
      <c r="AC78" s="3" t="s">
        <v>188</v>
      </c>
      <c r="AD78" s="3">
        <f>VLOOKUP(U78,$B$38:$C$39,2)</f>
        <v>1</v>
      </c>
    </row>
    <row r="79" spans="1:32" ht="17.25" customHeight="1" thickBot="1">
      <c r="F79" s="544"/>
      <c r="G79" s="544"/>
      <c r="H79" s="544"/>
      <c r="I79" s="698"/>
      <c r="J79" s="782"/>
      <c r="K79" s="782"/>
      <c r="L79" s="783"/>
      <c r="M79" s="529"/>
      <c r="N79" s="530"/>
      <c r="O79" s="530"/>
      <c r="P79" s="486"/>
      <c r="Q79" s="518"/>
      <c r="R79" s="518"/>
      <c r="S79" s="518"/>
      <c r="T79" s="518"/>
      <c r="U79" s="486"/>
      <c r="V79" s="486"/>
      <c r="W79" s="486"/>
      <c r="X79" s="486"/>
      <c r="Y79" s="486"/>
      <c r="Z79" s="311"/>
      <c r="AC79" s="3" t="s">
        <v>189</v>
      </c>
      <c r="AD79" s="3" cm="1">
        <f t="array" ref="AD79">angleConvert2Decimal(V78)*AD78</f>
        <v>0</v>
      </c>
    </row>
    <row r="80" spans="1:32" ht="17.25" customHeight="1" thickTop="1" thickBot="1">
      <c r="F80" s="474" t="str" cm="1">
        <f t="array" ref="F80">angleDecimal2Txt(F78)</f>
        <v>+03°50.29 (+03.8383) [+03°50'18.00]</v>
      </c>
      <c r="G80" s="474"/>
      <c r="H80" s="474"/>
      <c r="I80" s="474"/>
      <c r="J80" s="474"/>
      <c r="K80" s="474"/>
      <c r="P80" s="480" t="str" cm="1">
        <f t="array" ref="P80">angleDecimal2Txt(AD77)</f>
        <v>+03°50.29 (+03.8383) [+03°50'18.00]</v>
      </c>
      <c r="Q80" s="474"/>
      <c r="R80" s="474"/>
      <c r="S80" s="474"/>
      <c r="T80" s="474"/>
      <c r="U80" s="480" t="str" cm="1">
        <f t="array" ref="U80">angleDecimal2Txt(AD79)</f>
        <v>+00°00.00 (+00.0000) [+00°00'00.00]</v>
      </c>
      <c r="V80" s="521"/>
      <c r="W80" s="521"/>
      <c r="X80" s="521"/>
      <c r="Y80" s="521"/>
      <c r="AC80" s="3" t="s">
        <v>298</v>
      </c>
      <c r="AD80" s="3">
        <f>IF(AF80&gt;360,AF80-360,AF80)</f>
        <v>3.8383333333333334</v>
      </c>
      <c r="AE80" s="3" t="s">
        <v>37</v>
      </c>
      <c r="AF80" s="3">
        <f>MOD(AD77+AD79*(I78-M78),360)</f>
        <v>3.8383333333333334</v>
      </c>
    </row>
    <row r="81" spans="1:66" ht="17.25" customHeight="1" thickTop="1">
      <c r="S81" s="311"/>
      <c r="T81" s="311"/>
      <c r="U81" s="311"/>
      <c r="V81" s="311"/>
      <c r="W81" s="311"/>
      <c r="X81" s="311"/>
    </row>
    <row r="82" spans="1:66" ht="17.25" customHeight="1">
      <c r="S82" s="311"/>
      <c r="T82" s="311"/>
      <c r="U82" s="311"/>
      <c r="V82" s="311"/>
      <c r="W82" s="311"/>
    </row>
    <row r="83" spans="1:66" ht="17.25" customHeight="1" thickBot="1">
      <c r="F83" s="311"/>
      <c r="G83" s="311"/>
      <c r="H83" s="311"/>
      <c r="I83" s="311"/>
      <c r="J83" s="311"/>
      <c r="K83" s="311"/>
      <c r="L83" s="311"/>
      <c r="M83" s="311"/>
      <c r="N83" s="311"/>
      <c r="O83" s="311"/>
      <c r="P83" s="311"/>
      <c r="Q83" s="311"/>
      <c r="R83" s="311"/>
      <c r="S83" s="311"/>
      <c r="T83" s="311"/>
      <c r="U83" s="311"/>
      <c r="V83" s="311"/>
      <c r="W83" s="311"/>
      <c r="X83" s="311"/>
      <c r="Y83" s="311"/>
      <c r="Z83" s="311"/>
      <c r="AI83" s="309"/>
    </row>
    <row r="84" spans="1:66" s="311" customFormat="1" ht="17.25" customHeight="1" thickBot="1">
      <c r="A84" s="300"/>
      <c r="B84" s="304" t="s">
        <v>43</v>
      </c>
      <c r="C84" s="305"/>
      <c r="D84" s="305"/>
      <c r="E84" s="305"/>
      <c r="F84" s="532">
        <f>I85</f>
        <v>66.313333333333333</v>
      </c>
      <c r="G84" s="532"/>
      <c r="H84" s="532"/>
      <c r="I84" s="305"/>
      <c r="J84" s="536" t="s">
        <v>55</v>
      </c>
      <c r="K84" s="536"/>
      <c r="L84" s="536"/>
      <c r="M84" s="784" t="str">
        <f>J22</f>
        <v>Soleil</v>
      </c>
      <c r="N84" s="784"/>
      <c r="O84" s="784"/>
      <c r="P84" s="305"/>
      <c r="Q84" s="305"/>
      <c r="R84" s="305"/>
      <c r="S84" s="305"/>
      <c r="T84" s="305"/>
      <c r="U84" s="305"/>
      <c r="V84" s="305"/>
      <c r="W84" s="305"/>
      <c r="X84" s="305"/>
      <c r="Y84" s="305"/>
      <c r="Z84" s="305"/>
      <c r="AA84" s="305"/>
      <c r="AB84" s="64"/>
      <c r="AC84" s="301"/>
      <c r="AD84" s="301"/>
      <c r="AE84" s="301"/>
      <c r="AF84" s="301"/>
      <c r="AG84" s="301"/>
      <c r="AH84" s="301"/>
      <c r="AI84" s="301"/>
      <c r="AJ84" s="301"/>
      <c r="AK84" s="301"/>
      <c r="AL84" s="301"/>
      <c r="AM84" s="301"/>
      <c r="AN84" s="301"/>
      <c r="AO84" s="301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1"/>
      <c r="BH84" s="301"/>
      <c r="BI84" s="301"/>
      <c r="BJ84" s="301"/>
      <c r="BK84" s="301"/>
      <c r="BL84" s="301"/>
      <c r="BM84" s="301"/>
      <c r="BN84" s="319"/>
    </row>
    <row r="85" spans="1:66" ht="17.25" customHeight="1" thickBot="1">
      <c r="C85" s="509" t="s">
        <v>21</v>
      </c>
      <c r="D85" s="509"/>
      <c r="E85" s="509"/>
      <c r="F85" s="509"/>
      <c r="G85" s="509"/>
      <c r="H85" s="510"/>
      <c r="I85" s="533">
        <f>AD86</f>
        <v>66.313333333333333</v>
      </c>
      <c r="J85" s="534"/>
      <c r="K85" s="534"/>
      <c r="L85" s="535"/>
      <c r="M85" s="331" t="s">
        <v>45</v>
      </c>
      <c r="N85" s="682">
        <f>AD85</f>
        <v>66.313333333333333</v>
      </c>
      <c r="O85" s="682"/>
      <c r="P85" s="682"/>
      <c r="Q85" s="682"/>
      <c r="AC85" s="3" t="s">
        <v>192</v>
      </c>
      <c r="AD85" s="5">
        <f>F65+F41</f>
        <v>66.313333333333333</v>
      </c>
    </row>
    <row r="86" spans="1:66" ht="17.25" customHeight="1" thickTop="1" thickBot="1">
      <c r="A86" s="311"/>
      <c r="C86" s="311"/>
      <c r="D86" s="311"/>
      <c r="E86" s="311"/>
      <c r="F86" s="311"/>
      <c r="G86" s="311"/>
      <c r="H86" s="311"/>
      <c r="I86" s="457">
        <f>AC87</f>
        <v>0</v>
      </c>
      <c r="J86" s="457"/>
      <c r="K86" s="457"/>
      <c r="L86" s="457"/>
      <c r="M86" s="457"/>
      <c r="N86" s="457"/>
      <c r="AB86" s="66"/>
      <c r="AC86" s="3" t="s">
        <v>193</v>
      </c>
      <c r="AD86" s="5">
        <f>IF(AD85&gt;360,AD85-360,AD85)</f>
        <v>66.313333333333333</v>
      </c>
    </row>
    <row r="87" spans="1:66" ht="17.25" customHeight="1" thickTop="1" thickBot="1">
      <c r="B87" s="311"/>
      <c r="C87" s="300"/>
      <c r="D87" s="300"/>
      <c r="E87" s="300"/>
      <c r="F87" s="300"/>
      <c r="G87" s="300"/>
      <c r="AA87" s="311"/>
    </row>
    <row r="88" spans="1:66" ht="17.25" customHeight="1" thickBot="1">
      <c r="B88" s="304" t="s">
        <v>23</v>
      </c>
      <c r="C88" s="305"/>
      <c r="D88" s="481" t="s">
        <v>72</v>
      </c>
      <c r="E88" s="580"/>
      <c r="F88" s="532">
        <f>IF(G89=AD89,O128,O118)</f>
        <v>13.296863394631936</v>
      </c>
      <c r="G88" s="532"/>
      <c r="H88" s="532"/>
      <c r="I88" s="305"/>
      <c r="J88" s="305"/>
      <c r="K88" s="305"/>
      <c r="L88" s="305" t="s">
        <v>60</v>
      </c>
      <c r="M88" s="481">
        <f>O91</f>
        <v>13.1</v>
      </c>
      <c r="N88" s="481"/>
      <c r="O88" s="305"/>
      <c r="P88" s="332"/>
      <c r="Q88" s="305" t="s">
        <v>99</v>
      </c>
      <c r="R88" s="305"/>
      <c r="S88" s="523">
        <f>-O105+O100+O109</f>
        <v>0.19686339463193628</v>
      </c>
      <c r="T88" s="524"/>
      <c r="U88" s="525"/>
      <c r="V88" s="526" t="str" cm="1">
        <f t="array" ref="V88">angleDecimal2Txt(S88)</f>
        <v>+00°11.81 (+00.1968) [+00°11'48.70]</v>
      </c>
      <c r="W88" s="526"/>
      <c r="X88" s="526"/>
      <c r="Y88" s="526"/>
      <c r="Z88" s="526"/>
      <c r="AA88" s="305"/>
      <c r="AB88" s="64"/>
    </row>
    <row r="89" spans="1:66" ht="17.25" customHeight="1">
      <c r="C89" s="531" t="s">
        <v>35</v>
      </c>
      <c r="D89" s="531"/>
      <c r="E89" s="531"/>
      <c r="F89" s="531"/>
      <c r="G89" s="456" t="s">
        <v>51</v>
      </c>
      <c r="H89" s="456"/>
      <c r="I89" s="456"/>
      <c r="P89" s="300" t="s">
        <v>69</v>
      </c>
      <c r="V89" s="311"/>
      <c r="W89" s="311"/>
      <c r="X89" s="311"/>
      <c r="Y89" s="311"/>
      <c r="Z89" s="311"/>
      <c r="AC89" s="508" t="s">
        <v>36</v>
      </c>
      <c r="AD89" s="327" t="s">
        <v>50</v>
      </c>
    </row>
    <row r="90" spans="1:66" ht="17.25" customHeight="1" thickBot="1">
      <c r="C90" s="326"/>
      <c r="D90" s="326"/>
      <c r="E90" s="326"/>
      <c r="F90" s="458" t="s">
        <v>62</v>
      </c>
      <c r="G90" s="458"/>
      <c r="H90" s="459"/>
      <c r="I90" s="459"/>
      <c r="J90" s="522">
        <f>IF(G89=AD89,"---",O118)</f>
        <v>13.296863394631936</v>
      </c>
      <c r="K90" s="522"/>
      <c r="L90" s="522"/>
      <c r="M90" s="333"/>
      <c r="N90" s="333"/>
      <c r="O90" s="333"/>
      <c r="P90" s="333"/>
      <c r="Q90" s="333"/>
      <c r="R90" s="333"/>
      <c r="S90" s="333"/>
      <c r="T90" s="333"/>
      <c r="U90" s="333"/>
      <c r="V90" s="334"/>
      <c r="W90" s="334"/>
      <c r="X90" s="334"/>
      <c r="Y90" s="334"/>
      <c r="Z90" s="334"/>
      <c r="AC90" s="508"/>
      <c r="AD90" s="327" t="s">
        <v>51</v>
      </c>
    </row>
    <row r="91" spans="1:66" ht="17.25" customHeight="1" thickTop="1" thickBot="1">
      <c r="C91" s="300"/>
      <c r="D91" s="300"/>
      <c r="E91" s="300"/>
      <c r="F91" s="300"/>
      <c r="G91" s="300"/>
      <c r="H91" s="590" t="s">
        <v>47</v>
      </c>
      <c r="I91" s="590"/>
      <c r="J91" s="590"/>
      <c r="K91" s="590"/>
      <c r="L91" s="590"/>
      <c r="M91" s="590"/>
      <c r="N91" s="590"/>
      <c r="O91" s="586">
        <f>J21</f>
        <v>13.1</v>
      </c>
      <c r="P91" s="586"/>
      <c r="Q91" s="586"/>
      <c r="R91" s="586"/>
      <c r="S91" s="300" t="s">
        <v>54</v>
      </c>
      <c r="U91" s="474" t="str" cm="1">
        <f t="array" ref="U91">angleDecimal2Txt(O91)</f>
        <v>+13°06.00 (+13.0999) [+13°06'00.00]</v>
      </c>
      <c r="V91" s="474"/>
      <c r="W91" s="474"/>
      <c r="X91" s="474"/>
      <c r="Y91" s="474"/>
      <c r="Z91" s="474"/>
    </row>
    <row r="92" spans="1:66" ht="17.25" customHeight="1" thickTop="1" thickBot="1">
      <c r="C92" s="300"/>
      <c r="D92" s="300"/>
      <c r="E92" s="300"/>
      <c r="F92" s="300"/>
      <c r="G92" s="300"/>
      <c r="H92" s="590" t="s">
        <v>24</v>
      </c>
      <c r="I92" s="590"/>
      <c r="J92" s="590"/>
      <c r="K92" s="590"/>
      <c r="L92" s="590"/>
      <c r="M92" s="590"/>
      <c r="N92" s="590"/>
      <c r="O92" s="586">
        <f>J20</f>
        <v>0</v>
      </c>
      <c r="P92" s="586"/>
      <c r="Q92" s="586"/>
      <c r="R92" s="586"/>
      <c r="S92" s="300" t="s">
        <v>54</v>
      </c>
      <c r="U92" s="474" t="str" cm="1">
        <f t="array" ref="U92">angleDecimal2Txt(O92)</f>
        <v>+00°00.00 (+00.0000) [+00°00'00.00]</v>
      </c>
      <c r="V92" s="474"/>
      <c r="W92" s="474"/>
      <c r="X92" s="474"/>
      <c r="Y92" s="474"/>
      <c r="Z92" s="474"/>
      <c r="AC92" s="3" t="s">
        <v>59</v>
      </c>
      <c r="AD92" s="5">
        <f>O92</f>
        <v>0</v>
      </c>
    </row>
    <row r="93" spans="1:66" ht="17.25" customHeight="1" thickTop="1" thickBot="1">
      <c r="G93" s="300"/>
      <c r="H93" s="484" t="s">
        <v>68</v>
      </c>
      <c r="I93" s="484"/>
      <c r="J93" s="484"/>
      <c r="K93" s="484"/>
      <c r="L93" s="484"/>
      <c r="M93" s="484"/>
      <c r="N93" s="484"/>
      <c r="O93" s="569">
        <f>AD94</f>
        <v>0</v>
      </c>
      <c r="P93" s="569"/>
      <c r="Q93" s="569"/>
      <c r="R93" s="569"/>
      <c r="S93" s="300" t="s">
        <v>54</v>
      </c>
      <c r="U93" s="474" t="str" cm="1">
        <f t="array" ref="U93">angleDecimal2Txt(O93)</f>
        <v>+00°00.00 (+00.0000) [+00°00'00.00]</v>
      </c>
      <c r="V93" s="474"/>
      <c r="W93" s="474"/>
      <c r="X93" s="474"/>
      <c r="Y93" s="474"/>
      <c r="Z93" s="474"/>
      <c r="AC93" s="3" t="s">
        <v>46</v>
      </c>
      <c r="AD93" s="3">
        <f>J19</f>
        <v>0</v>
      </c>
    </row>
    <row r="94" spans="1:66" ht="17.25" customHeight="1" thickTop="1" thickBot="1">
      <c r="K94" s="311"/>
      <c r="L94" s="311"/>
      <c r="M94" s="589" t="s">
        <v>122</v>
      </c>
      <c r="N94" s="589"/>
      <c r="O94" s="589"/>
      <c r="P94" s="589"/>
      <c r="Q94" s="311"/>
      <c r="R94" s="311"/>
      <c r="U94" s="311"/>
      <c r="V94" s="311"/>
      <c r="W94" s="311"/>
      <c r="X94" s="311"/>
      <c r="Y94" s="311"/>
      <c r="Z94" s="311"/>
      <c r="AC94" s="74" t="s">
        <v>67</v>
      </c>
      <c r="AD94" s="3">
        <f>0.0293 * SQRT(AD93)</f>
        <v>0</v>
      </c>
    </row>
    <row r="95" spans="1:66" ht="17.25" customHeight="1" thickTop="1" thickBot="1">
      <c r="G95" s="300"/>
      <c r="H95" s="761" t="s">
        <v>448</v>
      </c>
      <c r="I95" s="761"/>
      <c r="J95" s="761"/>
      <c r="K95" s="761"/>
      <c r="L95" s="761"/>
      <c r="M95" s="761"/>
      <c r="N95" s="761"/>
      <c r="O95" s="649">
        <f>O91-O92-O93</f>
        <v>13.1</v>
      </c>
      <c r="P95" s="686"/>
      <c r="Q95" s="300" t="s">
        <v>54</v>
      </c>
      <c r="R95" s="507">
        <f>O95*Outils!F4</f>
        <v>0.22863813201125716</v>
      </c>
      <c r="S95" s="507"/>
      <c r="T95" s="37" t="s">
        <v>64</v>
      </c>
      <c r="U95" s="474" t="str" cm="1">
        <f t="array" ref="U95">angleDecimal2Txt(O95)</f>
        <v>+13°06.00 (+13.0999) [+13°06'00.00]</v>
      </c>
      <c r="V95" s="474"/>
      <c r="W95" s="474"/>
      <c r="X95" s="474"/>
      <c r="Y95" s="474"/>
      <c r="Z95" s="474"/>
    </row>
    <row r="96" spans="1:66" ht="17.25" customHeight="1" thickTop="1">
      <c r="C96" s="300"/>
      <c r="D96" s="300"/>
      <c r="E96" s="300"/>
      <c r="F96" s="300"/>
      <c r="G96" s="300"/>
      <c r="H96" s="311"/>
      <c r="I96" s="311"/>
      <c r="J96" s="311"/>
      <c r="K96" s="311"/>
      <c r="L96" s="311"/>
      <c r="M96" s="311"/>
      <c r="N96" s="311"/>
      <c r="O96" s="311"/>
      <c r="P96" s="311"/>
      <c r="Q96" s="311"/>
      <c r="R96" s="311"/>
      <c r="U96" s="311"/>
      <c r="V96" s="311"/>
      <c r="W96" s="311"/>
      <c r="X96" s="311"/>
      <c r="Y96" s="311"/>
      <c r="Z96" s="311"/>
    </row>
    <row r="97" spans="1:31" ht="17.25" customHeight="1">
      <c r="G97" s="300"/>
      <c r="H97" s="311"/>
      <c r="I97" s="311"/>
      <c r="J97" s="311"/>
      <c r="K97" s="311"/>
      <c r="L97" s="311"/>
      <c r="M97" s="767" t="s">
        <v>61</v>
      </c>
      <c r="N97" s="767"/>
      <c r="O97" s="767"/>
      <c r="P97" s="767"/>
      <c r="Q97" s="311"/>
      <c r="R97" s="311"/>
      <c r="U97" s="311"/>
      <c r="V97" s="311"/>
      <c r="W97" s="311"/>
      <c r="X97" s="311"/>
      <c r="Y97" s="311"/>
      <c r="Z97" s="311"/>
    </row>
    <row r="98" spans="1:31" ht="17.25" customHeight="1" thickBot="1">
      <c r="C98" s="300"/>
      <c r="D98" s="300"/>
      <c r="E98" s="300"/>
      <c r="F98" s="300"/>
      <c r="G98" s="300"/>
      <c r="M98" s="768" t="s">
        <v>150</v>
      </c>
      <c r="N98" s="768"/>
      <c r="O98" s="767"/>
      <c r="P98" s="767"/>
    </row>
    <row r="99" spans="1:31" ht="17.25" customHeight="1" thickTop="1" thickBot="1">
      <c r="A99" s="311"/>
      <c r="B99" s="311"/>
      <c r="C99" s="311"/>
      <c r="D99" s="311"/>
      <c r="E99" s="311"/>
      <c r="F99" s="300"/>
      <c r="G99" s="300"/>
      <c r="H99" s="569" t="s">
        <v>52</v>
      </c>
      <c r="I99" s="569"/>
      <c r="J99" s="569"/>
      <c r="K99" s="569"/>
      <c r="L99" s="569"/>
      <c r="M99" s="569"/>
      <c r="N99" s="569"/>
      <c r="O99" s="769">
        <f>J24</f>
        <v>2.8833333333333332E-3</v>
      </c>
      <c r="P99" s="770"/>
      <c r="Q99" s="770"/>
      <c r="R99" s="770"/>
      <c r="S99" s="300" t="s">
        <v>54</v>
      </c>
      <c r="U99" s="474" t="str" cm="1">
        <f t="array" ref="U99">angleDecimal2Txt(O99)</f>
        <v>+00°00.17 (+00.0028) [+00°00'10.37]</v>
      </c>
      <c r="V99" s="474"/>
      <c r="W99" s="474"/>
      <c r="X99" s="474"/>
      <c r="Y99" s="474"/>
      <c r="Z99" s="474"/>
      <c r="AC99" s="3" t="s">
        <v>194</v>
      </c>
      <c r="AD99" s="3">
        <f>O99*COS(R95)</f>
        <v>2.8082973723212654E-3</v>
      </c>
    </row>
    <row r="100" spans="1:31" ht="17.25" customHeight="1" thickTop="1" thickBot="1">
      <c r="A100" s="311"/>
      <c r="B100" s="311"/>
      <c r="C100" s="311"/>
      <c r="D100" s="311"/>
      <c r="E100" s="311"/>
      <c r="F100" s="300"/>
      <c r="G100" s="300"/>
      <c r="H100" s="676" t="s">
        <v>151</v>
      </c>
      <c r="I100" s="677"/>
      <c r="J100" s="677"/>
      <c r="K100" s="677"/>
      <c r="L100" s="677"/>
      <c r="M100" s="677"/>
      <c r="N100" s="678"/>
      <c r="O100" s="642">
        <f>AD99</f>
        <v>2.8082973723212654E-3</v>
      </c>
      <c r="P100" s="642"/>
      <c r="Q100" s="642"/>
      <c r="R100" s="642"/>
      <c r="S100" s="300" t="s">
        <v>54</v>
      </c>
      <c r="U100" s="474" t="str" cm="1">
        <f t="array" ref="U100">angleDecimal2Txt(O100)</f>
        <v>+00°00.16 (+00.0028) [+00°00'10.10]</v>
      </c>
      <c r="V100" s="474"/>
      <c r="W100" s="474"/>
      <c r="X100" s="474"/>
      <c r="Y100" s="474"/>
      <c r="Z100" s="474"/>
    </row>
    <row r="101" spans="1:31" ht="17.25" customHeight="1" thickTop="1">
      <c r="A101" s="311"/>
      <c r="B101" s="311"/>
      <c r="C101" s="311"/>
      <c r="D101" s="311"/>
      <c r="E101" s="311"/>
      <c r="F101" s="300"/>
      <c r="G101" s="300"/>
      <c r="H101" s="311"/>
      <c r="I101" s="311"/>
      <c r="J101" s="311"/>
      <c r="K101" s="311"/>
      <c r="L101" s="311"/>
      <c r="M101" s="311"/>
      <c r="N101" s="311"/>
      <c r="O101" s="311"/>
      <c r="P101" s="311"/>
      <c r="Q101" s="311"/>
      <c r="R101" s="311"/>
      <c r="S101" s="311"/>
      <c r="T101" s="311"/>
      <c r="U101" s="311"/>
      <c r="V101" s="311"/>
      <c r="W101" s="311"/>
      <c r="X101" s="311"/>
      <c r="Y101" s="311"/>
      <c r="Z101" s="311"/>
    </row>
    <row r="102" spans="1:31" ht="17.25" customHeight="1">
      <c r="A102" s="311"/>
      <c r="B102" s="311"/>
      <c r="C102" s="311"/>
      <c r="D102" s="311"/>
      <c r="F102" s="300"/>
      <c r="G102" s="300"/>
      <c r="H102" s="311"/>
      <c r="I102" s="311"/>
      <c r="J102" s="311"/>
      <c r="K102" s="311"/>
      <c r="L102" s="311"/>
      <c r="M102" s="311"/>
      <c r="N102" s="311"/>
      <c r="O102" s="311"/>
      <c r="S102" s="772" t="s">
        <v>135</v>
      </c>
      <c r="T102" s="773"/>
      <c r="U102" s="774"/>
      <c r="Y102" s="311"/>
      <c r="Z102" s="311"/>
      <c r="AC102" s="3" t="s">
        <v>49</v>
      </c>
      <c r="AD102" s="3" t="s">
        <v>196</v>
      </c>
    </row>
    <row r="103" spans="1:31" ht="17.25" customHeight="1">
      <c r="A103" s="311"/>
      <c r="B103" s="311"/>
      <c r="C103" s="311"/>
      <c r="D103" s="311"/>
      <c r="F103" s="300"/>
      <c r="G103" s="300"/>
      <c r="H103" s="569" t="s">
        <v>65</v>
      </c>
      <c r="I103" s="569"/>
      <c r="J103" s="569"/>
      <c r="K103" s="569"/>
      <c r="L103" s="569"/>
      <c r="M103" s="569"/>
      <c r="N103" s="569"/>
      <c r="O103" s="663">
        <f>S103</f>
        <v>10</v>
      </c>
      <c r="P103" s="664"/>
      <c r="Q103" s="664"/>
      <c r="R103" s="664"/>
      <c r="S103" s="583">
        <v>10</v>
      </c>
      <c r="T103" s="584"/>
      <c r="U103" s="585"/>
      <c r="Y103" s="311"/>
      <c r="Z103" s="311"/>
      <c r="AC103" s="3" t="s">
        <v>197</v>
      </c>
      <c r="AD103" s="3">
        <f>1/TAN((O95 + 7.31 / (O95 + 4.4)) * Outils!F4)</f>
        <v>4.1596338349778614</v>
      </c>
    </row>
    <row r="104" spans="1:31" ht="17.25" customHeight="1" thickBot="1">
      <c r="A104" s="311"/>
      <c r="B104" s="311"/>
      <c r="C104" s="311"/>
      <c r="D104" s="311"/>
      <c r="E104" s="311"/>
      <c r="F104" s="300"/>
      <c r="G104" s="300"/>
      <c r="H104" s="569" t="s">
        <v>66</v>
      </c>
      <c r="I104" s="569"/>
      <c r="J104" s="569"/>
      <c r="K104" s="569"/>
      <c r="L104" s="569"/>
      <c r="M104" s="569"/>
      <c r="N104" s="569"/>
      <c r="O104" s="663">
        <f>S104</f>
        <v>1010</v>
      </c>
      <c r="P104" s="664"/>
      <c r="Q104" s="664"/>
      <c r="R104" s="664"/>
      <c r="S104" s="583">
        <v>1010</v>
      </c>
      <c r="T104" s="584"/>
      <c r="U104" s="585"/>
      <c r="Y104" s="311"/>
      <c r="Z104" s="311"/>
      <c r="AC104" s="3" t="s">
        <v>198</v>
      </c>
      <c r="AD104" s="3">
        <f>AD103/60</f>
        <v>6.9327230582964361E-2</v>
      </c>
    </row>
    <row r="105" spans="1:31" ht="17.25" customHeight="1" thickTop="1" thickBot="1">
      <c r="A105" s="311"/>
      <c r="B105" s="311"/>
      <c r="C105" s="311"/>
      <c r="D105" s="311"/>
      <c r="E105" s="311"/>
      <c r="F105" s="300"/>
      <c r="G105" s="300"/>
      <c r="H105" s="676" t="s">
        <v>152</v>
      </c>
      <c r="I105" s="677"/>
      <c r="J105" s="677"/>
      <c r="K105" s="677"/>
      <c r="L105" s="677"/>
      <c r="M105" s="677"/>
      <c r="N105" s="678"/>
      <c r="O105" s="642">
        <f>AD106</f>
        <v>6.9278236073718455E-2</v>
      </c>
      <c r="P105" s="642"/>
      <c r="Q105" s="642"/>
      <c r="R105" s="642"/>
      <c r="S105" s="300" t="s">
        <v>54</v>
      </c>
      <c r="U105" s="474" t="str" cm="1">
        <f t="array" ref="U105">angleDecimal2Txt(O105)</f>
        <v>+00°04.15 (+00.0692) [+00°04'09.40]</v>
      </c>
      <c r="V105" s="474"/>
      <c r="W105" s="474"/>
      <c r="X105" s="474"/>
      <c r="Y105" s="474"/>
      <c r="Z105" s="474"/>
      <c r="AC105" s="3" t="s">
        <v>100</v>
      </c>
      <c r="AD105" s="3">
        <f xml:space="preserve"> 0.28 * O104 / (273 + O103)</f>
        <v>0.99929328621908131</v>
      </c>
    </row>
    <row r="106" spans="1:31" ht="17.25" customHeight="1" thickTop="1">
      <c r="A106" s="311"/>
      <c r="B106" s="311"/>
      <c r="C106" s="311"/>
      <c r="D106" s="311"/>
      <c r="E106" s="311"/>
      <c r="F106" s="300"/>
      <c r="G106" s="300"/>
      <c r="H106" s="311"/>
      <c r="I106" s="311"/>
      <c r="J106" s="311"/>
      <c r="K106" s="311"/>
      <c r="L106" s="311"/>
      <c r="M106" s="311"/>
      <c r="N106" s="311"/>
      <c r="O106" s="311"/>
      <c r="Y106" s="311"/>
      <c r="Z106" s="311"/>
      <c r="AC106" s="3" t="s">
        <v>195</v>
      </c>
      <c r="AD106" s="3">
        <f>AD105*AD104</f>
        <v>6.9278236073718455E-2</v>
      </c>
    </row>
    <row r="107" spans="1:31" ht="17.25" customHeight="1">
      <c r="A107" s="311"/>
      <c r="B107" s="311"/>
      <c r="C107" s="311"/>
      <c r="D107" s="311"/>
      <c r="E107" s="311"/>
      <c r="F107" s="300"/>
      <c r="G107" s="300"/>
      <c r="H107" s="569" t="s">
        <v>106</v>
      </c>
      <c r="I107" s="569"/>
      <c r="J107" s="569"/>
      <c r="K107" s="569"/>
      <c r="L107" s="569"/>
      <c r="M107" s="569"/>
      <c r="N107" s="569"/>
      <c r="O107" s="662">
        <f>J28</f>
        <v>0.52666666666666695</v>
      </c>
      <c r="P107" s="662"/>
      <c r="Q107" s="662"/>
      <c r="R107" s="662"/>
    </row>
    <row r="108" spans="1:31" ht="17.25" customHeight="1" thickBot="1">
      <c r="B108" s="311"/>
      <c r="C108" s="311"/>
      <c r="D108" s="311"/>
      <c r="H108" s="569" t="s">
        <v>70</v>
      </c>
      <c r="I108" s="569"/>
      <c r="J108" s="569"/>
      <c r="K108" s="569"/>
      <c r="L108" s="569"/>
      <c r="M108" s="569"/>
      <c r="N108" s="569"/>
      <c r="O108" s="662" t="str">
        <f>J23</f>
        <v>BordInf</v>
      </c>
      <c r="P108" s="662"/>
      <c r="Q108" s="662"/>
      <c r="R108" s="662"/>
      <c r="AC108" s="3" t="s">
        <v>30</v>
      </c>
      <c r="AD108" s="578" t="str">
        <f>J22</f>
        <v>Soleil</v>
      </c>
      <c r="AE108" s="578"/>
    </row>
    <row r="109" spans="1:31" ht="17.25" customHeight="1" thickTop="1" thickBot="1">
      <c r="H109" s="679" t="s">
        <v>71</v>
      </c>
      <c r="I109" s="680"/>
      <c r="J109" s="680"/>
      <c r="K109" s="680"/>
      <c r="L109" s="680"/>
      <c r="M109" s="680"/>
      <c r="N109" s="681"/>
      <c r="O109" s="682">
        <f>AD112</f>
        <v>0.26333333333333347</v>
      </c>
      <c r="P109" s="682"/>
      <c r="Q109" s="682"/>
      <c r="R109" s="682"/>
      <c r="S109" s="300" t="s">
        <v>54</v>
      </c>
      <c r="U109" s="474" t="str" cm="1">
        <f t="array" ref="U109">angleDecimal2Txt(O109)</f>
        <v>+00°15.80 (+00.2633) [+00°15'48.00]</v>
      </c>
      <c r="V109" s="474"/>
      <c r="W109" s="474"/>
      <c r="X109" s="474"/>
      <c r="Y109" s="474"/>
      <c r="Z109" s="474"/>
      <c r="AC109" s="3" t="s">
        <v>202</v>
      </c>
      <c r="AD109" s="578" t="str">
        <f>O108</f>
        <v>BordInf</v>
      </c>
      <c r="AE109" s="578"/>
    </row>
    <row r="110" spans="1:31" ht="17.25" customHeight="1" thickTop="1">
      <c r="H110" s="311"/>
      <c r="I110" s="311"/>
      <c r="J110" s="311"/>
      <c r="K110" s="311"/>
      <c r="L110" s="311"/>
      <c r="M110" s="311"/>
      <c r="N110" s="311"/>
      <c r="O110" s="311"/>
      <c r="P110" s="311"/>
      <c r="Q110" s="311"/>
      <c r="R110" s="311"/>
      <c r="S110" s="311"/>
      <c r="T110" s="311"/>
      <c r="U110" s="311"/>
      <c r="V110" s="311"/>
      <c r="W110" s="311"/>
      <c r="X110" s="311"/>
      <c r="Y110" s="311"/>
      <c r="Z110" s="311"/>
      <c r="AC110" s="3" t="s">
        <v>203</v>
      </c>
      <c r="AD110" s="579">
        <f>HLOOKUP(AD109,AD27:AF28,2)</f>
        <v>0.5</v>
      </c>
      <c r="AE110" s="579"/>
    </row>
    <row r="111" spans="1:31" ht="17.25" customHeight="1">
      <c r="G111" s="591" t="s">
        <v>115</v>
      </c>
      <c r="H111" s="592"/>
      <c r="I111" s="592"/>
      <c r="J111" s="592"/>
      <c r="K111" s="592"/>
      <c r="L111" s="592"/>
      <c r="M111" s="592"/>
      <c r="N111" s="592"/>
      <c r="O111" s="592"/>
      <c r="P111" s="592"/>
      <c r="Q111" s="592"/>
      <c r="R111" s="592"/>
      <c r="S111" s="593"/>
      <c r="T111" s="311"/>
      <c r="U111" s="311"/>
      <c r="V111" s="311"/>
      <c r="W111" s="311"/>
      <c r="X111" s="311"/>
      <c r="Y111" s="311"/>
      <c r="Z111" s="311"/>
      <c r="AC111" s="3" t="s">
        <v>106</v>
      </c>
      <c r="AD111" s="3">
        <f>HLOOKUP(AD108,AD23:AF25,3)</f>
        <v>0.52666666666666673</v>
      </c>
      <c r="AE111" s="3" cm="1">
        <f t="array" ref="AE111">angleConvert2Decimal(AD111)</f>
        <v>0.52666666666666695</v>
      </c>
    </row>
    <row r="112" spans="1:31" ht="17.25" customHeight="1">
      <c r="G112" s="665" t="s">
        <v>124</v>
      </c>
      <c r="H112" s="666"/>
      <c r="I112" s="460" t="s">
        <v>119</v>
      </c>
      <c r="J112" s="461"/>
      <c r="K112" s="461"/>
      <c r="L112" s="461"/>
      <c r="M112" s="461"/>
      <c r="N112" s="462"/>
      <c r="O112" s="775">
        <f>(O100-O105-O93+O107/2) * 60</f>
        <v>11.811803677916176</v>
      </c>
      <c r="P112" s="587"/>
      <c r="Q112" s="587"/>
      <c r="R112" s="587"/>
      <c r="S112" s="594" t="s">
        <v>116</v>
      </c>
      <c r="T112" s="311"/>
      <c r="U112" s="311"/>
      <c r="V112" s="311"/>
      <c r="W112" s="311"/>
      <c r="X112" s="311"/>
      <c r="Y112" s="311"/>
      <c r="Z112" s="311"/>
      <c r="AC112" s="3" t="s">
        <v>203</v>
      </c>
      <c r="AD112" s="579">
        <f>AE111*AD110</f>
        <v>0.26333333333333347</v>
      </c>
      <c r="AE112" s="579"/>
    </row>
    <row r="113" spans="6:27" ht="17.25" customHeight="1">
      <c r="G113" s="667"/>
      <c r="H113" s="668"/>
      <c r="I113" s="463" t="s">
        <v>123</v>
      </c>
      <c r="J113" s="464"/>
      <c r="K113" s="464"/>
      <c r="L113" s="464"/>
      <c r="M113" s="464"/>
      <c r="N113" s="465"/>
      <c r="O113" s="776"/>
      <c r="P113" s="588"/>
      <c r="Q113" s="588"/>
      <c r="R113" s="588"/>
      <c r="S113" s="595"/>
      <c r="T113" s="311"/>
      <c r="U113" s="311"/>
      <c r="V113" s="311"/>
      <c r="W113" s="311"/>
      <c r="X113" s="311"/>
      <c r="Y113" s="311"/>
      <c r="Z113" s="311"/>
    </row>
    <row r="114" spans="6:27" ht="17.25" customHeight="1">
      <c r="H114" s="311"/>
      <c r="I114" s="460" t="s">
        <v>120</v>
      </c>
      <c r="J114" s="461"/>
      <c r="K114" s="461"/>
      <c r="L114" s="461"/>
      <c r="M114" s="461"/>
      <c r="N114" s="462"/>
      <c r="O114" s="587">
        <f>(O100-O105+O107/2)*60</f>
        <v>11.811803677916176</v>
      </c>
      <c r="P114" s="587"/>
      <c r="Q114" s="587"/>
      <c r="R114" s="587"/>
      <c r="S114" s="594" t="s">
        <v>116</v>
      </c>
      <c r="T114" s="311"/>
      <c r="U114" s="311"/>
      <c r="V114" s="311"/>
      <c r="W114" s="311"/>
      <c r="X114" s="311"/>
      <c r="Y114" s="311"/>
      <c r="Z114" s="311"/>
    </row>
    <row r="115" spans="6:27" ht="17.25" customHeight="1">
      <c r="H115" s="311"/>
      <c r="I115" s="659" t="s">
        <v>121</v>
      </c>
      <c r="J115" s="660"/>
      <c r="K115" s="660"/>
      <c r="L115" s="660"/>
      <c r="M115" s="660"/>
      <c r="N115" s="661"/>
      <c r="O115" s="588"/>
      <c r="P115" s="588"/>
      <c r="Q115" s="588"/>
      <c r="R115" s="588"/>
      <c r="S115" s="595"/>
      <c r="T115" s="311"/>
      <c r="U115" s="311"/>
      <c r="V115" s="311"/>
      <c r="W115" s="311"/>
      <c r="X115" s="311"/>
      <c r="Y115" s="311"/>
      <c r="Z115" s="311"/>
    </row>
    <row r="116" spans="6:27" ht="17.25" customHeight="1">
      <c r="H116" s="311"/>
      <c r="I116" s="762" t="s">
        <v>71</v>
      </c>
      <c r="J116" s="762"/>
      <c r="K116" s="762"/>
      <c r="L116" s="762"/>
      <c r="M116" s="762"/>
      <c r="N116" s="762"/>
      <c r="O116" s="687">
        <f>O109*60</f>
        <v>15.800000000000008</v>
      </c>
      <c r="P116" s="688"/>
      <c r="Q116" s="688"/>
      <c r="R116" s="688"/>
      <c r="S116" s="75" t="s">
        <v>116</v>
      </c>
      <c r="T116" s="311"/>
      <c r="U116" s="311"/>
      <c r="V116" s="311"/>
      <c r="W116" s="311"/>
      <c r="X116" s="311"/>
      <c r="Y116" s="311"/>
      <c r="Z116" s="311"/>
    </row>
    <row r="117" spans="6:27" ht="17.25" customHeight="1" thickBot="1">
      <c r="H117" s="311"/>
      <c r="I117" s="311"/>
      <c r="J117" s="311"/>
      <c r="K117" s="311"/>
      <c r="L117" s="311"/>
      <c r="M117" s="311"/>
      <c r="N117" s="311"/>
      <c r="O117" s="311"/>
      <c r="P117" s="311"/>
      <c r="Q117" s="311"/>
      <c r="R117" s="311"/>
    </row>
    <row r="118" spans="6:27" ht="17.25" customHeight="1" thickTop="1" thickBot="1">
      <c r="H118" s="683" t="s">
        <v>449</v>
      </c>
      <c r="I118" s="684"/>
      <c r="J118" s="684"/>
      <c r="K118" s="684"/>
      <c r="L118" s="684"/>
      <c r="M118" s="684"/>
      <c r="N118" s="685"/>
      <c r="O118" s="686">
        <f>O95-O105+O100+O109</f>
        <v>13.296863394631936</v>
      </c>
      <c r="P118" s="642"/>
      <c r="Q118" s="642"/>
      <c r="R118" s="642"/>
      <c r="S118" s="300" t="s">
        <v>54</v>
      </c>
      <c r="U118" s="474" t="str" cm="1">
        <f t="array" ref="U118">angleDecimal2Txt(O118)</f>
        <v>+13°17.81 (+13.2968) [+13°17'48.70]</v>
      </c>
      <c r="V118" s="474"/>
      <c r="W118" s="474"/>
      <c r="X118" s="474"/>
      <c r="Y118" s="474"/>
      <c r="Z118" s="474"/>
    </row>
    <row r="119" spans="6:27" ht="17.25" customHeight="1" thickTop="1"/>
    <row r="120" spans="6:27" ht="17.25" customHeight="1">
      <c r="F120" s="458" t="s">
        <v>63</v>
      </c>
      <c r="G120" s="458"/>
      <c r="H120" s="458"/>
      <c r="I120" s="458"/>
      <c r="J120" s="642" t="str">
        <f>IF(G89=AD89,O128,"---")</f>
        <v>---</v>
      </c>
      <c r="K120" s="642"/>
      <c r="L120" s="642"/>
      <c r="M120" s="333"/>
      <c r="N120" s="333"/>
      <c r="O120" s="333"/>
      <c r="P120" s="333"/>
      <c r="Q120" s="333"/>
      <c r="R120" s="333"/>
      <c r="S120" s="333"/>
      <c r="T120" s="333"/>
      <c r="U120" s="333"/>
      <c r="V120" s="333"/>
      <c r="W120" s="333"/>
      <c r="X120" s="333"/>
      <c r="Y120" s="333"/>
      <c r="Z120" s="333"/>
    </row>
    <row r="121" spans="6:27" ht="17.25" customHeight="1">
      <c r="F121" s="301"/>
      <c r="G121" s="301"/>
      <c r="H121" s="301"/>
      <c r="I121" s="301"/>
      <c r="J121" s="301"/>
      <c r="K121" s="301"/>
      <c r="L121" s="301"/>
    </row>
    <row r="122" spans="6:27" ht="17.25" customHeight="1">
      <c r="F122" s="301"/>
      <c r="G122" s="301"/>
      <c r="H122" s="301"/>
      <c r="I122" s="301"/>
      <c r="J122" s="301"/>
      <c r="K122" s="301"/>
      <c r="L122" s="301"/>
      <c r="T122" s="335" t="s">
        <v>84</v>
      </c>
      <c r="U122" s="777" t="s">
        <v>33</v>
      </c>
      <c r="V122" s="777"/>
    </row>
    <row r="123" spans="6:27" ht="17.25" customHeight="1">
      <c r="T123" s="336" t="s">
        <v>80</v>
      </c>
      <c r="U123" s="777" t="s">
        <v>82</v>
      </c>
      <c r="V123" s="777"/>
    </row>
    <row r="124" spans="6:27" ht="17.25" customHeight="1">
      <c r="H124" s="300" t="s">
        <v>72</v>
      </c>
      <c r="I124" s="337" t="s">
        <v>74</v>
      </c>
      <c r="J124" s="300" t="s">
        <v>60</v>
      </c>
      <c r="K124" s="669" t="s">
        <v>77</v>
      </c>
      <c r="L124" s="300" t="s">
        <v>59</v>
      </c>
      <c r="N124" s="669" t="s">
        <v>79</v>
      </c>
      <c r="O124" s="337" t="s">
        <v>246</v>
      </c>
      <c r="Q124" s="669" t="s">
        <v>79</v>
      </c>
      <c r="R124" s="300" t="s">
        <v>247</v>
      </c>
      <c r="T124" s="338" t="s">
        <v>81</v>
      </c>
      <c r="U124" s="778" t="s">
        <v>83</v>
      </c>
      <c r="V124" s="778"/>
      <c r="Z124" s="301"/>
      <c r="AA124" s="301"/>
    </row>
    <row r="125" spans="6:27" ht="17.25" customHeight="1" thickBot="1">
      <c r="I125" s="337"/>
      <c r="J125" s="42">
        <f>O91</f>
        <v>13.1</v>
      </c>
      <c r="K125" s="669"/>
      <c r="L125" s="689">
        <f>O92</f>
        <v>0</v>
      </c>
      <c r="M125" s="690"/>
      <c r="N125" s="669"/>
      <c r="O125" s="693" t="s">
        <v>157</v>
      </c>
      <c r="P125" s="694"/>
      <c r="Q125" s="669"/>
      <c r="R125" s="113" t="s">
        <v>81</v>
      </c>
      <c r="V125" s="301"/>
      <c r="W125" s="301"/>
      <c r="X125" s="301"/>
      <c r="Y125" s="301"/>
      <c r="Z125" s="301"/>
      <c r="AA125" s="301"/>
    </row>
    <row r="126" spans="6:27" ht="17.25" customHeight="1" thickTop="1" thickBot="1">
      <c r="I126" s="337"/>
      <c r="J126" s="301"/>
      <c r="K126" s="337" t="s">
        <v>245</v>
      </c>
      <c r="L126" s="691" cm="1">
        <f t="array" ref="L126">angleConvert2Decimal(L125)</f>
        <v>0</v>
      </c>
      <c r="M126" s="692"/>
      <c r="O126" s="482" cm="1">
        <f t="array" ref="O126">angleConvert2Decimal(O125)</f>
        <v>0.17166666666666669</v>
      </c>
      <c r="P126" s="483"/>
      <c r="Q126" s="309"/>
      <c r="R126" s="104" cm="1">
        <f t="array" ref="R126">angleConvert2Decimal(R125)</f>
        <v>-0.53333333333333333</v>
      </c>
      <c r="S126" s="301"/>
      <c r="T126" s="7" t="s">
        <v>111</v>
      </c>
      <c r="U126" s="7"/>
      <c r="V126" s="7">
        <f>R126+O126</f>
        <v>-0.36166666666666664</v>
      </c>
      <c r="W126" s="696" t="str" cm="1">
        <f t="array" ref="W126">angleDecimal2Txt(V126)</f>
        <v>-00°21.69 (-00.3616) [-00°21'42.00]</v>
      </c>
      <c r="X126" s="697"/>
      <c r="Y126" s="697"/>
      <c r="Z126" s="697"/>
      <c r="AA126" s="640"/>
    </row>
    <row r="127" spans="6:27" ht="17.25" customHeight="1" thickTop="1" thickBot="1">
      <c r="I127" s="337"/>
      <c r="K127" s="337"/>
      <c r="N127" s="337"/>
      <c r="Q127" s="337"/>
      <c r="R127" s="339"/>
    </row>
    <row r="128" spans="6:27" ht="17.25" customHeight="1" thickTop="1" thickBot="1">
      <c r="H128" s="683" t="s">
        <v>156</v>
      </c>
      <c r="I128" s="684"/>
      <c r="J128" s="684"/>
      <c r="K128" s="684"/>
      <c r="L128" s="684"/>
      <c r="M128" s="684"/>
      <c r="N128" s="685"/>
      <c r="O128" s="686">
        <f>J125-L126+O126+R126</f>
        <v>12.738333333333333</v>
      </c>
      <c r="P128" s="642"/>
      <c r="Q128" s="642"/>
      <c r="R128" s="642"/>
      <c r="S128" s="300" t="s">
        <v>54</v>
      </c>
      <c r="U128" s="474" t="str" cm="1">
        <f t="array" ref="U128">angleDecimal2Txt(O128)</f>
        <v>+12°44.29 (+12.7383) [+12°44'18.00]</v>
      </c>
      <c r="V128" s="474"/>
      <c r="W128" s="474"/>
      <c r="X128" s="474"/>
      <c r="Y128" s="474"/>
      <c r="Z128" s="474"/>
    </row>
    <row r="129" spans="1:31" ht="17.25" customHeight="1" thickTop="1" thickBot="1">
      <c r="D129" s="340"/>
    </row>
    <row r="130" spans="1:31" ht="17.25" customHeight="1" thickBot="1">
      <c r="B130" s="304" t="s">
        <v>44</v>
      </c>
      <c r="C130" s="305"/>
      <c r="D130" s="341"/>
      <c r="E130" s="305"/>
      <c r="F130" s="305"/>
      <c r="G130" s="305"/>
      <c r="H130" s="305"/>
      <c r="I130" s="305"/>
      <c r="J130" s="305"/>
      <c r="K130" s="305"/>
      <c r="L130" s="305"/>
      <c r="M130" s="305"/>
      <c r="N130" s="305"/>
      <c r="O130" s="305"/>
      <c r="P130" s="305"/>
      <c r="Q130" s="305"/>
      <c r="R130" s="305"/>
      <c r="S130" s="305"/>
      <c r="T130" s="305"/>
      <c r="U130" s="305"/>
      <c r="V130" s="305"/>
      <c r="W130" s="305"/>
      <c r="X130" s="305"/>
      <c r="Y130" s="305"/>
      <c r="Z130" s="305"/>
      <c r="AA130" s="305"/>
      <c r="AB130" s="62"/>
    </row>
    <row r="131" spans="1:31" ht="17.25" customHeight="1">
      <c r="C131" s="300"/>
      <c r="D131" s="300"/>
      <c r="E131" s="300"/>
      <c r="F131" s="300"/>
      <c r="G131" s="300"/>
      <c r="O131" s="695" t="s">
        <v>400</v>
      </c>
      <c r="P131" s="695"/>
      <c r="Q131" s="695"/>
      <c r="R131" s="695"/>
      <c r="S131" s="695"/>
      <c r="T131" s="695"/>
      <c r="U131" s="695"/>
      <c r="V131" s="695"/>
      <c r="W131" s="695"/>
      <c r="X131" s="695"/>
      <c r="Y131" s="695"/>
      <c r="Z131" s="695"/>
      <c r="AA131" s="695"/>
    </row>
    <row r="132" spans="1:31" ht="17.25" customHeight="1">
      <c r="C132" s="311"/>
      <c r="D132" s="311"/>
      <c r="E132" s="670" t="s">
        <v>22</v>
      </c>
      <c r="F132" s="671"/>
      <c r="G132" s="671"/>
      <c r="H132" s="671"/>
      <c r="I132" s="473">
        <f>AD134</f>
        <v>13.574783366775584</v>
      </c>
      <c r="J132" s="473"/>
      <c r="K132" s="473"/>
      <c r="L132" s="473"/>
      <c r="M132" s="473"/>
      <c r="O132" s="586" t="s">
        <v>86</v>
      </c>
      <c r="P132" s="586"/>
      <c r="Q132" s="586">
        <f>F45</f>
        <v>14.68</v>
      </c>
      <c r="R132" s="586"/>
      <c r="S132" s="586"/>
      <c r="T132" s="698" t="s">
        <v>54</v>
      </c>
      <c r="U132" s="732">
        <f>Q132*Outils!$F$4</f>
        <v>0.25621433419276757</v>
      </c>
      <c r="V132" s="733"/>
      <c r="W132" s="739"/>
      <c r="X132" s="698" t="s">
        <v>64</v>
      </c>
      <c r="AC132" s="3" t="s">
        <v>401</v>
      </c>
      <c r="AD132" s="3">
        <f>SIN(U132)*SIN(U133)+COS(U132)*COS(U133)*COS(U134)</f>
        <v>0.23471431740278065</v>
      </c>
      <c r="AE132" s="3"/>
    </row>
    <row r="133" spans="1:31" ht="17.25" customHeight="1" thickBot="1">
      <c r="C133" s="311"/>
      <c r="D133" s="311"/>
      <c r="E133" s="672"/>
      <c r="F133" s="673"/>
      <c r="G133" s="673"/>
      <c r="H133" s="673"/>
      <c r="I133" s="473"/>
      <c r="J133" s="473"/>
      <c r="K133" s="473"/>
      <c r="L133" s="473"/>
      <c r="M133" s="473"/>
      <c r="N133" s="342" t="s">
        <v>125</v>
      </c>
      <c r="O133" s="586" t="s">
        <v>87</v>
      </c>
      <c r="P133" s="586"/>
      <c r="Q133" s="586">
        <f>F36</f>
        <v>-26.5</v>
      </c>
      <c r="R133" s="586"/>
      <c r="S133" s="586"/>
      <c r="T133" s="698"/>
      <c r="U133" s="732">
        <f>Q133*Outils!$F$4</f>
        <v>-0.46251225177849731</v>
      </c>
      <c r="V133" s="733"/>
      <c r="W133" s="739"/>
      <c r="X133" s="698"/>
      <c r="AC133" s="3" t="s">
        <v>205</v>
      </c>
      <c r="AD133" s="3">
        <f>ASIN(AD132)</f>
        <v>0.23692466499519496</v>
      </c>
      <c r="AE133" s="3" t="s">
        <v>64</v>
      </c>
    </row>
    <row r="134" spans="1:31" ht="17.25" customHeight="1" thickTop="1" thickBot="1">
      <c r="C134" s="311"/>
      <c r="D134" s="311"/>
      <c r="E134" s="674"/>
      <c r="F134" s="675"/>
      <c r="G134" s="675"/>
      <c r="H134" s="675"/>
      <c r="I134" s="474" t="str" cm="1">
        <f t="array" ref="I134">angleDecimal2Txt(I132)</f>
        <v>+13°34.48 (+13.5747) [+13°34'29.22]</v>
      </c>
      <c r="J134" s="474"/>
      <c r="K134" s="474"/>
      <c r="L134" s="474"/>
      <c r="M134" s="474"/>
      <c r="O134" s="586" t="s">
        <v>43</v>
      </c>
      <c r="P134" s="586"/>
      <c r="Q134" s="586">
        <f>F84</f>
        <v>66.313333333333333</v>
      </c>
      <c r="R134" s="586"/>
      <c r="S134" s="586"/>
      <c r="T134" s="698"/>
      <c r="U134" s="732">
        <f>Q134*Outils!$F$4</f>
        <v>1.1573860046391731</v>
      </c>
      <c r="V134" s="733"/>
      <c r="W134" s="739"/>
      <c r="X134" s="698"/>
      <c r="AC134" s="3"/>
      <c r="AD134" s="3">
        <f>AD133*Outils!F5</f>
        <v>13.574783366775584</v>
      </c>
      <c r="AE134" s="3" t="s">
        <v>54</v>
      </c>
    </row>
    <row r="135" spans="1:31" ht="17.25" customHeight="1" thickTop="1">
      <c r="C135" s="311"/>
      <c r="D135" s="311"/>
      <c r="E135" s="300"/>
      <c r="F135" s="300"/>
      <c r="G135" s="300"/>
    </row>
    <row r="136" spans="1:31" ht="17.25" customHeight="1">
      <c r="C136" s="311"/>
      <c r="D136" s="311"/>
      <c r="E136" s="670" t="s">
        <v>25</v>
      </c>
      <c r="F136" s="671"/>
      <c r="G136" s="671"/>
      <c r="H136" s="671"/>
      <c r="I136" s="473">
        <f>F88</f>
        <v>13.296863394631936</v>
      </c>
      <c r="J136" s="473"/>
      <c r="K136" s="473"/>
      <c r="L136" s="473"/>
      <c r="M136" s="473"/>
    </row>
    <row r="137" spans="1:31" ht="17.25" customHeight="1" thickBot="1">
      <c r="C137" s="311"/>
      <c r="D137" s="311"/>
      <c r="E137" s="672"/>
      <c r="F137" s="673"/>
      <c r="G137" s="673"/>
      <c r="H137" s="673"/>
      <c r="I137" s="473"/>
      <c r="J137" s="473"/>
      <c r="K137" s="473"/>
      <c r="L137" s="473"/>
      <c r="M137" s="473"/>
      <c r="O137" s="740" t="s">
        <v>27</v>
      </c>
      <c r="P137" s="741"/>
      <c r="Q137" s="741"/>
      <c r="R137" s="741"/>
      <c r="S137" s="742"/>
      <c r="T137" s="266">
        <f>I136-I132</f>
        <v>-0.27791997214364805</v>
      </c>
      <c r="U137" s="267" t="s">
        <v>28</v>
      </c>
      <c r="V137" s="268">
        <f>T137*60</f>
        <v>-16.675198328618883</v>
      </c>
      <c r="W137" s="267" t="s">
        <v>112</v>
      </c>
      <c r="X137" s="699" t="str">
        <f>IF(T137&gt;0,"Vers Pg", "Oppose de Pg")</f>
        <v>Oppose de Pg</v>
      </c>
      <c r="Y137" s="699"/>
    </row>
    <row r="138" spans="1:31" ht="17.25" customHeight="1" thickTop="1" thickBot="1">
      <c r="C138" s="311"/>
      <c r="D138" s="311"/>
      <c r="E138" s="674"/>
      <c r="F138" s="675"/>
      <c r="G138" s="675"/>
      <c r="H138" s="675"/>
      <c r="I138" s="474" t="str" cm="1">
        <f t="array" ref="I138">angleDecimal2Txt(I136)</f>
        <v>+13°17.81 (+13.2968) [+13°17'48.70]</v>
      </c>
      <c r="J138" s="474"/>
      <c r="K138" s="474"/>
      <c r="L138" s="474"/>
      <c r="M138" s="474"/>
      <c r="O138" s="301"/>
      <c r="P138" s="301"/>
      <c r="Q138" s="301"/>
      <c r="S138" s="475" t="s">
        <v>404</v>
      </c>
      <c r="T138" s="476" t="s">
        <v>423</v>
      </c>
      <c r="U138" s="476"/>
      <c r="V138" s="476">
        <f>F45</f>
        <v>14.68</v>
      </c>
      <c r="W138" s="476"/>
      <c r="X138" s="478" t="str">
        <f>latitudeDecimal2Txt(V138)</f>
        <v>N 14°40.79 (N 14.6799) [N 14°40'48.00]</v>
      </c>
      <c r="Y138" s="478"/>
      <c r="Z138" s="478"/>
      <c r="AA138" s="478"/>
      <c r="AB138" s="478"/>
      <c r="AC138" s="478"/>
    </row>
    <row r="139" spans="1:31" ht="17.25" customHeight="1" thickTop="1">
      <c r="C139" s="311"/>
      <c r="D139" s="311"/>
      <c r="E139" s="300"/>
      <c r="F139" s="300"/>
      <c r="G139" s="300"/>
      <c r="S139" s="475"/>
      <c r="T139" s="477" t="s">
        <v>424</v>
      </c>
      <c r="U139" s="477"/>
      <c r="V139" s="476" cm="1">
        <f t="array" ref="V139">longitudeHoraire2longitude(F65)</f>
        <v>-3.8383333333333334</v>
      </c>
      <c r="W139" s="477"/>
      <c r="X139" s="479" t="str">
        <f>longitudeDecimal2Txt(V139)</f>
        <v>W 03°50.29 (W 03.8383) [W 03°50'18.00]</v>
      </c>
      <c r="Y139" s="479"/>
      <c r="Z139" s="479"/>
      <c r="AA139" s="479"/>
      <c r="AB139" s="479"/>
      <c r="AC139" s="479"/>
    </row>
    <row r="140" spans="1:31" ht="17.25" customHeight="1">
      <c r="C140" s="300"/>
      <c r="D140" s="300"/>
      <c r="E140" s="300"/>
      <c r="F140" s="300"/>
      <c r="T140" s="311"/>
      <c r="U140" s="311"/>
      <c r="V140" s="311"/>
      <c r="W140" s="311"/>
      <c r="X140" s="311"/>
      <c r="Y140" s="311"/>
    </row>
    <row r="141" spans="1:31" ht="17.25" customHeight="1">
      <c r="E141" s="300"/>
      <c r="F141" s="300"/>
      <c r="G141" s="300"/>
      <c r="T141" s="311"/>
      <c r="U141" s="311"/>
      <c r="V141" s="311"/>
      <c r="W141" s="311"/>
      <c r="X141" s="311"/>
      <c r="Y141" s="311"/>
    </row>
    <row r="142" spans="1:31" ht="17.25" customHeight="1">
      <c r="E142" s="300"/>
      <c r="O142" s="711" t="s">
        <v>88</v>
      </c>
      <c r="P142" s="712"/>
      <c r="Q142" s="712"/>
      <c r="R142" s="712"/>
      <c r="S142" s="712"/>
      <c r="T142" s="712"/>
      <c r="U142" s="712"/>
      <c r="V142" s="712"/>
      <c r="W142" s="712"/>
      <c r="X142" s="712"/>
      <c r="Y142" s="712"/>
      <c r="Z142" s="712"/>
      <c r="AA142" s="712"/>
    </row>
    <row r="143" spans="1:31" ht="17.25" customHeight="1">
      <c r="E143" s="300"/>
      <c r="F143" s="300"/>
      <c r="G143" s="300"/>
      <c r="O143" s="586" t="s">
        <v>238</v>
      </c>
      <c r="P143" s="586"/>
      <c r="Q143" s="586">
        <f>I132</f>
        <v>13.574783366775584</v>
      </c>
      <c r="R143" s="586"/>
      <c r="S143" s="586"/>
      <c r="T143" s="757" t="s">
        <v>54</v>
      </c>
      <c r="U143" s="586">
        <f>Q143*Outils!$F$4</f>
        <v>0.23692466499519496</v>
      </c>
      <c r="V143" s="586"/>
      <c r="W143" s="586"/>
      <c r="X143" s="698" t="s">
        <v>64</v>
      </c>
      <c r="AC143" s="3" t="s">
        <v>89</v>
      </c>
      <c r="AD143" s="3">
        <f>(SIN(U144)-SIN(U145)*SIN(U143))/(COS(U145)*COS(U143))</f>
        <v>0.41169717977572101</v>
      </c>
      <c r="AE143" s="3"/>
    </row>
    <row r="144" spans="1:31" ht="17.25" customHeight="1">
      <c r="A144" s="311"/>
      <c r="B144" s="311"/>
      <c r="C144" s="311"/>
      <c r="D144" s="311"/>
      <c r="E144" s="748" t="s">
        <v>96</v>
      </c>
      <c r="F144" s="749"/>
      <c r="G144" s="749"/>
      <c r="H144" s="750"/>
      <c r="I144" s="610">
        <f>AD145</f>
        <v>65.688506343761333</v>
      </c>
      <c r="J144" s="610"/>
      <c r="K144" s="610"/>
      <c r="L144" s="610"/>
      <c r="M144" s="611"/>
      <c r="O144" s="586" t="s">
        <v>86</v>
      </c>
      <c r="P144" s="586"/>
      <c r="Q144" s="586">
        <f>F45</f>
        <v>14.68</v>
      </c>
      <c r="R144" s="586"/>
      <c r="S144" s="586"/>
      <c r="T144" s="757"/>
      <c r="U144" s="586">
        <f>Q144*Outils!$F$4</f>
        <v>0.25621433419276757</v>
      </c>
      <c r="V144" s="586"/>
      <c r="W144" s="586"/>
      <c r="X144" s="698"/>
      <c r="AC144" s="3" t="s">
        <v>206</v>
      </c>
      <c r="AD144" s="3">
        <f>ACOS(AD143)</f>
        <v>1.1464807164158173</v>
      </c>
      <c r="AE144" s="3" t="s">
        <v>64</v>
      </c>
    </row>
    <row r="145" spans="2:32" ht="17.25" customHeight="1" thickBot="1">
      <c r="C145" s="311"/>
      <c r="D145" s="311"/>
      <c r="E145" s="751"/>
      <c r="F145" s="752"/>
      <c r="G145" s="752"/>
      <c r="H145" s="753"/>
      <c r="I145" s="746"/>
      <c r="J145" s="746"/>
      <c r="K145" s="746"/>
      <c r="L145" s="746"/>
      <c r="M145" s="747"/>
      <c r="N145" s="342" t="s">
        <v>125</v>
      </c>
      <c r="O145" s="586" t="s">
        <v>87</v>
      </c>
      <c r="P145" s="586"/>
      <c r="Q145" s="586">
        <f>F36</f>
        <v>-26.5</v>
      </c>
      <c r="R145" s="586"/>
      <c r="S145" s="586"/>
      <c r="T145" s="757"/>
      <c r="U145" s="586">
        <f>Q145*Outils!$F$4</f>
        <v>-0.46251225177849731</v>
      </c>
      <c r="V145" s="586"/>
      <c r="W145" s="586"/>
      <c r="X145" s="698"/>
      <c r="AC145" s="3"/>
      <c r="AD145" s="3">
        <f>AD144*Outils!$F$5</f>
        <v>65.688506343761333</v>
      </c>
      <c r="AE145" s="3" t="s">
        <v>54</v>
      </c>
      <c r="AF145" s="301">
        <f>180-AD145</f>
        <v>114.31149365623867</v>
      </c>
    </row>
    <row r="146" spans="2:32" ht="17.25" customHeight="1" thickTop="1" thickBot="1">
      <c r="C146" s="311"/>
      <c r="D146" s="311"/>
      <c r="E146" s="754"/>
      <c r="F146" s="755"/>
      <c r="G146" s="755"/>
      <c r="H146" s="756"/>
      <c r="I146" s="471" t="str" cm="1">
        <f t="array" ref="I146">angleDecimal2Txt(I144)</f>
        <v>+65°41.31 (+65.6885) [+65°41'18.62]</v>
      </c>
      <c r="J146" s="472"/>
      <c r="K146" s="472"/>
      <c r="L146" s="472"/>
      <c r="M146" s="472"/>
      <c r="O146" s="586" t="s">
        <v>43</v>
      </c>
      <c r="P146" s="586"/>
      <c r="Q146" s="586">
        <f>F84</f>
        <v>66.313333333333333</v>
      </c>
      <c r="R146" s="586"/>
      <c r="S146" s="586"/>
      <c r="T146" s="757"/>
      <c r="U146" s="586">
        <f>Q146*Outils!$F$4</f>
        <v>1.1573860046391731</v>
      </c>
      <c r="V146" s="586"/>
      <c r="W146" s="586"/>
      <c r="X146" s="698"/>
    </row>
    <row r="147" spans="2:32" ht="17.25" customHeight="1" thickTop="1">
      <c r="C147" s="311"/>
      <c r="D147" s="311"/>
      <c r="E147" s="300"/>
      <c r="F147" s="300"/>
      <c r="G147" s="300"/>
    </row>
    <row r="148" spans="2:32" ht="17.25" customHeight="1">
      <c r="C148" s="300"/>
      <c r="D148" s="300"/>
      <c r="F148" s="300"/>
      <c r="G148" s="300"/>
      <c r="I148" s="743" t="s">
        <v>154</v>
      </c>
      <c r="J148" s="744"/>
      <c r="K148" s="744"/>
      <c r="L148" s="744"/>
      <c r="M148" s="744"/>
      <c r="N148" s="745"/>
      <c r="O148" s="743" t="s">
        <v>155</v>
      </c>
      <c r="P148" s="744"/>
      <c r="Q148" s="744"/>
      <c r="R148" s="744"/>
      <c r="S148" s="744"/>
      <c r="T148" s="745"/>
    </row>
    <row r="149" spans="2:32" ht="17.25" customHeight="1">
      <c r="F149" s="300"/>
      <c r="G149" s="300"/>
      <c r="I149" s="581"/>
      <c r="J149" s="701" t="s">
        <v>126</v>
      </c>
      <c r="K149" s="702"/>
      <c r="L149" s="703"/>
      <c r="M149" s="707" t="s">
        <v>127</v>
      </c>
      <c r="N149" s="708"/>
      <c r="O149" s="581"/>
      <c r="P149" s="701" t="s">
        <v>126</v>
      </c>
      <c r="Q149" s="702"/>
      <c r="R149" s="703"/>
      <c r="S149" s="707" t="s">
        <v>128</v>
      </c>
      <c r="T149" s="708"/>
    </row>
    <row r="150" spans="2:32" ht="17.25" customHeight="1">
      <c r="F150" s="300"/>
      <c r="G150" s="300"/>
      <c r="I150" s="582"/>
      <c r="J150" s="704" t="s">
        <v>90</v>
      </c>
      <c r="K150" s="705"/>
      <c r="L150" s="706"/>
      <c r="M150" s="709" t="s">
        <v>91</v>
      </c>
      <c r="N150" s="710"/>
      <c r="O150" s="582"/>
      <c r="P150" s="704" t="s">
        <v>90</v>
      </c>
      <c r="Q150" s="705"/>
      <c r="R150" s="706"/>
      <c r="S150" s="709" t="s">
        <v>92</v>
      </c>
      <c r="T150" s="710"/>
    </row>
    <row r="151" spans="2:32" ht="17.25" customHeight="1">
      <c r="F151" s="311"/>
      <c r="G151" s="311"/>
      <c r="H151" s="311"/>
      <c r="I151" s="311"/>
      <c r="J151" s="311"/>
      <c r="K151" s="311"/>
      <c r="Q151" s="311"/>
      <c r="R151" s="311"/>
      <c r="S151" s="311"/>
      <c r="T151" s="700"/>
      <c r="U151" s="700"/>
      <c r="V151" s="700"/>
      <c r="W151" s="311"/>
      <c r="X151" s="700"/>
      <c r="Y151" s="700"/>
      <c r="Z151" s="700"/>
    </row>
    <row r="152" spans="2:32" ht="17.25" customHeight="1">
      <c r="F152" s="311"/>
      <c r="N152" s="738"/>
      <c r="O152" s="738"/>
      <c r="Q152" s="700"/>
      <c r="R152" s="700"/>
      <c r="S152" s="700"/>
      <c r="T152" s="700"/>
      <c r="U152" s="700"/>
      <c r="V152" s="700"/>
      <c r="W152" s="311"/>
      <c r="X152" s="700"/>
      <c r="Y152" s="700"/>
      <c r="Z152" s="700"/>
    </row>
    <row r="153" spans="2:32" ht="17.25" customHeight="1">
      <c r="I153" s="586" t="s">
        <v>87</v>
      </c>
      <c r="J153" s="586"/>
      <c r="K153" s="57">
        <f>F36</f>
        <v>-26.5</v>
      </c>
      <c r="L153" s="642" t="str">
        <f>CONCATENATE("Sens: ",IF(Q145&gt;0,"Nord","Sud"))</f>
        <v>Sens: Sud</v>
      </c>
      <c r="M153" s="642"/>
    </row>
    <row r="154" spans="2:32" ht="17.25" customHeight="1" thickBot="1">
      <c r="I154" s="586" t="s">
        <v>43</v>
      </c>
      <c r="J154" s="586"/>
      <c r="K154" s="57">
        <f>Q146</f>
        <v>66.313333333333333</v>
      </c>
      <c r="L154" s="642" t="str">
        <f>CONCATENATE("Is &gt; 180? ", IF(Q146&gt;180,"Y", "N"))</f>
        <v>Is &gt; 180? N</v>
      </c>
      <c r="M154" s="642"/>
      <c r="O154" s="740" t="s">
        <v>97</v>
      </c>
      <c r="P154" s="741"/>
      <c r="Q154" s="741"/>
      <c r="R154" s="741"/>
      <c r="S154" s="741"/>
      <c r="T154" s="758">
        <f>ABS(IF(Q133&gt;0,IF(Q134&gt;180,I144,360-I144),IF(Q134&gt;180,180-I144,180+I144)))</f>
        <v>245.68850634376133</v>
      </c>
      <c r="U154" s="759"/>
      <c r="V154" s="50" t="s">
        <v>28</v>
      </c>
      <c r="W154" s="311"/>
    </row>
    <row r="155" spans="2:32" ht="17.25" customHeight="1" thickTop="1" thickBot="1">
      <c r="I155" s="732" t="s">
        <v>129</v>
      </c>
      <c r="J155" s="733"/>
      <c r="K155" s="734"/>
      <c r="L155" s="642" t="str">
        <f>IF(K153&gt;0,IF(K154&gt;180,M149,M150),IF(K154&gt;180,S149,S150))</f>
        <v>Zn = 180 +  Z</v>
      </c>
      <c r="M155" s="642"/>
      <c r="T155" s="474" t="str" cm="1">
        <f t="array" ref="T155">angleDecimal2Txt(T154)</f>
        <v>+245°41.31 (+245.6885) [+245°41'18.62]</v>
      </c>
      <c r="U155" s="474"/>
      <c r="V155" s="474"/>
      <c r="W155" s="474"/>
      <c r="X155" s="474"/>
      <c r="Y155" s="474"/>
    </row>
    <row r="156" spans="2:32" ht="17.25" customHeight="1" thickTop="1"/>
    <row r="157" spans="2:32" ht="17.25" customHeight="1" thickBot="1"/>
    <row r="158" spans="2:32" ht="17.25" customHeight="1" thickBot="1">
      <c r="B158" s="304" t="s">
        <v>248</v>
      </c>
      <c r="C158" s="305"/>
      <c r="D158" s="305"/>
      <c r="E158" s="305"/>
      <c r="F158" s="305"/>
      <c r="G158" s="305"/>
      <c r="H158" s="305"/>
      <c r="I158" s="305"/>
      <c r="J158" s="305"/>
      <c r="K158" s="305"/>
      <c r="L158" s="305"/>
      <c r="M158" s="305"/>
      <c r="N158" s="305"/>
      <c r="O158" s="305"/>
      <c r="P158" s="305"/>
      <c r="Q158" s="305"/>
      <c r="R158" s="305"/>
      <c r="S158" s="305"/>
      <c r="T158" s="305"/>
      <c r="U158" s="305"/>
      <c r="V158" s="305"/>
      <c r="W158" s="305"/>
      <c r="X158" s="305"/>
      <c r="Y158" s="305"/>
      <c r="Z158" s="305"/>
      <c r="AA158" s="345"/>
      <c r="AB158" s="62"/>
    </row>
    <row r="160" spans="2:32" ht="17.25" customHeight="1" thickBot="1">
      <c r="C160" s="731" t="s">
        <v>249</v>
      </c>
      <c r="D160" s="731"/>
      <c r="E160" s="731"/>
      <c r="F160" s="731"/>
      <c r="G160" s="114"/>
      <c r="H160" s="731" t="s">
        <v>250</v>
      </c>
      <c r="I160" s="731"/>
      <c r="J160" s="731"/>
      <c r="L160" s="735" t="s">
        <v>239</v>
      </c>
      <c r="M160" s="735"/>
      <c r="N160" s="735"/>
      <c r="Q160" s="793" t="s">
        <v>251</v>
      </c>
      <c r="R160" s="793"/>
      <c r="S160" s="793"/>
      <c r="T160" s="793"/>
      <c r="U160" s="346"/>
      <c r="AC160" s="301" t="s">
        <v>236</v>
      </c>
      <c r="AD160" s="347">
        <f>I161/60</f>
        <v>-0.27791997214364805</v>
      </c>
    </row>
    <row r="161" spans="2:33" ht="17.25" customHeight="1" thickTop="1" thickBot="1">
      <c r="D161" s="146" t="s">
        <v>41</v>
      </c>
      <c r="E161" s="736">
        <f>F36</f>
        <v>-26.5</v>
      </c>
      <c r="F161" s="736"/>
      <c r="I161" s="736">
        <f>V137</f>
        <v>-16.675198328618883</v>
      </c>
      <c r="J161" s="736"/>
      <c r="K161" s="300" t="s">
        <v>112</v>
      </c>
      <c r="M161" s="736">
        <f>T154</f>
        <v>245.68850634376133</v>
      </c>
      <c r="N161" s="736"/>
      <c r="R161" s="147" t="s">
        <v>41</v>
      </c>
      <c r="S161" s="578">
        <f>AD163</f>
        <v>-26.385581131265113</v>
      </c>
      <c r="T161" s="578"/>
      <c r="U161" s="737" t="str" cm="1">
        <f t="array" ref="U161">latitudeDecimal2Txt(S161)</f>
        <v>S 26°23.13 (S 26.3855) [S 26°23'08.09]</v>
      </c>
      <c r="V161" s="737"/>
      <c r="W161" s="737"/>
      <c r="X161" s="737"/>
      <c r="Y161" s="737"/>
      <c r="Z161" s="737"/>
      <c r="AC161" s="301" t="s">
        <v>237</v>
      </c>
      <c r="AD161" s="347">
        <f>M161</f>
        <v>245.68850634376133</v>
      </c>
    </row>
    <row r="162" spans="2:33" ht="17.25" customHeight="1" thickTop="1" thickBot="1">
      <c r="D162" s="146" t="s">
        <v>42</v>
      </c>
      <c r="E162" s="736">
        <f>F41</f>
        <v>62.475000000000001</v>
      </c>
      <c r="F162" s="736"/>
      <c r="R162" s="147" t="s">
        <v>42</v>
      </c>
      <c r="S162" s="578">
        <f>AD165</f>
        <v>62.757868037995237</v>
      </c>
      <c r="T162" s="578"/>
      <c r="U162" s="737" t="str" cm="1">
        <f t="array" ref="U162">longitudeDecimal2Txt(S162)</f>
        <v>E 62°45.47 (E 62.7578) [E 62°45'28.32]</v>
      </c>
      <c r="V162" s="737"/>
      <c r="W162" s="737"/>
      <c r="X162" s="737"/>
      <c r="Y162" s="737"/>
      <c r="Z162" s="737"/>
      <c r="AC162" s="300"/>
      <c r="AD162" s="300"/>
    </row>
    <row r="163" spans="2:33" ht="17.25" customHeight="1" thickTop="1">
      <c r="D163" s="300"/>
      <c r="AC163" s="301" t="s">
        <v>253</v>
      </c>
      <c r="AD163" s="301">
        <f>E161+AD160*COS(AD161*Outils!$F$4)</f>
        <v>-26.385581131265113</v>
      </c>
    </row>
    <row r="164" spans="2:33" ht="17.25" customHeight="1">
      <c r="C164" s="301"/>
      <c r="D164" s="301"/>
      <c r="E164" s="301"/>
      <c r="Q164" s="793" t="s">
        <v>252</v>
      </c>
      <c r="R164" s="793"/>
      <c r="S164" s="793"/>
      <c r="AC164" s="301" t="s">
        <v>254</v>
      </c>
      <c r="AD164" s="301">
        <f>(E161+AD163)/2</f>
        <v>-26.442790565632556</v>
      </c>
    </row>
    <row r="165" spans="2:33" ht="17.25" customHeight="1">
      <c r="R165" s="578">
        <f>M161-90</f>
        <v>155.68850634376133</v>
      </c>
      <c r="S165" s="578"/>
      <c r="T165" s="50" t="s">
        <v>28</v>
      </c>
      <c r="AC165" s="301" t="s">
        <v>255</v>
      </c>
      <c r="AD165" s="301">
        <f>E162+(AD160*SIN(M161*Outils!$F$4)/COS(AD164*Outils!$F$4))</f>
        <v>62.757868037995237</v>
      </c>
    </row>
    <row r="166" spans="2:33" s="301" customFormat="1" ht="17.25" customHeight="1"/>
    <row r="167" spans="2:33" s="301" customFormat="1" ht="17.25" customHeight="1" thickBot="1"/>
    <row r="168" spans="2:33" s="301" customFormat="1" ht="17.25" customHeight="1" thickBot="1">
      <c r="B168" s="348" t="s">
        <v>256</v>
      </c>
      <c r="C168" s="349"/>
      <c r="D168" s="349"/>
      <c r="E168" s="349"/>
      <c r="F168" s="349"/>
      <c r="G168" s="349"/>
      <c r="H168" s="349"/>
      <c r="I168" s="349"/>
      <c r="J168" s="349"/>
      <c r="K168" s="349"/>
      <c r="L168" s="349"/>
      <c r="M168" s="349"/>
      <c r="N168" s="349"/>
      <c r="O168" s="349"/>
      <c r="P168" s="349"/>
      <c r="Q168" s="349"/>
      <c r="R168" s="349"/>
      <c r="S168" s="349"/>
      <c r="T168" s="349"/>
      <c r="U168" s="349"/>
      <c r="V168" s="349"/>
      <c r="W168" s="349"/>
      <c r="X168" s="349"/>
      <c r="Y168" s="349"/>
      <c r="Z168" s="349"/>
      <c r="AA168" s="350"/>
    </row>
    <row r="169" spans="2:33" s="301" customFormat="1" ht="17.25" customHeight="1">
      <c r="AD169" s="347"/>
    </row>
    <row r="170" spans="2:33" s="301" customFormat="1" ht="17.25" customHeight="1" thickBot="1">
      <c r="C170" s="729" t="s">
        <v>251</v>
      </c>
      <c r="D170" s="729"/>
      <c r="E170" s="729"/>
      <c r="F170" s="729"/>
      <c r="G170" s="346"/>
      <c r="H170" s="300"/>
      <c r="I170" s="300"/>
      <c r="J170" s="300"/>
      <c r="K170" s="300"/>
      <c r="L170" s="300"/>
      <c r="Q170" s="351" t="s">
        <v>257</v>
      </c>
      <c r="R170" s="351"/>
      <c r="S170" s="351"/>
      <c r="T170" s="351"/>
      <c r="U170" s="351"/>
      <c r="V170" s="351"/>
      <c r="W170" s="351"/>
      <c r="AC170" s="301" t="s">
        <v>302</v>
      </c>
      <c r="AD170" s="347"/>
      <c r="AE170" s="301" t="b">
        <f>(ABS(D175-90)&lt;0.1)</f>
        <v>0</v>
      </c>
    </row>
    <row r="171" spans="2:33" s="301" customFormat="1" ht="17.25" customHeight="1" thickTop="1" thickBot="1">
      <c r="D171" s="148" t="s">
        <v>41</v>
      </c>
      <c r="E171" s="730">
        <v>46</v>
      </c>
      <c r="F171" s="730"/>
      <c r="G171" s="737" t="str" cm="1">
        <f t="array" ref="G171">latitudeDecimal2Txt(E171)</f>
        <v>N 46°00.00 (N 46.0000) [N 46°00'00.00]</v>
      </c>
      <c r="H171" s="737"/>
      <c r="I171" s="737"/>
      <c r="J171" s="737"/>
      <c r="K171" s="737"/>
      <c r="L171" s="737"/>
      <c r="R171" s="147" t="s">
        <v>41</v>
      </c>
      <c r="S171" s="578">
        <f>AG175</f>
        <v>111.94208786588817</v>
      </c>
      <c r="T171" s="578"/>
      <c r="U171" s="737" t="str" cm="1">
        <f t="array" ref="U171">latitudeDecimal2Txt(S171)</f>
        <v>N 00°00.00 (N 00.0000) [N 00°00'00.00]</v>
      </c>
      <c r="V171" s="737"/>
      <c r="W171" s="737"/>
      <c r="X171" s="737"/>
      <c r="Y171" s="737"/>
      <c r="Z171" s="737"/>
      <c r="AC171" s="352" t="s">
        <v>303</v>
      </c>
      <c r="AD171" s="353">
        <f>R165</f>
        <v>155.68850634376133</v>
      </c>
    </row>
    <row r="172" spans="2:33" s="301" customFormat="1" ht="17.25" customHeight="1" thickTop="1" thickBot="1">
      <c r="D172" s="148" t="s">
        <v>42</v>
      </c>
      <c r="E172" s="730">
        <v>-7</v>
      </c>
      <c r="F172" s="730"/>
      <c r="G172" s="737" t="str" cm="1">
        <f t="array" ref="G172">longitudeDecimal2Txt(E172)</f>
        <v>W 07°00.00 (W 07.0000) [W 07°00'00.00]</v>
      </c>
      <c r="H172" s="737"/>
      <c r="I172" s="737"/>
      <c r="J172" s="737"/>
      <c r="K172" s="737"/>
      <c r="L172" s="737"/>
      <c r="R172" s="147" t="s">
        <v>42</v>
      </c>
      <c r="S172" s="578">
        <f>AG176</f>
        <v>-7.0000000000000142</v>
      </c>
      <c r="T172" s="578"/>
      <c r="U172" s="737" t="str" cm="1">
        <f t="array" ref="U172">longitudeDecimal2Txt(S172)</f>
        <v>W 07°00.00 (W 07.0000) [W 07°00'00.00]</v>
      </c>
      <c r="V172" s="737"/>
      <c r="W172" s="737"/>
      <c r="X172" s="737"/>
      <c r="Y172" s="737"/>
      <c r="Z172" s="737"/>
      <c r="AC172" s="354" t="s">
        <v>305</v>
      </c>
      <c r="AD172" s="353">
        <f>S161</f>
        <v>-26.385581131265113</v>
      </c>
    </row>
    <row r="173" spans="2:33" s="301" customFormat="1" ht="17.25" customHeight="1" thickTop="1">
      <c r="C173" s="300"/>
      <c r="D173" s="300"/>
      <c r="E173" s="300"/>
      <c r="F173" s="300"/>
      <c r="G173" s="300"/>
      <c r="H173" s="300"/>
      <c r="I173" s="300"/>
      <c r="J173" s="300"/>
      <c r="K173" s="300"/>
      <c r="L173" s="300"/>
      <c r="AC173" s="352" t="s">
        <v>306</v>
      </c>
      <c r="AD173" s="353">
        <f>S162</f>
        <v>62.757868037995237</v>
      </c>
    </row>
    <row r="174" spans="2:33" s="301" customFormat="1" ht="17.25" customHeight="1">
      <c r="C174" s="729" t="s">
        <v>252</v>
      </c>
      <c r="D174" s="729"/>
      <c r="E174" s="729"/>
      <c r="F174" s="119"/>
      <c r="G174" s="300"/>
      <c r="H174" s="300"/>
      <c r="I174" s="300"/>
      <c r="J174" s="300"/>
      <c r="K174" s="300"/>
      <c r="L174" s="300"/>
      <c r="AC174" s="352" t="s">
        <v>258</v>
      </c>
      <c r="AD174" s="352">
        <f>TAN(AD171*Outils!F4) * (1 / COS(AD172*Outils!F4))</f>
        <v>-0.5042943941998389</v>
      </c>
    </row>
    <row r="175" spans="2:33" s="301" customFormat="1" ht="17.25" customHeight="1">
      <c r="D175" s="730">
        <v>180</v>
      </c>
      <c r="E175" s="730"/>
      <c r="F175" s="149" t="s">
        <v>28</v>
      </c>
      <c r="G175" s="300"/>
      <c r="H175" s="300"/>
      <c r="I175" s="300"/>
      <c r="J175" s="300"/>
      <c r="K175" s="300"/>
      <c r="L175" s="300"/>
      <c r="AC175" s="352" t="s">
        <v>259</v>
      </c>
      <c r="AD175" s="352">
        <f>AD173-AD172*AD174</f>
        <v>49.451767385793197</v>
      </c>
      <c r="AE175" s="792" t="s">
        <v>310</v>
      </c>
      <c r="AF175" s="792"/>
      <c r="AG175" s="355">
        <f>(AD180-AD175)/(AD174-AD179)</f>
        <v>111.94208786588817</v>
      </c>
    </row>
    <row r="176" spans="2:33" s="301" customFormat="1" ht="15">
      <c r="AC176" s="356" t="s">
        <v>304</v>
      </c>
      <c r="AD176" s="357">
        <f>D175</f>
        <v>180</v>
      </c>
      <c r="AE176" s="792"/>
      <c r="AF176" s="792"/>
      <c r="AG176" s="355">
        <f>AD174*AG175+AD175</f>
        <v>-7.0000000000000142</v>
      </c>
    </row>
    <row r="177" spans="2:65" s="301" customFormat="1" ht="18.75">
      <c r="S177" s="300"/>
      <c r="T177" s="300"/>
      <c r="AC177" s="358" t="s">
        <v>305</v>
      </c>
      <c r="AD177" s="357">
        <f>E171</f>
        <v>46</v>
      </c>
    </row>
    <row r="178" spans="2:65" s="301" customFormat="1" ht="18">
      <c r="AC178" s="356" t="s">
        <v>306</v>
      </c>
      <c r="AD178" s="357">
        <f>E172</f>
        <v>-7</v>
      </c>
      <c r="AE178" s="792" t="s">
        <v>311</v>
      </c>
      <c r="AF178" s="792"/>
      <c r="AG178" s="359">
        <f>E171</f>
        <v>46</v>
      </c>
    </row>
    <row r="179" spans="2:65" s="301" customFormat="1" ht="17.25" customHeight="1">
      <c r="P179" s="300"/>
      <c r="Q179" s="300"/>
      <c r="AC179" s="356" t="s">
        <v>307</v>
      </c>
      <c r="AD179" s="356">
        <f>TAN(AD176*Outils!F4) * (1 / COS(AD177*Outils!F4))</f>
        <v>-1.7636704702760584E-16</v>
      </c>
      <c r="AE179" s="792"/>
      <c r="AF179" s="792"/>
      <c r="AG179" s="355">
        <f>E172+(E171-S161)*TAN(R165*Outils!F4)/COS(Outils!F4*S161)</f>
        <v>-43.503642785394625</v>
      </c>
    </row>
    <row r="180" spans="2:65" s="301" customFormat="1" ht="17.25" customHeight="1">
      <c r="AC180" s="356" t="s">
        <v>308</v>
      </c>
      <c r="AD180" s="356">
        <f>AD178-AD177*AD179</f>
        <v>-6.999999999999992</v>
      </c>
    </row>
    <row r="181" spans="2:65" s="301" customFormat="1" ht="15">
      <c r="K181" s="300"/>
      <c r="L181" s="300"/>
      <c r="AE181" s="792" t="s">
        <v>309</v>
      </c>
      <c r="AF181" s="792"/>
      <c r="AG181" s="355">
        <f>IF($AE$170,AG178,AG175)</f>
        <v>111.94208786588817</v>
      </c>
    </row>
    <row r="182" spans="2:65" s="301" customFormat="1" ht="15">
      <c r="K182" s="300"/>
      <c r="L182" s="300"/>
      <c r="AC182" s="356"/>
      <c r="AE182" s="792"/>
      <c r="AF182" s="792"/>
      <c r="AG182" s="355">
        <f>IF($AE$170,AG179,AG176)</f>
        <v>-7.0000000000000142</v>
      </c>
    </row>
    <row r="183" spans="2:65" s="301" customFormat="1" ht="15">
      <c r="K183" s="300"/>
      <c r="L183" s="300"/>
    </row>
    <row r="184" spans="2:65" s="301" customFormat="1" ht="15.75" thickBot="1">
      <c r="K184" s="300"/>
      <c r="L184" s="300"/>
    </row>
    <row r="185" spans="2:65" s="301" customFormat="1" ht="15.75" thickBot="1">
      <c r="B185" s="348" t="s">
        <v>606</v>
      </c>
      <c r="C185" s="349"/>
      <c r="D185" s="349"/>
      <c r="E185" s="349"/>
      <c r="F185" s="349"/>
      <c r="G185" s="349"/>
      <c r="H185" s="349"/>
      <c r="I185" s="349"/>
      <c r="J185" s="349"/>
      <c r="K185" s="349"/>
      <c r="L185" s="349"/>
      <c r="M185" s="349"/>
      <c r="N185" s="349"/>
      <c r="O185" s="349"/>
      <c r="P185" s="349"/>
      <c r="Q185" s="349"/>
      <c r="R185" s="349"/>
      <c r="S185" s="349"/>
      <c r="T185" s="349"/>
      <c r="U185" s="349"/>
      <c r="V185" s="349"/>
      <c r="W185" s="349"/>
      <c r="X185" s="349"/>
      <c r="Y185" s="349"/>
      <c r="Z185" s="349"/>
      <c r="AA185" s="350"/>
    </row>
    <row r="186" spans="2:65" s="301" customFormat="1" ht="15">
      <c r="K186" s="347"/>
      <c r="L186" s="347"/>
    </row>
    <row r="187" spans="2:65" s="301" customFormat="1" ht="15">
      <c r="B187" s="455" t="s">
        <v>1</v>
      </c>
      <c r="C187" s="455"/>
      <c r="D187" s="455" t="str">
        <f>E7</f>
        <v>2024/08/13</v>
      </c>
      <c r="E187" s="455"/>
      <c r="F187" s="455"/>
      <c r="G187" s="455"/>
      <c r="H187" s="360" t="s">
        <v>2</v>
      </c>
      <c r="I187" s="455" t="str">
        <f>I7</f>
        <v>12:20:13.00(12.3369)</v>
      </c>
      <c r="J187" s="455"/>
      <c r="K187" s="455"/>
      <c r="L187" s="455"/>
    </row>
    <row r="188" spans="2:65" s="301" customFormat="1" ht="15">
      <c r="B188" s="467" t="s">
        <v>30</v>
      </c>
      <c r="C188" s="467"/>
      <c r="D188" s="468" t="str">
        <f>J22</f>
        <v>Soleil</v>
      </c>
      <c r="E188" s="467"/>
      <c r="F188" s="361"/>
      <c r="G188" s="361"/>
      <c r="H188" s="361"/>
      <c r="I188" s="361"/>
      <c r="J188" s="361"/>
      <c r="K188" s="361"/>
      <c r="L188" s="361"/>
      <c r="AA188" s="362"/>
    </row>
    <row r="189" spans="2:65" s="301" customFormat="1" ht="15">
      <c r="B189" s="363"/>
      <c r="C189" s="363"/>
      <c r="D189" s="364"/>
      <c r="E189" s="363"/>
      <c r="AA189" s="362"/>
    </row>
    <row r="190" spans="2:65" s="347" customFormat="1" ht="17.25" customHeight="1" thickBot="1">
      <c r="B190" s="365" t="s">
        <v>442</v>
      </c>
      <c r="C190" s="365"/>
      <c r="D190" s="365"/>
      <c r="E190" s="365"/>
      <c r="F190" s="366"/>
      <c r="G190" s="366"/>
      <c r="H190" s="367"/>
      <c r="I190" s="367"/>
      <c r="J190" s="367"/>
      <c r="K190" s="367"/>
      <c r="L190" s="367"/>
      <c r="M190" s="367"/>
      <c r="N190" s="367"/>
      <c r="O190" s="367"/>
      <c r="P190" s="367"/>
      <c r="Q190" s="367"/>
      <c r="AB190" s="61"/>
      <c r="AC190" s="301"/>
      <c r="AD190" s="301"/>
      <c r="AE190" s="301"/>
      <c r="AF190" s="301"/>
      <c r="AG190" s="301"/>
      <c r="AH190" s="301"/>
      <c r="AI190" s="301"/>
      <c r="AJ190" s="301"/>
      <c r="AK190" s="301"/>
      <c r="AL190" s="301"/>
      <c r="AM190" s="301"/>
      <c r="AN190" s="301"/>
      <c r="AO190" s="301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1"/>
      <c r="BH190" s="301"/>
      <c r="BI190" s="301"/>
      <c r="BJ190" s="301"/>
      <c r="BK190" s="301"/>
      <c r="BL190" s="301"/>
      <c r="BM190" s="301"/>
    </row>
    <row r="191" spans="2:65" s="347" customFormat="1" ht="17.25" customHeight="1" thickTop="1">
      <c r="C191" s="466" t="s">
        <v>526</v>
      </c>
      <c r="D191" s="466"/>
      <c r="E191" s="466" t="str" cm="1">
        <f t="array" ref="E191">angleDecimal2Txt(angleConvert2Decimal(M21))</f>
        <v>+13°06.00 (+13.0999) [+13°06'00.00]</v>
      </c>
      <c r="F191" s="466"/>
      <c r="G191" s="466"/>
      <c r="H191" s="466"/>
      <c r="I191" s="466"/>
      <c r="AB191" s="61"/>
      <c r="AC191" s="301"/>
      <c r="AD191" s="301"/>
      <c r="AE191" s="301"/>
      <c r="AF191" s="301"/>
      <c r="AG191" s="301"/>
      <c r="AH191" s="301"/>
      <c r="AI191" s="301"/>
      <c r="AJ191" s="301"/>
      <c r="AK191" s="301"/>
      <c r="AL191" s="301"/>
      <c r="AM191" s="301"/>
      <c r="AN191" s="301"/>
      <c r="AO191" s="301"/>
      <c r="AP191" s="301"/>
      <c r="AQ191" s="301"/>
      <c r="AR191" s="301"/>
      <c r="AS191" s="301"/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/>
      <c r="BF191" s="301"/>
      <c r="BG191" s="301"/>
      <c r="BH191" s="301"/>
      <c r="BI191" s="301"/>
      <c r="BJ191" s="301"/>
      <c r="BK191" s="301"/>
      <c r="BL191" s="301"/>
      <c r="BM191" s="301"/>
    </row>
    <row r="192" spans="2:65" s="347" customFormat="1" ht="17.25" customHeight="1">
      <c r="C192" s="448" t="s">
        <v>70</v>
      </c>
      <c r="D192" s="448"/>
      <c r="E192" s="448" t="str">
        <f>J23</f>
        <v>BordInf</v>
      </c>
      <c r="F192" s="448"/>
      <c r="G192" s="448"/>
      <c r="H192" s="448"/>
      <c r="I192" s="448"/>
      <c r="AB192" s="61"/>
      <c r="AC192" s="301"/>
      <c r="AD192" s="301"/>
      <c r="AE192" s="301"/>
      <c r="AF192" s="301"/>
      <c r="AG192" s="301"/>
      <c r="AH192" s="301"/>
      <c r="AI192" s="301"/>
      <c r="AJ192" s="301"/>
      <c r="AK192" s="301"/>
      <c r="AL192" s="301"/>
      <c r="AM192" s="301"/>
      <c r="AN192" s="301"/>
      <c r="AO192" s="301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1"/>
      <c r="BH192" s="301"/>
      <c r="BI192" s="301"/>
      <c r="BJ192" s="301"/>
      <c r="BK192" s="301"/>
      <c r="BL192" s="301"/>
      <c r="BM192" s="301"/>
    </row>
    <row r="193" spans="2:65" s="347" customFormat="1" ht="17.25" customHeight="1">
      <c r="C193" s="454" t="s">
        <v>444</v>
      </c>
      <c r="D193" s="454"/>
      <c r="E193" s="469" t="str" cm="1">
        <f t="array" ref="E193">angleDecimal2Txt(angleConvert2Decimal(M20))</f>
        <v>+00°00.00 (+00.0000) [+00°00'00.00]</v>
      </c>
      <c r="F193" s="469"/>
      <c r="G193" s="469"/>
      <c r="H193" s="469"/>
      <c r="I193" s="469"/>
      <c r="AB193" s="61"/>
      <c r="AC193" s="301"/>
      <c r="AD193" s="301"/>
      <c r="AE193" s="301"/>
      <c r="AF193" s="301"/>
      <c r="AG193" s="301"/>
      <c r="AH193" s="301"/>
      <c r="AI193" s="301"/>
      <c r="AJ193" s="301"/>
      <c r="AK193" s="301"/>
      <c r="AL193" s="301"/>
      <c r="AM193" s="301"/>
      <c r="AN193" s="301"/>
      <c r="AO193" s="301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1"/>
      <c r="BH193" s="301"/>
      <c r="BI193" s="301"/>
      <c r="BJ193" s="301"/>
      <c r="BK193" s="301"/>
      <c r="BL193" s="301"/>
      <c r="BM193" s="301"/>
    </row>
    <row r="194" spans="2:65" s="347" customFormat="1" ht="17.25" customHeight="1">
      <c r="C194" s="455" t="s">
        <v>445</v>
      </c>
      <c r="D194" s="455"/>
      <c r="E194" s="470" t="str">
        <f>CONCATENATE(M19, " m")</f>
        <v>0 m</v>
      </c>
      <c r="F194" s="470"/>
      <c r="G194" s="470"/>
      <c r="H194" s="470"/>
      <c r="I194" s="470"/>
      <c r="AB194" s="61"/>
      <c r="AC194" s="301"/>
      <c r="AD194" s="301"/>
      <c r="AE194" s="301"/>
      <c r="AF194" s="301"/>
      <c r="AG194" s="301"/>
      <c r="AH194" s="301"/>
      <c r="AI194" s="301"/>
      <c r="AJ194" s="301"/>
      <c r="AK194" s="301"/>
      <c r="AL194" s="301"/>
      <c r="AM194" s="301"/>
      <c r="AN194" s="301"/>
      <c r="AO194" s="301"/>
      <c r="AP194" s="301"/>
      <c r="AQ194" s="301"/>
      <c r="AR194" s="301"/>
      <c r="AS194" s="301"/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1"/>
      <c r="BH194" s="301"/>
      <c r="BI194" s="301"/>
      <c r="BJ194" s="301"/>
      <c r="BK194" s="301"/>
      <c r="BL194" s="301"/>
      <c r="BM194" s="301"/>
    </row>
    <row r="195" spans="2:65" s="347" customFormat="1" ht="17.25" customHeight="1">
      <c r="E195" s="436" t="str" cm="1">
        <f t="array" ref="E195">angleDecimal2Txt(O95)</f>
        <v>+13°06.00 (+13.0999) [+13°06'00.00]</v>
      </c>
      <c r="F195" s="436"/>
      <c r="G195" s="436"/>
      <c r="H195" s="436"/>
      <c r="I195" s="436"/>
      <c r="J195" s="436" t="s">
        <v>527</v>
      </c>
      <c r="K195" s="436"/>
      <c r="L195" s="436"/>
      <c r="AB195" s="61"/>
      <c r="AC195" s="301"/>
      <c r="AD195" s="301"/>
      <c r="AE195" s="301"/>
      <c r="AF195" s="301"/>
      <c r="AG195" s="301"/>
      <c r="AH195" s="301"/>
      <c r="AI195" s="301"/>
      <c r="AJ195" s="301"/>
      <c r="AK195" s="301"/>
      <c r="AL195" s="301"/>
      <c r="AM195" s="301"/>
      <c r="AN195" s="301"/>
      <c r="AO195" s="301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1"/>
      <c r="BH195" s="301"/>
      <c r="BI195" s="301"/>
      <c r="BJ195" s="301"/>
      <c r="BK195" s="301"/>
      <c r="BL195" s="301"/>
      <c r="BM195" s="301"/>
    </row>
    <row r="196" spans="2:65" s="347" customFormat="1" ht="17.25" customHeight="1">
      <c r="E196" s="368"/>
      <c r="F196" s="452" t="s">
        <v>445</v>
      </c>
      <c r="G196" s="453"/>
      <c r="H196" s="451" t="str">
        <f>angleDecimal2Txt($O$93)</f>
        <v>+00°00.00 (+00.0000) [+00°00'00.00]</v>
      </c>
      <c r="I196" s="451"/>
      <c r="J196" s="451"/>
      <c r="K196" s="451"/>
      <c r="L196" s="451"/>
      <c r="AB196" s="61"/>
      <c r="AC196" s="301"/>
      <c r="AD196" s="301"/>
      <c r="AE196" s="301"/>
      <c r="AF196" s="301"/>
      <c r="AG196" s="301"/>
      <c r="AH196" s="301"/>
      <c r="AI196" s="301"/>
      <c r="AJ196" s="301"/>
      <c r="AK196" s="301"/>
      <c r="AL196" s="301"/>
      <c r="AM196" s="301"/>
      <c r="AN196" s="301"/>
      <c r="AO196" s="301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1"/>
      <c r="BH196" s="301"/>
      <c r="BI196" s="301"/>
      <c r="BJ196" s="301"/>
      <c r="BK196" s="301"/>
      <c r="BL196" s="301"/>
      <c r="BM196" s="301"/>
    </row>
    <row r="197" spans="2:65" s="347" customFormat="1" ht="17.25" customHeight="1">
      <c r="F197" s="437" t="s">
        <v>452</v>
      </c>
      <c r="G197" s="437"/>
      <c r="H197" s="451" t="str">
        <f>angleDecimal2Txt(O105)</f>
        <v>+00°04.15 (+00.0692) [+00°04'09.40]</v>
      </c>
      <c r="I197" s="451"/>
      <c r="J197" s="451"/>
      <c r="K197" s="451"/>
      <c r="L197" s="451"/>
      <c r="AB197" s="61"/>
      <c r="AC197" s="301"/>
      <c r="AD197" s="301"/>
      <c r="AE197" s="301"/>
      <c r="AF197" s="301"/>
      <c r="AG197" s="301"/>
      <c r="AH197" s="301"/>
      <c r="AI197" s="301"/>
      <c r="AJ197" s="301"/>
      <c r="AK197" s="301"/>
      <c r="AL197" s="301"/>
      <c r="AM197" s="301"/>
      <c r="AN197" s="301"/>
      <c r="AO197" s="301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1"/>
      <c r="BH197" s="301"/>
      <c r="BI197" s="301"/>
      <c r="BJ197" s="301"/>
      <c r="BK197" s="301"/>
      <c r="BL197" s="301"/>
      <c r="BM197" s="301"/>
    </row>
    <row r="198" spans="2:65" s="347" customFormat="1" ht="17.25" customHeight="1">
      <c r="F198" s="437" t="s">
        <v>453</v>
      </c>
      <c r="G198" s="437"/>
      <c r="H198" s="437" t="str">
        <f>angleDecimal2Txt(O100)</f>
        <v>+00°00.16 (+00.0028) [+00°00'10.10]</v>
      </c>
      <c r="I198" s="437"/>
      <c r="J198" s="437"/>
      <c r="K198" s="437"/>
      <c r="L198" s="437"/>
      <c r="AB198" s="61"/>
      <c r="AC198" s="301"/>
      <c r="AD198" s="301"/>
      <c r="AE198" s="301"/>
      <c r="AF198" s="301"/>
      <c r="AG198" s="301"/>
      <c r="AH198" s="301"/>
      <c r="AI198" s="301"/>
      <c r="AJ198" s="301"/>
      <c r="AK198" s="301"/>
      <c r="AL198" s="301"/>
      <c r="AM198" s="301"/>
      <c r="AN198" s="301"/>
      <c r="AO198" s="301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1"/>
      <c r="BH198" s="301"/>
      <c r="BI198" s="301"/>
      <c r="BJ198" s="301"/>
      <c r="BK198" s="301"/>
      <c r="BL198" s="301"/>
      <c r="BM198" s="301"/>
    </row>
    <row r="199" spans="2:65" s="347" customFormat="1" ht="17.25" customHeight="1">
      <c r="F199" s="437" t="s">
        <v>106</v>
      </c>
      <c r="G199" s="437"/>
      <c r="H199" s="437" t="str" cm="1">
        <f t="array" ref="H199">angleDecimal2Txt(O107)</f>
        <v>+00°31.60 (+00.5266) [+00°31'36.00]</v>
      </c>
      <c r="I199" s="437"/>
      <c r="J199" s="437"/>
      <c r="K199" s="437"/>
      <c r="L199" s="437"/>
      <c r="AB199" s="61"/>
      <c r="AC199" s="301"/>
      <c r="AD199" s="301"/>
      <c r="AE199" s="301"/>
      <c r="AF199" s="301"/>
      <c r="AG199" s="301"/>
      <c r="AH199" s="301"/>
      <c r="AI199" s="301"/>
      <c r="AJ199" s="301"/>
      <c r="AK199" s="301"/>
      <c r="AL199" s="301"/>
      <c r="AM199" s="301"/>
      <c r="AN199" s="301"/>
      <c r="AO199" s="301"/>
      <c r="AP199" s="301"/>
      <c r="AQ199" s="301"/>
      <c r="AR199" s="301"/>
      <c r="AS199" s="301"/>
      <c r="AT199" s="301"/>
      <c r="AU199" s="301"/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1"/>
      <c r="BH199" s="301"/>
      <c r="BI199" s="301"/>
      <c r="BJ199" s="301"/>
      <c r="BK199" s="301"/>
      <c r="BL199" s="301"/>
      <c r="BM199" s="301"/>
    </row>
    <row r="200" spans="2:65" s="347" customFormat="1" ht="17.25" customHeight="1">
      <c r="F200" s="437" t="s">
        <v>71</v>
      </c>
      <c r="G200" s="437"/>
      <c r="H200" s="437" t="str" cm="1">
        <f t="array" ref="H200">angleDecimal2Txt(O109)</f>
        <v>+00°15.80 (+00.2633) [+00°15'48.00]</v>
      </c>
      <c r="I200" s="437"/>
      <c r="J200" s="437"/>
      <c r="K200" s="437"/>
      <c r="L200" s="437"/>
      <c r="AB200" s="61"/>
      <c r="AC200" s="301"/>
      <c r="AD200" s="301"/>
      <c r="AE200" s="301"/>
      <c r="AF200" s="301"/>
      <c r="AG200" s="301"/>
      <c r="AH200" s="301"/>
      <c r="AI200" s="301"/>
      <c r="AJ200" s="301"/>
      <c r="AK200" s="301"/>
      <c r="AL200" s="301"/>
      <c r="AM200" s="301"/>
      <c r="AN200" s="301"/>
      <c r="AO200" s="301"/>
      <c r="AP200" s="301"/>
      <c r="AQ200" s="301"/>
      <c r="AR200" s="301"/>
      <c r="AS200" s="301"/>
      <c r="AT200" s="301"/>
      <c r="AU200" s="301"/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1"/>
      <c r="BH200" s="301"/>
      <c r="BI200" s="301"/>
      <c r="BJ200" s="301"/>
      <c r="BK200" s="301"/>
      <c r="BL200" s="301"/>
      <c r="BM200" s="301"/>
    </row>
    <row r="201" spans="2:65" s="347" customFormat="1" ht="17.25" customHeight="1">
      <c r="D201" s="369"/>
      <c r="E201" s="436" t="str" cm="1">
        <f t="array" ref="E201">angleDecimal2Txt(F88)</f>
        <v>+13°17.81 (+13.2968) [+13°17'48.70]</v>
      </c>
      <c r="F201" s="436"/>
      <c r="G201" s="436"/>
      <c r="H201" s="436"/>
      <c r="I201" s="436"/>
      <c r="J201" s="436" t="s">
        <v>528</v>
      </c>
      <c r="K201" s="436"/>
      <c r="L201" s="436"/>
      <c r="AB201" s="61"/>
      <c r="AC201" s="301"/>
      <c r="AD201" s="301"/>
      <c r="AE201" s="301"/>
      <c r="AF201" s="301"/>
      <c r="AG201" s="301"/>
      <c r="AH201" s="301"/>
      <c r="AI201" s="301"/>
      <c r="AJ201" s="301"/>
      <c r="AK201" s="301"/>
      <c r="AL201" s="301"/>
      <c r="AM201" s="301"/>
      <c r="AN201" s="301"/>
      <c r="AO201" s="301"/>
      <c r="AP201" s="301"/>
      <c r="AQ201" s="301"/>
      <c r="AR201" s="301"/>
      <c r="AS201" s="301"/>
      <c r="AT201" s="301"/>
      <c r="AU201" s="301"/>
      <c r="AV201" s="301"/>
      <c r="AW201" s="301"/>
      <c r="AX201" s="301"/>
      <c r="AY201" s="301"/>
      <c r="AZ201" s="301"/>
      <c r="BA201" s="301"/>
      <c r="BB201" s="301"/>
      <c r="BC201" s="301"/>
      <c r="BD201" s="301"/>
      <c r="BE201" s="301"/>
      <c r="BF201" s="301"/>
      <c r="BG201" s="301"/>
      <c r="BH201" s="301"/>
      <c r="BI201" s="301"/>
      <c r="BJ201" s="301"/>
      <c r="BK201" s="301"/>
      <c r="BL201" s="301"/>
      <c r="BM201" s="301"/>
    </row>
    <row r="202" spans="2:65" s="347" customFormat="1" ht="17.25" customHeight="1">
      <c r="D202" s="369"/>
      <c r="F202" s="437" t="str" cm="1">
        <f t="array" ref="F202">angleDecimal2Txt(-1*(O93+O105-O100))</f>
        <v>-00°03.98 (-00.0664) [-00°03'59.29]</v>
      </c>
      <c r="G202" s="437"/>
      <c r="H202" s="437"/>
      <c r="I202" s="437"/>
      <c r="J202" s="437"/>
      <c r="K202" s="437" t="s">
        <v>454</v>
      </c>
      <c r="L202" s="437"/>
      <c r="M202" s="437"/>
      <c r="N202" s="450" t="s">
        <v>470</v>
      </c>
      <c r="O202" s="450"/>
      <c r="P202" s="450"/>
      <c r="AB202" s="61"/>
      <c r="AC202" s="301"/>
      <c r="AD202" s="301"/>
      <c r="AE202" s="301"/>
      <c r="AF202" s="301"/>
      <c r="AG202" s="301"/>
      <c r="AH202" s="301"/>
      <c r="AI202" s="301"/>
      <c r="AJ202" s="301"/>
      <c r="AK202" s="301"/>
      <c r="AL202" s="301"/>
      <c r="AM202" s="301"/>
      <c r="AN202" s="301"/>
      <c r="AO202" s="301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1"/>
      <c r="BH202" s="301"/>
      <c r="BI202" s="301"/>
      <c r="BJ202" s="301"/>
      <c r="BK202" s="301"/>
      <c r="BL202" s="301"/>
      <c r="BM202" s="301"/>
    </row>
    <row r="203" spans="2:65" s="347" customFormat="1" ht="17.25" customHeight="1">
      <c r="D203" s="369"/>
      <c r="F203" s="437" t="str" cm="1">
        <f t="array" ref="F203">angleDecimal2Txt(-1*O93-O105+O100+O109)</f>
        <v>+00°11.81 (+00.1968) [+00°11'48.70]</v>
      </c>
      <c r="G203" s="437"/>
      <c r="H203" s="437"/>
      <c r="I203" s="437"/>
      <c r="J203" s="437"/>
      <c r="K203" s="437" t="s">
        <v>450</v>
      </c>
      <c r="L203" s="437"/>
      <c r="M203" s="437"/>
      <c r="N203" s="450"/>
      <c r="O203" s="450"/>
      <c r="P203" s="450"/>
      <c r="AB203" s="61"/>
      <c r="AC203" s="301"/>
      <c r="AD203" s="301"/>
      <c r="AE203" s="301"/>
      <c r="AF203" s="301"/>
      <c r="AG203" s="301"/>
      <c r="AH203" s="301"/>
      <c r="AI203" s="301"/>
      <c r="AJ203" s="301"/>
      <c r="AK203" s="301"/>
      <c r="AL203" s="301"/>
      <c r="AM203" s="301"/>
      <c r="AN203" s="301"/>
      <c r="AO203" s="301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1"/>
      <c r="BH203" s="301"/>
      <c r="BI203" s="301"/>
      <c r="BJ203" s="301"/>
      <c r="BK203" s="301"/>
      <c r="BL203" s="301"/>
      <c r="BM203" s="301"/>
    </row>
    <row r="204" spans="2:65" s="347" customFormat="1" ht="17.25" customHeight="1">
      <c r="D204" s="369"/>
      <c r="F204" s="437" t="str">
        <f>angleDecimal2Txt(O100-O105+O109)</f>
        <v>+00°11.81 (+00.1968) [+00°11'48.70]</v>
      </c>
      <c r="G204" s="437"/>
      <c r="H204" s="437"/>
      <c r="I204" s="437"/>
      <c r="J204" s="437"/>
      <c r="K204" s="437" t="s">
        <v>451</v>
      </c>
      <c r="L204" s="437"/>
      <c r="M204" s="437"/>
      <c r="N204" s="450"/>
      <c r="O204" s="450"/>
      <c r="P204" s="450"/>
      <c r="AB204" s="61"/>
      <c r="AC204" s="301"/>
      <c r="AD204" s="301"/>
      <c r="AE204" s="301"/>
      <c r="AF204" s="301"/>
      <c r="AG204" s="301"/>
      <c r="AH204" s="301"/>
      <c r="AI204" s="301"/>
      <c r="AJ204" s="301"/>
      <c r="AK204" s="301"/>
      <c r="AL204" s="301"/>
      <c r="AM204" s="301"/>
      <c r="AN204" s="301"/>
      <c r="AO204" s="301"/>
      <c r="AP204" s="301"/>
      <c r="AQ204" s="301"/>
      <c r="AR204" s="301"/>
      <c r="AS204" s="301"/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1"/>
      <c r="BH204" s="301"/>
      <c r="BI204" s="301"/>
      <c r="BJ204" s="301"/>
      <c r="BK204" s="301"/>
      <c r="BL204" s="301"/>
      <c r="BM204" s="301"/>
    </row>
    <row r="205" spans="2:65" s="347" customFormat="1" ht="17.25" customHeight="1">
      <c r="AB205" s="61"/>
      <c r="AC205" s="301"/>
      <c r="AD205" s="301"/>
      <c r="AE205" s="301"/>
      <c r="AF205" s="301"/>
      <c r="AG205" s="301"/>
      <c r="AH205" s="301"/>
      <c r="AI205" s="301"/>
      <c r="AJ205" s="301"/>
      <c r="AK205" s="301"/>
      <c r="AL205" s="301"/>
      <c r="AM205" s="301"/>
      <c r="AN205" s="301"/>
      <c r="AO205" s="301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1"/>
      <c r="BH205" s="301"/>
      <c r="BI205" s="301"/>
      <c r="BJ205" s="301"/>
      <c r="BK205" s="301"/>
      <c r="BL205" s="301"/>
      <c r="BM205" s="301"/>
    </row>
    <row r="206" spans="2:65" s="347" customFormat="1" ht="17.25" customHeight="1">
      <c r="C206" s="369"/>
      <c r="AB206" s="61"/>
      <c r="AC206" s="301"/>
      <c r="AD206" s="301"/>
      <c r="AE206" s="301"/>
      <c r="AF206" s="301"/>
      <c r="AG206" s="301"/>
      <c r="AH206" s="301"/>
      <c r="AI206" s="301"/>
      <c r="AJ206" s="301"/>
      <c r="AK206" s="301"/>
      <c r="AL206" s="301"/>
      <c r="AM206" s="301"/>
      <c r="AN206" s="301"/>
      <c r="AO206" s="301"/>
      <c r="AP206" s="301"/>
      <c r="AQ206" s="301"/>
      <c r="AR206" s="301"/>
      <c r="AS206" s="301"/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1"/>
      <c r="BH206" s="301"/>
      <c r="BI206" s="301"/>
      <c r="BJ206" s="301"/>
      <c r="BK206" s="301"/>
      <c r="BL206" s="301"/>
      <c r="BM206" s="301"/>
    </row>
    <row r="207" spans="2:65" s="347" customFormat="1" ht="17.25" customHeight="1" thickBot="1">
      <c r="B207" s="367" t="s">
        <v>62</v>
      </c>
      <c r="C207" s="366"/>
      <c r="D207" s="366"/>
      <c r="E207" s="366"/>
      <c r="F207" s="366"/>
      <c r="G207" s="366"/>
      <c r="H207" s="367"/>
      <c r="I207" s="367"/>
      <c r="J207" s="367"/>
      <c r="K207" s="367"/>
      <c r="L207" s="367"/>
      <c r="M207" s="367"/>
      <c r="N207" s="367"/>
      <c r="O207" s="367"/>
      <c r="P207" s="367"/>
      <c r="Q207" s="367"/>
      <c r="AB207" s="61"/>
      <c r="AC207" s="301"/>
      <c r="AD207" s="301"/>
      <c r="AE207" s="301"/>
      <c r="AF207" s="301"/>
      <c r="AG207" s="301"/>
      <c r="AH207" s="301"/>
      <c r="AI207" s="301"/>
      <c r="AJ207" s="301"/>
      <c r="AK207" s="301"/>
      <c r="AL207" s="301"/>
      <c r="AM207" s="301"/>
      <c r="AN207" s="301"/>
      <c r="AO207" s="301"/>
      <c r="AP207" s="301"/>
      <c r="AQ207" s="301"/>
      <c r="AR207" s="301"/>
      <c r="AS207" s="301"/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/>
      <c r="BF207" s="301"/>
      <c r="BG207" s="301"/>
      <c r="BH207" s="301"/>
      <c r="BI207" s="301"/>
      <c r="BJ207" s="301"/>
      <c r="BK207" s="301"/>
      <c r="BL207" s="301"/>
      <c r="BM207" s="301"/>
    </row>
    <row r="208" spans="2:65" s="347" customFormat="1" ht="17.25" customHeight="1" thickTop="1">
      <c r="C208" s="447" t="s">
        <v>455</v>
      </c>
      <c r="D208" s="447"/>
      <c r="E208" s="447" t="str" cm="1">
        <f t="array" ref="E208">latitudeDecimal2Txt(F36)</f>
        <v>S 26°30.00 (S 26.5000) [S 26°30'00.00]</v>
      </c>
      <c r="F208" s="447"/>
      <c r="G208" s="447"/>
      <c r="H208" s="447"/>
      <c r="I208" s="447"/>
      <c r="J208" s="447"/>
      <c r="AB208" s="61"/>
      <c r="AC208" s="301"/>
      <c r="AD208" s="301"/>
      <c r="AE208" s="301"/>
      <c r="AF208" s="301"/>
      <c r="AG208" s="301"/>
      <c r="AH208" s="301"/>
      <c r="AI208" s="301"/>
      <c r="AJ208" s="301"/>
      <c r="AK208" s="301"/>
      <c r="AL208" s="301"/>
      <c r="AM208" s="301"/>
      <c r="AN208" s="301"/>
      <c r="AO208" s="301"/>
      <c r="AP208" s="301"/>
      <c r="AQ208" s="301"/>
      <c r="AR208" s="301"/>
      <c r="AS208" s="301"/>
      <c r="AT208" s="301"/>
      <c r="AU208" s="301"/>
      <c r="AV208" s="301"/>
      <c r="AW208" s="301"/>
      <c r="AX208" s="301"/>
      <c r="AY208" s="301"/>
      <c r="AZ208" s="301"/>
      <c r="BA208" s="301"/>
      <c r="BB208" s="301"/>
      <c r="BC208" s="301"/>
      <c r="BD208" s="301"/>
      <c r="BE208" s="301"/>
      <c r="BF208" s="301"/>
      <c r="BG208" s="301"/>
      <c r="BH208" s="301"/>
      <c r="BI208" s="301"/>
      <c r="BJ208" s="301"/>
      <c r="BK208" s="301"/>
      <c r="BL208" s="301"/>
      <c r="BM208" s="301"/>
    </row>
    <row r="209" spans="3:65" s="347" customFormat="1" ht="17.25" customHeight="1">
      <c r="C209" s="448" t="s">
        <v>456</v>
      </c>
      <c r="D209" s="448"/>
      <c r="E209" s="448" t="str" cm="1">
        <f t="array" ref="E209">longitudeDecimal2Txt(F41)</f>
        <v>E 62°28.50 (E 62.4750) [E 62°28'30.00]</v>
      </c>
      <c r="F209" s="448"/>
      <c r="G209" s="448"/>
      <c r="H209" s="448"/>
      <c r="I209" s="448"/>
      <c r="J209" s="448"/>
      <c r="AB209" s="61"/>
      <c r="AC209" s="301"/>
      <c r="AD209" s="301"/>
      <c r="AE209" s="301"/>
      <c r="AF209" s="301"/>
      <c r="AG209" s="301"/>
      <c r="AH209" s="301"/>
      <c r="AI209" s="301"/>
      <c r="AJ209" s="301"/>
      <c r="AK209" s="301"/>
      <c r="AL209" s="301"/>
      <c r="AM209" s="301"/>
      <c r="AN209" s="301"/>
      <c r="AO209" s="301"/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1"/>
      <c r="BH209" s="301"/>
      <c r="BI209" s="301"/>
      <c r="BJ209" s="301"/>
      <c r="BK209" s="301"/>
      <c r="BL209" s="301"/>
      <c r="BM209" s="301"/>
    </row>
    <row r="210" spans="3:65" s="347" customFormat="1" ht="17.25" customHeight="1">
      <c r="F210" s="450" t="str">
        <f>CONCATENATE("GHA - ", G66)</f>
        <v>GHA - Par vitesse</v>
      </c>
      <c r="G210" s="450"/>
      <c r="H210" s="437" t="str">
        <f>IF($G$66=$AD$66,M70,CONCATENATE("T0:",M78))</f>
        <v>T0:0</v>
      </c>
      <c r="I210" s="437"/>
      <c r="J210" s="437"/>
      <c r="K210" s="437" t="str" cm="1">
        <f t="array" ref="K210">IF($G$66=$AD$66,angleDecimal2Txt(angleConvert2Decimal(Q70),0),CONCATENATE("Pos. à T0:",angleDecimal2Txt(angleConvert2Decimal(Q78),0)))</f>
        <v>Pos. à T0:+03°50.29</v>
      </c>
      <c r="L210" s="437"/>
      <c r="M210" s="437"/>
      <c r="AB210" s="61"/>
      <c r="AC210" s="301"/>
      <c r="AD210" s="301"/>
      <c r="AE210" s="301"/>
      <c r="AF210" s="301"/>
      <c r="AG210" s="301"/>
      <c r="AH210" s="301"/>
      <c r="AI210" s="301"/>
      <c r="AJ210" s="301"/>
      <c r="AK210" s="301"/>
      <c r="AL210" s="301"/>
      <c r="AM210" s="301"/>
      <c r="AN210" s="301"/>
      <c r="AO210" s="301"/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1"/>
      <c r="BH210" s="301"/>
      <c r="BI210" s="301"/>
      <c r="BJ210" s="301"/>
      <c r="BK210" s="301"/>
      <c r="BL210" s="301"/>
      <c r="BM210" s="301"/>
    </row>
    <row r="211" spans="3:65" s="347" customFormat="1" ht="17.25" customHeight="1">
      <c r="F211" s="450"/>
      <c r="G211" s="450"/>
      <c r="H211" s="437" t="str">
        <f>IF($G$66=$AD$66,M72,CONCATENATE("V:",AD79,0))</f>
        <v>V:00</v>
      </c>
      <c r="I211" s="437"/>
      <c r="J211" s="437"/>
      <c r="K211" s="437" t="str" cm="1">
        <f t="array" ref="K211">IF($G$66=$AD$66,angleDecimal2Txt(angleConvert2Decimal(Q72),0),CONCATENATE("dt:",TEXT((I78-M78),"0.000")," h"))</f>
        <v>dt:12.337 h</v>
      </c>
      <c r="L211" s="437"/>
      <c r="M211" s="437"/>
      <c r="AB211" s="61"/>
      <c r="AC211" s="301"/>
      <c r="AD211" s="301"/>
      <c r="AE211" s="301"/>
      <c r="AF211" s="301"/>
      <c r="AG211" s="301"/>
      <c r="AH211" s="301"/>
      <c r="AI211" s="301"/>
      <c r="AJ211" s="301"/>
      <c r="AK211" s="301"/>
      <c r="AL211" s="301"/>
      <c r="AM211" s="301"/>
      <c r="AN211" s="301"/>
      <c r="AO211" s="301"/>
      <c r="AP211" s="301"/>
      <c r="AQ211" s="301"/>
      <c r="AR211" s="301"/>
      <c r="AS211" s="301"/>
      <c r="AT211" s="301"/>
      <c r="AU211" s="301"/>
      <c r="AV211" s="301"/>
      <c r="AW211" s="301"/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1"/>
      <c r="BH211" s="301"/>
      <c r="BI211" s="301"/>
      <c r="BJ211" s="301"/>
      <c r="BK211" s="301"/>
      <c r="BL211" s="301"/>
      <c r="BM211" s="301"/>
    </row>
    <row r="212" spans="3:65" s="347" customFormat="1" ht="17.25" customHeight="1">
      <c r="C212" s="449" t="s">
        <v>457</v>
      </c>
      <c r="D212" s="449"/>
      <c r="E212" s="449" t="str" cm="1">
        <f t="array" ref="E212">angleDecimal2Txt(F65)</f>
        <v>+03°50.29 (+03.8383) [+03°50'18.00]</v>
      </c>
      <c r="F212" s="449"/>
      <c r="G212" s="449"/>
      <c r="H212" s="449"/>
      <c r="I212" s="449"/>
      <c r="J212" s="449"/>
      <c r="AB212" s="61"/>
      <c r="AC212" s="301"/>
      <c r="AD212" s="301"/>
      <c r="AE212" s="301"/>
      <c r="AF212" s="301"/>
      <c r="AG212" s="301"/>
      <c r="AH212" s="301"/>
      <c r="AI212" s="301"/>
      <c r="AJ212" s="301"/>
      <c r="AK212" s="301"/>
      <c r="AL212" s="301"/>
      <c r="AM212" s="301"/>
      <c r="AN212" s="301"/>
      <c r="AO212" s="301"/>
      <c r="AP212" s="301"/>
      <c r="AQ212" s="301"/>
      <c r="AR212" s="301"/>
      <c r="AS212" s="301"/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/>
      <c r="BF212" s="301"/>
      <c r="BG212" s="301"/>
      <c r="BH212" s="301"/>
      <c r="BI212" s="301"/>
      <c r="BJ212" s="301"/>
      <c r="BK212" s="301"/>
      <c r="BL212" s="301"/>
      <c r="BM212" s="301"/>
    </row>
    <row r="213" spans="3:65" s="347" customFormat="1" ht="17.25" customHeight="1">
      <c r="C213" s="449" t="s">
        <v>43</v>
      </c>
      <c r="D213" s="449"/>
      <c r="E213" s="449" t="str" cm="1">
        <f t="array" ref="E213">angleDecimal2Txt(F84)</f>
        <v>+66°18.80 (+66.3133) [+66°18'48.00]</v>
      </c>
      <c r="F213" s="449"/>
      <c r="G213" s="449"/>
      <c r="H213" s="449"/>
      <c r="I213" s="449"/>
      <c r="J213" s="449"/>
      <c r="AB213" s="61"/>
      <c r="AC213" s="301"/>
      <c r="AD213" s="301"/>
      <c r="AE213" s="301"/>
      <c r="AF213" s="301"/>
      <c r="AG213" s="301"/>
      <c r="AH213" s="301"/>
      <c r="AI213" s="301"/>
      <c r="AJ213" s="301"/>
      <c r="AK213" s="301"/>
      <c r="AL213" s="301"/>
      <c r="AM213" s="301"/>
      <c r="AN213" s="301"/>
      <c r="AO213" s="301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/>
      <c r="BF213" s="301"/>
      <c r="BG213" s="301"/>
      <c r="BH213" s="301"/>
      <c r="BI213" s="301"/>
      <c r="BJ213" s="301"/>
      <c r="BK213" s="301"/>
      <c r="BL213" s="301"/>
      <c r="BM213" s="301"/>
    </row>
    <row r="214" spans="3:65" s="347" customFormat="1" ht="17.25" customHeight="1">
      <c r="F214" s="450" t="str">
        <f>CONCATENATE("Déc. - ", G46)</f>
        <v>Déc. - Par vitesse</v>
      </c>
      <c r="G214" s="450"/>
      <c r="H214" s="437" t="str">
        <f>IF($G$46=$AD$46,M50,CONCATENATE("T0:",M58))</f>
        <v>T0:0</v>
      </c>
      <c r="I214" s="437"/>
      <c r="J214" s="437" t="str" cm="1">
        <f t="array" ref="J214">IF($G$46=$AD$46,angleDecimal2Txt(AE49,0),CONCATENATE("Pos. à T0:",AD57,0))</f>
        <v>Pos. à T0:14.680</v>
      </c>
      <c r="K214" s="437"/>
      <c r="L214" s="437"/>
      <c r="M214" s="437"/>
      <c r="AB214" s="61"/>
      <c r="AC214" s="301"/>
      <c r="AD214" s="301"/>
      <c r="AE214" s="301"/>
      <c r="AF214" s="301"/>
      <c r="AG214" s="301"/>
      <c r="AH214" s="301"/>
      <c r="AI214" s="301"/>
      <c r="AJ214" s="301"/>
      <c r="AK214" s="301"/>
      <c r="AL214" s="301"/>
      <c r="AM214" s="301"/>
      <c r="AN214" s="301"/>
      <c r="AO214" s="301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1"/>
      <c r="BH214" s="301"/>
      <c r="BI214" s="301"/>
      <c r="BJ214" s="301"/>
      <c r="BK214" s="301"/>
      <c r="BL214" s="301"/>
      <c r="BM214" s="301"/>
    </row>
    <row r="215" spans="3:65" s="347" customFormat="1" ht="17.25" customHeight="1">
      <c r="F215" s="450"/>
      <c r="G215" s="450"/>
      <c r="H215" s="437" t="str" cm="1">
        <f t="array" ref="H215">IF($G$46=$AD$46,M52,CONCATENATE("V:",angleDecimal2Txt(AD59,0)))</f>
        <v>V:+00°00.00</v>
      </c>
      <c r="I215" s="437"/>
      <c r="J215" s="437" t="str" cm="1">
        <f t="array" ref="J215">IF($G$46=$AD$46,angleDecimal2Txt(AE50,0),CONCATENATE("dt:",TEXT((I58-M58),"0.000")," h"))</f>
        <v>dt:12.337 h</v>
      </c>
      <c r="K215" s="437"/>
      <c r="L215" s="437"/>
      <c r="M215" s="437"/>
      <c r="AB215" s="61"/>
      <c r="AC215" s="301"/>
      <c r="AD215" s="301"/>
      <c r="AE215" s="301"/>
      <c r="AF215" s="301"/>
      <c r="AG215" s="301"/>
      <c r="AH215" s="301"/>
      <c r="AI215" s="301"/>
      <c r="AJ215" s="301"/>
      <c r="AK215" s="301"/>
      <c r="AL215" s="301"/>
      <c r="AM215" s="301"/>
      <c r="AN215" s="301"/>
      <c r="AO215" s="301"/>
      <c r="AP215" s="301"/>
      <c r="AQ215" s="301"/>
      <c r="AR215" s="301"/>
      <c r="AS215" s="301"/>
      <c r="AT215" s="301"/>
      <c r="AU215" s="301"/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1"/>
      <c r="BH215" s="301"/>
      <c r="BI215" s="301"/>
      <c r="BJ215" s="301"/>
      <c r="BK215" s="301"/>
      <c r="BL215" s="301"/>
      <c r="BM215" s="301"/>
    </row>
    <row r="216" spans="3:65" s="347" customFormat="1" ht="17.25" customHeight="1">
      <c r="C216" s="449" t="s">
        <v>9</v>
      </c>
      <c r="D216" s="449"/>
      <c r="E216" s="449" t="str" cm="1">
        <f t="array" ref="E216">latitudeDecimal2Txt(F45)</f>
        <v>N 14°40.79 (N 14.6799) [N 14°40'48.00]</v>
      </c>
      <c r="F216" s="449"/>
      <c r="G216" s="449"/>
      <c r="H216" s="449"/>
      <c r="I216" s="449"/>
      <c r="J216" s="449"/>
      <c r="AB216" s="61"/>
      <c r="AC216" s="301"/>
      <c r="AD216" s="301"/>
      <c r="AE216" s="301"/>
      <c r="AF216" s="301"/>
      <c r="AG216" s="301"/>
      <c r="AH216" s="301"/>
      <c r="AI216" s="301"/>
      <c r="AJ216" s="301"/>
      <c r="AK216" s="301"/>
      <c r="AL216" s="301"/>
      <c r="AM216" s="301"/>
      <c r="AN216" s="301"/>
      <c r="AO216" s="301"/>
      <c r="AP216" s="301"/>
      <c r="AQ216" s="301"/>
      <c r="AR216" s="301"/>
      <c r="AS216" s="301"/>
      <c r="AT216" s="301"/>
      <c r="AU216" s="301"/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1"/>
      <c r="BH216" s="301"/>
      <c r="BI216" s="301"/>
      <c r="BJ216" s="301"/>
      <c r="BK216" s="301"/>
      <c r="BL216" s="301"/>
      <c r="BM216" s="301"/>
    </row>
    <row r="217" spans="3:65" s="347" customFormat="1" ht="17.25" customHeight="1">
      <c r="F217" s="437" t="s">
        <v>459</v>
      </c>
      <c r="G217" s="437"/>
      <c r="H217" s="437">
        <f>SIN(U132)</f>
        <v>0.25342028899115832</v>
      </c>
      <c r="I217" s="437"/>
      <c r="J217" s="437">
        <f>SIN(U145)</f>
        <v>-0.44619781310980877</v>
      </c>
      <c r="K217" s="437"/>
      <c r="L217" s="437" t="s">
        <v>460</v>
      </c>
      <c r="M217" s="437"/>
      <c r="AB217" s="61"/>
      <c r="AC217" s="301"/>
      <c r="AD217" s="301"/>
      <c r="AE217" s="301"/>
      <c r="AF217" s="301"/>
      <c r="AG217" s="301"/>
      <c r="AH217" s="301"/>
      <c r="AI217" s="301"/>
      <c r="AJ217" s="301"/>
      <c r="AK217" s="301"/>
      <c r="AL217" s="301"/>
      <c r="AM217" s="301"/>
      <c r="AN217" s="301"/>
      <c r="AO217" s="301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/>
      <c r="BF217" s="301"/>
      <c r="BG217" s="301"/>
      <c r="BH217" s="301"/>
      <c r="BI217" s="301"/>
      <c r="BJ217" s="301"/>
      <c r="BK217" s="301"/>
      <c r="BL217" s="301"/>
      <c r="BM217" s="301"/>
    </row>
    <row r="218" spans="3:65" s="347" customFormat="1" ht="17.25" customHeight="1">
      <c r="F218" s="437" t="s">
        <v>458</v>
      </c>
      <c r="G218" s="437"/>
      <c r="H218" s="437">
        <f>COS(U144)</f>
        <v>0.9673562720774791</v>
      </c>
      <c r="I218" s="437"/>
      <c r="J218" s="437">
        <f>COS(U145)</f>
        <v>0.89493436160202511</v>
      </c>
      <c r="K218" s="437"/>
      <c r="L218" s="437" t="s">
        <v>461</v>
      </c>
      <c r="M218" s="437"/>
      <c r="AB218" s="61"/>
      <c r="AC218" s="301"/>
      <c r="AD218" s="301"/>
      <c r="AE218" s="301"/>
      <c r="AF218" s="301"/>
      <c r="AG218" s="301"/>
      <c r="AH218" s="301"/>
      <c r="AI218" s="301"/>
      <c r="AJ218" s="301"/>
      <c r="AK218" s="301"/>
      <c r="AL218" s="301"/>
      <c r="AM218" s="301"/>
      <c r="AN218" s="301"/>
      <c r="AO218" s="301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/>
      <c r="BF218" s="301"/>
      <c r="BG218" s="301"/>
      <c r="BH218" s="301"/>
      <c r="BI218" s="301"/>
      <c r="BJ218" s="301"/>
      <c r="BK218" s="301"/>
      <c r="BL218" s="301"/>
      <c r="BM218" s="301"/>
    </row>
    <row r="219" spans="3:65" s="347" customFormat="1" ht="17.25" customHeight="1">
      <c r="F219" s="446" t="s">
        <v>462</v>
      </c>
      <c r="G219" s="446"/>
      <c r="H219" s="446">
        <f>COS(U134)</f>
        <v>0.40173468141308671</v>
      </c>
      <c r="I219" s="446"/>
      <c r="J219" s="370"/>
      <c r="K219" s="370"/>
      <c r="L219" s="370"/>
      <c r="M219" s="370"/>
      <c r="AB219" s="61"/>
      <c r="AC219" s="301"/>
      <c r="AD219" s="301"/>
      <c r="AE219" s="301"/>
      <c r="AF219" s="301"/>
      <c r="AG219" s="301"/>
      <c r="AH219" s="301"/>
      <c r="AI219" s="301"/>
      <c r="AJ219" s="301"/>
      <c r="AK219" s="301"/>
      <c r="AL219" s="301"/>
      <c r="AM219" s="301"/>
      <c r="AN219" s="301"/>
      <c r="AO219" s="301"/>
      <c r="AP219" s="301"/>
      <c r="AQ219" s="301"/>
      <c r="AR219" s="301"/>
      <c r="AS219" s="301"/>
      <c r="AT219" s="301"/>
      <c r="AU219" s="301"/>
      <c r="AV219" s="301"/>
      <c r="AW219" s="301"/>
      <c r="AX219" s="301"/>
      <c r="AY219" s="301"/>
      <c r="AZ219" s="301"/>
      <c r="BA219" s="301"/>
      <c r="BB219" s="301"/>
      <c r="BC219" s="301"/>
      <c r="BD219" s="301"/>
      <c r="BE219" s="301"/>
      <c r="BF219" s="301"/>
      <c r="BG219" s="301"/>
      <c r="BH219" s="301"/>
      <c r="BI219" s="301"/>
      <c r="BJ219" s="301"/>
      <c r="BK219" s="301"/>
      <c r="BL219" s="301"/>
      <c r="BM219" s="301"/>
    </row>
    <row r="220" spans="3:65" s="347" customFormat="1" ht="17.25" customHeight="1">
      <c r="F220" s="437" t="s">
        <v>463</v>
      </c>
      <c r="G220" s="437"/>
      <c r="H220" s="437"/>
      <c r="I220" s="437"/>
      <c r="J220" s="437"/>
      <c r="K220" s="437"/>
      <c r="L220" s="437"/>
      <c r="M220" s="437"/>
      <c r="AB220" s="61"/>
      <c r="AC220" s="301"/>
      <c r="AD220" s="301"/>
      <c r="AE220" s="301"/>
      <c r="AF220" s="301"/>
      <c r="AG220" s="301"/>
      <c r="AH220" s="301"/>
      <c r="AI220" s="301"/>
      <c r="AJ220" s="301"/>
      <c r="AK220" s="301"/>
      <c r="AL220" s="301"/>
      <c r="AM220" s="301"/>
      <c r="AN220" s="301"/>
      <c r="AO220" s="301"/>
      <c r="AP220" s="301"/>
      <c r="AQ220" s="301"/>
      <c r="AR220" s="301"/>
      <c r="AS220" s="301"/>
      <c r="AT220" s="301"/>
      <c r="AU220" s="301"/>
      <c r="AV220" s="301"/>
      <c r="AW220" s="301"/>
      <c r="AX220" s="301"/>
      <c r="AY220" s="301"/>
      <c r="AZ220" s="301"/>
      <c r="BA220" s="301"/>
      <c r="BB220" s="301"/>
      <c r="BC220" s="301"/>
      <c r="BD220" s="301"/>
      <c r="BE220" s="301"/>
      <c r="BF220" s="301"/>
      <c r="BG220" s="301"/>
      <c r="BH220" s="301"/>
      <c r="BI220" s="301"/>
      <c r="BJ220" s="301"/>
      <c r="BK220" s="301"/>
      <c r="BL220" s="301"/>
      <c r="BM220" s="301"/>
    </row>
    <row r="221" spans="3:65" s="347" customFormat="1" ht="17.25" customHeight="1">
      <c r="F221" s="437" t="s">
        <v>471</v>
      </c>
      <c r="G221" s="437"/>
      <c r="H221" s="437">
        <f>AD132</f>
        <v>0.23471431740278065</v>
      </c>
      <c r="I221" s="437"/>
      <c r="J221" s="437"/>
      <c r="K221" s="437"/>
      <c r="L221" s="437"/>
      <c r="M221" s="437"/>
      <c r="AB221" s="61"/>
      <c r="AC221" s="301"/>
      <c r="AD221" s="301"/>
      <c r="AE221" s="301"/>
      <c r="AF221" s="301"/>
      <c r="AG221" s="301"/>
      <c r="AH221" s="301"/>
      <c r="AI221" s="301"/>
      <c r="AJ221" s="301"/>
      <c r="AK221" s="301"/>
      <c r="AL221" s="301"/>
      <c r="AM221" s="301"/>
      <c r="AN221" s="301"/>
      <c r="AO221" s="301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/>
      <c r="BB221" s="301"/>
      <c r="BC221" s="301"/>
      <c r="BD221" s="301"/>
      <c r="BE221" s="301"/>
      <c r="BF221" s="301"/>
      <c r="BG221" s="301"/>
      <c r="BH221" s="301"/>
      <c r="BI221" s="301"/>
      <c r="BJ221" s="301"/>
      <c r="BK221" s="301"/>
      <c r="BL221" s="301"/>
      <c r="BM221" s="301"/>
    </row>
    <row r="222" spans="3:65" s="347" customFormat="1" ht="17.25" customHeight="1">
      <c r="C222" s="436" t="s">
        <v>464</v>
      </c>
      <c r="D222" s="436"/>
      <c r="E222" s="436" t="str">
        <f>angleDecimal2Txt(I132)</f>
        <v>+13°34.48 (+13.5747) [+13°34'29.22]</v>
      </c>
      <c r="F222" s="436"/>
      <c r="G222" s="436"/>
      <c r="H222" s="436"/>
      <c r="I222" s="436"/>
      <c r="J222" s="436"/>
      <c r="AB222" s="61"/>
      <c r="AC222" s="301"/>
      <c r="AD222" s="301"/>
      <c r="AE222" s="301"/>
      <c r="AF222" s="301"/>
      <c r="AG222" s="301"/>
      <c r="AH222" s="301"/>
      <c r="AI222" s="301"/>
      <c r="AJ222" s="301"/>
      <c r="AK222" s="301"/>
      <c r="AL222" s="301"/>
      <c r="AM222" s="301"/>
      <c r="AN222" s="301"/>
      <c r="AO222" s="301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1"/>
      <c r="BH222" s="301"/>
      <c r="BI222" s="301"/>
      <c r="BJ222" s="301"/>
      <c r="BK222" s="301"/>
      <c r="BL222" s="301"/>
      <c r="BM222" s="301"/>
    </row>
    <row r="223" spans="3:65" s="347" customFormat="1" ht="17.25" customHeight="1">
      <c r="C223" s="440" t="s">
        <v>472</v>
      </c>
      <c r="D223" s="441"/>
      <c r="E223" s="436" t="str">
        <f>angleDecimal2Txt((F88-I132),0)</f>
        <v>-00°16.67</v>
      </c>
      <c r="F223" s="436"/>
      <c r="G223" s="436"/>
      <c r="H223" s="436"/>
      <c r="I223" s="436"/>
      <c r="J223" s="436"/>
      <c r="AB223" s="61"/>
      <c r="AC223" s="301"/>
      <c r="AD223" s="301"/>
      <c r="AE223" s="301"/>
      <c r="AF223" s="301"/>
      <c r="AG223" s="301"/>
      <c r="AH223" s="301"/>
      <c r="AI223" s="301"/>
      <c r="AJ223" s="301"/>
      <c r="AK223" s="301"/>
      <c r="AL223" s="301"/>
      <c r="AM223" s="301"/>
      <c r="AN223" s="301"/>
      <c r="AO223" s="301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1"/>
      <c r="BH223" s="301"/>
      <c r="BI223" s="301"/>
      <c r="BJ223" s="301"/>
      <c r="BK223" s="301"/>
      <c r="BL223" s="301"/>
      <c r="BM223" s="301"/>
    </row>
    <row r="224" spans="3:65" ht="17.25" customHeight="1">
      <c r="C224" s="442"/>
      <c r="D224" s="443"/>
      <c r="E224" s="438" t="str">
        <f>CONCATENATE(V137,"  Mn")</f>
        <v>-16.6751983286189  Mn</v>
      </c>
      <c r="F224" s="438"/>
      <c r="G224" s="438"/>
      <c r="H224" s="438"/>
      <c r="I224" s="438"/>
      <c r="J224" s="438"/>
      <c r="O224" s="420" t="s">
        <v>404</v>
      </c>
      <c r="P224" s="420" t="str" cm="1">
        <f t="array" ref="P224">latitudeDecimal2Txt(V138,0)</f>
        <v>N 14°40.79</v>
      </c>
      <c r="Q224" s="420"/>
      <c r="AC224" s="371">
        <f>V137</f>
        <v>-16.675198328618883</v>
      </c>
    </row>
    <row r="225" spans="3:17" ht="17.25" customHeight="1">
      <c r="C225" s="444"/>
      <c r="D225" s="445"/>
      <c r="E225" s="438" t="str">
        <f>X137</f>
        <v>Oppose de Pg</v>
      </c>
      <c r="F225" s="439"/>
      <c r="G225" s="439"/>
      <c r="H225" s="439"/>
      <c r="I225" s="439"/>
      <c r="J225" s="439"/>
      <c r="O225" s="420"/>
      <c r="P225" s="420" t="str" cm="1">
        <f t="array" ref="P225">longitudeDecimal2Txt(V139,0)</f>
        <v>W 03°50.29</v>
      </c>
      <c r="Q225" s="420"/>
    </row>
    <row r="226" spans="3:17" ht="17.25" customHeight="1">
      <c r="F226" s="437" t="s">
        <v>465</v>
      </c>
      <c r="G226" s="437"/>
      <c r="H226" s="437"/>
      <c r="I226" s="437"/>
      <c r="J226" s="437"/>
      <c r="K226" s="437"/>
      <c r="L226" s="437"/>
      <c r="M226" s="437"/>
      <c r="N226" s="370"/>
      <c r="O226" s="370"/>
      <c r="P226" s="370"/>
      <c r="Q226" s="370"/>
    </row>
    <row r="227" spans="3:17" ht="17.25" customHeight="1">
      <c r="F227" s="437" t="s">
        <v>466</v>
      </c>
      <c r="G227" s="437"/>
      <c r="H227" s="437">
        <f>AD143</f>
        <v>0.41169717977572101</v>
      </c>
      <c r="I227" s="437"/>
      <c r="J227" s="437"/>
      <c r="K227" s="437"/>
      <c r="L227" s="437"/>
      <c r="M227" s="437"/>
      <c r="N227" s="370"/>
      <c r="O227" s="370"/>
      <c r="P227" s="370"/>
      <c r="Q227" s="370"/>
    </row>
    <row r="228" spans="3:17" ht="17.25" customHeight="1">
      <c r="F228" s="437" t="s">
        <v>96</v>
      </c>
      <c r="G228" s="437"/>
      <c r="H228" s="437" t="str" cm="1">
        <f t="array" ref="H228">angleDecimal2Txt(I144,0)</f>
        <v>+65°41.31</v>
      </c>
      <c r="I228" s="437"/>
      <c r="J228" s="437"/>
      <c r="K228" s="437"/>
      <c r="L228" s="437"/>
      <c r="M228" s="437"/>
      <c r="N228" s="370"/>
      <c r="O228" s="370"/>
      <c r="P228" s="370"/>
      <c r="Q228" s="370"/>
    </row>
    <row r="229" spans="3:17" ht="17.25" customHeight="1">
      <c r="F229" s="421" t="s">
        <v>154</v>
      </c>
      <c r="G229" s="422"/>
      <c r="H229" s="422"/>
      <c r="I229" s="422"/>
      <c r="J229" s="422"/>
      <c r="K229" s="423"/>
      <c r="L229" s="421" t="s">
        <v>155</v>
      </c>
      <c r="M229" s="422"/>
      <c r="N229" s="422"/>
      <c r="O229" s="422"/>
      <c r="P229" s="422"/>
      <c r="Q229" s="423"/>
    </row>
    <row r="230" spans="3:17" ht="17.25" customHeight="1">
      <c r="F230" s="424"/>
      <c r="G230" s="426" t="s">
        <v>126</v>
      </c>
      <c r="H230" s="427"/>
      <c r="I230" s="428"/>
      <c r="J230" s="429" t="s">
        <v>127</v>
      </c>
      <c r="K230" s="430"/>
      <c r="L230" s="424"/>
      <c r="M230" s="426" t="s">
        <v>126</v>
      </c>
      <c r="N230" s="427"/>
      <c r="O230" s="428"/>
      <c r="P230" s="429" t="s">
        <v>128</v>
      </c>
      <c r="Q230" s="430"/>
    </row>
    <row r="231" spans="3:17" ht="17.25" customHeight="1">
      <c r="F231" s="425"/>
      <c r="G231" s="431" t="s">
        <v>90</v>
      </c>
      <c r="H231" s="432"/>
      <c r="I231" s="433"/>
      <c r="J231" s="434" t="s">
        <v>91</v>
      </c>
      <c r="K231" s="435"/>
      <c r="L231" s="425"/>
      <c r="M231" s="431" t="s">
        <v>90</v>
      </c>
      <c r="N231" s="432"/>
      <c r="O231" s="433"/>
      <c r="P231" s="434" t="s">
        <v>92</v>
      </c>
      <c r="Q231" s="435"/>
    </row>
    <row r="232" spans="3:17" ht="17.25" customHeight="1">
      <c r="F232" s="437" t="s">
        <v>469</v>
      </c>
      <c r="G232" s="437"/>
      <c r="H232" s="437" t="str">
        <f>IF(F36&gt;0,"Nord","Sud")</f>
        <v>Sud</v>
      </c>
      <c r="I232" s="437"/>
      <c r="J232" s="437"/>
      <c r="K232" s="437"/>
      <c r="L232" s="437"/>
      <c r="M232" s="437"/>
      <c r="N232" s="370"/>
      <c r="O232" s="370"/>
      <c r="P232" s="370"/>
      <c r="Q232" s="370"/>
    </row>
    <row r="233" spans="3:17" ht="17.25" customHeight="1">
      <c r="F233" s="437" t="s">
        <v>468</v>
      </c>
      <c r="G233" s="437"/>
      <c r="H233" s="437" t="b">
        <f>(F84&gt;180)</f>
        <v>0</v>
      </c>
      <c r="I233" s="437"/>
      <c r="J233" s="437"/>
      <c r="K233" s="437"/>
      <c r="L233" s="437"/>
      <c r="M233" s="437"/>
      <c r="N233" s="370"/>
      <c r="O233" s="370"/>
      <c r="P233" s="370"/>
      <c r="Q233" s="370"/>
    </row>
    <row r="234" spans="3:17" ht="17.25" customHeight="1">
      <c r="C234" s="438" t="s">
        <v>467</v>
      </c>
      <c r="D234" s="438"/>
      <c r="E234" s="438" t="str">
        <f>angleDecimal2Txt(T154,0)</f>
        <v>+245°41.31</v>
      </c>
      <c r="F234" s="438"/>
      <c r="G234" s="438"/>
      <c r="H234" s="438"/>
      <c r="I234" s="438"/>
      <c r="J234" s="438"/>
    </row>
    <row r="239" spans="3:17" ht="17.25" customHeight="1">
      <c r="P239" s="347"/>
    </row>
  </sheetData>
  <sheetProtection selectLockedCells="1"/>
  <protectedRanges>
    <protectedRange sqref="I11:Y11" name="Heure visee" securityDescriptor="O:WDG:WDD:(A;;CC;;;WD)"/>
  </protectedRanges>
  <dataConsolidate link="1"/>
  <mergeCells count="441">
    <mergeCell ref="X152:Z152"/>
    <mergeCell ref="AE175:AF176"/>
    <mergeCell ref="AE178:AF179"/>
    <mergeCell ref="AE181:AF182"/>
    <mergeCell ref="O154:S154"/>
    <mergeCell ref="S172:T172"/>
    <mergeCell ref="U172:Z172"/>
    <mergeCell ref="S161:T161"/>
    <mergeCell ref="S162:T162"/>
    <mergeCell ref="R165:S165"/>
    <mergeCell ref="Q160:T160"/>
    <mergeCell ref="Q164:S164"/>
    <mergeCell ref="U161:Z161"/>
    <mergeCell ref="U162:Z162"/>
    <mergeCell ref="S171:T171"/>
    <mergeCell ref="U171:Z171"/>
    <mergeCell ref="T155:Y155"/>
    <mergeCell ref="T152:V152"/>
    <mergeCell ref="Q152:S152"/>
    <mergeCell ref="X143:X146"/>
    <mergeCell ref="U122:V122"/>
    <mergeCell ref="U123:V123"/>
    <mergeCell ref="U124:V124"/>
    <mergeCell ref="K124:K125"/>
    <mergeCell ref="AC29:AN29"/>
    <mergeCell ref="P17:X17"/>
    <mergeCell ref="M17:O17"/>
    <mergeCell ref="J17:L17"/>
    <mergeCell ref="I78:L79"/>
    <mergeCell ref="M78:O79"/>
    <mergeCell ref="M84:O84"/>
    <mergeCell ref="F74:K74"/>
    <mergeCell ref="F70:H73"/>
    <mergeCell ref="F60:K60"/>
    <mergeCell ref="J21:L21"/>
    <mergeCell ref="D25:I27"/>
    <mergeCell ref="P60:T60"/>
    <mergeCell ref="F58:H59"/>
    <mergeCell ref="I70:L73"/>
    <mergeCell ref="M68:O69"/>
    <mergeCell ref="U56:Y57"/>
    <mergeCell ref="P50:P51"/>
    <mergeCell ref="Q50:T51"/>
    <mergeCell ref="T7:V7"/>
    <mergeCell ref="U100:Z100"/>
    <mergeCell ref="H95:N95"/>
    <mergeCell ref="J120:L120"/>
    <mergeCell ref="H108:N108"/>
    <mergeCell ref="I116:N116"/>
    <mergeCell ref="E11:H11"/>
    <mergeCell ref="X7:Y7"/>
    <mergeCell ref="N85:Q85"/>
    <mergeCell ref="O95:P95"/>
    <mergeCell ref="M97:P97"/>
    <mergeCell ref="M98:P98"/>
    <mergeCell ref="O99:R99"/>
    <mergeCell ref="C89:F89"/>
    <mergeCell ref="C17:I17"/>
    <mergeCell ref="F84:H84"/>
    <mergeCell ref="F78:H79"/>
    <mergeCell ref="I50:L53"/>
    <mergeCell ref="M50:O51"/>
    <mergeCell ref="S102:U102"/>
    <mergeCell ref="O107:R107"/>
    <mergeCell ref="H92:N92"/>
    <mergeCell ref="U93:Z93"/>
    <mergeCell ref="O112:R113"/>
    <mergeCell ref="Q134:S134"/>
    <mergeCell ref="E172:F172"/>
    <mergeCell ref="G172:L172"/>
    <mergeCell ref="I153:J153"/>
    <mergeCell ref="I154:J154"/>
    <mergeCell ref="N152:O152"/>
    <mergeCell ref="U132:W132"/>
    <mergeCell ref="U133:W133"/>
    <mergeCell ref="U134:W134"/>
    <mergeCell ref="O132:P132"/>
    <mergeCell ref="O133:P133"/>
    <mergeCell ref="O134:P134"/>
    <mergeCell ref="O137:S137"/>
    <mergeCell ref="L153:M153"/>
    <mergeCell ref="L154:M154"/>
    <mergeCell ref="O148:T148"/>
    <mergeCell ref="I148:N148"/>
    <mergeCell ref="I144:M145"/>
    <mergeCell ref="E144:H146"/>
    <mergeCell ref="O143:P143"/>
    <mergeCell ref="Q143:S143"/>
    <mergeCell ref="U143:W143"/>
    <mergeCell ref="T143:T146"/>
    <mergeCell ref="T154:U154"/>
    <mergeCell ref="C174:E174"/>
    <mergeCell ref="D175:E175"/>
    <mergeCell ref="C160:F160"/>
    <mergeCell ref="L155:M155"/>
    <mergeCell ref="I155:K155"/>
    <mergeCell ref="H160:J160"/>
    <mergeCell ref="L160:N160"/>
    <mergeCell ref="E161:F161"/>
    <mergeCell ref="E162:F162"/>
    <mergeCell ref="I161:J161"/>
    <mergeCell ref="M161:N161"/>
    <mergeCell ref="C170:F170"/>
    <mergeCell ref="E171:F171"/>
    <mergeCell ref="G171:L171"/>
    <mergeCell ref="G1:Y2"/>
    <mergeCell ref="C8:D8"/>
    <mergeCell ref="C9:D11"/>
    <mergeCell ref="G3:I4"/>
    <mergeCell ref="J3:L4"/>
    <mergeCell ref="C1:F4"/>
    <mergeCell ref="L65:M65"/>
    <mergeCell ref="C66:F66"/>
    <mergeCell ref="F65:H65"/>
    <mergeCell ref="M48:O49"/>
    <mergeCell ref="E9:H10"/>
    <mergeCell ref="G46:I46"/>
    <mergeCell ref="M18:O18"/>
    <mergeCell ref="U58:U59"/>
    <mergeCell ref="F56:H57"/>
    <mergeCell ref="P21:X21"/>
    <mergeCell ref="J41:N42"/>
    <mergeCell ref="P48:T49"/>
    <mergeCell ref="P58:P59"/>
    <mergeCell ref="S26:X26"/>
    <mergeCell ref="N3:P4"/>
    <mergeCell ref="Q3:S4"/>
    <mergeCell ref="I8:K8"/>
    <mergeCell ref="L8:O8"/>
    <mergeCell ref="X132:X134"/>
    <mergeCell ref="T132:T134"/>
    <mergeCell ref="I134:M134"/>
    <mergeCell ref="X137:Y137"/>
    <mergeCell ref="X151:Z151"/>
    <mergeCell ref="J149:L149"/>
    <mergeCell ref="J150:L150"/>
    <mergeCell ref="M149:N149"/>
    <mergeCell ref="M150:N150"/>
    <mergeCell ref="P149:R149"/>
    <mergeCell ref="P150:R150"/>
    <mergeCell ref="S149:T149"/>
    <mergeCell ref="O142:AA142"/>
    <mergeCell ref="O145:P145"/>
    <mergeCell ref="Q145:S145"/>
    <mergeCell ref="U145:W145"/>
    <mergeCell ref="O146:P146"/>
    <mergeCell ref="Q146:S146"/>
    <mergeCell ref="U146:W146"/>
    <mergeCell ref="T151:V151"/>
    <mergeCell ref="S150:T150"/>
    <mergeCell ref="O144:P144"/>
    <mergeCell ref="Q144:S144"/>
    <mergeCell ref="U144:W144"/>
    <mergeCell ref="E132:H134"/>
    <mergeCell ref="E136:H138"/>
    <mergeCell ref="Q132:S132"/>
    <mergeCell ref="Q133:S133"/>
    <mergeCell ref="H100:N100"/>
    <mergeCell ref="O100:R100"/>
    <mergeCell ref="O104:R104"/>
    <mergeCell ref="H105:N105"/>
    <mergeCell ref="O105:R105"/>
    <mergeCell ref="H109:N109"/>
    <mergeCell ref="O109:R109"/>
    <mergeCell ref="H118:N118"/>
    <mergeCell ref="O118:R118"/>
    <mergeCell ref="H128:N128"/>
    <mergeCell ref="O128:R128"/>
    <mergeCell ref="F120:I120"/>
    <mergeCell ref="H107:N107"/>
    <mergeCell ref="O116:R116"/>
    <mergeCell ref="L125:M125"/>
    <mergeCell ref="L126:M126"/>
    <mergeCell ref="O125:P125"/>
    <mergeCell ref="O131:AA131"/>
    <mergeCell ref="U128:Z128"/>
    <mergeCell ref="W126:AA126"/>
    <mergeCell ref="S114:S115"/>
    <mergeCell ref="I115:N115"/>
    <mergeCell ref="O108:R108"/>
    <mergeCell ref="O103:R103"/>
    <mergeCell ref="G112:H113"/>
    <mergeCell ref="O93:R93"/>
    <mergeCell ref="H99:N99"/>
    <mergeCell ref="N124:N125"/>
    <mergeCell ref="Q124:Q125"/>
    <mergeCell ref="L9:P10"/>
    <mergeCell ref="M20:O20"/>
    <mergeCell ref="M19:O19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E8:G8"/>
    <mergeCell ref="U50:Y51"/>
    <mergeCell ref="M22:O22"/>
    <mergeCell ref="F45:H45"/>
    <mergeCell ref="I36:I37"/>
    <mergeCell ref="F54:K54"/>
    <mergeCell ref="C28:I31"/>
    <mergeCell ref="J24:L27"/>
    <mergeCell ref="M24:O27"/>
    <mergeCell ref="P24:R25"/>
    <mergeCell ref="J28:L31"/>
    <mergeCell ref="M28:O31"/>
    <mergeCell ref="P28:R29"/>
    <mergeCell ref="I41:I42"/>
    <mergeCell ref="V11:Y11"/>
    <mergeCell ref="L11:P11"/>
    <mergeCell ref="Q11:U11"/>
    <mergeCell ref="M16:O16"/>
    <mergeCell ref="V9:Y10"/>
    <mergeCell ref="U52:Y53"/>
    <mergeCell ref="I11:K11"/>
    <mergeCell ref="I9:K10"/>
    <mergeCell ref="E12:H12"/>
    <mergeCell ref="P16:X16"/>
    <mergeCell ref="AD108:AE108"/>
    <mergeCell ref="AD109:AE109"/>
    <mergeCell ref="AD110:AE110"/>
    <mergeCell ref="AD112:AE112"/>
    <mergeCell ref="D88:E88"/>
    <mergeCell ref="I149:I150"/>
    <mergeCell ref="O149:O150"/>
    <mergeCell ref="S103:U103"/>
    <mergeCell ref="S104:U104"/>
    <mergeCell ref="U91:Z91"/>
    <mergeCell ref="H103:N103"/>
    <mergeCell ref="O91:R91"/>
    <mergeCell ref="O114:R115"/>
    <mergeCell ref="U118:Z118"/>
    <mergeCell ref="U109:Z109"/>
    <mergeCell ref="U92:Z92"/>
    <mergeCell ref="M94:P94"/>
    <mergeCell ref="U95:Z95"/>
    <mergeCell ref="U99:Z99"/>
    <mergeCell ref="O92:R92"/>
    <mergeCell ref="H104:N104"/>
    <mergeCell ref="H91:N91"/>
    <mergeCell ref="G111:S111"/>
    <mergeCell ref="S112:S113"/>
    <mergeCell ref="Q70:T71"/>
    <mergeCell ref="P72:P73"/>
    <mergeCell ref="Q72:T73"/>
    <mergeCell ref="M23:O23"/>
    <mergeCell ref="J23:L23"/>
    <mergeCell ref="O36:X37"/>
    <mergeCell ref="O41:X42"/>
    <mergeCell ref="F36:H37"/>
    <mergeCell ref="M70:O71"/>
    <mergeCell ref="G66:I66"/>
    <mergeCell ref="P68:T69"/>
    <mergeCell ref="P70:P71"/>
    <mergeCell ref="U70:Y71"/>
    <mergeCell ref="U72:Y73"/>
    <mergeCell ref="F41:H42"/>
    <mergeCell ref="E39:H40"/>
    <mergeCell ref="F48:H49"/>
    <mergeCell ref="P31:X31"/>
    <mergeCell ref="M21:O21"/>
    <mergeCell ref="J36:N37"/>
    <mergeCell ref="S30:X30"/>
    <mergeCell ref="P26:R26"/>
    <mergeCell ref="P30:R30"/>
    <mergeCell ref="F68:H69"/>
    <mergeCell ref="F50:H53"/>
    <mergeCell ref="C20:I20"/>
    <mergeCell ref="C23:I23"/>
    <mergeCell ref="C22:I22"/>
    <mergeCell ref="J22:L22"/>
    <mergeCell ref="I48:L49"/>
    <mergeCell ref="M52:O53"/>
    <mergeCell ref="P52:P53"/>
    <mergeCell ref="Q52:T53"/>
    <mergeCell ref="A36:C36"/>
    <mergeCell ref="C21:I21"/>
    <mergeCell ref="C24:D24"/>
    <mergeCell ref="P20:X20"/>
    <mergeCell ref="E34:H35"/>
    <mergeCell ref="AC66:AC67"/>
    <mergeCell ref="AC46:AC47"/>
    <mergeCell ref="AC89:AC90"/>
    <mergeCell ref="C85:H85"/>
    <mergeCell ref="I58:L59"/>
    <mergeCell ref="M58:O59"/>
    <mergeCell ref="I56:L57"/>
    <mergeCell ref="M56:O57"/>
    <mergeCell ref="Q78:T79"/>
    <mergeCell ref="V58:Y59"/>
    <mergeCell ref="Q58:T59"/>
    <mergeCell ref="P56:T57"/>
    <mergeCell ref="U60:Y60"/>
    <mergeCell ref="U80:Y80"/>
    <mergeCell ref="P80:T80"/>
    <mergeCell ref="J90:L90"/>
    <mergeCell ref="S88:U88"/>
    <mergeCell ref="V88:Z88"/>
    <mergeCell ref="I68:L69"/>
    <mergeCell ref="M72:O73"/>
    <mergeCell ref="C46:F46"/>
    <mergeCell ref="F88:H88"/>
    <mergeCell ref="I85:L85"/>
    <mergeCell ref="J84:L84"/>
    <mergeCell ref="N202:P204"/>
    <mergeCell ref="S138:S139"/>
    <mergeCell ref="T138:U138"/>
    <mergeCell ref="T139:U139"/>
    <mergeCell ref="V138:W138"/>
    <mergeCell ref="V139:W139"/>
    <mergeCell ref="X138:AC138"/>
    <mergeCell ref="X139:AC139"/>
    <mergeCell ref="P27:X27"/>
    <mergeCell ref="M88:N88"/>
    <mergeCell ref="O126:P126"/>
    <mergeCell ref="U105:Z105"/>
    <mergeCell ref="H93:N93"/>
    <mergeCell ref="F80:K80"/>
    <mergeCell ref="V78:Y79"/>
    <mergeCell ref="U78:U79"/>
    <mergeCell ref="P78:P79"/>
    <mergeCell ref="P76:T77"/>
    <mergeCell ref="U76:Y77"/>
    <mergeCell ref="I76:L77"/>
    <mergeCell ref="F76:H77"/>
    <mergeCell ref="M76:O77"/>
    <mergeCell ref="R95:S95"/>
    <mergeCell ref="I112:N112"/>
    <mergeCell ref="G89:I89"/>
    <mergeCell ref="I86:N86"/>
    <mergeCell ref="F90:I90"/>
    <mergeCell ref="I114:N114"/>
    <mergeCell ref="I113:N113"/>
    <mergeCell ref="F197:G197"/>
    <mergeCell ref="F198:G198"/>
    <mergeCell ref="F199:G199"/>
    <mergeCell ref="C192:D192"/>
    <mergeCell ref="E192:I192"/>
    <mergeCell ref="I187:L187"/>
    <mergeCell ref="D187:G187"/>
    <mergeCell ref="J195:L195"/>
    <mergeCell ref="C191:D191"/>
    <mergeCell ref="B187:C187"/>
    <mergeCell ref="B188:C188"/>
    <mergeCell ref="D188:E188"/>
    <mergeCell ref="E191:I191"/>
    <mergeCell ref="E193:I193"/>
    <mergeCell ref="E194:I194"/>
    <mergeCell ref="I146:M146"/>
    <mergeCell ref="I136:M137"/>
    <mergeCell ref="I138:M138"/>
    <mergeCell ref="I132:M133"/>
    <mergeCell ref="F200:G200"/>
    <mergeCell ref="H200:L200"/>
    <mergeCell ref="F202:J202"/>
    <mergeCell ref="F203:J203"/>
    <mergeCell ref="F204:J204"/>
    <mergeCell ref="H196:L196"/>
    <mergeCell ref="F196:G196"/>
    <mergeCell ref="C193:D193"/>
    <mergeCell ref="C194:D194"/>
    <mergeCell ref="E195:I195"/>
    <mergeCell ref="H197:L197"/>
    <mergeCell ref="H198:L198"/>
    <mergeCell ref="H199:L199"/>
    <mergeCell ref="E201:I201"/>
    <mergeCell ref="C208:D208"/>
    <mergeCell ref="C209:D209"/>
    <mergeCell ref="C216:D216"/>
    <mergeCell ref="C212:D212"/>
    <mergeCell ref="K202:M202"/>
    <mergeCell ref="K203:M203"/>
    <mergeCell ref="K204:M204"/>
    <mergeCell ref="J201:L201"/>
    <mergeCell ref="K210:M210"/>
    <mergeCell ref="K211:M211"/>
    <mergeCell ref="F210:G211"/>
    <mergeCell ref="C213:D213"/>
    <mergeCell ref="F214:G215"/>
    <mergeCell ref="H214:I214"/>
    <mergeCell ref="H215:I215"/>
    <mergeCell ref="E208:J208"/>
    <mergeCell ref="E209:J209"/>
    <mergeCell ref="H210:J210"/>
    <mergeCell ref="H211:J211"/>
    <mergeCell ref="E212:J212"/>
    <mergeCell ref="E213:J213"/>
    <mergeCell ref="J214:M214"/>
    <mergeCell ref="J215:M215"/>
    <mergeCell ref="E216:J216"/>
    <mergeCell ref="F217:G217"/>
    <mergeCell ref="F218:G218"/>
    <mergeCell ref="F219:G219"/>
    <mergeCell ref="F221:G221"/>
    <mergeCell ref="H217:I217"/>
    <mergeCell ref="J217:K217"/>
    <mergeCell ref="L217:M217"/>
    <mergeCell ref="L218:M218"/>
    <mergeCell ref="H218:I218"/>
    <mergeCell ref="J218:K218"/>
    <mergeCell ref="H219:I219"/>
    <mergeCell ref="F220:M220"/>
    <mergeCell ref="H221:M221"/>
    <mergeCell ref="C222:D222"/>
    <mergeCell ref="E222:J222"/>
    <mergeCell ref="F226:M226"/>
    <mergeCell ref="F227:G227"/>
    <mergeCell ref="H227:M227"/>
    <mergeCell ref="F228:G228"/>
    <mergeCell ref="H228:M228"/>
    <mergeCell ref="C234:D234"/>
    <mergeCell ref="E234:J234"/>
    <mergeCell ref="F232:G232"/>
    <mergeCell ref="H232:M232"/>
    <mergeCell ref="F233:G233"/>
    <mergeCell ref="H233:M233"/>
    <mergeCell ref="E223:J223"/>
    <mergeCell ref="E224:J224"/>
    <mergeCell ref="E225:J225"/>
    <mergeCell ref="C223:D225"/>
    <mergeCell ref="O224:O225"/>
    <mergeCell ref="P224:Q224"/>
    <mergeCell ref="P225:Q225"/>
    <mergeCell ref="F229:K229"/>
    <mergeCell ref="L229:Q229"/>
    <mergeCell ref="F230:F231"/>
    <mergeCell ref="G230:I230"/>
    <mergeCell ref="J230:K230"/>
    <mergeCell ref="L230:L231"/>
    <mergeCell ref="M230:O230"/>
    <mergeCell ref="P230:Q230"/>
    <mergeCell ref="G231:I231"/>
    <mergeCell ref="J231:K231"/>
    <mergeCell ref="M231:O231"/>
    <mergeCell ref="P231:Q231"/>
  </mergeCells>
  <dataValidations count="10">
    <dataValidation type="list" allowBlank="1" showInputMessage="1" showErrorMessage="1" sqref="G46:I46" xr:uid="{00000000-0002-0000-0000-000001000000}">
      <formula1>$AD$46:$AD$47</formula1>
    </dataValidation>
    <dataValidation type="list" allowBlank="1" showInputMessage="1" showErrorMessage="1" sqref="G66:I66" xr:uid="{50D1CF2E-A52D-457F-A9A8-4919FA8F17C2}">
      <formula1>$AD$66:$AD$67</formula1>
    </dataValidation>
    <dataValidation type="list" allowBlank="1" showInputMessage="1" showErrorMessage="1" sqref="G89:I89" xr:uid="{00000000-0002-0000-0000-000005000000}">
      <formula1>$AD$89:$AD$90</formula1>
    </dataValidation>
    <dataValidation type="list" allowBlank="1" showInputMessage="1" showErrorMessage="1" sqref="M22:O22" xr:uid="{00000000-0002-0000-0000-000000000000}">
      <formula1>$AD$23:$AF$23</formula1>
    </dataValidation>
    <dataValidation type="list" allowBlank="1" showInputMessage="1" showErrorMessage="1" sqref="M23:O23" xr:uid="{00000000-0002-0000-0000-000004000000}">
      <formula1>$AD$27:$AF$27</formula1>
    </dataValidation>
    <dataValidation type="list" allowBlank="1" showInputMessage="1" showErrorMessage="1" sqref="I36:I37 U83 P58:P59 U58:U59 P50:P53 P83" xr:uid="{00000000-0002-0000-0000-000002000000}">
      <formula1>$A$38:$A$39</formula1>
    </dataValidation>
    <dataValidation type="list" allowBlank="1" showInputMessage="1" showErrorMessage="1" sqref="M43 R43 I43 I41 U78" xr:uid="{00000000-0002-0000-0000-000003000000}">
      <formula1>$B$38:$B$39</formula1>
    </dataValidation>
    <dataValidation type="list" allowBlank="1" showInputMessage="1" showErrorMessage="1" sqref="P70:P73" xr:uid="{A4D33EBA-6E63-408B-8ECD-56DF309CE82A}">
      <formula1>$B$38</formula1>
    </dataValidation>
    <dataValidation type="list" allowBlank="1" showInputMessage="1" showErrorMessage="1" sqref="P78:P79" xr:uid="{46B148A5-5E24-40CD-84EE-A3705439D330}">
      <formula1>$B$38:$B$38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183</xdr:row>
                    <xdr:rowOff>104775</xdr:rowOff>
                  </from>
                  <to>
                    <xdr:col>7</xdr:col>
                    <xdr:colOff>295275</xdr:colOff>
                    <xdr:row>184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51"/>
  <sheetViews>
    <sheetView topLeftCell="A204" zoomScaleNormal="100" workbookViewId="0">
      <selection activeCell="B214" sqref="B214"/>
    </sheetView>
  </sheetViews>
  <sheetFormatPr defaultColWidth="6" defaultRowHeight="15"/>
  <cols>
    <col min="1" max="5" width="6" style="301"/>
    <col min="6" max="6" width="8.42578125" style="301" bestFit="1" customWidth="1"/>
    <col min="7" max="8" width="6" style="301"/>
    <col min="9" max="9" width="8.5703125" style="301" bestFit="1" customWidth="1"/>
    <col min="10" max="13" width="6" style="301"/>
    <col min="14" max="14" width="8.5703125" style="301" bestFit="1" customWidth="1"/>
    <col min="15" max="20" width="6" style="301"/>
    <col min="21" max="21" width="11.5703125" style="301" bestFit="1" customWidth="1"/>
    <col min="22" max="22" width="6.28515625" style="301" customWidth="1"/>
    <col min="23" max="23" width="7.140625" style="301" bestFit="1" customWidth="1"/>
    <col min="24" max="27" width="6" style="301"/>
    <col min="28" max="28" width="1.28515625" style="372" customWidth="1"/>
    <col min="29" max="30" width="16.140625" style="301" customWidth="1"/>
    <col min="31" max="32" width="6" style="301"/>
    <col min="33" max="33" width="9.5703125" style="301" bestFit="1" customWidth="1"/>
    <col min="34" max="16384" width="6" style="301"/>
  </cols>
  <sheetData>
    <row r="1" spans="1:66" s="300" customFormat="1" ht="9" customHeight="1">
      <c r="C1" s="721" t="s">
        <v>143</v>
      </c>
      <c r="D1" s="721"/>
      <c r="E1" s="721"/>
      <c r="F1" s="721"/>
      <c r="G1" s="713" t="s">
        <v>144</v>
      </c>
      <c r="H1" s="713"/>
      <c r="I1" s="713"/>
      <c r="J1" s="713"/>
      <c r="K1" s="713"/>
      <c r="L1" s="713"/>
      <c r="M1" s="713"/>
      <c r="N1" s="713"/>
      <c r="O1" s="713"/>
      <c r="P1" s="713"/>
      <c r="Q1" s="713"/>
      <c r="R1" s="713"/>
      <c r="S1" s="713"/>
      <c r="T1" s="713"/>
      <c r="U1" s="713"/>
      <c r="V1" s="713"/>
      <c r="W1" s="713"/>
      <c r="X1" s="713"/>
      <c r="Y1" s="713"/>
      <c r="AB1" s="131"/>
      <c r="AC1" s="301"/>
      <c r="AD1" s="301"/>
      <c r="AE1" s="301"/>
      <c r="AF1" s="301"/>
      <c r="AG1" s="301"/>
      <c r="AH1" s="301"/>
      <c r="AI1" s="301"/>
      <c r="AJ1" s="301"/>
      <c r="AK1" s="301"/>
      <c r="AL1" s="301"/>
      <c r="AM1" s="301"/>
      <c r="AN1" s="301"/>
      <c r="AO1" s="301"/>
      <c r="AP1" s="301"/>
      <c r="AQ1" s="301"/>
      <c r="AR1" s="301"/>
      <c r="AS1" s="301"/>
      <c r="AT1" s="301"/>
      <c r="AU1" s="301"/>
      <c r="AV1" s="301"/>
      <c r="AW1" s="301"/>
      <c r="AX1" s="301"/>
      <c r="AY1" s="301"/>
      <c r="AZ1" s="301"/>
      <c r="BA1" s="301"/>
      <c r="BB1" s="301"/>
      <c r="BC1" s="301"/>
      <c r="BD1" s="301"/>
      <c r="BE1" s="301"/>
      <c r="BF1" s="301"/>
      <c r="BG1" s="301"/>
      <c r="BH1" s="301"/>
      <c r="BI1" s="301"/>
      <c r="BJ1" s="301"/>
      <c r="BK1" s="301"/>
      <c r="BL1" s="301"/>
      <c r="BM1" s="301"/>
      <c r="BN1" s="302"/>
    </row>
    <row r="2" spans="1:66" s="300" customFormat="1" ht="9" customHeight="1">
      <c r="C2" s="721"/>
      <c r="D2" s="721"/>
      <c r="E2" s="721"/>
      <c r="F2" s="721"/>
      <c r="G2" s="713"/>
      <c r="H2" s="713"/>
      <c r="I2" s="713"/>
      <c r="J2" s="713"/>
      <c r="K2" s="713"/>
      <c r="L2" s="713"/>
      <c r="M2" s="713"/>
      <c r="N2" s="713"/>
      <c r="O2" s="713"/>
      <c r="P2" s="713"/>
      <c r="Q2" s="713"/>
      <c r="R2" s="713"/>
      <c r="S2" s="713"/>
      <c r="T2" s="713"/>
      <c r="U2" s="713"/>
      <c r="V2" s="713"/>
      <c r="W2" s="713"/>
      <c r="X2" s="713"/>
      <c r="Y2" s="713"/>
      <c r="AB2" s="131"/>
      <c r="AC2" s="301"/>
      <c r="AD2" s="301"/>
      <c r="AE2" s="301"/>
      <c r="AF2" s="301"/>
      <c r="AG2" s="301"/>
      <c r="AH2" s="301"/>
      <c r="AI2" s="301"/>
      <c r="AJ2" s="301"/>
      <c r="AK2" s="301"/>
      <c r="AL2" s="301"/>
      <c r="AM2" s="301"/>
      <c r="AN2" s="301"/>
      <c r="AO2" s="301"/>
      <c r="AP2" s="301"/>
      <c r="AQ2" s="301"/>
      <c r="AR2" s="301"/>
      <c r="AS2" s="301"/>
      <c r="AT2" s="301"/>
      <c r="AU2" s="301"/>
      <c r="AV2" s="301"/>
      <c r="AW2" s="301"/>
      <c r="AX2" s="301"/>
      <c r="AY2" s="301"/>
      <c r="AZ2" s="301"/>
      <c r="BA2" s="301"/>
      <c r="BB2" s="301"/>
      <c r="BC2" s="301"/>
      <c r="BD2" s="301"/>
      <c r="BE2" s="301"/>
      <c r="BF2" s="301"/>
      <c r="BG2" s="301"/>
      <c r="BH2" s="301"/>
      <c r="BI2" s="301"/>
      <c r="BJ2" s="301"/>
      <c r="BK2" s="301"/>
      <c r="BL2" s="301"/>
      <c r="BM2" s="301"/>
      <c r="BN2" s="302"/>
    </row>
    <row r="3" spans="1:66" s="300" customFormat="1" ht="9" customHeight="1">
      <c r="C3" s="721"/>
      <c r="D3" s="721"/>
      <c r="E3" s="721"/>
      <c r="F3" s="721"/>
      <c r="G3" s="718" t="s">
        <v>148</v>
      </c>
      <c r="H3" s="718"/>
      <c r="I3" s="718"/>
      <c r="J3" s="719" t="s">
        <v>147</v>
      </c>
      <c r="K3" s="719"/>
      <c r="L3" s="719"/>
      <c r="N3" s="726" t="s">
        <v>242</v>
      </c>
      <c r="O3" s="726"/>
      <c r="P3" s="726"/>
      <c r="Q3" s="727" t="s">
        <v>207</v>
      </c>
      <c r="R3" s="727"/>
      <c r="S3" s="727"/>
      <c r="AB3" s="131"/>
      <c r="AC3" s="301"/>
      <c r="AD3" s="301"/>
      <c r="AE3" s="301"/>
      <c r="AF3" s="301"/>
      <c r="AG3" s="301"/>
      <c r="AH3" s="301"/>
      <c r="AI3" s="301"/>
      <c r="AJ3" s="301"/>
      <c r="AK3" s="301"/>
      <c r="AL3" s="301"/>
      <c r="AM3" s="301"/>
      <c r="AN3" s="301"/>
      <c r="AO3" s="301"/>
      <c r="AP3" s="301"/>
      <c r="AQ3" s="301"/>
      <c r="AR3" s="301"/>
      <c r="AS3" s="301"/>
      <c r="AT3" s="301"/>
      <c r="AU3" s="301"/>
      <c r="AV3" s="301"/>
      <c r="AW3" s="301"/>
      <c r="AX3" s="301"/>
      <c r="AY3" s="301"/>
      <c r="AZ3" s="301"/>
      <c r="BA3" s="301"/>
      <c r="BB3" s="301"/>
      <c r="BC3" s="301"/>
      <c r="BD3" s="301"/>
      <c r="BE3" s="301"/>
      <c r="BF3" s="301"/>
      <c r="BG3" s="301"/>
      <c r="BH3" s="301"/>
      <c r="BI3" s="301"/>
      <c r="BJ3" s="301"/>
      <c r="BK3" s="301"/>
      <c r="BL3" s="301"/>
      <c r="BM3" s="301"/>
      <c r="BN3" s="302"/>
    </row>
    <row r="4" spans="1:66" s="300" customFormat="1" ht="9" customHeight="1">
      <c r="C4" s="721"/>
      <c r="D4" s="721"/>
      <c r="E4" s="721"/>
      <c r="F4" s="721"/>
      <c r="G4" s="613"/>
      <c r="H4" s="613"/>
      <c r="I4" s="613"/>
      <c r="J4" s="720"/>
      <c r="K4" s="720"/>
      <c r="L4" s="720"/>
      <c r="N4" s="726"/>
      <c r="O4" s="726"/>
      <c r="P4" s="726"/>
      <c r="Q4" s="727"/>
      <c r="R4" s="727"/>
      <c r="S4" s="727"/>
      <c r="AB4" s="131"/>
      <c r="AC4" s="301"/>
      <c r="AD4" s="301"/>
      <c r="AE4" s="301"/>
      <c r="AF4" s="301"/>
      <c r="AG4" s="301"/>
      <c r="AH4" s="301"/>
      <c r="AI4" s="301"/>
      <c r="AJ4" s="301"/>
      <c r="AK4" s="301"/>
      <c r="AL4" s="301"/>
      <c r="AM4" s="301"/>
      <c r="AN4" s="301"/>
      <c r="AO4" s="301"/>
      <c r="AP4" s="301"/>
      <c r="AQ4" s="301"/>
      <c r="AR4" s="301"/>
      <c r="AS4" s="301"/>
      <c r="AT4" s="301"/>
      <c r="AU4" s="301"/>
      <c r="AV4" s="301"/>
      <c r="AW4" s="301"/>
      <c r="AX4" s="301"/>
      <c r="AY4" s="301"/>
      <c r="AZ4" s="301"/>
      <c r="BA4" s="301"/>
      <c r="BB4" s="301"/>
      <c r="BC4" s="301"/>
      <c r="BD4" s="301"/>
      <c r="BE4" s="301"/>
      <c r="BF4" s="301"/>
      <c r="BG4" s="301"/>
      <c r="BH4" s="301"/>
      <c r="BI4" s="301"/>
      <c r="BJ4" s="301"/>
      <c r="BK4" s="301"/>
      <c r="BL4" s="301"/>
      <c r="BM4" s="301"/>
      <c r="BN4" s="302"/>
    </row>
    <row r="5" spans="1:66" s="300" customFormat="1" ht="17.25" customHeight="1">
      <c r="C5" s="344"/>
      <c r="D5" s="344"/>
      <c r="E5" s="344"/>
      <c r="F5" s="344"/>
      <c r="G5" s="344"/>
      <c r="AB5" s="131"/>
      <c r="AC5" s="301"/>
      <c r="AD5" s="301"/>
      <c r="AE5" s="301"/>
      <c r="AF5" s="301"/>
      <c r="AG5" s="301"/>
      <c r="AH5" s="301"/>
      <c r="AI5" s="301"/>
      <c r="AJ5" s="301"/>
      <c r="AK5" s="301"/>
      <c r="AL5" s="301"/>
      <c r="AM5" s="301"/>
      <c r="AN5" s="301"/>
      <c r="AO5" s="301"/>
      <c r="AP5" s="301"/>
      <c r="AQ5" s="301"/>
      <c r="AR5" s="301"/>
      <c r="AS5" s="301"/>
      <c r="AT5" s="301"/>
      <c r="AU5" s="301"/>
      <c r="AV5" s="301"/>
      <c r="AW5" s="301"/>
      <c r="AX5" s="301"/>
      <c r="AY5" s="301"/>
      <c r="AZ5" s="301"/>
      <c r="BA5" s="301"/>
      <c r="BB5" s="301"/>
      <c r="BC5" s="301"/>
      <c r="BD5" s="301"/>
      <c r="BE5" s="301"/>
      <c r="BF5" s="301"/>
      <c r="BG5" s="301"/>
      <c r="BH5" s="301"/>
      <c r="BI5" s="301"/>
      <c r="BJ5" s="301"/>
      <c r="BK5" s="301"/>
      <c r="BL5" s="301"/>
      <c r="BM5" s="301"/>
      <c r="BN5" s="302"/>
    </row>
    <row r="6" spans="1:66" ht="15.75" thickBot="1"/>
    <row r="7" spans="1:66" s="300" customFormat="1" ht="17.25" customHeight="1" thickBot="1">
      <c r="B7" s="373" t="s">
        <v>281</v>
      </c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105" t="str">
        <f>dateDecimale2txt(dateConvert2Decimal(E8),0)</f>
        <v>2025/06/30</v>
      </c>
      <c r="O7" s="105"/>
      <c r="P7" s="306"/>
      <c r="Q7" s="307"/>
      <c r="R7" s="133"/>
      <c r="S7" s="133"/>
      <c r="T7" s="133"/>
      <c r="U7" s="374"/>
      <c r="V7" s="374"/>
      <c r="W7" s="374"/>
      <c r="X7" s="374"/>
      <c r="Y7" s="374"/>
      <c r="Z7" s="374"/>
      <c r="AA7" s="374"/>
      <c r="AB7" s="132"/>
      <c r="AC7" s="301"/>
      <c r="AD7" s="301"/>
      <c r="AE7" s="301"/>
      <c r="AF7" s="301"/>
      <c r="AG7" s="301"/>
      <c r="AH7" s="301"/>
      <c r="AI7" s="301"/>
      <c r="AJ7" s="301"/>
      <c r="AK7" s="301"/>
      <c r="AL7" s="301"/>
      <c r="AM7" s="301"/>
      <c r="AN7" s="301"/>
      <c r="AO7" s="301"/>
      <c r="AP7" s="301"/>
      <c r="AQ7" s="301"/>
      <c r="AR7" s="301"/>
      <c r="AS7" s="301"/>
      <c r="AT7" s="301"/>
      <c r="AU7" s="301"/>
      <c r="AV7" s="301"/>
      <c r="AW7" s="301"/>
      <c r="AX7" s="301"/>
      <c r="AY7" s="301"/>
      <c r="AZ7" s="301"/>
      <c r="BA7" s="301"/>
      <c r="BB7" s="301"/>
      <c r="BC7" s="301"/>
      <c r="BD7" s="301"/>
      <c r="BE7" s="301"/>
      <c r="BF7" s="301"/>
      <c r="BG7" s="301"/>
      <c r="BH7" s="301"/>
      <c r="BI7" s="301"/>
      <c r="BJ7" s="301"/>
      <c r="BK7" s="301"/>
      <c r="BL7" s="301"/>
      <c r="BM7" s="301"/>
      <c r="BN7" s="302"/>
    </row>
    <row r="8" spans="1:66" s="300" customFormat="1" ht="17.25" customHeight="1">
      <c r="C8" s="714" t="s">
        <v>1</v>
      </c>
      <c r="D8" s="715"/>
      <c r="E8" s="596" t="s">
        <v>243</v>
      </c>
      <c r="F8" s="597"/>
      <c r="G8" s="597"/>
      <c r="H8" s="301"/>
      <c r="I8" s="301"/>
      <c r="J8" s="301"/>
      <c r="K8" s="301"/>
      <c r="L8" s="301"/>
      <c r="M8" s="301"/>
      <c r="N8" s="301"/>
      <c r="O8" s="301"/>
      <c r="AB8" s="61"/>
      <c r="AC8" s="301"/>
      <c r="AD8" s="301"/>
      <c r="AE8" s="301"/>
      <c r="AF8" s="301"/>
      <c r="AG8" s="301"/>
      <c r="AH8" s="301"/>
      <c r="AI8" s="301"/>
      <c r="AJ8" s="301"/>
      <c r="AK8" s="301"/>
      <c r="AL8" s="301"/>
      <c r="AM8" s="301"/>
      <c r="AN8" s="301"/>
      <c r="AO8" s="301"/>
      <c r="AP8" s="301"/>
      <c r="AQ8" s="301"/>
      <c r="AR8" s="301"/>
      <c r="AS8" s="301"/>
      <c r="AT8" s="301"/>
      <c r="AU8" s="301"/>
      <c r="AV8" s="301"/>
      <c r="AW8" s="301"/>
      <c r="AX8" s="301"/>
      <c r="AY8" s="301"/>
      <c r="AZ8" s="301"/>
      <c r="BA8" s="301"/>
      <c r="BB8" s="301"/>
      <c r="BC8" s="301"/>
      <c r="BD8" s="301"/>
      <c r="BE8" s="301"/>
      <c r="BF8" s="301"/>
      <c r="BG8" s="301"/>
      <c r="BH8" s="301"/>
      <c r="BI8" s="301"/>
      <c r="BJ8" s="301"/>
      <c r="BK8" s="301"/>
      <c r="BL8" s="301"/>
      <c r="BM8" s="301"/>
      <c r="BN8" s="302"/>
    </row>
    <row r="9" spans="1:66" s="300" customFormat="1" ht="12" customHeight="1">
      <c r="C9" s="343"/>
      <c r="D9" s="343"/>
      <c r="E9" s="561" t="s">
        <v>7</v>
      </c>
      <c r="F9" s="561"/>
      <c r="G9" s="561"/>
      <c r="H9" s="561"/>
      <c r="I9" s="343"/>
      <c r="J9" s="343"/>
      <c r="K9" s="343"/>
      <c r="L9" s="343"/>
      <c r="M9" s="343"/>
      <c r="N9" s="343"/>
      <c r="O9" s="343"/>
      <c r="P9" s="343"/>
      <c r="Q9" s="343"/>
      <c r="R9" s="343"/>
      <c r="S9" s="343"/>
      <c r="T9" s="343"/>
      <c r="U9" s="343"/>
      <c r="V9" s="343"/>
      <c r="AB9" s="131"/>
      <c r="AC9" s="301"/>
      <c r="AD9" s="301"/>
      <c r="AE9" s="301"/>
      <c r="AF9" s="301"/>
      <c r="AG9" s="301"/>
      <c r="AH9" s="301"/>
      <c r="AI9" s="301"/>
      <c r="AJ9" s="301"/>
      <c r="AK9" s="301"/>
      <c r="AL9" s="301"/>
      <c r="AM9" s="301"/>
      <c r="AN9" s="301"/>
      <c r="AO9" s="301"/>
      <c r="AP9" s="301"/>
      <c r="AQ9" s="301"/>
      <c r="AR9" s="301"/>
      <c r="AS9" s="301"/>
      <c r="AT9" s="301"/>
      <c r="AU9" s="301"/>
      <c r="AV9" s="301"/>
      <c r="AW9" s="301"/>
      <c r="AX9" s="301"/>
      <c r="AY9" s="301"/>
      <c r="AZ9" s="301"/>
      <c r="BA9" s="301"/>
      <c r="BB9" s="301"/>
      <c r="BC9" s="301"/>
      <c r="BD9" s="301"/>
      <c r="BE9" s="301"/>
      <c r="BF9" s="301"/>
      <c r="BG9" s="301"/>
      <c r="BH9" s="301"/>
      <c r="BI9" s="301"/>
      <c r="BJ9" s="301"/>
      <c r="BK9" s="301"/>
      <c r="BL9" s="301"/>
      <c r="BM9" s="301"/>
      <c r="BN9" s="302"/>
    </row>
    <row r="10" spans="1:66" s="300" customFormat="1" ht="12" customHeight="1" thickBot="1">
      <c r="C10" s="343"/>
      <c r="D10" s="343"/>
      <c r="E10" s="561"/>
      <c r="F10" s="561"/>
      <c r="G10" s="561"/>
      <c r="H10" s="561"/>
      <c r="I10" s="343"/>
      <c r="J10" s="343"/>
      <c r="K10" s="343"/>
      <c r="L10" s="343"/>
      <c r="M10" s="343"/>
      <c r="N10" s="343"/>
      <c r="O10" s="343"/>
      <c r="P10" s="343"/>
      <c r="Q10" s="343"/>
      <c r="R10" s="343"/>
      <c r="S10" s="343"/>
      <c r="T10" s="343"/>
      <c r="U10" s="343"/>
      <c r="V10" s="343"/>
      <c r="AB10" s="131"/>
      <c r="AC10" s="301"/>
      <c r="AD10" s="301"/>
      <c r="AE10" s="301"/>
      <c r="AF10" s="301"/>
      <c r="AG10" s="301"/>
      <c r="AH10" s="301"/>
      <c r="AI10" s="301"/>
      <c r="AJ10" s="301"/>
      <c r="AK10" s="301"/>
      <c r="AL10" s="301"/>
      <c r="AM10" s="301"/>
      <c r="AN10" s="301"/>
      <c r="AO10" s="301"/>
      <c r="AP10" s="301"/>
      <c r="AQ10" s="301"/>
      <c r="AR10" s="301"/>
      <c r="AS10" s="301"/>
      <c r="AT10" s="301"/>
      <c r="AU10" s="301"/>
      <c r="AV10" s="301"/>
      <c r="AW10" s="301"/>
      <c r="AX10" s="301"/>
      <c r="AY10" s="301"/>
      <c r="AZ10" s="301"/>
      <c r="BA10" s="301"/>
      <c r="BB10" s="301"/>
      <c r="BC10" s="301"/>
      <c r="BD10" s="301"/>
      <c r="BE10" s="301"/>
      <c r="BF10" s="301"/>
      <c r="BG10" s="301"/>
      <c r="BH10" s="301"/>
      <c r="BI10" s="301"/>
      <c r="BJ10" s="301"/>
      <c r="BK10" s="301"/>
      <c r="BL10" s="301"/>
      <c r="BM10" s="301"/>
      <c r="BN10" s="302"/>
    </row>
    <row r="11" spans="1:66" s="300" customFormat="1" ht="12" customHeight="1" thickTop="1" thickBot="1">
      <c r="A11" s="555" t="s">
        <v>34</v>
      </c>
      <c r="B11" s="556"/>
      <c r="C11" s="557"/>
      <c r="D11" s="343"/>
      <c r="E11" s="343"/>
      <c r="F11" s="544">
        <f>AD12</f>
        <v>27.25</v>
      </c>
      <c r="G11" s="570"/>
      <c r="H11" s="570"/>
      <c r="I11" s="514" t="s">
        <v>3</v>
      </c>
      <c r="J11" s="539" t="s">
        <v>531</v>
      </c>
      <c r="K11" s="514"/>
      <c r="L11" s="514"/>
      <c r="M11" s="514"/>
      <c r="N11" s="514"/>
      <c r="O11" s="472" t="str" cm="1">
        <f t="array" ref="O11">angleDecimal2Txt(F11)</f>
        <v>+27°15.00 (+27.2500) [+27°15'00.00]</v>
      </c>
      <c r="P11" s="472"/>
      <c r="Q11" s="472"/>
      <c r="R11" s="472"/>
      <c r="S11" s="472"/>
      <c r="T11" s="472"/>
      <c r="U11" s="472"/>
      <c r="V11" s="472"/>
      <c r="W11" s="472"/>
      <c r="X11" s="472"/>
      <c r="Y11" s="343"/>
      <c r="Z11" s="343"/>
      <c r="AB11" s="131"/>
      <c r="AC11" s="129" t="s">
        <v>179</v>
      </c>
      <c r="AD11" s="3">
        <f>VLOOKUP(I11,$A$13:$C$14,3)</f>
        <v>1</v>
      </c>
      <c r="AE11" s="301"/>
      <c r="AF11" s="301"/>
      <c r="AG11" s="301"/>
      <c r="AH11" s="301"/>
      <c r="AI11" s="301"/>
      <c r="AJ11" s="301"/>
      <c r="AK11" s="301"/>
      <c r="AL11" s="301"/>
      <c r="AM11" s="301"/>
      <c r="AN11" s="301"/>
      <c r="AO11" s="301"/>
      <c r="AP11" s="301"/>
      <c r="AQ11" s="301"/>
      <c r="AR11" s="301"/>
      <c r="AS11" s="301"/>
      <c r="AT11" s="301"/>
      <c r="AU11" s="301"/>
      <c r="AV11" s="301"/>
      <c r="AW11" s="301"/>
      <c r="AX11" s="301"/>
      <c r="AY11" s="301"/>
      <c r="AZ11" s="301"/>
      <c r="BA11" s="301"/>
      <c r="BB11" s="301"/>
      <c r="BC11" s="301"/>
      <c r="BD11" s="301"/>
      <c r="BE11" s="301"/>
      <c r="BF11" s="301"/>
      <c r="BG11" s="301"/>
      <c r="BH11" s="301"/>
      <c r="BI11" s="301"/>
      <c r="BJ11" s="301"/>
      <c r="BK11" s="301"/>
      <c r="BL11" s="301"/>
      <c r="BM11" s="301"/>
      <c r="BN11" s="319"/>
    </row>
    <row r="12" spans="1:66" s="300" customFormat="1" ht="12" customHeight="1" thickTop="1" thickBot="1">
      <c r="A12" s="320" t="s">
        <v>41</v>
      </c>
      <c r="B12" s="321" t="s">
        <v>42</v>
      </c>
      <c r="C12" s="322"/>
      <c r="D12" s="343"/>
      <c r="E12" s="343"/>
      <c r="F12" s="570"/>
      <c r="G12" s="570"/>
      <c r="H12" s="570"/>
      <c r="I12" s="514"/>
      <c r="J12" s="514"/>
      <c r="K12" s="514"/>
      <c r="L12" s="514"/>
      <c r="M12" s="514"/>
      <c r="N12" s="514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343"/>
      <c r="Z12" s="343"/>
      <c r="AB12" s="131"/>
      <c r="AC12" s="129" t="s">
        <v>180</v>
      </c>
      <c r="AD12" s="3" cm="1">
        <f t="array" ref="AD12">angleConvert2Decimal(J11)*AD11</f>
        <v>27.25</v>
      </c>
      <c r="AE12" s="301"/>
      <c r="AF12" s="301"/>
      <c r="AG12" s="301"/>
      <c r="AH12" s="301"/>
      <c r="AI12" s="301"/>
      <c r="AJ12" s="301"/>
      <c r="AK12" s="301"/>
      <c r="AL12" s="301"/>
      <c r="AM12" s="301"/>
      <c r="AN12" s="301"/>
      <c r="AO12" s="301"/>
      <c r="AP12" s="301"/>
      <c r="AQ12" s="301"/>
      <c r="AR12" s="301"/>
      <c r="AS12" s="301"/>
      <c r="AT12" s="301"/>
      <c r="AU12" s="301"/>
      <c r="AV12" s="301"/>
      <c r="AW12" s="301"/>
      <c r="AX12" s="301"/>
      <c r="AY12" s="301"/>
      <c r="AZ12" s="301"/>
      <c r="BA12" s="301"/>
      <c r="BB12" s="301"/>
      <c r="BC12" s="301"/>
      <c r="BD12" s="301"/>
      <c r="BE12" s="301"/>
      <c r="BF12" s="301"/>
      <c r="BG12" s="301"/>
      <c r="BH12" s="301"/>
      <c r="BI12" s="301"/>
      <c r="BJ12" s="301"/>
      <c r="BK12" s="301"/>
      <c r="BL12" s="301"/>
      <c r="BM12" s="301"/>
      <c r="BN12" s="319"/>
    </row>
    <row r="13" spans="1:66" s="300" customFormat="1" ht="12" customHeight="1" thickTop="1">
      <c r="A13" s="320" t="s">
        <v>3</v>
      </c>
      <c r="B13" s="321" t="s">
        <v>5</v>
      </c>
      <c r="C13" s="322">
        <v>1</v>
      </c>
      <c r="D13" s="343"/>
      <c r="E13" s="343"/>
      <c r="F13" s="343"/>
      <c r="G13" s="343"/>
      <c r="H13" s="343"/>
      <c r="AB13" s="131"/>
      <c r="AC13" s="301"/>
      <c r="AD13" s="301"/>
      <c r="AE13" s="301"/>
      <c r="AF13" s="301"/>
      <c r="AG13" s="301"/>
      <c r="AH13" s="301"/>
      <c r="AI13" s="301"/>
      <c r="AJ13" s="301"/>
      <c r="AK13" s="301"/>
      <c r="AL13" s="301"/>
      <c r="AM13" s="301"/>
      <c r="AN13" s="301"/>
      <c r="AO13" s="301"/>
      <c r="AP13" s="301"/>
      <c r="AQ13" s="301"/>
      <c r="AR13" s="301"/>
      <c r="AS13" s="301"/>
      <c r="AT13" s="301"/>
      <c r="AU13" s="301"/>
      <c r="AV13" s="301"/>
      <c r="AW13" s="301"/>
      <c r="AX13" s="301"/>
      <c r="AY13" s="301"/>
      <c r="AZ13" s="301"/>
      <c r="BA13" s="301"/>
      <c r="BB13" s="301"/>
      <c r="BC13" s="301"/>
      <c r="BD13" s="301"/>
      <c r="BE13" s="301"/>
      <c r="BF13" s="301"/>
      <c r="BG13" s="301"/>
      <c r="BH13" s="301"/>
      <c r="BI13" s="301"/>
      <c r="BJ13" s="301"/>
      <c r="BK13" s="301"/>
      <c r="BL13" s="301"/>
      <c r="BM13" s="301"/>
      <c r="BN13" s="319"/>
    </row>
    <row r="14" spans="1:66" s="300" customFormat="1" ht="12" customHeight="1" thickBot="1">
      <c r="A14" s="323" t="s">
        <v>4</v>
      </c>
      <c r="B14" s="324" t="s">
        <v>6</v>
      </c>
      <c r="C14" s="325">
        <v>-1</v>
      </c>
      <c r="D14" s="343"/>
      <c r="E14" s="577" t="s">
        <v>8</v>
      </c>
      <c r="F14" s="577"/>
      <c r="G14" s="577"/>
      <c r="H14" s="577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43"/>
      <c r="AB14" s="131"/>
      <c r="AC14" s="301"/>
      <c r="AD14" s="301"/>
      <c r="AE14" s="301"/>
      <c r="AF14" s="301"/>
      <c r="AG14" s="301"/>
      <c r="AH14" s="301"/>
      <c r="AI14" s="301"/>
      <c r="AJ14" s="301"/>
      <c r="AK14" s="301"/>
      <c r="AL14" s="301"/>
      <c r="AM14" s="301"/>
      <c r="AN14" s="301"/>
      <c r="AO14" s="301"/>
      <c r="AP14" s="301"/>
      <c r="AQ14" s="301"/>
      <c r="AR14" s="301"/>
      <c r="AS14" s="301"/>
      <c r="AT14" s="301"/>
      <c r="AU14" s="301"/>
      <c r="AV14" s="301"/>
      <c r="AW14" s="301"/>
      <c r="AX14" s="301"/>
      <c r="AY14" s="301"/>
      <c r="AZ14" s="301"/>
      <c r="BA14" s="301"/>
      <c r="BB14" s="301"/>
      <c r="BC14" s="301"/>
      <c r="BD14" s="301"/>
      <c r="BE14" s="301"/>
      <c r="BF14" s="301"/>
      <c r="BG14" s="301"/>
      <c r="BH14" s="301"/>
      <c r="BI14" s="301"/>
      <c r="BJ14" s="301"/>
      <c r="BK14" s="301"/>
      <c r="BL14" s="301"/>
      <c r="BM14" s="301"/>
      <c r="BN14" s="319"/>
    </row>
    <row r="15" spans="1:66" s="300" customFormat="1" ht="12" customHeight="1" thickBot="1">
      <c r="C15" s="343"/>
      <c r="D15" s="343"/>
      <c r="E15" s="577"/>
      <c r="F15" s="577"/>
      <c r="G15" s="577"/>
      <c r="H15" s="577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43"/>
      <c r="AB15" s="131"/>
      <c r="AC15" s="301"/>
      <c r="AD15" s="301"/>
      <c r="AE15" s="301"/>
      <c r="AF15" s="301"/>
      <c r="AG15" s="301"/>
      <c r="AH15" s="301"/>
      <c r="AI15" s="301"/>
      <c r="AJ15" s="301"/>
      <c r="AK15" s="301"/>
      <c r="AL15" s="301"/>
      <c r="AM15" s="301"/>
      <c r="AN15" s="301"/>
      <c r="AO15" s="301"/>
      <c r="AP15" s="301"/>
      <c r="AQ15" s="301"/>
      <c r="AR15" s="301"/>
      <c r="AS15" s="301"/>
      <c r="AT15" s="301"/>
      <c r="AU15" s="301"/>
      <c r="AV15" s="301"/>
      <c r="AW15" s="301"/>
      <c r="AX15" s="301"/>
      <c r="AY15" s="301"/>
      <c r="AZ15" s="301"/>
      <c r="BA15" s="301"/>
      <c r="BB15" s="301"/>
      <c r="BC15" s="301"/>
      <c r="BD15" s="301"/>
      <c r="BE15" s="301"/>
      <c r="BF15" s="301"/>
      <c r="BG15" s="301"/>
      <c r="BH15" s="301"/>
      <c r="BI15" s="301"/>
      <c r="BJ15" s="301"/>
      <c r="BK15" s="301"/>
      <c r="BL15" s="301"/>
      <c r="BM15" s="301"/>
      <c r="BN15" s="319"/>
    </row>
    <row r="16" spans="1:66" s="300" customFormat="1" ht="12" customHeight="1" thickTop="1" thickBot="1">
      <c r="B16" s="343"/>
      <c r="C16" s="343"/>
      <c r="D16" s="343"/>
      <c r="E16" s="343"/>
      <c r="F16" s="544">
        <f>AD17</f>
        <v>-72.683333333333337</v>
      </c>
      <c r="G16" s="570"/>
      <c r="H16" s="570"/>
      <c r="I16" s="514" t="s">
        <v>6</v>
      </c>
      <c r="J16" s="539" t="s">
        <v>532</v>
      </c>
      <c r="K16" s="514"/>
      <c r="L16" s="514"/>
      <c r="M16" s="514"/>
      <c r="N16" s="514"/>
      <c r="O16" s="472" t="str" cm="1">
        <f t="array" ref="O16">angleDecimal2Txt(F16)</f>
        <v>-72°41.00 (-72.6833) [-72°41'00.00]</v>
      </c>
      <c r="P16" s="472"/>
      <c r="Q16" s="472"/>
      <c r="R16" s="472"/>
      <c r="S16" s="472"/>
      <c r="T16" s="472"/>
      <c r="U16" s="472"/>
      <c r="V16" s="472"/>
      <c r="W16" s="472"/>
      <c r="X16" s="472"/>
      <c r="Y16" s="343"/>
      <c r="Z16" s="343"/>
      <c r="AB16" s="131"/>
      <c r="AC16" s="129" t="s">
        <v>181</v>
      </c>
      <c r="AD16" s="3">
        <f>VLOOKUP(I16,B13:C14,2)</f>
        <v>-1</v>
      </c>
      <c r="AE16" s="301"/>
      <c r="AF16" s="301"/>
      <c r="AG16" s="301"/>
      <c r="AH16" s="301"/>
      <c r="AI16" s="301"/>
      <c r="AJ16" s="301"/>
      <c r="AK16" s="301"/>
      <c r="AL16" s="301"/>
      <c r="AM16" s="301"/>
      <c r="AN16" s="301"/>
      <c r="AO16" s="301"/>
      <c r="AP16" s="301"/>
      <c r="AQ16" s="301"/>
      <c r="AR16" s="301"/>
      <c r="AS16" s="301"/>
      <c r="AT16" s="301"/>
      <c r="AU16" s="301"/>
      <c r="AV16" s="301"/>
      <c r="AW16" s="301"/>
      <c r="AX16" s="301"/>
      <c r="AY16" s="301"/>
      <c r="AZ16" s="301"/>
      <c r="BA16" s="301"/>
      <c r="BB16" s="301"/>
      <c r="BC16" s="301"/>
      <c r="BD16" s="301"/>
      <c r="BE16" s="301"/>
      <c r="BF16" s="301"/>
      <c r="BG16" s="301"/>
      <c r="BH16" s="301"/>
      <c r="BI16" s="301"/>
      <c r="BJ16" s="301"/>
      <c r="BK16" s="301"/>
      <c r="BL16" s="301"/>
      <c r="BM16" s="301"/>
      <c r="BN16" s="302"/>
    </row>
    <row r="17" spans="2:66" s="300" customFormat="1" ht="12" customHeight="1" thickTop="1" thickBot="1">
      <c r="C17" s="343"/>
      <c r="D17" s="343"/>
      <c r="E17" s="343"/>
      <c r="F17" s="570"/>
      <c r="G17" s="570"/>
      <c r="H17" s="570"/>
      <c r="I17" s="514"/>
      <c r="J17" s="514"/>
      <c r="K17" s="514"/>
      <c r="L17" s="514"/>
      <c r="M17" s="514"/>
      <c r="N17" s="514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343"/>
      <c r="Z17" s="343"/>
      <c r="AB17" s="131"/>
      <c r="AC17" s="129" t="s">
        <v>182</v>
      </c>
      <c r="AD17" s="3" cm="1">
        <f t="array" ref="AD17">angleConvert2Decimal(J16)*AD16</f>
        <v>-72.683333333333337</v>
      </c>
      <c r="AE17" s="301"/>
      <c r="AF17" s="301"/>
      <c r="AG17" s="301"/>
      <c r="AH17" s="301"/>
      <c r="AI17" s="301"/>
      <c r="AJ17" s="301"/>
      <c r="AK17" s="301"/>
      <c r="AL17" s="301"/>
      <c r="AM17" s="301"/>
      <c r="AN17" s="301"/>
      <c r="AO17" s="301"/>
      <c r="AP17" s="301"/>
      <c r="AQ17" s="301"/>
      <c r="AR17" s="301"/>
      <c r="AS17" s="301"/>
      <c r="AT17" s="301"/>
      <c r="AU17" s="301"/>
      <c r="AV17" s="301"/>
      <c r="AW17" s="301"/>
      <c r="AX17" s="301"/>
      <c r="AY17" s="301"/>
      <c r="AZ17" s="301"/>
      <c r="BA17" s="301"/>
      <c r="BB17" s="301"/>
      <c r="BC17" s="301"/>
      <c r="BD17" s="301"/>
      <c r="BE17" s="301"/>
      <c r="BF17" s="301"/>
      <c r="BG17" s="301"/>
      <c r="BH17" s="301"/>
      <c r="BI17" s="301"/>
      <c r="BJ17" s="301"/>
      <c r="BK17" s="301"/>
      <c r="BL17" s="301"/>
      <c r="BM17" s="301"/>
      <c r="BN17" s="302"/>
    </row>
    <row r="18" spans="2:66" ht="12" customHeight="1" thickTop="1"/>
    <row r="19" spans="2:66" ht="12" customHeight="1">
      <c r="E19" s="577" t="s">
        <v>266</v>
      </c>
      <c r="F19" s="577"/>
      <c r="G19" s="577"/>
      <c r="H19" s="577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00"/>
      <c r="X19" s="300"/>
    </row>
    <row r="20" spans="2:66" ht="12" customHeight="1" thickBot="1">
      <c r="E20" s="577"/>
      <c r="F20" s="577"/>
      <c r="G20" s="577"/>
      <c r="H20" s="577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43"/>
      <c r="W20" s="300"/>
      <c r="X20" s="300"/>
    </row>
    <row r="21" spans="2:66" ht="12" customHeight="1" thickTop="1" thickBot="1">
      <c r="E21" s="343"/>
      <c r="F21" s="544">
        <f>heureConvert2Decimal(I21)</f>
        <v>14.8375</v>
      </c>
      <c r="G21" s="570"/>
      <c r="H21" s="570"/>
      <c r="I21" s="848" t="s">
        <v>530</v>
      </c>
      <c r="J21" s="528"/>
      <c r="K21" s="528"/>
      <c r="L21" s="528"/>
      <c r="M21" s="528"/>
      <c r="N21" s="845"/>
      <c r="O21" s="472" t="str">
        <f>heureDecimal2Txt(F21)</f>
        <v>14:50:15.00(14.8375)</v>
      </c>
      <c r="P21" s="472"/>
      <c r="Q21" s="472"/>
      <c r="R21" s="472"/>
      <c r="S21" s="472"/>
      <c r="T21" s="472"/>
      <c r="U21" s="472"/>
      <c r="V21" s="472"/>
      <c r="W21" s="472"/>
      <c r="X21" s="472"/>
    </row>
    <row r="22" spans="2:66" ht="12" customHeight="1" thickTop="1" thickBot="1">
      <c r="E22" s="343"/>
      <c r="F22" s="570"/>
      <c r="G22" s="570"/>
      <c r="H22" s="570"/>
      <c r="I22" s="529"/>
      <c r="J22" s="530"/>
      <c r="K22" s="530"/>
      <c r="L22" s="530"/>
      <c r="M22" s="530"/>
      <c r="N22" s="847"/>
      <c r="O22" s="472"/>
      <c r="P22" s="472"/>
      <c r="Q22" s="472"/>
      <c r="R22" s="472"/>
      <c r="S22" s="472"/>
      <c r="T22" s="472"/>
      <c r="U22" s="472"/>
      <c r="V22" s="472"/>
      <c r="W22" s="472"/>
      <c r="X22" s="472"/>
    </row>
    <row r="23" spans="2:66" ht="15.75" thickTop="1"/>
    <row r="24" spans="2:66" ht="15.75" thickBot="1"/>
    <row r="25" spans="2:66" s="300" customFormat="1" ht="17.25" customHeight="1" thickBot="1">
      <c r="B25" s="304" t="s">
        <v>282</v>
      </c>
      <c r="C25" s="305"/>
      <c r="D25" s="305"/>
      <c r="E25" s="312"/>
      <c r="F25" s="312"/>
      <c r="G25" s="312"/>
      <c r="H25" s="312"/>
      <c r="I25" s="312"/>
      <c r="J25" s="312"/>
      <c r="K25" s="312"/>
      <c r="L25" s="305"/>
      <c r="M25" s="305"/>
      <c r="N25" s="305"/>
      <c r="O25" s="305"/>
      <c r="P25" s="305"/>
      <c r="Q25" s="305"/>
      <c r="R25" s="305"/>
      <c r="S25" s="305"/>
      <c r="T25" s="305"/>
      <c r="U25" s="305"/>
      <c r="V25" s="305"/>
      <c r="W25" s="305"/>
      <c r="X25" s="305"/>
      <c r="Y25" s="305"/>
      <c r="Z25" s="305"/>
      <c r="AA25" s="305"/>
      <c r="AB25" s="132"/>
      <c r="AC25" s="301"/>
      <c r="AD25" s="301"/>
      <c r="AE25" s="301"/>
      <c r="AF25" s="301"/>
      <c r="AG25" s="301"/>
      <c r="AH25" s="301"/>
      <c r="AI25" s="301"/>
      <c r="AJ25" s="301"/>
      <c r="AK25" s="301"/>
      <c r="AL25" s="301"/>
      <c r="AM25" s="301"/>
      <c r="AN25" s="301"/>
      <c r="AO25" s="301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1"/>
      <c r="BH25" s="301"/>
      <c r="BI25" s="301"/>
      <c r="BJ25" s="301"/>
      <c r="BK25" s="301"/>
      <c r="BL25" s="301"/>
      <c r="BM25" s="301"/>
      <c r="BN25" s="302"/>
    </row>
    <row r="26" spans="2:66" ht="12.75" customHeight="1">
      <c r="E26" s="849" t="s">
        <v>285</v>
      </c>
      <c r="F26" s="850"/>
      <c r="G26" s="850"/>
      <c r="H26" s="850"/>
      <c r="I26" s="850"/>
      <c r="J26" s="850"/>
      <c r="K26" s="851"/>
    </row>
    <row r="27" spans="2:66" ht="12.75" customHeight="1" thickBot="1">
      <c r="E27" s="852"/>
      <c r="F27" s="853"/>
      <c r="G27" s="853"/>
      <c r="H27" s="853"/>
      <c r="I27" s="853"/>
      <c r="J27" s="853"/>
      <c r="K27" s="854"/>
    </row>
    <row r="28" spans="2:66" ht="12.75" customHeight="1" thickTop="1" thickBot="1">
      <c r="F28" s="543">
        <f>angleConvert2Decimal(I28)</f>
        <v>335</v>
      </c>
      <c r="G28" s="841"/>
      <c r="H28" s="841"/>
      <c r="I28" s="843">
        <v>335</v>
      </c>
      <c r="J28" s="844"/>
      <c r="K28" s="844"/>
      <c r="L28" s="528"/>
      <c r="M28" s="528"/>
      <c r="N28" s="845"/>
      <c r="O28" s="472" t="str" cm="1">
        <f t="array" ref="O28">angleDecimal2Txt(F28)</f>
        <v>+335°00.00 (+335.0000) [+335°00'00.00]</v>
      </c>
      <c r="P28" s="472"/>
      <c r="Q28" s="472"/>
      <c r="R28" s="472"/>
      <c r="S28" s="472"/>
      <c r="T28" s="472"/>
      <c r="U28" s="472"/>
      <c r="V28" s="472"/>
      <c r="W28" s="472"/>
      <c r="X28" s="472"/>
    </row>
    <row r="29" spans="2:66" ht="12.75" customHeight="1" thickTop="1" thickBot="1">
      <c r="F29" s="842"/>
      <c r="G29" s="842"/>
      <c r="H29" s="842"/>
      <c r="I29" s="846"/>
      <c r="J29" s="844"/>
      <c r="K29" s="844"/>
      <c r="L29" s="530"/>
      <c r="M29" s="530"/>
      <c r="N29" s="847"/>
      <c r="O29" s="472"/>
      <c r="P29" s="472"/>
      <c r="Q29" s="472"/>
      <c r="R29" s="472"/>
      <c r="S29" s="472"/>
      <c r="T29" s="472"/>
      <c r="U29" s="472"/>
      <c r="V29" s="472"/>
      <c r="W29" s="472"/>
      <c r="X29" s="472"/>
    </row>
    <row r="30" spans="2:66" ht="12.75" customHeight="1" thickTop="1">
      <c r="E30" s="495" t="s">
        <v>286</v>
      </c>
      <c r="F30" s="496"/>
      <c r="G30" s="496"/>
      <c r="H30" s="496"/>
      <c r="I30" s="496"/>
      <c r="J30" s="496"/>
      <c r="K30" s="497"/>
    </row>
    <row r="31" spans="2:66" ht="12.75" customHeight="1" thickBot="1">
      <c r="E31" s="498"/>
      <c r="F31" s="499"/>
      <c r="G31" s="499"/>
      <c r="H31" s="499"/>
      <c r="I31" s="499"/>
      <c r="J31" s="499"/>
      <c r="K31" s="500"/>
    </row>
    <row r="32" spans="2:66" ht="12.75" customHeight="1" thickTop="1" thickBot="1">
      <c r="F32" s="543">
        <f>I32</f>
        <v>6</v>
      </c>
      <c r="G32" s="841"/>
      <c r="H32" s="841"/>
      <c r="I32" s="843">
        <v>6</v>
      </c>
      <c r="J32" s="844"/>
      <c r="K32" s="844"/>
      <c r="L32" s="528"/>
      <c r="M32" s="528"/>
      <c r="N32" s="845"/>
      <c r="O32" s="472" t="str" cm="1">
        <f t="array" ref="O32">angleDecimal2Txt(F32)</f>
        <v>+06°00.00 (+06.0000) [+06°00'00.00]</v>
      </c>
      <c r="P32" s="472"/>
      <c r="Q32" s="472"/>
      <c r="R32" s="472"/>
      <c r="S32" s="472"/>
      <c r="T32" s="472"/>
      <c r="U32" s="472"/>
      <c r="V32" s="472"/>
      <c r="W32" s="472"/>
      <c r="X32" s="472"/>
    </row>
    <row r="33" spans="2:30" ht="12.75" customHeight="1" thickTop="1" thickBot="1">
      <c r="F33" s="842"/>
      <c r="G33" s="842"/>
      <c r="H33" s="842"/>
      <c r="I33" s="846"/>
      <c r="J33" s="844"/>
      <c r="K33" s="844"/>
      <c r="L33" s="844"/>
      <c r="M33" s="844"/>
      <c r="N33" s="847"/>
      <c r="O33" s="472"/>
      <c r="P33" s="472"/>
      <c r="Q33" s="472"/>
      <c r="R33" s="472"/>
      <c r="S33" s="472"/>
      <c r="T33" s="472"/>
      <c r="U33" s="472"/>
      <c r="V33" s="472"/>
      <c r="W33" s="472"/>
      <c r="X33" s="472"/>
    </row>
    <row r="34" spans="2:30" ht="12.75" customHeight="1" thickTop="1">
      <c r="E34" s="898" t="s">
        <v>473</v>
      </c>
      <c r="F34" s="899"/>
      <c r="G34" s="899"/>
      <c r="H34" s="899"/>
      <c r="I34" s="899"/>
      <c r="J34" s="899"/>
      <c r="K34" s="899"/>
      <c r="L34" s="899"/>
      <c r="M34" s="900"/>
    </row>
    <row r="35" spans="2:30" ht="12.75" customHeight="1" thickBot="1">
      <c r="E35" s="901"/>
      <c r="F35" s="902"/>
      <c r="G35" s="902"/>
      <c r="H35" s="902"/>
      <c r="I35" s="902"/>
      <c r="J35" s="902"/>
      <c r="K35" s="902"/>
      <c r="L35" s="902"/>
      <c r="M35" s="903"/>
    </row>
    <row r="36" spans="2:30" s="375" customFormat="1" ht="12.75" customHeight="1" thickTop="1" thickBot="1">
      <c r="F36" s="911">
        <f>AD37</f>
        <v>27.25</v>
      </c>
      <c r="G36" s="912"/>
      <c r="H36" s="912"/>
      <c r="I36" s="908" t="str">
        <f>I11</f>
        <v>N</v>
      </c>
      <c r="J36" s="910" t="str">
        <f>J11</f>
        <v>27°15</v>
      </c>
      <c r="K36" s="908"/>
      <c r="L36" s="908"/>
      <c r="M36" s="908"/>
      <c r="N36" s="909"/>
      <c r="O36" s="840" t="str" cm="1">
        <f t="array" ref="O36">angleDecimal2Txt(F36)</f>
        <v>+27°15.00 (+27.2500) [+27°15'00.00]</v>
      </c>
      <c r="P36" s="840"/>
      <c r="Q36" s="840"/>
      <c r="R36" s="840"/>
      <c r="S36" s="840"/>
      <c r="T36" s="840"/>
      <c r="U36" s="840"/>
      <c r="V36" s="840"/>
      <c r="W36" s="840"/>
      <c r="X36" s="840"/>
      <c r="AB36" s="376"/>
      <c r="AC36" s="130" t="s">
        <v>179</v>
      </c>
      <c r="AD36" s="124">
        <f>VLOOKUP(I36,$A$13:$C$14,3)</f>
        <v>1</v>
      </c>
    </row>
    <row r="37" spans="2:30" s="375" customFormat="1" ht="12.75" customHeight="1" thickTop="1" thickBot="1">
      <c r="F37" s="913"/>
      <c r="G37" s="913"/>
      <c r="H37" s="913"/>
      <c r="I37" s="909"/>
      <c r="J37" s="909"/>
      <c r="K37" s="909"/>
      <c r="L37" s="909"/>
      <c r="M37" s="909"/>
      <c r="N37" s="909"/>
      <c r="O37" s="840"/>
      <c r="P37" s="840"/>
      <c r="Q37" s="840"/>
      <c r="R37" s="840"/>
      <c r="S37" s="840"/>
      <c r="T37" s="840"/>
      <c r="U37" s="840"/>
      <c r="V37" s="840"/>
      <c r="W37" s="840"/>
      <c r="X37" s="840"/>
      <c r="AB37" s="376"/>
      <c r="AC37" s="130" t="s">
        <v>180</v>
      </c>
      <c r="AD37" s="124" cm="1">
        <f t="array" ref="AD37">angleConvert2Decimal(J36)*AD36</f>
        <v>27.25</v>
      </c>
    </row>
    <row r="38" spans="2:30" s="375" customFormat="1" ht="12.75" customHeight="1" thickTop="1">
      <c r="F38" s="301"/>
      <c r="G38" s="301"/>
      <c r="H38" s="301"/>
      <c r="I38" s="301"/>
      <c r="J38" s="301"/>
      <c r="K38" s="301"/>
      <c r="L38" s="30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301"/>
      <c r="AB38" s="372"/>
      <c r="AC38" s="301"/>
      <c r="AD38" s="301"/>
    </row>
    <row r="39" spans="2:30" ht="15.75" thickBot="1"/>
    <row r="40" spans="2:30" ht="15.75" thickBot="1">
      <c r="B40" s="304" t="s">
        <v>283</v>
      </c>
      <c r="C40" s="305"/>
      <c r="D40" s="305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05"/>
      <c r="Y40" s="305"/>
      <c r="Z40" s="305"/>
      <c r="AA40" s="305"/>
      <c r="AB40" s="132"/>
    </row>
    <row r="41" spans="2:30" ht="12" customHeight="1">
      <c r="E41" s="904" t="s">
        <v>267</v>
      </c>
      <c r="F41" s="905"/>
      <c r="G41" s="905"/>
      <c r="H41" s="905"/>
      <c r="I41" s="905"/>
      <c r="J41" s="905"/>
      <c r="K41" s="905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300"/>
      <c r="X41" s="300"/>
    </row>
    <row r="42" spans="2:30" ht="12" customHeight="1" thickBot="1">
      <c r="E42" s="906"/>
      <c r="F42" s="907"/>
      <c r="G42" s="907"/>
      <c r="H42" s="907"/>
      <c r="I42" s="907"/>
      <c r="J42" s="907"/>
      <c r="K42" s="907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00"/>
      <c r="X42" s="300"/>
    </row>
    <row r="43" spans="2:30" ht="12" customHeight="1" thickTop="1" thickBot="1">
      <c r="E43" s="343"/>
      <c r="F43" s="544">
        <f>heureConvert2Decimal(I43)</f>
        <v>12.066666666666666</v>
      </c>
      <c r="G43" s="570"/>
      <c r="H43" s="570"/>
      <c r="I43" s="848" t="s">
        <v>525</v>
      </c>
      <c r="J43" s="528"/>
      <c r="K43" s="528"/>
      <c r="L43" s="528"/>
      <c r="M43" s="528"/>
      <c r="N43" s="845"/>
      <c r="O43" s="472" t="str">
        <f>heureDecimal2Txt(F43)</f>
        <v>12:04:00.00(12.0666)</v>
      </c>
      <c r="P43" s="472"/>
      <c r="Q43" s="472"/>
      <c r="R43" s="472"/>
      <c r="S43" s="472"/>
      <c r="T43" s="472"/>
      <c r="U43" s="472"/>
      <c r="V43" s="472"/>
      <c r="W43" s="472"/>
      <c r="X43" s="472"/>
    </row>
    <row r="44" spans="2:30" ht="12" customHeight="1" thickTop="1" thickBot="1">
      <c r="E44" s="343"/>
      <c r="F44" s="570"/>
      <c r="G44" s="570"/>
      <c r="H44" s="570"/>
      <c r="I44" s="529"/>
      <c r="J44" s="530"/>
      <c r="K44" s="530"/>
      <c r="L44" s="530"/>
      <c r="M44" s="530"/>
      <c r="N44" s="847"/>
      <c r="O44" s="472"/>
      <c r="P44" s="472"/>
      <c r="Q44" s="472"/>
      <c r="R44" s="472"/>
      <c r="S44" s="472"/>
      <c r="T44" s="472"/>
      <c r="U44" s="472"/>
      <c r="V44" s="472"/>
      <c r="W44" s="472"/>
      <c r="X44" s="472"/>
    </row>
    <row r="45" spans="2:30" ht="15.75" thickTop="1"/>
    <row r="46" spans="2:30" ht="15.75" thickBot="1"/>
    <row r="47" spans="2:30" ht="15.75" thickBot="1">
      <c r="B47" s="864" t="s">
        <v>289</v>
      </c>
      <c r="C47" s="865"/>
      <c r="D47" s="865"/>
      <c r="E47" s="865"/>
      <c r="F47" s="865"/>
      <c r="G47" s="865"/>
      <c r="H47" s="865"/>
      <c r="I47" s="865"/>
      <c r="J47" s="865"/>
      <c r="K47" s="865"/>
      <c r="L47" s="865"/>
      <c r="M47" s="865"/>
      <c r="N47" s="865"/>
      <c r="O47" s="865"/>
      <c r="P47" s="865"/>
      <c r="Q47" s="865"/>
      <c r="R47" s="865"/>
      <c r="S47" s="865"/>
      <c r="T47" s="865"/>
      <c r="U47" s="865"/>
      <c r="V47" s="865"/>
      <c r="W47" s="865"/>
      <c r="X47" s="865"/>
      <c r="Y47" s="865"/>
      <c r="Z47" s="865"/>
      <c r="AA47" s="865"/>
      <c r="AB47" s="132"/>
    </row>
    <row r="49" spans="3:27">
      <c r="C49" s="871" t="s">
        <v>287</v>
      </c>
      <c r="D49" s="872"/>
      <c r="E49" s="872"/>
      <c r="F49" s="872"/>
      <c r="G49" s="872"/>
      <c r="H49" s="872"/>
      <c r="I49" s="872"/>
      <c r="J49" s="872"/>
      <c r="K49" s="872"/>
      <c r="L49" s="872"/>
      <c r="M49" s="872"/>
      <c r="N49" s="872"/>
      <c r="O49" s="872"/>
      <c r="P49" s="872"/>
      <c r="Q49" s="872"/>
      <c r="R49" s="873"/>
    </row>
    <row r="50" spans="3:27">
      <c r="C50" s="820" t="s">
        <v>114</v>
      </c>
      <c r="D50" s="820"/>
      <c r="E50" s="820">
        <f>F28</f>
        <v>335</v>
      </c>
      <c r="F50" s="820"/>
      <c r="G50" s="820"/>
      <c r="I50" s="881" t="s">
        <v>288</v>
      </c>
      <c r="J50" s="881"/>
      <c r="K50" s="862" t="b">
        <f>IF(E50&lt;180,TRUE,FALSE)</f>
        <v>0</v>
      </c>
      <c r="L50" s="862"/>
      <c r="N50" s="874" t="s">
        <v>262</v>
      </c>
      <c r="O50" s="874"/>
      <c r="P50" s="875">
        <f>E51*ABS(SIN(Outils!$F$4*Meridienne!E50))*(IF(K50,1,-1))</f>
        <v>-2.5357095704441952</v>
      </c>
      <c r="Q50" s="876"/>
      <c r="R50" s="879" t="s">
        <v>261</v>
      </c>
    </row>
    <row r="51" spans="3:27">
      <c r="C51" s="586" t="s">
        <v>113</v>
      </c>
      <c r="D51" s="586"/>
      <c r="E51" s="586">
        <f>F32</f>
        <v>6</v>
      </c>
      <c r="F51" s="586"/>
      <c r="G51" s="586"/>
      <c r="I51" s="882"/>
      <c r="J51" s="882"/>
      <c r="K51" s="863"/>
      <c r="L51" s="863"/>
      <c r="N51" s="828"/>
      <c r="O51" s="828"/>
      <c r="P51" s="877"/>
      <c r="Q51" s="878"/>
      <c r="R51" s="880"/>
    </row>
    <row r="54" spans="3:27">
      <c r="C54" s="871" t="s">
        <v>264</v>
      </c>
      <c r="D54" s="872"/>
      <c r="E54" s="872"/>
      <c r="F54" s="872"/>
      <c r="G54" s="872"/>
      <c r="H54" s="872"/>
      <c r="I54" s="872"/>
      <c r="J54" s="872"/>
      <c r="K54" s="883"/>
      <c r="L54" s="883"/>
      <c r="M54" s="883"/>
      <c r="N54" s="883"/>
      <c r="O54" s="884"/>
    </row>
    <row r="55" spans="3:27">
      <c r="C55" s="820" t="s">
        <v>254</v>
      </c>
      <c r="D55" s="820"/>
      <c r="E55" s="820">
        <f>F36</f>
        <v>27.25</v>
      </c>
      <c r="F55" s="820"/>
      <c r="G55" s="820"/>
      <c r="I55" s="827" t="s">
        <v>263</v>
      </c>
      <c r="J55" s="827"/>
      <c r="K55" s="824" t="s">
        <v>74</v>
      </c>
      <c r="L55" s="825">
        <f>$P$50/(60 * COS($E$55*Outils!$F$4))</f>
        <v>-4.753769550881936E-2</v>
      </c>
      <c r="M55" s="825"/>
      <c r="N55" s="825"/>
      <c r="O55" s="826" t="s">
        <v>265</v>
      </c>
      <c r="P55" s="828" t="str">
        <f>IF(K50,"Vers l'Est","Vers l'Ouest")</f>
        <v>Vers l'Ouest</v>
      </c>
      <c r="Q55" s="828"/>
      <c r="R55" s="828"/>
      <c r="U55" s="829" t="s">
        <v>292</v>
      </c>
      <c r="V55" s="830"/>
      <c r="W55" s="831"/>
      <c r="X55" s="885">
        <f>IF(K50,-1*ABS(L55),ABS(L55))</f>
        <v>4.753769550881936E-2</v>
      </c>
      <c r="Y55" s="886"/>
      <c r="Z55" s="886"/>
      <c r="AA55" s="867" t="s">
        <v>265</v>
      </c>
    </row>
    <row r="56" spans="3:27">
      <c r="C56" s="586" t="str">
        <f>N50</f>
        <v>VLong.</v>
      </c>
      <c r="D56" s="586"/>
      <c r="E56" s="586">
        <f>P50</f>
        <v>-2.5357095704441952</v>
      </c>
      <c r="F56" s="586"/>
      <c r="G56" s="586"/>
      <c r="I56" s="827"/>
      <c r="J56" s="827"/>
      <c r="K56" s="824"/>
      <c r="L56" s="825"/>
      <c r="M56" s="825"/>
      <c r="N56" s="825"/>
      <c r="O56" s="826"/>
      <c r="P56" s="828"/>
      <c r="Q56" s="828"/>
      <c r="R56" s="828"/>
      <c r="U56" s="832"/>
      <c r="V56" s="833"/>
      <c r="W56" s="834"/>
      <c r="X56" s="887"/>
      <c r="Y56" s="888"/>
      <c r="Z56" s="888"/>
      <c r="AA56" s="868"/>
    </row>
    <row r="59" spans="3:27" ht="18.75" customHeight="1">
      <c r="C59" s="821" t="s">
        <v>291</v>
      </c>
      <c r="D59" s="822"/>
      <c r="E59" s="822"/>
      <c r="F59" s="822"/>
      <c r="G59" s="822"/>
      <c r="H59" s="822"/>
      <c r="I59" s="822"/>
      <c r="J59" s="822"/>
      <c r="K59" s="822"/>
      <c r="L59" s="822"/>
      <c r="M59" s="822"/>
      <c r="N59" s="822"/>
      <c r="O59" s="823"/>
    </row>
    <row r="60" spans="3:27" ht="15" customHeight="1">
      <c r="C60" s="820" t="s">
        <v>182</v>
      </c>
      <c r="D60" s="820"/>
      <c r="E60" s="820">
        <f>F16</f>
        <v>-72.683333333333337</v>
      </c>
      <c r="F60" s="820"/>
      <c r="G60" s="820"/>
      <c r="I60" s="835" t="s">
        <v>269</v>
      </c>
      <c r="J60" s="836"/>
      <c r="K60" s="819">
        <f>longitude2LongitudeHoraire(E60)</f>
        <v>72.683333333333337</v>
      </c>
      <c r="L60" s="819"/>
      <c r="M60" s="819"/>
      <c r="N60" s="819"/>
      <c r="O60" s="126" t="s">
        <v>28</v>
      </c>
      <c r="P60" s="869" t="str">
        <f>longitudeDecimal2Txt(E60)</f>
        <v>W 72°41.00 (W 72.6833) [W 72°41'00.00]</v>
      </c>
      <c r="Q60" s="870"/>
      <c r="R60" s="870"/>
      <c r="S60" s="870"/>
      <c r="T60" s="870"/>
      <c r="U60" s="870"/>
    </row>
    <row r="63" spans="3:27">
      <c r="C63" s="866" t="s">
        <v>270</v>
      </c>
      <c r="D63" s="866"/>
      <c r="E63" s="866"/>
      <c r="F63" s="866"/>
      <c r="G63" s="866"/>
      <c r="H63" s="866"/>
      <c r="I63" s="866"/>
      <c r="J63" s="866"/>
      <c r="K63" s="866"/>
      <c r="L63" s="866"/>
      <c r="M63" s="866"/>
      <c r="N63" s="866"/>
      <c r="O63" s="866"/>
    </row>
    <row r="64" spans="3:27" ht="15" customHeight="1" thickBot="1">
      <c r="C64" s="860" t="s">
        <v>290</v>
      </c>
      <c r="D64" s="860"/>
      <c r="E64" s="860"/>
      <c r="F64" s="860"/>
      <c r="G64" s="860"/>
      <c r="H64" s="860"/>
      <c r="I64" s="860"/>
      <c r="J64" s="860"/>
      <c r="K64" s="860"/>
      <c r="L64" s="860"/>
      <c r="M64" s="860"/>
      <c r="N64" s="860"/>
      <c r="O64" s="860"/>
      <c r="P64" s="377" t="s">
        <v>294</v>
      </c>
      <c r="Q64" s="861" t="s">
        <v>293</v>
      </c>
      <c r="R64" s="861"/>
      <c r="S64" s="861"/>
      <c r="T64" s="861"/>
      <c r="U64" s="861"/>
      <c r="V64" s="127">
        <v>15</v>
      </c>
      <c r="W64" s="128" t="s">
        <v>265</v>
      </c>
    </row>
    <row r="65" spans="3:29" ht="15.75" thickTop="1">
      <c r="C65" s="860"/>
      <c r="D65" s="860"/>
      <c r="E65" s="860"/>
      <c r="F65" s="860"/>
      <c r="G65" s="860"/>
      <c r="H65" s="860"/>
      <c r="I65" s="860"/>
      <c r="J65" s="860"/>
      <c r="K65" s="860"/>
      <c r="L65" s="860"/>
      <c r="M65" s="860"/>
      <c r="N65" s="860"/>
      <c r="O65" s="860"/>
    </row>
    <row r="66" spans="3:29">
      <c r="C66" s="860"/>
      <c r="D66" s="860"/>
      <c r="E66" s="860"/>
      <c r="F66" s="860"/>
      <c r="G66" s="860"/>
      <c r="H66" s="860"/>
      <c r="I66" s="860"/>
      <c r="J66" s="860"/>
      <c r="K66" s="860"/>
      <c r="L66" s="860"/>
      <c r="M66" s="860"/>
      <c r="N66" s="860"/>
      <c r="O66" s="860"/>
    </row>
    <row r="70" spans="3:29" ht="15" customHeight="1">
      <c r="H70" s="896" t="str">
        <f>CONCATENATE("T = Temps pour que le soleil passe du meridien de grenwitch 0°W a la meridienne locale: ",P60)</f>
        <v>T = Temps pour que le soleil passe du meridien de grenwitch 0°W a la meridienne locale: W 72°41.00 (W 72.6833) [W 72°41'00.00]</v>
      </c>
      <c r="I70" s="896"/>
      <c r="J70" s="896"/>
      <c r="K70" s="896"/>
      <c r="L70" s="896"/>
      <c r="M70" s="896"/>
      <c r="N70" s="896"/>
      <c r="O70" s="896"/>
      <c r="P70" s="896"/>
      <c r="Q70" s="896"/>
      <c r="R70" s="896"/>
      <c r="S70" s="896"/>
      <c r="T70" s="896"/>
      <c r="U70" s="896"/>
      <c r="V70" s="855">
        <f>$K$60/($V$64-$X$55)</f>
        <v>4.8609608138922962</v>
      </c>
      <c r="W70" s="855"/>
      <c r="X70" s="855" t="s">
        <v>280</v>
      </c>
    </row>
    <row r="71" spans="3:29">
      <c r="H71" s="896"/>
      <c r="I71" s="896"/>
      <c r="J71" s="896"/>
      <c r="K71" s="896"/>
      <c r="L71" s="896"/>
      <c r="M71" s="896"/>
      <c r="N71" s="896"/>
      <c r="O71" s="896"/>
      <c r="P71" s="896"/>
      <c r="Q71" s="896"/>
      <c r="R71" s="896"/>
      <c r="S71" s="896"/>
      <c r="T71" s="896"/>
      <c r="U71" s="896"/>
      <c r="V71" s="855"/>
      <c r="W71" s="855"/>
      <c r="X71" s="856"/>
    </row>
    <row r="72" spans="3:29">
      <c r="H72" s="897" t="s">
        <v>297</v>
      </c>
      <c r="I72" s="897"/>
      <c r="J72" s="897"/>
      <c r="K72" s="897"/>
      <c r="L72" s="897"/>
      <c r="M72" s="897"/>
      <c r="N72" s="897"/>
      <c r="O72" s="897"/>
      <c r="P72" s="897"/>
      <c r="Q72" s="897"/>
      <c r="R72" s="897"/>
      <c r="S72" s="897"/>
      <c r="T72" s="897"/>
      <c r="U72" s="897"/>
      <c r="V72" s="894">
        <f>V80-F21</f>
        <v>2.0901274805589605</v>
      </c>
      <c r="W72" s="855"/>
      <c r="X72" s="895" t="s">
        <v>280</v>
      </c>
      <c r="AB72" s="301"/>
    </row>
    <row r="73" spans="3:29">
      <c r="H73" s="897"/>
      <c r="I73" s="897"/>
      <c r="J73" s="897"/>
      <c r="K73" s="897"/>
      <c r="L73" s="897"/>
      <c r="M73" s="897"/>
      <c r="N73" s="897"/>
      <c r="O73" s="897"/>
      <c r="P73" s="897"/>
      <c r="Q73" s="897"/>
      <c r="R73" s="897"/>
      <c r="S73" s="897"/>
      <c r="T73" s="897"/>
      <c r="U73" s="897"/>
      <c r="V73" s="855"/>
      <c r="W73" s="855"/>
      <c r="X73" s="856"/>
      <c r="AB73" s="301"/>
    </row>
    <row r="74" spans="3:29">
      <c r="H74" s="805" t="s">
        <v>301</v>
      </c>
      <c r="I74" s="805"/>
      <c r="J74" s="805"/>
      <c r="K74" s="805"/>
      <c r="L74" s="805"/>
      <c r="M74" s="805"/>
      <c r="N74" s="805"/>
      <c r="O74" s="805"/>
      <c r="P74" s="805"/>
      <c r="Q74" s="805"/>
      <c r="R74" s="805"/>
      <c r="S74" s="805"/>
      <c r="T74" s="805"/>
      <c r="U74" s="805"/>
      <c r="V74" s="837">
        <f>V72*E51</f>
        <v>12.540764883353763</v>
      </c>
      <c r="W74" s="838"/>
      <c r="X74" s="889" t="s">
        <v>112</v>
      </c>
    </row>
    <row r="75" spans="3:29">
      <c r="H75" s="805"/>
      <c r="I75" s="805"/>
      <c r="J75" s="805"/>
      <c r="K75" s="805"/>
      <c r="L75" s="805"/>
      <c r="M75" s="805"/>
      <c r="N75" s="805"/>
      <c r="O75" s="805"/>
      <c r="P75" s="805"/>
      <c r="Q75" s="805"/>
      <c r="R75" s="805"/>
      <c r="S75" s="805"/>
      <c r="T75" s="805"/>
      <c r="U75" s="805"/>
      <c r="V75" s="838"/>
      <c r="W75" s="838"/>
      <c r="X75" s="890"/>
    </row>
    <row r="76" spans="3:29">
      <c r="H76" s="805" t="s">
        <v>538</v>
      </c>
      <c r="I76" s="805"/>
      <c r="J76" s="805"/>
      <c r="K76" s="805"/>
      <c r="L76" s="805"/>
      <c r="M76" s="805"/>
      <c r="N76" s="805"/>
      <c r="O76" s="805"/>
      <c r="P76" s="805"/>
      <c r="Q76" s="805"/>
      <c r="R76" s="805"/>
      <c r="S76" s="805"/>
      <c r="T76" s="805"/>
      <c r="U76" s="805"/>
      <c r="V76" s="837">
        <f>L55*V72</f>
        <v>-9.9359843745427612E-2</v>
      </c>
      <c r="W76" s="891"/>
      <c r="X76" s="892" t="s">
        <v>28</v>
      </c>
    </row>
    <row r="77" spans="3:29">
      <c r="H77" s="805"/>
      <c r="I77" s="805"/>
      <c r="J77" s="805"/>
      <c r="K77" s="805"/>
      <c r="L77" s="805"/>
      <c r="M77" s="805"/>
      <c r="N77" s="805"/>
      <c r="O77" s="805"/>
      <c r="P77" s="805"/>
      <c r="Q77" s="805"/>
      <c r="R77" s="805"/>
      <c r="S77" s="805"/>
      <c r="T77" s="805"/>
      <c r="U77" s="805"/>
      <c r="V77" s="838"/>
      <c r="W77" s="891"/>
      <c r="X77" s="893"/>
    </row>
    <row r="78" spans="3:29">
      <c r="H78" s="805" t="s">
        <v>537</v>
      </c>
      <c r="I78" s="805"/>
      <c r="J78" s="805"/>
      <c r="K78" s="805"/>
      <c r="L78" s="805"/>
      <c r="M78" s="805"/>
      <c r="N78" s="805"/>
      <c r="O78" s="805"/>
      <c r="P78" s="805"/>
      <c r="Q78" s="805"/>
      <c r="R78" s="805"/>
      <c r="S78" s="805"/>
      <c r="T78" s="805"/>
      <c r="U78" s="805"/>
      <c r="V78" s="949">
        <f>E60+(V80-F21)*L55</f>
        <v>-72.78269317707877</v>
      </c>
      <c r="W78" s="950"/>
      <c r="X78" s="953" t="str">
        <f>longitudeDecimal2Txt(V78)</f>
        <v>W 72°46.96 (W 72.7826) [W 72°46'57.69]</v>
      </c>
      <c r="Y78" s="953"/>
      <c r="Z78" s="953"/>
      <c r="AA78" s="953"/>
      <c r="AB78" s="953"/>
      <c r="AC78" s="953"/>
    </row>
    <row r="79" spans="3:29">
      <c r="H79" s="805"/>
      <c r="I79" s="805"/>
      <c r="J79" s="805"/>
      <c r="K79" s="805"/>
      <c r="L79" s="805"/>
      <c r="M79" s="805"/>
      <c r="N79" s="805"/>
      <c r="O79" s="805"/>
      <c r="P79" s="805"/>
      <c r="Q79" s="805"/>
      <c r="R79" s="805"/>
      <c r="S79" s="805"/>
      <c r="T79" s="805"/>
      <c r="U79" s="805"/>
      <c r="V79" s="951"/>
      <c r="W79" s="952"/>
      <c r="X79" s="953"/>
      <c r="Y79" s="953"/>
      <c r="Z79" s="953"/>
      <c r="AA79" s="953"/>
      <c r="AB79" s="953"/>
      <c r="AC79" s="953"/>
    </row>
    <row r="80" spans="3:29">
      <c r="H80" s="815" t="s">
        <v>296</v>
      </c>
      <c r="I80" s="815"/>
      <c r="J80" s="815"/>
      <c r="K80" s="815"/>
      <c r="L80" s="815"/>
      <c r="M80" s="815"/>
      <c r="N80" s="815"/>
      <c r="O80" s="815"/>
      <c r="P80" s="815"/>
      <c r="Q80" s="815"/>
      <c r="R80" s="815"/>
      <c r="S80" s="815"/>
      <c r="T80" s="815"/>
      <c r="U80" s="815"/>
      <c r="V80" s="857">
        <f>F43+V70</f>
        <v>16.927627480558961</v>
      </c>
      <c r="W80" s="858"/>
      <c r="X80" s="839" t="str">
        <f>heureDecimal2Txt(V80)</f>
        <v>16:55:39.45(16.9276)</v>
      </c>
      <c r="Y80" s="839"/>
      <c r="Z80" s="839"/>
      <c r="AA80" s="839"/>
      <c r="AB80" s="839"/>
      <c r="AC80" s="839"/>
    </row>
    <row r="81" spans="2:66">
      <c r="H81" s="815"/>
      <c r="I81" s="815"/>
      <c r="J81" s="815"/>
      <c r="K81" s="815"/>
      <c r="L81" s="815"/>
      <c r="M81" s="815"/>
      <c r="N81" s="815"/>
      <c r="O81" s="815"/>
      <c r="P81" s="815"/>
      <c r="Q81" s="815"/>
      <c r="R81" s="815"/>
      <c r="S81" s="815"/>
      <c r="T81" s="815"/>
      <c r="U81" s="815"/>
      <c r="V81" s="859"/>
      <c r="W81" s="858"/>
      <c r="X81" s="839"/>
      <c r="Y81" s="839"/>
      <c r="Z81" s="839"/>
      <c r="AA81" s="839"/>
      <c r="AB81" s="839"/>
      <c r="AC81" s="839"/>
    </row>
    <row r="83" spans="2:66" ht="15.75" thickBot="1"/>
    <row r="84" spans="2:66" s="300" customFormat="1" ht="17.25" customHeight="1" thickBot="1">
      <c r="B84" s="304" t="s">
        <v>0</v>
      </c>
      <c r="C84" s="305"/>
      <c r="D84" s="305"/>
      <c r="E84" s="105" t="str">
        <f>N7</f>
        <v>2025/06/30</v>
      </c>
      <c r="F84" s="105"/>
      <c r="G84" s="306"/>
      <c r="H84" s="307"/>
      <c r="I84" s="105" t="str">
        <f>heureDecimal2Txt(E88)</f>
        <v>16:55:39.45(16.9276)</v>
      </c>
      <c r="J84" s="105"/>
      <c r="K84" s="1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05"/>
      <c r="Y84" s="305"/>
      <c r="Z84" s="305"/>
      <c r="AA84" s="345"/>
      <c r="AB84" s="62"/>
      <c r="AC84" s="301"/>
      <c r="AD84" s="301"/>
      <c r="AE84" s="301"/>
      <c r="AF84" s="301"/>
      <c r="AG84" s="301"/>
      <c r="AH84" s="301"/>
      <c r="AI84" s="301"/>
      <c r="AJ84" s="301"/>
      <c r="AK84" s="301"/>
      <c r="AL84" s="301"/>
      <c r="AM84" s="301"/>
      <c r="AN84" s="301"/>
      <c r="AO84" s="301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1"/>
      <c r="BH84" s="301"/>
      <c r="BI84" s="301"/>
      <c r="BJ84" s="301"/>
      <c r="BK84" s="301"/>
      <c r="BL84" s="301"/>
      <c r="BM84" s="301"/>
      <c r="BN84" s="302"/>
    </row>
    <row r="85" spans="2:66" s="300" customFormat="1" ht="17.25" customHeight="1">
      <c r="C85" s="714" t="s">
        <v>1</v>
      </c>
      <c r="D85" s="715"/>
      <c r="E85" s="813" t="s">
        <v>243</v>
      </c>
      <c r="F85" s="814"/>
      <c r="G85" s="814"/>
      <c r="H85" s="344"/>
      <c r="AB85" s="61"/>
      <c r="AC85" s="301"/>
      <c r="AD85" s="301"/>
      <c r="AE85" s="301"/>
      <c r="AF85" s="301"/>
      <c r="AG85" s="301"/>
      <c r="AH85" s="301"/>
      <c r="AI85" s="301"/>
      <c r="AJ85" s="301"/>
      <c r="AK85" s="301"/>
      <c r="AL85" s="301"/>
      <c r="AM85" s="301"/>
      <c r="AN85" s="301"/>
      <c r="AO85" s="301"/>
      <c r="AP85" s="301"/>
      <c r="AQ85" s="301"/>
      <c r="AR85" s="301"/>
      <c r="AS85" s="301"/>
      <c r="AT85" s="301"/>
      <c r="AU85" s="301"/>
      <c r="AV85" s="301"/>
      <c r="AW85" s="301"/>
      <c r="AX85" s="301"/>
      <c r="AY85" s="301"/>
      <c r="AZ85" s="301"/>
      <c r="BA85" s="301"/>
      <c r="BB85" s="301"/>
      <c r="BC85" s="301"/>
      <c r="BD85" s="301"/>
      <c r="BE85" s="301"/>
      <c r="BF85" s="301"/>
      <c r="BG85" s="301"/>
      <c r="BH85" s="301"/>
      <c r="BI85" s="301"/>
      <c r="BJ85" s="301"/>
      <c r="BK85" s="301"/>
      <c r="BL85" s="301"/>
      <c r="BM85" s="301"/>
      <c r="BN85" s="302"/>
    </row>
    <row r="86" spans="2:66" s="300" customFormat="1" ht="17.25" customHeight="1">
      <c r="C86" s="495" t="s">
        <v>11</v>
      </c>
      <c r="D86" s="497"/>
      <c r="E86" s="495" t="s">
        <v>2</v>
      </c>
      <c r="F86" s="496"/>
      <c r="G86" s="496"/>
      <c r="H86" s="497"/>
      <c r="I86" s="301"/>
      <c r="J86" s="301"/>
      <c r="K86" s="301"/>
      <c r="L86" s="301"/>
      <c r="M86" s="301"/>
      <c r="N86" s="301"/>
      <c r="O86" s="301"/>
      <c r="P86" s="301"/>
      <c r="Q86" s="301"/>
      <c r="R86" s="301"/>
      <c r="S86" s="301"/>
      <c r="T86" s="301"/>
      <c r="U86" s="301"/>
      <c r="V86" s="301"/>
      <c r="W86" s="301"/>
      <c r="X86" s="301"/>
      <c r="Y86" s="301"/>
      <c r="AB86" s="63"/>
      <c r="AC86" s="301"/>
      <c r="AD86" s="301"/>
      <c r="AE86" s="301"/>
      <c r="AF86" s="301"/>
      <c r="AG86" s="301"/>
      <c r="AH86" s="301"/>
      <c r="AI86" s="301"/>
      <c r="AJ86" s="301"/>
      <c r="AK86" s="301"/>
      <c r="AL86" s="301"/>
      <c r="AM86" s="301"/>
      <c r="AN86" s="301"/>
      <c r="AO86" s="301"/>
      <c r="AP86" s="301"/>
      <c r="AQ86" s="301"/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/>
      <c r="BD86" s="301"/>
      <c r="BE86" s="301"/>
      <c r="BF86" s="301"/>
      <c r="BG86" s="301"/>
      <c r="BH86" s="301"/>
      <c r="BI86" s="301"/>
      <c r="BJ86" s="301"/>
      <c r="BK86" s="301"/>
      <c r="BL86" s="301"/>
      <c r="BM86" s="301"/>
      <c r="BN86" s="302"/>
    </row>
    <row r="87" spans="2:66" s="300" customFormat="1" ht="17.25" customHeight="1" thickBot="1">
      <c r="C87" s="716"/>
      <c r="D87" s="717"/>
      <c r="E87" s="498"/>
      <c r="F87" s="499"/>
      <c r="G87" s="499"/>
      <c r="H87" s="500"/>
      <c r="I87" s="301"/>
      <c r="J87" s="301"/>
      <c r="K87" s="301"/>
      <c r="L87" s="301"/>
      <c r="M87" s="301"/>
      <c r="N87" s="301"/>
      <c r="O87" s="301"/>
      <c r="P87" s="301"/>
      <c r="Q87" s="301"/>
      <c r="R87" s="301"/>
      <c r="S87" s="301"/>
      <c r="T87" s="301"/>
      <c r="U87" s="301"/>
      <c r="V87" s="301"/>
      <c r="W87" s="301"/>
      <c r="X87" s="301"/>
      <c r="Y87" s="301"/>
      <c r="AB87" s="61"/>
      <c r="AC87" s="301"/>
      <c r="AD87" s="301"/>
      <c r="AE87" s="301"/>
      <c r="AF87" s="301"/>
      <c r="AG87" s="301"/>
      <c r="AH87" s="301"/>
      <c r="AI87" s="301"/>
      <c r="AJ87" s="301"/>
      <c r="AK87" s="301"/>
      <c r="AL87" s="301"/>
      <c r="AM87" s="301"/>
      <c r="AN87" s="301"/>
      <c r="AO87" s="301"/>
      <c r="AP87" s="301"/>
      <c r="AQ87" s="301"/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/>
      <c r="BF87" s="301"/>
      <c r="BG87" s="301"/>
      <c r="BH87" s="301"/>
      <c r="BI87" s="301"/>
      <c r="BJ87" s="301"/>
      <c r="BK87" s="301"/>
      <c r="BL87" s="301"/>
      <c r="BM87" s="301"/>
      <c r="BN87" s="302"/>
    </row>
    <row r="88" spans="2:66" s="300" customFormat="1" ht="17.25" customHeight="1" thickTop="1" thickBot="1">
      <c r="C88" s="498"/>
      <c r="D88" s="500"/>
      <c r="E88" s="806">
        <f>V80</f>
        <v>16.927627480558961</v>
      </c>
      <c r="F88" s="806"/>
      <c r="G88" s="806"/>
      <c r="H88" s="806"/>
      <c r="I88" s="637" t="str" cm="1">
        <f t="array" ref="I88">heureDecimal2Txt(E88)</f>
        <v>16:55:39.45(16.9276)</v>
      </c>
      <c r="J88" s="638"/>
      <c r="K88" s="638"/>
      <c r="L88" s="639"/>
      <c r="M88" s="301"/>
      <c r="N88" s="301"/>
      <c r="O88" s="301"/>
      <c r="P88" s="301"/>
      <c r="Q88" s="301"/>
      <c r="R88" s="301"/>
      <c r="S88" s="301"/>
      <c r="T88" s="301"/>
      <c r="U88" s="301"/>
      <c r="V88" s="301"/>
      <c r="W88" s="301"/>
      <c r="X88" s="301"/>
      <c r="Y88" s="301"/>
      <c r="AB88" s="61"/>
      <c r="AC88" s="301"/>
      <c r="AD88" s="301"/>
      <c r="AE88" s="301"/>
      <c r="AF88" s="301"/>
      <c r="AG88" s="301"/>
      <c r="AH88" s="301"/>
      <c r="AI88" s="301"/>
      <c r="AJ88" s="301"/>
      <c r="AK88" s="301"/>
      <c r="AL88" s="301"/>
      <c r="AM88" s="301"/>
      <c r="AN88" s="301"/>
      <c r="AO88" s="301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1"/>
      <c r="BH88" s="301"/>
      <c r="BI88" s="301"/>
      <c r="BJ88" s="301"/>
      <c r="BK88" s="301"/>
      <c r="BL88" s="301"/>
      <c r="BM88" s="301"/>
      <c r="BN88" s="302"/>
    </row>
    <row r="89" spans="2:66" ht="17.25" customHeight="1" thickTop="1">
      <c r="B89" s="300"/>
      <c r="I89" s="309"/>
      <c r="J89" s="309"/>
      <c r="K89" s="309"/>
      <c r="V89" s="309"/>
      <c r="W89" s="309"/>
      <c r="X89" s="309"/>
      <c r="Y89" s="309"/>
      <c r="Z89" s="300"/>
      <c r="AA89" s="300"/>
      <c r="AB89" s="61"/>
      <c r="BN89" s="302"/>
    </row>
    <row r="90" spans="2:66" s="300" customFormat="1" ht="17.25" customHeight="1" thickBot="1">
      <c r="C90" s="310"/>
      <c r="D90" s="310"/>
      <c r="E90" s="343"/>
      <c r="F90" s="343"/>
      <c r="G90" s="343"/>
      <c r="H90" s="343"/>
      <c r="I90" s="343"/>
      <c r="J90" s="343"/>
      <c r="K90" s="343"/>
      <c r="L90" s="343"/>
      <c r="M90" s="343"/>
      <c r="N90" s="343"/>
      <c r="O90" s="343"/>
      <c r="P90" s="343"/>
      <c r="Q90" s="343"/>
      <c r="R90" s="343"/>
      <c r="S90" s="343"/>
      <c r="T90" s="343"/>
      <c r="U90" s="343"/>
      <c r="V90" s="343"/>
      <c r="W90" s="343"/>
      <c r="X90" s="343"/>
      <c r="Y90" s="343"/>
      <c r="AB90" s="61"/>
      <c r="AC90" s="301"/>
      <c r="AD90" s="301"/>
      <c r="AE90" s="301"/>
      <c r="AF90" s="301"/>
      <c r="AG90" s="301"/>
      <c r="AH90" s="301"/>
      <c r="AI90" s="301"/>
      <c r="AJ90" s="301"/>
      <c r="AK90" s="301"/>
      <c r="AL90" s="301"/>
      <c r="AM90" s="301"/>
      <c r="AN90" s="301"/>
      <c r="AO90" s="301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1"/>
      <c r="BH90" s="301"/>
      <c r="BI90" s="301"/>
      <c r="BJ90" s="301"/>
      <c r="BK90" s="301"/>
      <c r="BL90" s="301"/>
      <c r="BM90" s="301"/>
      <c r="BN90" s="302"/>
    </row>
    <row r="91" spans="2:66" s="300" customFormat="1" ht="17.25" customHeight="1" thickBot="1">
      <c r="B91" s="304" t="s">
        <v>18</v>
      </c>
      <c r="C91" s="305"/>
      <c r="D91" s="305"/>
      <c r="E91" s="305"/>
      <c r="F91" s="305"/>
      <c r="G91" s="305"/>
      <c r="H91" s="305"/>
      <c r="I91" s="305"/>
      <c r="J91" s="305"/>
      <c r="K91" s="305"/>
      <c r="L91" s="305"/>
      <c r="M91" s="305"/>
      <c r="N91" s="305"/>
      <c r="O91" s="305"/>
      <c r="P91" s="305"/>
      <c r="Q91" s="305"/>
      <c r="R91" s="305"/>
      <c r="S91" s="305"/>
      <c r="T91" s="305"/>
      <c r="U91" s="305"/>
      <c r="V91" s="305"/>
      <c r="W91" s="305"/>
      <c r="X91" s="305"/>
      <c r="Y91" s="305"/>
      <c r="Z91" s="305"/>
      <c r="AA91" s="305"/>
      <c r="AB91" s="62"/>
      <c r="AC91" s="301"/>
      <c r="AD91" s="301"/>
      <c r="AE91" s="301"/>
      <c r="AF91" s="301"/>
      <c r="AG91" s="301"/>
      <c r="AH91" s="301"/>
      <c r="AI91" s="301"/>
      <c r="AJ91" s="301"/>
      <c r="AK91" s="301"/>
      <c r="AL91" s="301"/>
      <c r="AM91" s="301"/>
      <c r="AN91" s="301"/>
      <c r="AO91" s="301"/>
      <c r="AP91" s="301"/>
      <c r="AQ91" s="301"/>
      <c r="AR91" s="301"/>
      <c r="AS91" s="301"/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/>
      <c r="BF91" s="301"/>
      <c r="BG91" s="301"/>
      <c r="BH91" s="301"/>
      <c r="BI91" s="301"/>
      <c r="BJ91" s="301"/>
      <c r="BK91" s="301"/>
      <c r="BL91" s="301"/>
      <c r="BM91" s="301"/>
      <c r="BN91" s="302"/>
    </row>
    <row r="92" spans="2:66" s="300" customFormat="1" ht="18" customHeight="1" thickBot="1">
      <c r="B92" s="301"/>
      <c r="C92" s="651" t="s">
        <v>176</v>
      </c>
      <c r="D92" s="652"/>
      <c r="E92" s="652"/>
      <c r="F92" s="652"/>
      <c r="G92" s="652"/>
      <c r="H92" s="652"/>
      <c r="I92" s="653"/>
      <c r="J92" s="654" t="s">
        <v>178</v>
      </c>
      <c r="K92" s="655"/>
      <c r="L92" s="655"/>
      <c r="M92" s="655"/>
      <c r="N92" s="655"/>
      <c r="O92" s="656"/>
      <c r="P92" s="301"/>
      <c r="Q92" s="301"/>
      <c r="R92" s="301"/>
      <c r="S92" s="301"/>
      <c r="T92" s="301"/>
      <c r="U92" s="301"/>
      <c r="V92" s="301"/>
      <c r="W92" s="301"/>
      <c r="X92" s="301"/>
      <c r="Y92" s="301"/>
      <c r="Z92" s="301"/>
      <c r="AA92" s="301"/>
      <c r="AB92" s="61"/>
      <c r="AC92" s="327" t="s">
        <v>177</v>
      </c>
      <c r="AD92" s="327" t="s">
        <v>178</v>
      </c>
      <c r="AE92" s="301"/>
      <c r="AF92" s="301"/>
      <c r="AG92" s="301"/>
      <c r="AH92" s="301"/>
      <c r="AI92" s="301"/>
      <c r="AJ92" s="301"/>
      <c r="AK92" s="301"/>
      <c r="AL92" s="301"/>
      <c r="AM92" s="301"/>
      <c r="AN92" s="301"/>
      <c r="AO92" s="301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/>
      <c r="BF92" s="301"/>
      <c r="BG92" s="301"/>
      <c r="BH92" s="301"/>
      <c r="BI92" s="301"/>
      <c r="BJ92" s="301"/>
      <c r="BK92" s="301"/>
      <c r="BL92" s="301"/>
      <c r="BM92" s="301"/>
      <c r="BN92" s="302"/>
    </row>
    <row r="93" spans="2:66" s="300" customFormat="1" ht="18" customHeight="1" thickTop="1" thickBot="1">
      <c r="B93" s="343"/>
      <c r="C93" s="651" t="s">
        <v>139</v>
      </c>
      <c r="D93" s="652"/>
      <c r="E93" s="652"/>
      <c r="F93" s="652"/>
      <c r="G93" s="652"/>
      <c r="H93" s="652"/>
      <c r="I93" s="653"/>
      <c r="J93" s="807" cm="1">
        <f t="array" ref="J93">angleConvert2Decimal(M93)</f>
        <v>0</v>
      </c>
      <c r="K93" s="808"/>
      <c r="L93" s="809"/>
      <c r="M93" s="810">
        <v>0</v>
      </c>
      <c r="N93" s="811"/>
      <c r="O93" s="812"/>
      <c r="P93" s="696" t="str" cm="1">
        <f t="array" ref="P93">angleDecimal2Txt(J93)</f>
        <v>+00°00.00 (+00.0000) [+00°00'00.00]</v>
      </c>
      <c r="Q93" s="697"/>
      <c r="R93" s="697"/>
      <c r="S93" s="697"/>
      <c r="T93" s="697"/>
      <c r="U93" s="697"/>
      <c r="V93" s="697"/>
      <c r="W93" s="697"/>
      <c r="X93" s="640"/>
      <c r="Y93" s="343"/>
      <c r="AB93" s="61"/>
      <c r="AC93" s="301"/>
      <c r="AD93" s="301"/>
      <c r="AE93" s="301"/>
      <c r="AF93" s="301"/>
      <c r="AG93" s="301"/>
      <c r="AH93" s="301"/>
      <c r="AI93" s="301"/>
      <c r="AJ93" s="301"/>
      <c r="AK93" s="301"/>
      <c r="AL93" s="301"/>
      <c r="AM93" s="301"/>
      <c r="AN93" s="301"/>
      <c r="AO93" s="301"/>
      <c r="AP93" s="301"/>
      <c r="AQ93" s="301"/>
      <c r="AR93" s="301"/>
      <c r="AS93" s="301"/>
      <c r="AT93" s="301"/>
      <c r="AU93" s="301"/>
      <c r="AV93" s="301"/>
      <c r="AW93" s="301"/>
      <c r="AX93" s="301"/>
      <c r="AY93" s="301"/>
      <c r="AZ93" s="301"/>
      <c r="BA93" s="301"/>
      <c r="BB93" s="301"/>
      <c r="BC93" s="301"/>
      <c r="BD93" s="301"/>
      <c r="BE93" s="301"/>
      <c r="BF93" s="301"/>
      <c r="BG93" s="301"/>
      <c r="BH93" s="301"/>
      <c r="BI93" s="301"/>
      <c r="BJ93" s="301"/>
      <c r="BK93" s="301"/>
      <c r="BL93" s="301"/>
      <c r="BM93" s="301"/>
      <c r="BN93" s="302"/>
    </row>
    <row r="94" spans="2:66" s="300" customFormat="1" ht="18" customHeight="1" thickTop="1" thickBot="1">
      <c r="C94" s="641" t="s">
        <v>138</v>
      </c>
      <c r="D94" s="641"/>
      <c r="E94" s="641"/>
      <c r="F94" s="641"/>
      <c r="G94" s="641"/>
      <c r="H94" s="641"/>
      <c r="I94" s="641"/>
      <c r="J94" s="649" cm="1">
        <f t="array" ref="J94">angleConvert2Decimal(M94)</f>
        <v>0</v>
      </c>
      <c r="K94" s="650"/>
      <c r="L94" s="686"/>
      <c r="M94" s="816">
        <v>0</v>
      </c>
      <c r="N94" s="817"/>
      <c r="O94" s="818"/>
      <c r="P94" s="474" t="str" cm="1">
        <f t="array" ref="P94">angleDecimal2Txt(J94)</f>
        <v>+00°00.00 (+00.0000) [+00°00'00.00]</v>
      </c>
      <c r="Q94" s="474"/>
      <c r="R94" s="474"/>
      <c r="S94" s="474"/>
      <c r="T94" s="474"/>
      <c r="U94" s="474"/>
      <c r="V94" s="474"/>
      <c r="W94" s="474"/>
      <c r="X94" s="474"/>
      <c r="Y94" s="343"/>
      <c r="AB94" s="61"/>
      <c r="AC94" s="301"/>
      <c r="AD94" s="301"/>
      <c r="AE94" s="301"/>
      <c r="AF94" s="301"/>
      <c r="AG94" s="301"/>
      <c r="AH94" s="301"/>
      <c r="AI94" s="301"/>
      <c r="AJ94" s="301"/>
      <c r="AK94" s="301"/>
      <c r="AL94" s="301"/>
      <c r="AM94" s="301"/>
      <c r="AN94" s="301"/>
      <c r="AO94" s="301"/>
      <c r="AP94" s="301"/>
      <c r="AQ94" s="301"/>
      <c r="AR94" s="301"/>
      <c r="AS94" s="301"/>
      <c r="AT94" s="301"/>
      <c r="AU94" s="301"/>
      <c r="AV94" s="301"/>
      <c r="AW94" s="301"/>
      <c r="AX94" s="301"/>
      <c r="AY94" s="301"/>
      <c r="AZ94" s="301"/>
      <c r="BA94" s="301"/>
      <c r="BB94" s="301"/>
      <c r="BC94" s="301"/>
      <c r="BD94" s="301"/>
      <c r="BE94" s="301"/>
      <c r="BF94" s="301"/>
      <c r="BG94" s="301"/>
      <c r="BH94" s="301"/>
      <c r="BI94" s="301"/>
      <c r="BJ94" s="301"/>
      <c r="BK94" s="301"/>
      <c r="BL94" s="301"/>
      <c r="BM94" s="301"/>
      <c r="BN94" s="302"/>
    </row>
    <row r="95" spans="2:66" s="300" customFormat="1" ht="18" customHeight="1" thickTop="1" thickBot="1">
      <c r="C95" s="641" t="s">
        <v>146</v>
      </c>
      <c r="D95" s="641"/>
      <c r="E95" s="641"/>
      <c r="F95" s="641"/>
      <c r="G95" s="641"/>
      <c r="H95" s="641"/>
      <c r="I95" s="641"/>
      <c r="J95" s="657" cm="1">
        <f t="array" ref="J95">angleConvert2Decimal(M95)</f>
        <v>0</v>
      </c>
      <c r="K95" s="657"/>
      <c r="L95" s="657"/>
      <c r="M95" s="914">
        <f>M94/2</f>
        <v>0</v>
      </c>
      <c r="N95" s="915"/>
      <c r="O95" s="915"/>
      <c r="P95" s="474" t="str" cm="1">
        <f t="array" ref="P95">angleDecimal2Txt(J95)</f>
        <v>+00°00.00 (+00.0000) [+00°00'00.00]</v>
      </c>
      <c r="Q95" s="474"/>
      <c r="R95" s="474"/>
      <c r="S95" s="474"/>
      <c r="T95" s="474"/>
      <c r="U95" s="474"/>
      <c r="V95" s="474"/>
      <c r="W95" s="474"/>
      <c r="X95" s="474"/>
      <c r="Y95" s="343"/>
      <c r="AB95" s="61"/>
      <c r="AC95" s="301"/>
      <c r="AD95" s="301"/>
      <c r="AE95" s="301"/>
      <c r="AF95" s="301"/>
      <c r="AG95" s="301"/>
      <c r="AH95" s="301"/>
      <c r="AI95" s="301"/>
      <c r="AJ95" s="301"/>
      <c r="AK95" s="301"/>
      <c r="AL95" s="301"/>
      <c r="AM95" s="301"/>
      <c r="AN95" s="301"/>
      <c r="AO95" s="301"/>
      <c r="AP95" s="301"/>
      <c r="AQ95" s="301"/>
      <c r="AR95" s="301"/>
      <c r="AS95" s="301"/>
      <c r="AT95" s="301"/>
      <c r="AU95" s="301"/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1"/>
      <c r="BH95" s="301"/>
      <c r="BI95" s="301"/>
      <c r="BJ95" s="301"/>
      <c r="BK95" s="301"/>
      <c r="BL95" s="301"/>
      <c r="BM95" s="301"/>
      <c r="BN95" s="302"/>
    </row>
    <row r="96" spans="2:66" s="300" customFormat="1" ht="18" customHeight="1" thickTop="1" thickBot="1">
      <c r="C96" s="658" t="s">
        <v>19</v>
      </c>
      <c r="D96" s="658"/>
      <c r="E96" s="658"/>
      <c r="F96" s="658"/>
      <c r="G96" s="658"/>
      <c r="H96" s="658"/>
      <c r="I96" s="658"/>
      <c r="J96" s="644">
        <f>M96</f>
        <v>2</v>
      </c>
      <c r="K96" s="645"/>
      <c r="L96" s="646"/>
      <c r="M96" s="538">
        <v>2</v>
      </c>
      <c r="N96" s="538"/>
      <c r="O96" s="538"/>
      <c r="P96" s="343"/>
      <c r="Q96" s="343"/>
      <c r="R96" s="343"/>
      <c r="S96" s="343"/>
      <c r="T96" s="343"/>
      <c r="U96" s="343"/>
      <c r="V96" s="343"/>
      <c r="W96" s="343"/>
      <c r="X96" s="343"/>
      <c r="Y96" s="343"/>
      <c r="AB96" s="61"/>
      <c r="AC96" s="301"/>
      <c r="AD96" s="301"/>
      <c r="AE96" s="301"/>
      <c r="AF96" s="301"/>
      <c r="AG96" s="301"/>
      <c r="AH96" s="301"/>
      <c r="AI96" s="301"/>
      <c r="AJ96" s="301"/>
      <c r="AK96" s="301"/>
      <c r="AL96" s="301"/>
      <c r="AM96" s="301"/>
      <c r="AN96" s="301"/>
      <c r="AO96" s="301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1"/>
      <c r="BH96" s="301"/>
      <c r="BI96" s="301"/>
      <c r="BJ96" s="301"/>
      <c r="BK96" s="301"/>
      <c r="BL96" s="301"/>
      <c r="BM96" s="301"/>
      <c r="BN96" s="302"/>
    </row>
    <row r="97" spans="2:66" s="300" customFormat="1" ht="18" customHeight="1" thickTop="1" thickBot="1">
      <c r="B97" s="343"/>
      <c r="C97" s="545" t="s">
        <v>20</v>
      </c>
      <c r="D97" s="546"/>
      <c r="E97" s="546"/>
      <c r="F97" s="546"/>
      <c r="G97" s="546"/>
      <c r="H97" s="546"/>
      <c r="I97" s="547"/>
      <c r="J97" s="649" cm="1">
        <f t="array" ref="J97">angleConvert2Decimal(M97)</f>
        <v>2.1666666666666667E-2</v>
      </c>
      <c r="K97" s="650"/>
      <c r="L97" s="686"/>
      <c r="M97" s="537" t="s">
        <v>260</v>
      </c>
      <c r="N97" s="538"/>
      <c r="O97" s="538"/>
      <c r="P97" s="474" t="str" cm="1">
        <f t="array" ref="P97">angleDecimal2Txt(J97)</f>
        <v>+00°01.30 (+00.0216) [+00°01'18.00]</v>
      </c>
      <c r="Q97" s="474"/>
      <c r="R97" s="474"/>
      <c r="S97" s="474"/>
      <c r="T97" s="474"/>
      <c r="U97" s="474"/>
      <c r="V97" s="474"/>
      <c r="W97" s="474"/>
      <c r="X97" s="474"/>
      <c r="Y97" s="343"/>
      <c r="AB97" s="61"/>
      <c r="AC97" s="301"/>
      <c r="AD97" s="301"/>
      <c r="AE97" s="301"/>
      <c r="AF97" s="301"/>
      <c r="AG97" s="301"/>
      <c r="AH97" s="301"/>
      <c r="AI97" s="301"/>
      <c r="AJ97" s="301"/>
      <c r="AK97" s="301"/>
      <c r="AL97" s="301"/>
      <c r="AM97" s="301"/>
      <c r="AN97" s="301"/>
      <c r="AO97" s="301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1"/>
      <c r="BH97" s="301"/>
      <c r="BI97" s="301"/>
      <c r="BJ97" s="301"/>
      <c r="BK97" s="301"/>
      <c r="BL97" s="301"/>
      <c r="BM97" s="301"/>
      <c r="BN97" s="302"/>
    </row>
    <row r="98" spans="2:66" s="300" customFormat="1" ht="18" customHeight="1" thickTop="1" thickBot="1">
      <c r="C98" s="558" t="s">
        <v>26</v>
      </c>
      <c r="D98" s="558"/>
      <c r="E98" s="558"/>
      <c r="F98" s="558"/>
      <c r="G98" s="558"/>
      <c r="H98" s="558"/>
      <c r="I98" s="558"/>
      <c r="J98" s="916">
        <f>IF(J92=AC92,J95,angleConvert2Decimal(M98))</f>
        <v>66.95</v>
      </c>
      <c r="K98" s="917"/>
      <c r="L98" s="918"/>
      <c r="M98" s="537" t="s">
        <v>271</v>
      </c>
      <c r="N98" s="538"/>
      <c r="O98" s="538"/>
      <c r="P98" s="474" t="str" cm="1">
        <f t="array" ref="P98">angleDecimal2Txt(J98)</f>
        <v>+66°57.00 (+66.9500) [+66°57'00.00]</v>
      </c>
      <c r="Q98" s="474"/>
      <c r="R98" s="474"/>
      <c r="S98" s="474"/>
      <c r="T98" s="474"/>
      <c r="U98" s="474"/>
      <c r="V98" s="474"/>
      <c r="W98" s="474"/>
      <c r="X98" s="474"/>
      <c r="Y98" s="343"/>
      <c r="AB98" s="61"/>
      <c r="AC98" s="301"/>
      <c r="AD98" s="301"/>
      <c r="AE98" s="301"/>
      <c r="AF98" s="301"/>
      <c r="AG98" s="301"/>
      <c r="AH98" s="301"/>
      <c r="AI98" s="301"/>
      <c r="AJ98" s="301"/>
      <c r="AK98" s="301"/>
      <c r="AL98" s="301"/>
      <c r="AM98" s="301"/>
      <c r="AN98" s="301"/>
      <c r="AO98" s="301"/>
      <c r="AP98" s="301"/>
      <c r="AQ98" s="301"/>
      <c r="AR98" s="301"/>
      <c r="AS98" s="301"/>
      <c r="AT98" s="301"/>
      <c r="AU98" s="301"/>
      <c r="AV98" s="301"/>
      <c r="AW98" s="301"/>
      <c r="AX98" s="301"/>
      <c r="AY98" s="301"/>
      <c r="AZ98" s="301"/>
      <c r="BA98" s="301"/>
      <c r="BB98" s="301"/>
      <c r="BC98" s="301"/>
      <c r="BD98" s="301"/>
      <c r="BE98" s="301"/>
      <c r="BF98" s="301"/>
      <c r="BG98" s="301"/>
      <c r="BH98" s="301"/>
      <c r="BI98" s="301"/>
      <c r="BJ98" s="301"/>
      <c r="BK98" s="301"/>
      <c r="BL98" s="301"/>
      <c r="BM98" s="301"/>
      <c r="BN98" s="302"/>
    </row>
    <row r="99" spans="2:66" s="300" customFormat="1" ht="18" customHeight="1" thickTop="1">
      <c r="C99" s="548" t="s">
        <v>30</v>
      </c>
      <c r="D99" s="548"/>
      <c r="E99" s="548"/>
      <c r="F99" s="548"/>
      <c r="G99" s="548"/>
      <c r="H99" s="548"/>
      <c r="I99" s="548"/>
      <c r="J99" s="549" t="str">
        <f>M99</f>
        <v>Soleil</v>
      </c>
      <c r="K99" s="550"/>
      <c r="L99" s="551"/>
      <c r="M99" s="598" t="s">
        <v>31</v>
      </c>
      <c r="N99" s="599"/>
      <c r="O99" s="600"/>
      <c r="P99" s="343"/>
      <c r="Q99" s="343"/>
      <c r="R99" s="343"/>
      <c r="S99" s="343"/>
      <c r="T99" s="343"/>
      <c r="U99" s="343"/>
      <c r="V99" s="343"/>
      <c r="W99" s="343"/>
      <c r="X99" s="343"/>
      <c r="Y99" s="343"/>
      <c r="AB99" s="61"/>
      <c r="AC99" s="301"/>
      <c r="AD99" s="301"/>
      <c r="AE99" s="301"/>
      <c r="AF99" s="301"/>
      <c r="AI99" s="301"/>
      <c r="AJ99" s="301"/>
      <c r="AK99" s="301"/>
      <c r="AL99" s="301"/>
      <c r="AM99" s="301"/>
      <c r="AN99" s="301"/>
      <c r="AO99" s="301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/>
      <c r="BF99" s="301"/>
      <c r="BG99" s="301"/>
      <c r="BH99" s="301"/>
      <c r="BI99" s="301"/>
      <c r="BJ99" s="301"/>
      <c r="BK99" s="301"/>
      <c r="BL99" s="301"/>
      <c r="BM99" s="301"/>
      <c r="BN99" s="302"/>
    </row>
    <row r="100" spans="2:66" s="300" customFormat="1" ht="18" customHeight="1">
      <c r="C100" s="548" t="s">
        <v>56</v>
      </c>
      <c r="D100" s="548"/>
      <c r="E100" s="548"/>
      <c r="F100" s="548"/>
      <c r="G100" s="548"/>
      <c r="H100" s="548"/>
      <c r="I100" s="548"/>
      <c r="J100" s="549" t="str">
        <f>M100</f>
        <v>BordInf</v>
      </c>
      <c r="K100" s="550"/>
      <c r="L100" s="551"/>
      <c r="M100" s="568" t="s">
        <v>57</v>
      </c>
      <c r="N100" s="568"/>
      <c r="O100" s="568"/>
      <c r="P100" s="343"/>
      <c r="Q100" s="343"/>
      <c r="R100" s="343"/>
      <c r="S100" s="343"/>
      <c r="T100" s="343"/>
      <c r="U100" s="343"/>
      <c r="V100" s="343"/>
      <c r="W100" s="343"/>
      <c r="X100" s="343"/>
      <c r="Y100" s="343"/>
      <c r="AB100" s="61"/>
      <c r="AC100" s="313" t="s">
        <v>201</v>
      </c>
      <c r="AD100" s="314" t="s">
        <v>32</v>
      </c>
      <c r="AE100" s="314" t="s">
        <v>33</v>
      </c>
      <c r="AF100" s="314" t="s">
        <v>31</v>
      </c>
      <c r="AI100" s="301"/>
      <c r="AJ100" s="301"/>
      <c r="AK100" s="301"/>
      <c r="AL100" s="301"/>
      <c r="AM100" s="301"/>
      <c r="AN100" s="301"/>
      <c r="AO100" s="301"/>
      <c r="AP100" s="301"/>
      <c r="AQ100" s="301"/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1"/>
      <c r="BH100" s="301"/>
      <c r="BI100" s="301"/>
      <c r="BJ100" s="301"/>
      <c r="BK100" s="301"/>
      <c r="BL100" s="301"/>
      <c r="BM100" s="301"/>
      <c r="BN100" s="302"/>
    </row>
    <row r="101" spans="2:66" s="300" customFormat="1" ht="17.25" customHeight="1">
      <c r="C101" s="559" t="s">
        <v>162</v>
      </c>
      <c r="D101" s="560"/>
      <c r="E101" s="27"/>
      <c r="F101" s="27"/>
      <c r="G101" s="27"/>
      <c r="H101" s="27"/>
      <c r="I101" s="28"/>
      <c r="J101" s="609" cm="1">
        <f t="array" ref="J101">angleConvert2Decimal(M101)</f>
        <v>2.8833333333333332E-3</v>
      </c>
      <c r="K101" s="610"/>
      <c r="L101" s="611"/>
      <c r="M101" s="618" t="str">
        <f>P103</f>
        <v>0.173'</v>
      </c>
      <c r="N101" s="619"/>
      <c r="O101" s="619"/>
      <c r="P101" s="624" t="s">
        <v>101</v>
      </c>
      <c r="Q101" s="624"/>
      <c r="R101" s="624"/>
      <c r="S101" s="343"/>
      <c r="T101" s="343"/>
      <c r="U101" s="343"/>
      <c r="V101" s="343"/>
      <c r="W101" s="343"/>
      <c r="X101" s="343"/>
      <c r="Y101" s="343"/>
      <c r="AB101" s="61"/>
      <c r="AC101" s="313" t="s">
        <v>103</v>
      </c>
      <c r="AD101" s="315" t="s">
        <v>104</v>
      </c>
      <c r="AE101" s="315" t="s">
        <v>105</v>
      </c>
      <c r="AF101" s="315" t="s">
        <v>76</v>
      </c>
      <c r="AI101" s="301"/>
      <c r="AJ101" s="301"/>
      <c r="AK101" s="301"/>
      <c r="AL101" s="301"/>
      <c r="AM101" s="301"/>
      <c r="AN101" s="301"/>
      <c r="AO101" s="301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/>
      <c r="AZ101" s="301"/>
      <c r="BA101" s="301"/>
      <c r="BB101" s="301"/>
      <c r="BC101" s="301"/>
      <c r="BD101" s="301"/>
      <c r="BE101" s="301"/>
      <c r="BF101" s="301"/>
      <c r="BG101" s="301"/>
      <c r="BH101" s="301"/>
      <c r="BI101" s="301"/>
      <c r="BJ101" s="301"/>
      <c r="BK101" s="301"/>
      <c r="BL101" s="301"/>
      <c r="BM101" s="301"/>
      <c r="BN101" s="302"/>
    </row>
    <row r="102" spans="2:66" s="300" customFormat="1" ht="17.25" customHeight="1" thickBot="1">
      <c r="C102" s="29"/>
      <c r="D102" s="787" t="s">
        <v>163</v>
      </c>
      <c r="E102" s="787"/>
      <c r="F102" s="787"/>
      <c r="G102" s="787"/>
      <c r="H102" s="787"/>
      <c r="I102" s="788"/>
      <c r="J102" s="612"/>
      <c r="K102" s="613"/>
      <c r="L102" s="614"/>
      <c r="M102" s="620"/>
      <c r="N102" s="621"/>
      <c r="O102" s="621"/>
      <c r="P102" s="624"/>
      <c r="Q102" s="624"/>
      <c r="R102" s="624"/>
      <c r="S102" s="343"/>
      <c r="T102" s="343"/>
      <c r="U102" s="343"/>
      <c r="V102" s="343"/>
      <c r="W102" s="343"/>
      <c r="X102" s="343"/>
      <c r="Y102" s="343"/>
      <c r="AB102" s="61"/>
      <c r="AC102" s="313" t="s">
        <v>107</v>
      </c>
      <c r="AD102" s="315" t="s">
        <v>104</v>
      </c>
      <c r="AE102" s="315" t="s">
        <v>108</v>
      </c>
      <c r="AF102" s="315" t="s">
        <v>75</v>
      </c>
      <c r="AI102" s="301"/>
      <c r="AJ102" s="301"/>
      <c r="AK102" s="301"/>
      <c r="AL102" s="301"/>
      <c r="AM102" s="301"/>
      <c r="AN102" s="301"/>
      <c r="AO102" s="301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/>
      <c r="BF102" s="301"/>
      <c r="BG102" s="301"/>
      <c r="BH102" s="301"/>
      <c r="BI102" s="301"/>
      <c r="BJ102" s="301"/>
      <c r="BK102" s="301"/>
      <c r="BL102" s="301"/>
      <c r="BM102" s="301"/>
      <c r="BN102" s="302"/>
    </row>
    <row r="103" spans="2:66" s="300" customFormat="1" ht="17.25" customHeight="1" thickTop="1" thickBot="1">
      <c r="C103" s="29"/>
      <c r="D103" s="787"/>
      <c r="E103" s="787"/>
      <c r="F103" s="787"/>
      <c r="G103" s="787"/>
      <c r="H103" s="787"/>
      <c r="I103" s="788"/>
      <c r="J103" s="612"/>
      <c r="K103" s="613"/>
      <c r="L103" s="614"/>
      <c r="M103" s="620"/>
      <c r="N103" s="621"/>
      <c r="O103" s="621"/>
      <c r="P103" s="542" t="str">
        <f>HLOOKUP(M99,AD100:AF102,2,FALSE)</f>
        <v>0.173'</v>
      </c>
      <c r="Q103" s="542"/>
      <c r="R103" s="542"/>
      <c r="S103" s="540" t="str" cm="1">
        <f t="array" ref="S103">angleDecimal2Txt(angleConvert2Decimal(P103))</f>
        <v>+00°00.17 (+00.0028) [+00°00'10.37]</v>
      </c>
      <c r="T103" s="540"/>
      <c r="U103" s="540"/>
      <c r="V103" s="540"/>
      <c r="W103" s="540"/>
      <c r="X103" s="541"/>
      <c r="Y103" s="343"/>
      <c r="AB103" s="61"/>
      <c r="AC103" s="301"/>
      <c r="AD103" s="301"/>
      <c r="AE103" s="301"/>
      <c r="AF103" s="301"/>
      <c r="AG103" s="301"/>
      <c r="AH103" s="301"/>
      <c r="AI103" s="301"/>
      <c r="AJ103" s="301"/>
      <c r="AK103" s="301"/>
      <c r="AL103" s="301"/>
      <c r="AM103" s="301"/>
      <c r="AN103" s="301"/>
      <c r="AO103" s="301"/>
      <c r="AP103" s="301"/>
      <c r="AQ103" s="301"/>
      <c r="AR103" s="301"/>
      <c r="AS103" s="301"/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/>
      <c r="BF103" s="301"/>
      <c r="BG103" s="301"/>
      <c r="BH103" s="301"/>
      <c r="BI103" s="301"/>
      <c r="BJ103" s="301"/>
      <c r="BK103" s="301"/>
      <c r="BL103" s="301"/>
      <c r="BM103" s="301"/>
      <c r="BN103" s="302"/>
    </row>
    <row r="104" spans="2:66" s="300" customFormat="1" ht="17.25" customHeight="1" thickTop="1" thickBot="1">
      <c r="C104" s="30"/>
      <c r="D104" s="789"/>
      <c r="E104" s="789"/>
      <c r="F104" s="789"/>
      <c r="G104" s="789"/>
      <c r="H104" s="789"/>
      <c r="I104" s="790"/>
      <c r="J104" s="921"/>
      <c r="K104" s="746"/>
      <c r="L104" s="747"/>
      <c r="M104" s="622"/>
      <c r="N104" s="623"/>
      <c r="O104" s="623"/>
      <c r="P104" s="480" t="str" cm="1">
        <f t="array" ref="P104">angleDecimal2Txt(J101)</f>
        <v>+00°00.17 (+00.0028) [+00°00'10.37]</v>
      </c>
      <c r="Q104" s="480"/>
      <c r="R104" s="480"/>
      <c r="S104" s="474"/>
      <c r="T104" s="474"/>
      <c r="U104" s="474"/>
      <c r="V104" s="474"/>
      <c r="W104" s="474"/>
      <c r="X104" s="474"/>
      <c r="Y104" s="343"/>
      <c r="AB104" s="61"/>
      <c r="AC104" s="313" t="s">
        <v>102</v>
      </c>
      <c r="AD104" s="314" t="s">
        <v>57</v>
      </c>
      <c r="AE104" s="314" t="s">
        <v>199</v>
      </c>
      <c r="AF104" s="314" t="s">
        <v>58</v>
      </c>
      <c r="AG104" s="301"/>
      <c r="AH104" s="301"/>
      <c r="AI104" s="301"/>
      <c r="AJ104" s="301"/>
      <c r="AK104" s="301"/>
      <c r="AL104" s="301"/>
      <c r="AM104" s="301"/>
      <c r="AN104" s="301"/>
      <c r="AO104" s="301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1"/>
      <c r="BH104" s="301"/>
      <c r="BI104" s="301"/>
      <c r="BJ104" s="301"/>
      <c r="BK104" s="301"/>
      <c r="BL104" s="301"/>
      <c r="BM104" s="301"/>
      <c r="BN104" s="302"/>
    </row>
    <row r="105" spans="2:66" s="300" customFormat="1" ht="17.25" customHeight="1" thickTop="1">
      <c r="C105" s="601" t="s">
        <v>106</v>
      </c>
      <c r="D105" s="602"/>
      <c r="E105" s="602"/>
      <c r="F105" s="602"/>
      <c r="G105" s="602"/>
      <c r="H105" s="602"/>
      <c r="I105" s="603"/>
      <c r="J105" s="609" cm="1">
        <f t="array" ref="J105">angleConvert2Decimal(M105)</f>
        <v>0.53333333333333333</v>
      </c>
      <c r="K105" s="610"/>
      <c r="L105" s="611"/>
      <c r="M105" s="618" t="str">
        <f>P107</f>
        <v>32'</v>
      </c>
      <c r="N105" s="619"/>
      <c r="O105" s="619"/>
      <c r="P105" s="624" t="s">
        <v>101</v>
      </c>
      <c r="Q105" s="624"/>
      <c r="R105" s="624"/>
      <c r="S105" s="343"/>
      <c r="T105" s="343"/>
      <c r="U105" s="343"/>
      <c r="V105" s="343"/>
      <c r="W105" s="343"/>
      <c r="X105" s="343"/>
      <c r="Y105" s="343"/>
      <c r="AB105" s="61"/>
      <c r="AC105" s="313" t="s">
        <v>200</v>
      </c>
      <c r="AD105" s="378">
        <v>0.5</v>
      </c>
      <c r="AE105" s="378">
        <v>-0.5</v>
      </c>
      <c r="AF105" s="378">
        <v>0</v>
      </c>
      <c r="AG105" s="301"/>
      <c r="AH105" s="301"/>
      <c r="AI105" s="301"/>
      <c r="AJ105" s="301"/>
      <c r="AK105" s="301"/>
      <c r="AL105" s="301"/>
      <c r="AM105" s="301"/>
      <c r="AN105" s="301"/>
      <c r="AO105" s="301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/>
      <c r="BF105" s="301"/>
      <c r="BG105" s="301"/>
      <c r="BH105" s="301"/>
      <c r="BI105" s="301"/>
      <c r="BJ105" s="301"/>
      <c r="BK105" s="301"/>
      <c r="BL105" s="301"/>
      <c r="BM105" s="301"/>
      <c r="BN105" s="302"/>
    </row>
    <row r="106" spans="2:66" s="300" customFormat="1" ht="17.25" customHeight="1" thickBot="1">
      <c r="C106" s="604"/>
      <c r="D106" s="531"/>
      <c r="E106" s="531"/>
      <c r="F106" s="531"/>
      <c r="G106" s="531"/>
      <c r="H106" s="531"/>
      <c r="I106" s="605"/>
      <c r="J106" s="612"/>
      <c r="K106" s="613"/>
      <c r="L106" s="614"/>
      <c r="M106" s="620"/>
      <c r="N106" s="621"/>
      <c r="O106" s="621"/>
      <c r="P106" s="624"/>
      <c r="Q106" s="624"/>
      <c r="R106" s="624"/>
      <c r="S106" s="343"/>
      <c r="T106" s="343"/>
      <c r="U106" s="343"/>
      <c r="V106" s="343"/>
      <c r="W106" s="343"/>
      <c r="X106" s="343"/>
      <c r="Y106" s="343"/>
      <c r="AB106" s="61"/>
      <c r="AC106" s="301"/>
      <c r="AD106" s="301"/>
      <c r="AE106" s="301"/>
      <c r="AF106" s="301"/>
      <c r="AG106" s="301"/>
      <c r="AH106" s="301"/>
      <c r="AI106" s="301"/>
      <c r="AJ106" s="301"/>
      <c r="AK106" s="301"/>
      <c r="AL106" s="301"/>
      <c r="AM106" s="301"/>
      <c r="AN106" s="301"/>
      <c r="AO106" s="301"/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/>
      <c r="BF106" s="301"/>
      <c r="BG106" s="301"/>
      <c r="BH106" s="301"/>
      <c r="BI106" s="301"/>
      <c r="BJ106" s="301"/>
      <c r="BK106" s="301"/>
      <c r="BL106" s="301"/>
      <c r="BM106" s="301"/>
      <c r="BN106" s="302"/>
    </row>
    <row r="107" spans="2:66" s="300" customFormat="1" ht="17.25" customHeight="1" thickTop="1" thickBot="1">
      <c r="C107" s="604"/>
      <c r="D107" s="531"/>
      <c r="E107" s="531"/>
      <c r="F107" s="531"/>
      <c r="G107" s="531"/>
      <c r="H107" s="531"/>
      <c r="I107" s="605"/>
      <c r="J107" s="612"/>
      <c r="K107" s="613"/>
      <c r="L107" s="614"/>
      <c r="M107" s="620"/>
      <c r="N107" s="621"/>
      <c r="O107" s="621"/>
      <c r="P107" s="542" t="str">
        <f>HLOOKUP(M99,AD100:AF102,3,FALSE)</f>
        <v>32'</v>
      </c>
      <c r="Q107" s="542"/>
      <c r="R107" s="542"/>
      <c r="S107" s="540" t="str" cm="1">
        <f t="array" ref="S107">angleDecimal2Txt(angleConvert2Decimal(P107))</f>
        <v>+00°32.00 (+00.5333) [+00°32'00.00]</v>
      </c>
      <c r="T107" s="540"/>
      <c r="U107" s="540"/>
      <c r="V107" s="540"/>
      <c r="W107" s="540"/>
      <c r="X107" s="541"/>
      <c r="Y107" s="343"/>
      <c r="AB107" s="61"/>
      <c r="AC107" s="301"/>
      <c r="AD107" s="301"/>
      <c r="AE107" s="301"/>
      <c r="AF107" s="301"/>
      <c r="AG107" s="301"/>
      <c r="AH107" s="301"/>
      <c r="AI107" s="301"/>
      <c r="AJ107" s="301"/>
      <c r="AK107" s="301"/>
      <c r="AL107" s="301"/>
      <c r="AM107" s="301"/>
      <c r="AN107" s="301"/>
      <c r="AO107" s="301"/>
      <c r="AP107" s="301"/>
      <c r="AQ107" s="301"/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/>
      <c r="BF107" s="301"/>
      <c r="BG107" s="301"/>
      <c r="BH107" s="301"/>
      <c r="BI107" s="301"/>
      <c r="BJ107" s="301"/>
      <c r="BK107" s="301"/>
      <c r="BL107" s="301"/>
      <c r="BM107" s="301"/>
      <c r="BN107" s="302"/>
    </row>
    <row r="108" spans="2:66" s="300" customFormat="1" ht="17.25" customHeight="1" thickTop="1" thickBot="1">
      <c r="C108" s="606"/>
      <c r="D108" s="607"/>
      <c r="E108" s="607"/>
      <c r="F108" s="607"/>
      <c r="G108" s="607"/>
      <c r="H108" s="607"/>
      <c r="I108" s="608"/>
      <c r="J108" s="615"/>
      <c r="K108" s="616"/>
      <c r="L108" s="617"/>
      <c r="M108" s="622"/>
      <c r="N108" s="623"/>
      <c r="O108" s="623"/>
      <c r="P108" s="480" t="str" cm="1">
        <f t="array" ref="P108">angleDecimal2Txt(J105)</f>
        <v>+00°32.00 (+00.5333) [+00°32'00.00]</v>
      </c>
      <c r="Q108" s="480"/>
      <c r="R108" s="480"/>
      <c r="S108" s="474"/>
      <c r="T108" s="474"/>
      <c r="U108" s="474"/>
      <c r="V108" s="474"/>
      <c r="W108" s="474"/>
      <c r="X108" s="474"/>
      <c r="Y108" s="343"/>
      <c r="AB108" s="61"/>
      <c r="AC108" s="301"/>
      <c r="AD108" s="301"/>
      <c r="AE108" s="301"/>
      <c r="AF108" s="301"/>
      <c r="AG108" s="301"/>
      <c r="AH108" s="301"/>
      <c r="AI108" s="301"/>
      <c r="AJ108" s="301"/>
      <c r="AK108" s="301"/>
      <c r="AL108" s="301"/>
      <c r="AM108" s="301"/>
      <c r="AN108" s="301"/>
      <c r="AO108" s="301"/>
      <c r="AP108" s="301"/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/>
      <c r="BF108" s="301"/>
      <c r="BG108" s="301"/>
      <c r="BH108" s="301"/>
      <c r="BI108" s="301"/>
      <c r="BJ108" s="301"/>
      <c r="BK108" s="301"/>
      <c r="BL108" s="301"/>
      <c r="BM108" s="301"/>
      <c r="BN108" s="302"/>
    </row>
    <row r="109" spans="2:66" s="300" customFormat="1" ht="17.25" customHeight="1" thickTop="1" thickBot="1">
      <c r="C109" s="343"/>
      <c r="D109" s="343"/>
      <c r="E109" s="343"/>
      <c r="F109" s="343"/>
      <c r="G109" s="343"/>
      <c r="H109" s="343"/>
      <c r="I109" s="343"/>
      <c r="J109" s="343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AB109" s="61"/>
      <c r="AC109" s="301"/>
      <c r="AD109" s="301"/>
      <c r="AE109" s="301"/>
      <c r="AF109" s="301"/>
      <c r="AG109" s="301"/>
      <c r="AH109" s="301"/>
      <c r="AI109" s="301"/>
      <c r="AJ109" s="301"/>
      <c r="AK109" s="301"/>
      <c r="AL109" s="301"/>
      <c r="AM109" s="301"/>
      <c r="AN109" s="301"/>
      <c r="AO109" s="301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1"/>
      <c r="BH109" s="301"/>
      <c r="BI109" s="301"/>
      <c r="BJ109" s="301"/>
      <c r="BK109" s="301"/>
      <c r="BL109" s="301"/>
      <c r="BM109" s="301"/>
      <c r="BN109" s="302"/>
    </row>
    <row r="110" spans="2:66" s="300" customFormat="1" ht="17.25" customHeight="1" thickBot="1">
      <c r="B110" s="304" t="s">
        <v>214</v>
      </c>
      <c r="C110" s="305"/>
      <c r="D110" s="305"/>
      <c r="E110" s="305"/>
      <c r="F110" s="305"/>
      <c r="G110" s="305"/>
      <c r="H110" s="305"/>
      <c r="I110" s="305"/>
      <c r="J110" s="305"/>
      <c r="K110" s="305"/>
      <c r="L110" s="305"/>
      <c r="M110" s="305"/>
      <c r="N110" s="305"/>
      <c r="O110" s="305"/>
      <c r="P110" s="305"/>
      <c r="Q110" s="305"/>
      <c r="R110" s="305"/>
      <c r="S110" s="305"/>
      <c r="T110" s="305"/>
      <c r="U110" s="305"/>
      <c r="V110" s="305"/>
      <c r="W110" s="305"/>
      <c r="X110" s="305"/>
      <c r="Y110" s="305"/>
      <c r="Z110" s="305"/>
      <c r="AA110" s="305"/>
      <c r="AB110" s="62"/>
      <c r="AC110" s="301"/>
      <c r="AD110" s="301"/>
      <c r="AE110" s="301"/>
      <c r="AF110" s="301"/>
      <c r="AG110" s="301"/>
      <c r="AH110" s="301"/>
      <c r="AI110" s="301"/>
      <c r="AJ110" s="301"/>
      <c r="AK110" s="301"/>
      <c r="AL110" s="301"/>
      <c r="AM110" s="301"/>
      <c r="AN110" s="301"/>
      <c r="AO110" s="301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/>
      <c r="BD110" s="301"/>
      <c r="BE110" s="301"/>
      <c r="BF110" s="301"/>
      <c r="BG110" s="301"/>
      <c r="BH110" s="301"/>
      <c r="BI110" s="301"/>
      <c r="BJ110" s="301"/>
      <c r="BK110" s="301"/>
      <c r="BL110" s="301"/>
      <c r="BM110" s="301"/>
      <c r="BN110" s="302"/>
    </row>
    <row r="111" spans="2:66" s="300" customFormat="1" ht="17.25" customHeight="1">
      <c r="C111" s="343"/>
      <c r="D111" s="343"/>
      <c r="E111" s="561" t="s">
        <v>7</v>
      </c>
      <c r="F111" s="561"/>
      <c r="G111" s="561"/>
      <c r="H111" s="561"/>
      <c r="I111" s="343"/>
      <c r="J111" s="343"/>
      <c r="K111" s="343"/>
      <c r="L111" s="343"/>
      <c r="M111" s="343"/>
      <c r="N111" s="343"/>
      <c r="O111" s="343"/>
      <c r="P111" s="343"/>
      <c r="Q111" s="343"/>
      <c r="R111" s="343"/>
      <c r="S111" s="343"/>
      <c r="T111" s="343"/>
      <c r="U111" s="343"/>
      <c r="V111" s="343"/>
      <c r="AB111" s="61"/>
      <c r="AC111" s="301"/>
      <c r="AD111" s="301"/>
      <c r="AE111" s="301"/>
      <c r="AF111" s="301"/>
      <c r="AG111" s="301"/>
      <c r="AH111" s="301"/>
      <c r="AI111" s="301"/>
      <c r="AJ111" s="301"/>
      <c r="AK111" s="301"/>
      <c r="AL111" s="301"/>
      <c r="AM111" s="301"/>
      <c r="AN111" s="301"/>
      <c r="AO111" s="301"/>
      <c r="AP111" s="301"/>
      <c r="AQ111" s="301"/>
      <c r="AR111" s="301"/>
      <c r="AS111" s="301"/>
      <c r="AT111" s="301"/>
      <c r="AU111" s="301"/>
      <c r="AV111" s="301"/>
      <c r="AW111" s="301"/>
      <c r="AX111" s="301"/>
      <c r="AY111" s="301"/>
      <c r="AZ111" s="301"/>
      <c r="BA111" s="301"/>
      <c r="BB111" s="301"/>
      <c r="BC111" s="301"/>
      <c r="BD111" s="301"/>
      <c r="BE111" s="301"/>
      <c r="BF111" s="301"/>
      <c r="BG111" s="301"/>
      <c r="BH111" s="301"/>
      <c r="BI111" s="301"/>
      <c r="BJ111" s="301"/>
      <c r="BK111" s="301"/>
      <c r="BL111" s="301"/>
      <c r="BM111" s="301"/>
      <c r="BN111" s="302"/>
    </row>
    <row r="112" spans="2:66" s="300" customFormat="1" ht="17.25" customHeight="1">
      <c r="C112" s="343"/>
      <c r="D112" s="343"/>
      <c r="E112" s="561"/>
      <c r="F112" s="561"/>
      <c r="G112" s="561"/>
      <c r="H112" s="561"/>
      <c r="I112" s="301"/>
      <c r="J112" s="301"/>
      <c r="K112" s="301"/>
      <c r="L112" s="301"/>
      <c r="M112" s="301"/>
      <c r="N112" s="301"/>
      <c r="O112" s="301"/>
      <c r="P112" s="301"/>
      <c r="Q112" s="301"/>
      <c r="R112" s="301"/>
      <c r="S112" s="301"/>
      <c r="T112" s="301"/>
      <c r="U112" s="301"/>
      <c r="V112" s="301"/>
      <c r="W112" s="301"/>
      <c r="X112" s="301"/>
      <c r="AB112" s="61"/>
      <c r="AC112" s="301"/>
      <c r="AD112" s="301"/>
      <c r="AE112" s="301"/>
      <c r="AF112" s="301"/>
      <c r="AG112" s="301"/>
      <c r="AH112" s="301"/>
      <c r="AI112" s="301"/>
      <c r="AJ112" s="301"/>
      <c r="AK112" s="301"/>
      <c r="AL112" s="301"/>
      <c r="AM112" s="301"/>
      <c r="AN112" s="301"/>
      <c r="AO112" s="301"/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/>
      <c r="BF112" s="301"/>
      <c r="BG112" s="301"/>
      <c r="BH112" s="301"/>
      <c r="BI112" s="301"/>
      <c r="BJ112" s="301"/>
      <c r="BK112" s="301"/>
      <c r="BL112" s="301"/>
      <c r="BM112" s="301"/>
      <c r="BN112" s="302"/>
    </row>
    <row r="113" spans="1:66" s="300" customFormat="1" ht="17.25" customHeight="1">
      <c r="A113" s="301"/>
      <c r="B113" s="301"/>
      <c r="C113" s="301"/>
      <c r="D113" s="343"/>
      <c r="E113" s="343"/>
      <c r="F113" s="919">
        <f>F36</f>
        <v>27.25</v>
      </c>
      <c r="G113" s="920"/>
      <c r="H113" s="920"/>
      <c r="I113" s="301"/>
      <c r="J113" s="301"/>
      <c r="K113" s="301"/>
      <c r="L113" s="301"/>
      <c r="M113" s="301"/>
      <c r="N113" s="301"/>
      <c r="O113" s="301"/>
      <c r="P113" s="301"/>
      <c r="Q113" s="301"/>
      <c r="R113" s="301"/>
      <c r="S113" s="301"/>
      <c r="T113" s="301"/>
      <c r="U113" s="301"/>
      <c r="V113" s="301"/>
      <c r="W113" s="301"/>
      <c r="X113" s="301"/>
      <c r="Y113" s="343"/>
      <c r="Z113" s="343"/>
      <c r="AB113" s="61"/>
      <c r="AC113" s="301"/>
      <c r="AD113" s="301"/>
      <c r="AE113" s="301"/>
      <c r="AF113" s="301"/>
      <c r="AG113" s="301"/>
      <c r="AH113" s="301"/>
      <c r="AI113" s="301"/>
      <c r="AJ113" s="301"/>
      <c r="AK113" s="301"/>
      <c r="AL113" s="301"/>
      <c r="AM113" s="301"/>
      <c r="AN113" s="301"/>
      <c r="AO113" s="301"/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1"/>
      <c r="BH113" s="301"/>
      <c r="BI113" s="301"/>
      <c r="BJ113" s="301"/>
      <c r="BK113" s="301"/>
      <c r="BL113" s="301"/>
      <c r="BM113" s="301"/>
      <c r="BN113" s="319"/>
    </row>
    <row r="114" spans="1:66" s="300" customFormat="1" ht="17.25" customHeight="1">
      <c r="A114" s="301"/>
      <c r="B114" s="301"/>
      <c r="C114" s="301"/>
      <c r="D114" s="343"/>
      <c r="E114" s="343"/>
      <c r="F114" s="920"/>
      <c r="G114" s="920"/>
      <c r="H114" s="920"/>
      <c r="I114" s="301"/>
      <c r="J114" s="301"/>
      <c r="K114" s="301"/>
      <c r="L114" s="301"/>
      <c r="M114" s="301"/>
      <c r="N114" s="301"/>
      <c r="O114" s="301"/>
      <c r="P114" s="301"/>
      <c r="Q114" s="301"/>
      <c r="R114" s="301"/>
      <c r="S114" s="301"/>
      <c r="T114" s="301"/>
      <c r="U114" s="301"/>
      <c r="V114" s="301"/>
      <c r="W114" s="301"/>
      <c r="X114" s="301"/>
      <c r="Y114" s="343"/>
      <c r="Z114" s="343"/>
      <c r="AB114" s="61"/>
      <c r="AC114" s="301"/>
      <c r="AD114" s="301"/>
      <c r="AE114" s="301"/>
      <c r="AF114" s="301"/>
      <c r="AG114" s="301"/>
      <c r="AH114" s="301"/>
      <c r="AI114" s="301"/>
      <c r="AJ114" s="301"/>
      <c r="AK114" s="301"/>
      <c r="AL114" s="301"/>
      <c r="AM114" s="301"/>
      <c r="AN114" s="301"/>
      <c r="AO114" s="301"/>
      <c r="AP114" s="301"/>
      <c r="AQ114" s="301"/>
      <c r="AR114" s="301"/>
      <c r="AS114" s="301"/>
      <c r="AT114" s="301"/>
      <c r="AU114" s="301"/>
      <c r="AV114" s="301"/>
      <c r="AW114" s="301"/>
      <c r="AX114" s="301"/>
      <c r="AY114" s="301"/>
      <c r="AZ114" s="301"/>
      <c r="BA114" s="301"/>
      <c r="BB114" s="301"/>
      <c r="BC114" s="301"/>
      <c r="BD114" s="301"/>
      <c r="BE114" s="301"/>
      <c r="BF114" s="301"/>
      <c r="BG114" s="301"/>
      <c r="BH114" s="301"/>
      <c r="BI114" s="301"/>
      <c r="BJ114" s="301"/>
      <c r="BK114" s="301"/>
      <c r="BL114" s="301"/>
      <c r="BM114" s="301"/>
      <c r="BN114" s="319"/>
    </row>
    <row r="115" spans="1:66" s="300" customFormat="1" ht="17.25" customHeight="1">
      <c r="A115" s="301"/>
      <c r="B115" s="301"/>
      <c r="C115" s="301"/>
      <c r="D115" s="343"/>
      <c r="E115" s="343"/>
      <c r="F115" s="343"/>
      <c r="G115" s="343"/>
      <c r="H115" s="343"/>
      <c r="AB115" s="61"/>
      <c r="AC115" s="301"/>
      <c r="AD115" s="301"/>
      <c r="AE115" s="301"/>
      <c r="AF115" s="301"/>
      <c r="AG115" s="301"/>
      <c r="AH115" s="301"/>
      <c r="AI115" s="301"/>
      <c r="AJ115" s="301"/>
      <c r="AK115" s="301"/>
      <c r="AL115" s="301"/>
      <c r="AM115" s="301"/>
      <c r="AN115" s="301"/>
      <c r="AO115" s="301"/>
      <c r="AP115" s="301"/>
      <c r="AQ115" s="301"/>
      <c r="AR115" s="301"/>
      <c r="AS115" s="301"/>
      <c r="AT115" s="301"/>
      <c r="AU115" s="301"/>
      <c r="AV115" s="301"/>
      <c r="AW115" s="301"/>
      <c r="AX115" s="301"/>
      <c r="AY115" s="301"/>
      <c r="AZ115" s="301"/>
      <c r="BA115" s="301"/>
      <c r="BB115" s="301"/>
      <c r="BC115" s="301"/>
      <c r="BD115" s="301"/>
      <c r="BE115" s="301"/>
      <c r="BF115" s="301"/>
      <c r="BG115" s="301"/>
      <c r="BH115" s="301"/>
      <c r="BI115" s="301"/>
      <c r="BJ115" s="301"/>
      <c r="BK115" s="301"/>
      <c r="BL115" s="301"/>
      <c r="BM115" s="301"/>
      <c r="BN115" s="319"/>
    </row>
    <row r="116" spans="1:66" s="300" customFormat="1" ht="17.25" customHeight="1" thickBot="1">
      <c r="C116" s="344"/>
      <c r="D116" s="344"/>
      <c r="E116" s="344"/>
      <c r="F116" s="344"/>
      <c r="G116" s="344"/>
      <c r="AB116" s="61"/>
      <c r="AC116" s="301"/>
      <c r="AD116" s="301"/>
      <c r="AE116" s="301"/>
      <c r="AF116" s="301"/>
      <c r="AG116" s="301"/>
      <c r="AH116" s="301"/>
      <c r="AI116" s="301"/>
      <c r="AJ116" s="301"/>
      <c r="AK116" s="301"/>
      <c r="AL116" s="301"/>
      <c r="AM116" s="301"/>
      <c r="AN116" s="301"/>
      <c r="AO116" s="301"/>
      <c r="AP116" s="301"/>
      <c r="AQ116" s="301"/>
      <c r="AR116" s="301"/>
      <c r="AS116" s="301"/>
      <c r="AT116" s="301"/>
      <c r="AU116" s="301"/>
      <c r="AV116" s="301"/>
      <c r="AW116" s="301"/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1"/>
      <c r="BH116" s="301"/>
      <c r="BI116" s="301"/>
      <c r="BJ116" s="301"/>
      <c r="BK116" s="301"/>
      <c r="BL116" s="301"/>
      <c r="BM116" s="301"/>
      <c r="BN116" s="302"/>
    </row>
    <row r="117" spans="1:66" s="300" customFormat="1" ht="17.25" customHeight="1" thickBot="1">
      <c r="B117" s="304" t="s">
        <v>9</v>
      </c>
      <c r="C117" s="305"/>
      <c r="D117" s="305"/>
      <c r="E117" s="305"/>
      <c r="F117" s="532">
        <f>IF(G118=AD118,F122,F130)</f>
        <v>23.126787287532395</v>
      </c>
      <c r="G117" s="532"/>
      <c r="H117" s="532"/>
      <c r="I117" s="305"/>
      <c r="J117" s="305"/>
      <c r="K117" s="305" t="str" cm="1">
        <f t="array" ref="K117">angleDecimal2Txt(F117)</f>
        <v>+23°07.60 (+23.1267) [+23°07'36.43]</v>
      </c>
      <c r="L117" s="305"/>
      <c r="M117" s="305"/>
      <c r="N117" s="305"/>
      <c r="O117" s="305"/>
      <c r="P117" s="305"/>
      <c r="Q117" s="305"/>
      <c r="R117" s="305"/>
      <c r="S117" s="305"/>
      <c r="T117" s="305"/>
      <c r="U117" s="305"/>
      <c r="V117" s="305"/>
      <c r="W117" s="305"/>
      <c r="X117" s="305"/>
      <c r="Y117" s="305"/>
      <c r="Z117" s="305"/>
      <c r="AA117" s="305"/>
      <c r="AB117" s="64"/>
      <c r="AC117" s="301"/>
      <c r="AD117" s="301"/>
      <c r="AE117" s="301"/>
      <c r="AF117" s="301"/>
      <c r="AG117" s="301"/>
      <c r="AH117" s="301"/>
      <c r="AI117" s="301"/>
      <c r="AJ117" s="301"/>
      <c r="AK117" s="301"/>
      <c r="AL117" s="301"/>
      <c r="AM117" s="301"/>
      <c r="AN117" s="301"/>
      <c r="AO117" s="301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/>
      <c r="BF117" s="301"/>
      <c r="BG117" s="301"/>
      <c r="BH117" s="301"/>
      <c r="BI117" s="301"/>
      <c r="BJ117" s="301"/>
      <c r="BK117" s="301"/>
      <c r="BL117" s="301"/>
      <c r="BM117" s="301"/>
      <c r="BN117" s="302"/>
    </row>
    <row r="118" spans="1:66" s="326" customFormat="1" ht="17.25" customHeight="1">
      <c r="C118" s="531" t="s">
        <v>35</v>
      </c>
      <c r="D118" s="531"/>
      <c r="E118" s="531"/>
      <c r="F118" s="531"/>
      <c r="G118" s="724" t="s">
        <v>10</v>
      </c>
      <c r="H118" s="724"/>
      <c r="I118" s="724"/>
      <c r="AB118" s="65"/>
      <c r="AC118" s="508" t="s">
        <v>36</v>
      </c>
      <c r="AD118" s="327" t="s">
        <v>10</v>
      </c>
      <c r="AE118" s="301"/>
      <c r="AH118" s="301"/>
      <c r="AI118" s="301"/>
      <c r="AJ118" s="301"/>
      <c r="AK118" s="301"/>
      <c r="AL118" s="301"/>
      <c r="AM118" s="301"/>
      <c r="AN118" s="301"/>
      <c r="AO118" s="301"/>
      <c r="AP118" s="301"/>
      <c r="AQ118" s="301"/>
      <c r="AR118" s="301"/>
      <c r="AS118" s="301"/>
      <c r="AT118" s="301"/>
      <c r="AU118" s="301"/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1"/>
      <c r="BH118" s="301"/>
      <c r="BI118" s="301"/>
      <c r="BJ118" s="301"/>
      <c r="BK118" s="301"/>
      <c r="BL118" s="301"/>
      <c r="BM118" s="301"/>
    </row>
    <row r="119" spans="1:66" s="300" customFormat="1" ht="17.25" customHeight="1">
      <c r="C119" s="328" t="s">
        <v>10</v>
      </c>
      <c r="D119" s="328"/>
      <c r="E119" s="329"/>
      <c r="F119" s="329"/>
      <c r="G119" s="343"/>
      <c r="H119" s="343"/>
      <c r="I119" s="343"/>
      <c r="AB119" s="61"/>
      <c r="AC119" s="508"/>
      <c r="AD119" s="327" t="s">
        <v>14</v>
      </c>
      <c r="AE119" s="301"/>
      <c r="AH119" s="301"/>
      <c r="AI119" s="301"/>
      <c r="AJ119" s="301"/>
      <c r="AK119" s="301"/>
      <c r="AL119" s="301"/>
      <c r="AM119" s="301"/>
      <c r="AN119" s="301"/>
      <c r="AO119" s="301"/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/>
      <c r="BF119" s="301"/>
      <c r="BG119" s="301"/>
      <c r="BH119" s="301"/>
      <c r="BI119" s="301"/>
      <c r="BJ119" s="301"/>
      <c r="BK119" s="301"/>
      <c r="BL119" s="301"/>
      <c r="BM119" s="301"/>
      <c r="BN119" s="302"/>
    </row>
    <row r="120" spans="1:66" s="300" customFormat="1" ht="17.25" customHeight="1">
      <c r="C120" s="344"/>
      <c r="D120" s="344"/>
      <c r="E120" s="344"/>
      <c r="F120" s="515" t="s">
        <v>9</v>
      </c>
      <c r="G120" s="515"/>
      <c r="H120" s="515"/>
      <c r="I120" s="495" t="s">
        <v>12</v>
      </c>
      <c r="J120" s="496"/>
      <c r="K120" s="496"/>
      <c r="L120" s="497"/>
      <c r="M120" s="516" t="s">
        <v>13</v>
      </c>
      <c r="N120" s="516"/>
      <c r="O120" s="516"/>
      <c r="P120" s="520" t="s">
        <v>15</v>
      </c>
      <c r="Q120" s="520"/>
      <c r="R120" s="520"/>
      <c r="S120" s="520"/>
      <c r="T120" s="520"/>
      <c r="U120" s="343"/>
      <c r="AB120" s="61"/>
      <c r="AC120" s="301"/>
      <c r="AD120" s="73" t="s">
        <v>73</v>
      </c>
      <c r="AE120" s="3" t="s">
        <v>191</v>
      </c>
      <c r="AF120" s="301"/>
      <c r="AG120" s="301"/>
      <c r="AH120" s="301"/>
      <c r="AI120" s="301"/>
      <c r="AJ120" s="301"/>
      <c r="AK120" s="301"/>
      <c r="AL120" s="301"/>
      <c r="AM120" s="301"/>
      <c r="AN120" s="301"/>
      <c r="AO120" s="301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/>
      <c r="AZ120" s="301"/>
      <c r="BA120" s="301"/>
      <c r="BB120" s="301"/>
      <c r="BC120" s="301"/>
      <c r="BD120" s="301"/>
      <c r="BE120" s="301"/>
      <c r="BF120" s="301"/>
      <c r="BG120" s="301"/>
      <c r="BH120" s="301"/>
      <c r="BI120" s="301"/>
      <c r="BJ120" s="301"/>
      <c r="BK120" s="301"/>
      <c r="BL120" s="301"/>
      <c r="BM120" s="301"/>
      <c r="BN120" s="302"/>
    </row>
    <row r="121" spans="1:66" s="300" customFormat="1" ht="17.25" customHeight="1" thickBot="1">
      <c r="C121" s="344"/>
      <c r="D121" s="344"/>
      <c r="E121" s="344"/>
      <c r="F121" s="515"/>
      <c r="G121" s="515"/>
      <c r="H121" s="515"/>
      <c r="I121" s="498"/>
      <c r="J121" s="499"/>
      <c r="K121" s="499"/>
      <c r="L121" s="500"/>
      <c r="M121" s="516"/>
      <c r="N121" s="516"/>
      <c r="O121" s="516"/>
      <c r="P121" s="520"/>
      <c r="Q121" s="520"/>
      <c r="R121" s="520"/>
      <c r="S121" s="520"/>
      <c r="T121" s="520"/>
      <c r="U121" s="343"/>
      <c r="AB121" s="61"/>
      <c r="AC121" s="3" t="s">
        <v>183</v>
      </c>
      <c r="AD121" s="3">
        <f>VLOOKUP(P122,Outils!C9:E10,3)</f>
        <v>1</v>
      </c>
      <c r="AE121" s="3" cm="1">
        <f t="array" ref="AE121">AD121*angleConvert2Decimal(Q122)</f>
        <v>23.135000000000002</v>
      </c>
      <c r="AF121" s="301"/>
      <c r="AG121" s="301"/>
      <c r="AH121" s="301"/>
      <c r="AI121" s="301"/>
      <c r="AJ121" s="301"/>
      <c r="AK121" s="301"/>
      <c r="AL121" s="301"/>
      <c r="AM121" s="301"/>
      <c r="AN121" s="301"/>
      <c r="AO121" s="301"/>
      <c r="AP121" s="301"/>
      <c r="AQ121" s="301"/>
      <c r="AR121" s="301"/>
      <c r="AS121" s="301"/>
      <c r="AT121" s="301"/>
      <c r="AU121" s="301"/>
      <c r="AV121" s="301"/>
      <c r="AW121" s="301"/>
      <c r="AX121" s="301"/>
      <c r="AY121" s="301"/>
      <c r="AZ121" s="301"/>
      <c r="BA121" s="301"/>
      <c r="BB121" s="301"/>
      <c r="BC121" s="301"/>
      <c r="BD121" s="301"/>
      <c r="BE121" s="301"/>
      <c r="BF121" s="301"/>
      <c r="BG121" s="301"/>
      <c r="BH121" s="301"/>
      <c r="BI121" s="301"/>
      <c r="BJ121" s="301"/>
      <c r="BK121" s="301"/>
      <c r="BL121" s="301"/>
      <c r="BM121" s="301"/>
      <c r="BN121" s="302"/>
    </row>
    <row r="122" spans="1:66" s="300" customFormat="1" ht="17.25" customHeight="1" thickTop="1" thickBot="1">
      <c r="C122" s="344"/>
      <c r="D122" s="344"/>
      <c r="F122" s="543">
        <f>IF(G118=AD119,"---",AD126)</f>
        <v>23.126787287532395</v>
      </c>
      <c r="G122" s="543"/>
      <c r="H122" s="543"/>
      <c r="I122" s="665">
        <f>E88</f>
        <v>16.927627480558961</v>
      </c>
      <c r="J122" s="781"/>
      <c r="K122" s="781"/>
      <c r="L122" s="666"/>
      <c r="M122" s="511">
        <v>12</v>
      </c>
      <c r="N122" s="512"/>
      <c r="O122" s="512"/>
      <c r="P122" s="512" t="s">
        <v>3</v>
      </c>
      <c r="Q122" s="635" t="s">
        <v>272</v>
      </c>
      <c r="R122" s="791"/>
      <c r="S122" s="791"/>
      <c r="T122" s="791"/>
      <c r="U122" s="472" t="str" cm="1">
        <f t="array" ref="U122">angleDecimal2Txt(AE121)</f>
        <v>+23°08.09 (+23.1350) [+23°08'06.00]</v>
      </c>
      <c r="V122" s="576"/>
      <c r="W122" s="576"/>
      <c r="X122" s="576"/>
      <c r="Y122" s="576"/>
      <c r="AB122" s="61"/>
      <c r="AC122" s="3" t="s">
        <v>184</v>
      </c>
      <c r="AD122" s="3">
        <f>VLOOKUP(P124,Outils!C9:E10,3)</f>
        <v>1</v>
      </c>
      <c r="AE122" s="3" cm="1">
        <f t="array" ref="AE122">AD122*angleConvert2Decimal(Q124)</f>
        <v>23.133333333333333</v>
      </c>
      <c r="AF122" s="301"/>
      <c r="AG122" s="301"/>
      <c r="AH122" s="301"/>
      <c r="AI122" s="301"/>
      <c r="AJ122" s="301"/>
      <c r="AK122" s="301"/>
      <c r="AL122" s="301"/>
      <c r="AM122" s="301"/>
      <c r="AN122" s="301"/>
      <c r="AO122" s="301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/>
      <c r="BF122" s="301"/>
      <c r="BG122" s="301"/>
      <c r="BH122" s="301"/>
      <c r="BI122" s="301"/>
      <c r="BJ122" s="301"/>
      <c r="BK122" s="301"/>
      <c r="BL122" s="301"/>
      <c r="BM122" s="301"/>
      <c r="BN122" s="302"/>
    </row>
    <row r="123" spans="1:66" s="300" customFormat="1" ht="17.25" customHeight="1" thickTop="1" thickBot="1">
      <c r="C123" s="344"/>
      <c r="D123" s="344"/>
      <c r="E123" s="344"/>
      <c r="F123" s="544"/>
      <c r="G123" s="544"/>
      <c r="H123" s="544"/>
      <c r="I123" s="698"/>
      <c r="J123" s="782"/>
      <c r="K123" s="782"/>
      <c r="L123" s="783"/>
      <c r="M123" s="513"/>
      <c r="N123" s="514"/>
      <c r="O123" s="514"/>
      <c r="P123" s="514"/>
      <c r="Q123" s="554"/>
      <c r="R123" s="554"/>
      <c r="S123" s="554"/>
      <c r="T123" s="554"/>
      <c r="U123" s="576"/>
      <c r="V123" s="576"/>
      <c r="W123" s="576"/>
      <c r="X123" s="576"/>
      <c r="Y123" s="576"/>
      <c r="AB123" s="61"/>
      <c r="AC123" s="3" t="s">
        <v>38</v>
      </c>
      <c r="AD123" s="5">
        <f>AE122-AE121</f>
        <v>-1.6666666666687036E-3</v>
      </c>
      <c r="AE123" s="301"/>
      <c r="AF123" s="301"/>
      <c r="AG123" s="301"/>
      <c r="AH123" s="301"/>
      <c r="AI123" s="301"/>
      <c r="AJ123" s="301"/>
      <c r="AK123" s="301"/>
      <c r="AL123" s="301"/>
      <c r="AM123" s="301"/>
      <c r="AN123" s="301"/>
      <c r="AO123" s="301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/>
      <c r="BF123" s="301"/>
      <c r="BG123" s="301"/>
      <c r="BH123" s="301"/>
      <c r="BI123" s="301"/>
      <c r="BJ123" s="301"/>
      <c r="BK123" s="301"/>
      <c r="BL123" s="301"/>
      <c r="BM123" s="301"/>
      <c r="BN123" s="302"/>
    </row>
    <row r="124" spans="1:66" s="300" customFormat="1" ht="17.25" customHeight="1" thickTop="1" thickBot="1">
      <c r="C124" s="344"/>
      <c r="D124" s="344"/>
      <c r="E124" s="344"/>
      <c r="F124" s="544"/>
      <c r="G124" s="544"/>
      <c r="H124" s="544"/>
      <c r="I124" s="698"/>
      <c r="J124" s="782"/>
      <c r="K124" s="782"/>
      <c r="L124" s="783"/>
      <c r="M124" s="513">
        <v>13</v>
      </c>
      <c r="N124" s="514"/>
      <c r="O124" s="514"/>
      <c r="P124" s="514" t="s">
        <v>3</v>
      </c>
      <c r="Q124" s="553" t="s">
        <v>275</v>
      </c>
      <c r="R124" s="554"/>
      <c r="S124" s="554"/>
      <c r="T124" s="554"/>
      <c r="U124" s="472" t="str" cm="1">
        <f t="array" ref="U124">angleDecimal2Txt((AE122))</f>
        <v>+23°08.00 (+23.1333) [+23°08'00.00]</v>
      </c>
      <c r="V124" s="576"/>
      <c r="W124" s="576"/>
      <c r="X124" s="576"/>
      <c r="Y124" s="576"/>
      <c r="AB124" s="61"/>
      <c r="AC124" s="3" t="s">
        <v>185</v>
      </c>
      <c r="AD124" s="5">
        <f>M124-M122</f>
        <v>1</v>
      </c>
      <c r="AI124" s="301"/>
      <c r="AJ124" s="301"/>
      <c r="AK124" s="301"/>
      <c r="AL124" s="301"/>
      <c r="AM124" s="301"/>
      <c r="AN124" s="301"/>
      <c r="AO124" s="301"/>
      <c r="AP124" s="301"/>
      <c r="AQ124" s="301"/>
      <c r="AR124" s="301"/>
      <c r="AS124" s="301"/>
      <c r="AT124" s="301"/>
      <c r="AU124" s="301"/>
      <c r="AV124" s="301"/>
      <c r="AW124" s="301"/>
      <c r="AX124" s="301"/>
      <c r="AY124" s="301"/>
      <c r="AZ124" s="301"/>
      <c r="BA124" s="301"/>
      <c r="BB124" s="301"/>
      <c r="BC124" s="301"/>
      <c r="BD124" s="301"/>
      <c r="BE124" s="301"/>
      <c r="BF124" s="301"/>
      <c r="BG124" s="301"/>
      <c r="BH124" s="301"/>
      <c r="BI124" s="301"/>
      <c r="BJ124" s="301"/>
      <c r="BK124" s="301"/>
      <c r="BL124" s="301"/>
      <c r="BM124" s="301"/>
      <c r="BN124" s="302"/>
    </row>
    <row r="125" spans="1:66" s="300" customFormat="1" ht="17.25" customHeight="1" thickTop="1" thickBot="1">
      <c r="C125" s="344"/>
      <c r="D125" s="344"/>
      <c r="E125" s="344"/>
      <c r="F125" s="544"/>
      <c r="G125" s="544"/>
      <c r="H125" s="544"/>
      <c r="I125" s="667"/>
      <c r="J125" s="922"/>
      <c r="K125" s="922"/>
      <c r="L125" s="668"/>
      <c r="M125" s="513"/>
      <c r="N125" s="514"/>
      <c r="O125" s="514"/>
      <c r="P125" s="514"/>
      <c r="Q125" s="554"/>
      <c r="R125" s="554"/>
      <c r="S125" s="554"/>
      <c r="T125" s="554"/>
      <c r="U125" s="576"/>
      <c r="V125" s="576"/>
      <c r="W125" s="576"/>
      <c r="X125" s="576"/>
      <c r="Y125" s="576"/>
      <c r="AB125" s="61"/>
      <c r="AC125" s="3" t="s">
        <v>39</v>
      </c>
      <c r="AD125" s="5">
        <f>I122-M122</f>
        <v>4.9276274805589608</v>
      </c>
      <c r="AE125" s="301"/>
      <c r="AF125" s="301"/>
      <c r="AG125" s="301"/>
      <c r="AH125" s="301"/>
      <c r="AI125" s="309"/>
      <c r="AJ125" s="301"/>
      <c r="AK125" s="301"/>
      <c r="AL125" s="301"/>
      <c r="AM125" s="301"/>
      <c r="AN125" s="301"/>
      <c r="AO125" s="301"/>
      <c r="AP125" s="301"/>
      <c r="AQ125" s="301"/>
      <c r="AR125" s="301"/>
      <c r="AS125" s="301"/>
      <c r="AT125" s="301"/>
      <c r="AU125" s="301"/>
      <c r="AV125" s="301"/>
      <c r="AW125" s="301"/>
      <c r="AX125" s="301"/>
      <c r="AY125" s="301"/>
      <c r="AZ125" s="301"/>
      <c r="BA125" s="301"/>
      <c r="BB125" s="301"/>
      <c r="BC125" s="301"/>
      <c r="BD125" s="301"/>
      <c r="BE125" s="301"/>
      <c r="BF125" s="301"/>
      <c r="BG125" s="301"/>
      <c r="BH125" s="301"/>
      <c r="BI125" s="301"/>
      <c r="BJ125" s="301"/>
      <c r="BK125" s="301"/>
      <c r="BL125" s="301"/>
      <c r="BM125" s="301"/>
      <c r="BN125" s="302"/>
    </row>
    <row r="126" spans="1:66" s="300" customFormat="1" ht="17.25" customHeight="1" thickTop="1" thickBot="1">
      <c r="C126" s="344"/>
      <c r="D126" s="344"/>
      <c r="E126" s="344"/>
      <c r="F126" s="474" t="str" cm="1">
        <f t="array" ref="F126">angleDecimal2Txt(F122)</f>
        <v>+23°07.60 (+23.1267) [+23°07'36.43]</v>
      </c>
      <c r="G126" s="474"/>
      <c r="H126" s="474"/>
      <c r="I126" s="480"/>
      <c r="J126" s="480"/>
      <c r="K126" s="480"/>
      <c r="AA126" s="343"/>
      <c r="AB126" s="61"/>
      <c r="AC126" s="3" t="s">
        <v>37</v>
      </c>
      <c r="AD126" s="3">
        <f>AE121+(AD123/AD124)*AD125</f>
        <v>23.126787287532395</v>
      </c>
      <c r="AE126" s="301"/>
      <c r="AF126" s="301"/>
      <c r="AG126" s="301"/>
      <c r="AH126" s="301"/>
      <c r="AI126" s="301"/>
      <c r="AJ126" s="301"/>
      <c r="AK126" s="301"/>
      <c r="AL126" s="301"/>
      <c r="AM126" s="301"/>
      <c r="AN126" s="301"/>
      <c r="AO126" s="301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1"/>
      <c r="BH126" s="301"/>
      <c r="BI126" s="301"/>
      <c r="BJ126" s="301"/>
      <c r="BK126" s="301"/>
      <c r="BL126" s="301"/>
      <c r="BM126" s="301"/>
      <c r="BN126" s="302"/>
    </row>
    <row r="127" spans="1:66" s="300" customFormat="1" ht="17.25" customHeight="1" thickTop="1">
      <c r="C127" s="328" t="s">
        <v>14</v>
      </c>
      <c r="D127" s="328"/>
      <c r="E127" s="329"/>
      <c r="F127" s="329"/>
      <c r="G127" s="343"/>
      <c r="H127" s="343"/>
      <c r="I127" s="343"/>
      <c r="AA127" s="343"/>
      <c r="AB127" s="61"/>
      <c r="AC127" s="301"/>
      <c r="AD127" s="301"/>
      <c r="AE127" s="301"/>
      <c r="AF127" s="301"/>
      <c r="AG127" s="301"/>
      <c r="AH127" s="301"/>
      <c r="AI127" s="301"/>
      <c r="AJ127" s="301"/>
      <c r="AK127" s="301"/>
      <c r="AL127" s="301"/>
      <c r="AM127" s="301"/>
      <c r="AN127" s="301"/>
      <c r="AO127" s="301"/>
      <c r="AP127" s="301"/>
      <c r="AQ127" s="301"/>
      <c r="AR127" s="301"/>
      <c r="AS127" s="301"/>
      <c r="AT127" s="301"/>
      <c r="AU127" s="301"/>
      <c r="AV127" s="301"/>
      <c r="AW127" s="301"/>
      <c r="AX127" s="301"/>
      <c r="AY127" s="301"/>
      <c r="AZ127" s="301"/>
      <c r="BA127" s="301"/>
      <c r="BB127" s="301"/>
      <c r="BC127" s="301"/>
      <c r="BD127" s="301"/>
      <c r="BE127" s="301"/>
      <c r="BF127" s="301"/>
      <c r="BG127" s="301"/>
      <c r="BH127" s="301"/>
      <c r="BI127" s="301"/>
      <c r="BJ127" s="301"/>
      <c r="BK127" s="301"/>
      <c r="BL127" s="301"/>
      <c r="BM127" s="301"/>
      <c r="BN127" s="302"/>
    </row>
    <row r="128" spans="1:66" s="300" customFormat="1" ht="17.25" customHeight="1">
      <c r="C128" s="343"/>
      <c r="D128" s="343"/>
      <c r="E128" s="343"/>
      <c r="F128" s="515" t="s">
        <v>9</v>
      </c>
      <c r="G128" s="515"/>
      <c r="H128" s="515"/>
      <c r="I128" s="495" t="s">
        <v>12</v>
      </c>
      <c r="J128" s="496"/>
      <c r="K128" s="496"/>
      <c r="L128" s="497"/>
      <c r="M128" s="516" t="s">
        <v>13</v>
      </c>
      <c r="N128" s="516"/>
      <c r="O128" s="516"/>
      <c r="P128" s="520" t="s">
        <v>16</v>
      </c>
      <c r="Q128" s="520"/>
      <c r="R128" s="520"/>
      <c r="S128" s="520"/>
      <c r="T128" s="520"/>
      <c r="U128" s="520" t="s">
        <v>142</v>
      </c>
      <c r="V128" s="520"/>
      <c r="W128" s="520"/>
      <c r="X128" s="520"/>
      <c r="Y128" s="520"/>
      <c r="AA128" s="343"/>
      <c r="AB128" s="61"/>
      <c r="AC128" s="3" t="s">
        <v>186</v>
      </c>
      <c r="AD128" s="3">
        <f>VLOOKUP(P130,Outils!C9:E10,3)</f>
        <v>-1</v>
      </c>
      <c r="AE128" s="301"/>
      <c r="AF128" s="301"/>
      <c r="AG128" s="301"/>
      <c r="AH128" s="301"/>
      <c r="AI128" s="301"/>
      <c r="AJ128" s="301"/>
      <c r="AK128" s="301"/>
      <c r="AL128" s="301"/>
      <c r="AM128" s="301"/>
      <c r="AN128" s="301"/>
      <c r="AO128" s="301"/>
      <c r="AP128" s="301"/>
      <c r="AQ128" s="301"/>
      <c r="AR128" s="301"/>
      <c r="AS128" s="301"/>
      <c r="AT128" s="301"/>
      <c r="AU128" s="301"/>
      <c r="AV128" s="301"/>
      <c r="AW128" s="301"/>
      <c r="AX128" s="301"/>
      <c r="AY128" s="301"/>
      <c r="AZ128" s="301"/>
      <c r="BA128" s="301"/>
      <c r="BB128" s="301"/>
      <c r="BC128" s="301"/>
      <c r="BD128" s="301"/>
      <c r="BE128" s="301"/>
      <c r="BF128" s="301"/>
      <c r="BG128" s="301"/>
      <c r="BH128" s="301"/>
      <c r="BI128" s="301"/>
      <c r="BJ128" s="301"/>
      <c r="BK128" s="301"/>
      <c r="BL128" s="301"/>
      <c r="BM128" s="301"/>
      <c r="BN128" s="302"/>
    </row>
    <row r="129" spans="2:66" s="300" customFormat="1" ht="17.25" customHeight="1">
      <c r="C129" s="344"/>
      <c r="D129" s="344"/>
      <c r="E129" s="344"/>
      <c r="F129" s="515"/>
      <c r="G129" s="515"/>
      <c r="H129" s="515"/>
      <c r="I129" s="498"/>
      <c r="J129" s="499"/>
      <c r="K129" s="499"/>
      <c r="L129" s="500"/>
      <c r="M129" s="516"/>
      <c r="N129" s="516"/>
      <c r="O129" s="516"/>
      <c r="P129" s="520"/>
      <c r="Q129" s="520"/>
      <c r="R129" s="520"/>
      <c r="S129" s="520"/>
      <c r="T129" s="520"/>
      <c r="U129" s="520"/>
      <c r="V129" s="520"/>
      <c r="W129" s="520"/>
      <c r="X129" s="520"/>
      <c r="Y129" s="520"/>
      <c r="Z129" s="343"/>
      <c r="AA129" s="343"/>
      <c r="AB129" s="61"/>
      <c r="AC129" s="3" t="s">
        <v>187</v>
      </c>
      <c r="AD129" s="3" cm="1">
        <f t="array" ref="AD129">angleConvert2Decimal(Q130)*AD128</f>
        <v>-12.24</v>
      </c>
      <c r="AE129" s="301"/>
      <c r="AF129" s="301"/>
      <c r="AG129" s="301"/>
      <c r="AH129" s="301"/>
      <c r="AI129" s="301"/>
      <c r="AJ129" s="301"/>
      <c r="AK129" s="301"/>
      <c r="AL129" s="301"/>
      <c r="AM129" s="301"/>
      <c r="AN129" s="301"/>
      <c r="AO129" s="301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/>
      <c r="BF129" s="301"/>
      <c r="BG129" s="301"/>
      <c r="BH129" s="301"/>
      <c r="BI129" s="301"/>
      <c r="BJ129" s="301"/>
      <c r="BK129" s="301"/>
      <c r="BL129" s="301"/>
      <c r="BM129" s="301"/>
      <c r="BN129" s="302"/>
    </row>
    <row r="130" spans="2:66" s="300" customFormat="1" ht="17.25" customHeight="1">
      <c r="C130" s="344"/>
      <c r="D130" s="344"/>
      <c r="F130" s="543" t="str">
        <f>IF(G118=AD119,AD132,"---")</f>
        <v>---</v>
      </c>
      <c r="G130" s="543"/>
      <c r="H130" s="543"/>
      <c r="I130" s="665">
        <f>E88</f>
        <v>16.927627480558961</v>
      </c>
      <c r="J130" s="781"/>
      <c r="K130" s="781"/>
      <c r="L130" s="666"/>
      <c r="M130" s="511">
        <v>0</v>
      </c>
      <c r="N130" s="512"/>
      <c r="O130" s="512"/>
      <c r="P130" s="512" t="s">
        <v>4</v>
      </c>
      <c r="Q130" s="519" t="s">
        <v>136</v>
      </c>
      <c r="R130" s="512"/>
      <c r="S130" s="512"/>
      <c r="T130" s="512"/>
      <c r="U130" s="512" t="s">
        <v>4</v>
      </c>
      <c r="V130" s="519" t="s">
        <v>117</v>
      </c>
      <c r="W130" s="512"/>
      <c r="X130" s="512"/>
      <c r="Y130" s="512"/>
      <c r="Z130" s="343"/>
      <c r="AB130" s="61"/>
      <c r="AC130" s="3" t="s">
        <v>188</v>
      </c>
      <c r="AD130" s="3">
        <f>VLOOKUP(U130,Outils!C9:E10,3)</f>
        <v>-1</v>
      </c>
      <c r="AE130" s="301"/>
      <c r="AF130" s="301"/>
      <c r="AG130" s="301"/>
      <c r="AH130" s="301"/>
      <c r="AI130" s="301"/>
      <c r="AJ130" s="301"/>
      <c r="AK130" s="301"/>
      <c r="AL130" s="301"/>
      <c r="AM130" s="301"/>
      <c r="AN130" s="301"/>
      <c r="AO130" s="301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/>
      <c r="BF130" s="301"/>
      <c r="BG130" s="301"/>
      <c r="BH130" s="301"/>
      <c r="BI130" s="301"/>
      <c r="BJ130" s="301"/>
      <c r="BK130" s="301"/>
      <c r="BL130" s="301"/>
      <c r="BM130" s="301"/>
      <c r="BN130" s="302"/>
    </row>
    <row r="131" spans="2:66" s="300" customFormat="1" ht="17.25" customHeight="1" collapsed="1" thickBot="1">
      <c r="C131" s="344"/>
      <c r="D131" s="344"/>
      <c r="E131" s="344"/>
      <c r="F131" s="544"/>
      <c r="G131" s="544"/>
      <c r="H131" s="544"/>
      <c r="I131" s="667"/>
      <c r="J131" s="922"/>
      <c r="K131" s="922"/>
      <c r="L131" s="668"/>
      <c r="M131" s="513"/>
      <c r="N131" s="514"/>
      <c r="O131" s="514"/>
      <c r="P131" s="514"/>
      <c r="Q131" s="514"/>
      <c r="R131" s="514"/>
      <c r="S131" s="514"/>
      <c r="T131" s="514"/>
      <c r="U131" s="514"/>
      <c r="V131" s="514"/>
      <c r="W131" s="514"/>
      <c r="X131" s="514"/>
      <c r="Y131" s="514"/>
      <c r="Z131" s="343"/>
      <c r="AB131" s="61"/>
      <c r="AC131" s="3" t="s">
        <v>189</v>
      </c>
      <c r="AD131" s="3" cm="1">
        <f t="array" ref="AD131">angleConvert2Decimal(V130)*AD130</f>
        <v>-1.6E-2</v>
      </c>
      <c r="AE131" s="301"/>
      <c r="AF131" s="301"/>
      <c r="AG131" s="301"/>
      <c r="AH131" s="301"/>
      <c r="AI131" s="301"/>
      <c r="AJ131" s="301"/>
      <c r="AK131" s="301"/>
      <c r="AL131" s="301"/>
      <c r="AM131" s="301"/>
      <c r="AN131" s="301"/>
      <c r="AO131" s="301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/>
      <c r="AZ131" s="301"/>
      <c r="BA131" s="301"/>
      <c r="BB131" s="301"/>
      <c r="BC131" s="301"/>
      <c r="BD131" s="301"/>
      <c r="BE131" s="301"/>
      <c r="BF131" s="301"/>
      <c r="BG131" s="301"/>
      <c r="BH131" s="301"/>
      <c r="BI131" s="301"/>
      <c r="BJ131" s="301"/>
      <c r="BK131" s="301"/>
      <c r="BL131" s="301"/>
      <c r="BM131" s="301"/>
      <c r="BN131" s="302"/>
    </row>
    <row r="132" spans="2:66" s="300" customFormat="1" ht="17.25" customHeight="1" thickTop="1" thickBot="1">
      <c r="C132" s="344"/>
      <c r="D132" s="344"/>
      <c r="E132" s="344"/>
      <c r="F132" s="474" t="e" cm="1">
        <f t="array" ref="F132">angleDecimal2Txt(F130)</f>
        <v>#VALUE!</v>
      </c>
      <c r="G132" s="474"/>
      <c r="H132" s="474"/>
      <c r="I132" s="480"/>
      <c r="J132" s="480"/>
      <c r="K132" s="480"/>
      <c r="P132" s="474" t="str" cm="1">
        <f t="array" ref="P132">angleDecimal2Txt(AD129)</f>
        <v>-12°14.40 (-12.2400) [-12°14'24.00]</v>
      </c>
      <c r="Q132" s="474"/>
      <c r="R132" s="474"/>
      <c r="S132" s="474"/>
      <c r="T132" s="474"/>
      <c r="U132" s="474" t="str" cm="1">
        <f t="array" ref="U132">angleDecimal2Txt(AD131)</f>
        <v>-00°00.96 (-00.0160) [-00°00'57.60]</v>
      </c>
      <c r="V132" s="457"/>
      <c r="W132" s="457"/>
      <c r="X132" s="457"/>
      <c r="Y132" s="457"/>
      <c r="AB132" s="61"/>
      <c r="AC132" s="3" t="s">
        <v>190</v>
      </c>
      <c r="AD132" s="3">
        <f>AD129+AD131*(I130-M130)</f>
        <v>-12.510842039688944</v>
      </c>
      <c r="AE132" s="301"/>
      <c r="AF132" s="301"/>
      <c r="AG132" s="301"/>
      <c r="AH132" s="301"/>
      <c r="AI132" s="301"/>
      <c r="AJ132" s="301"/>
      <c r="AK132" s="301"/>
      <c r="AL132" s="301"/>
      <c r="AM132" s="301"/>
      <c r="AN132" s="301"/>
      <c r="AO132" s="301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1"/>
      <c r="BH132" s="301"/>
      <c r="BI132" s="301"/>
      <c r="BJ132" s="301"/>
      <c r="BK132" s="301"/>
      <c r="BL132" s="301"/>
      <c r="BM132" s="301"/>
      <c r="BN132" s="302"/>
    </row>
    <row r="133" spans="2:66" s="300" customFormat="1" ht="17.25" customHeight="1" thickTop="1">
      <c r="C133" s="344"/>
      <c r="D133" s="344"/>
      <c r="E133" s="344"/>
      <c r="F133" s="344"/>
      <c r="G133" s="344"/>
      <c r="S133" s="343"/>
      <c r="T133" s="343"/>
      <c r="U133" s="343"/>
      <c r="V133" s="343"/>
      <c r="W133" s="343"/>
      <c r="X133" s="343"/>
      <c r="AB133" s="61"/>
      <c r="AC133" s="301"/>
      <c r="AD133" s="301"/>
      <c r="AE133" s="301"/>
      <c r="AF133" s="301"/>
      <c r="AG133" s="301"/>
      <c r="AH133" s="301"/>
      <c r="AI133" s="301"/>
      <c r="AJ133" s="301"/>
      <c r="AK133" s="301"/>
      <c r="AL133" s="301"/>
      <c r="AM133" s="301"/>
      <c r="AN133" s="301"/>
      <c r="AO133" s="301"/>
      <c r="AP133" s="301"/>
      <c r="AQ133" s="301"/>
      <c r="AR133" s="301"/>
      <c r="AS133" s="301"/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/>
      <c r="BF133" s="301"/>
      <c r="BG133" s="301"/>
      <c r="BH133" s="301"/>
      <c r="BI133" s="301"/>
      <c r="BJ133" s="301"/>
      <c r="BK133" s="301"/>
      <c r="BL133" s="301"/>
      <c r="BM133" s="301"/>
      <c r="BN133" s="302"/>
    </row>
    <row r="134" spans="2:66" s="300" customFormat="1" ht="17.25" customHeight="1" thickBot="1">
      <c r="C134" s="344"/>
      <c r="D134" s="344"/>
      <c r="E134" s="344"/>
      <c r="F134" s="344"/>
      <c r="G134" s="344"/>
      <c r="S134" s="343"/>
      <c r="T134" s="343"/>
      <c r="U134" s="343"/>
      <c r="V134" s="343"/>
      <c r="W134" s="343"/>
      <c r="X134" s="343"/>
      <c r="AB134" s="61"/>
      <c r="AC134" s="301"/>
      <c r="AD134" s="301"/>
      <c r="AE134" s="301"/>
      <c r="AF134" s="301"/>
      <c r="AG134" s="301"/>
      <c r="AH134" s="301"/>
      <c r="AI134" s="301"/>
      <c r="AJ134" s="301"/>
      <c r="AK134" s="301"/>
      <c r="AL134" s="301"/>
      <c r="AM134" s="301"/>
      <c r="AN134" s="301"/>
      <c r="AO134" s="301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1"/>
      <c r="BH134" s="301"/>
      <c r="BI134" s="301"/>
      <c r="BJ134" s="301"/>
      <c r="BK134" s="301"/>
      <c r="BL134" s="301"/>
      <c r="BM134" s="301"/>
      <c r="BN134" s="302"/>
    </row>
    <row r="135" spans="2:66" s="300" customFormat="1" ht="17.25" customHeight="1" thickBot="1">
      <c r="B135" s="304" t="s">
        <v>23</v>
      </c>
      <c r="C135" s="305"/>
      <c r="D135" s="481" t="s">
        <v>72</v>
      </c>
      <c r="E135" s="580"/>
      <c r="F135" s="532">
        <f>IF(G136=AD136,O175,O165)</f>
        <v>67.147622184360216</v>
      </c>
      <c r="G135" s="532"/>
      <c r="H135" s="532"/>
      <c r="I135" s="305"/>
      <c r="J135" s="305"/>
      <c r="K135" s="305"/>
      <c r="L135" s="305" t="s">
        <v>60</v>
      </c>
      <c r="M135" s="481">
        <f>O138</f>
        <v>66.95</v>
      </c>
      <c r="N135" s="481"/>
      <c r="O135" s="305"/>
      <c r="P135" s="332"/>
      <c r="Q135" s="305" t="s">
        <v>99</v>
      </c>
      <c r="R135" s="305"/>
      <c r="S135" s="523">
        <f>-O152+O147+O156</f>
        <v>0.260725308404401</v>
      </c>
      <c r="T135" s="524"/>
      <c r="U135" s="525"/>
      <c r="V135" s="923" t="str" cm="1">
        <f t="array" ref="V135">angleDecimal2Txt(S135)</f>
        <v>+00°15.64 (+00.2607) [+00°15'38.61]</v>
      </c>
      <c r="W135" s="924"/>
      <c r="X135" s="924"/>
      <c r="Y135" s="924"/>
      <c r="Z135" s="925"/>
      <c r="AA135" s="305"/>
      <c r="AB135" s="64"/>
      <c r="AC135" s="301"/>
      <c r="AD135" s="301"/>
      <c r="AE135" s="301"/>
      <c r="AF135" s="301"/>
      <c r="AG135" s="301"/>
      <c r="AH135" s="301"/>
      <c r="AI135" s="301"/>
      <c r="AJ135" s="301"/>
      <c r="AK135" s="301"/>
      <c r="AL135" s="301"/>
      <c r="AM135" s="301"/>
      <c r="AN135" s="301"/>
      <c r="AO135" s="301"/>
      <c r="AP135" s="301"/>
      <c r="AQ135" s="301"/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/>
      <c r="BF135" s="301"/>
      <c r="BG135" s="301"/>
      <c r="BH135" s="301"/>
      <c r="BI135" s="301"/>
      <c r="BJ135" s="301"/>
      <c r="BK135" s="301"/>
      <c r="BL135" s="301"/>
      <c r="BM135" s="301"/>
      <c r="BN135" s="302"/>
    </row>
    <row r="136" spans="2:66" s="300" customFormat="1" ht="17.25" customHeight="1">
      <c r="C136" s="531" t="s">
        <v>35</v>
      </c>
      <c r="D136" s="531"/>
      <c r="E136" s="531"/>
      <c r="F136" s="531"/>
      <c r="G136" s="456" t="s">
        <v>51</v>
      </c>
      <c r="H136" s="456"/>
      <c r="I136" s="456"/>
      <c r="P136" s="300" t="s">
        <v>69</v>
      </c>
      <c r="V136" s="343"/>
      <c r="W136" s="343"/>
      <c r="X136" s="343"/>
      <c r="Y136" s="343"/>
      <c r="Z136" s="343"/>
      <c r="AB136" s="61"/>
      <c r="AC136" s="508" t="s">
        <v>36</v>
      </c>
      <c r="AD136" s="327" t="s">
        <v>50</v>
      </c>
      <c r="AE136" s="301"/>
      <c r="AF136" s="301"/>
      <c r="AG136" s="301"/>
      <c r="AH136" s="301"/>
      <c r="AI136" s="301"/>
      <c r="AJ136" s="301"/>
      <c r="AK136" s="301"/>
      <c r="AL136" s="301"/>
      <c r="AM136" s="301"/>
      <c r="AN136" s="301"/>
      <c r="AO136" s="301"/>
      <c r="AP136" s="301"/>
      <c r="AQ136" s="301"/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/>
      <c r="BF136" s="301"/>
      <c r="BG136" s="301"/>
      <c r="BH136" s="301"/>
      <c r="BI136" s="301"/>
      <c r="BJ136" s="301"/>
      <c r="BK136" s="301"/>
      <c r="BL136" s="301"/>
      <c r="BM136" s="301"/>
      <c r="BN136" s="302"/>
    </row>
    <row r="137" spans="2:66" s="300" customFormat="1" ht="17.25" customHeight="1" thickBot="1">
      <c r="C137" s="326"/>
      <c r="D137" s="326"/>
      <c r="E137" s="326"/>
      <c r="F137" s="458" t="s">
        <v>62</v>
      </c>
      <c r="G137" s="458"/>
      <c r="H137" s="459"/>
      <c r="I137" s="459"/>
      <c r="J137" s="916">
        <f>IF(G136=AD136,"---",O165)</f>
        <v>67.147622184360216</v>
      </c>
      <c r="K137" s="917"/>
      <c r="L137" s="918"/>
      <c r="M137" s="333"/>
      <c r="N137" s="333"/>
      <c r="O137" s="333"/>
      <c r="P137" s="333"/>
      <c r="Q137" s="333"/>
      <c r="R137" s="333"/>
      <c r="S137" s="333"/>
      <c r="T137" s="333"/>
      <c r="U137" s="333"/>
      <c r="V137" s="334"/>
      <c r="W137" s="334"/>
      <c r="X137" s="334"/>
      <c r="Y137" s="334"/>
      <c r="Z137" s="334"/>
      <c r="AB137" s="61"/>
      <c r="AC137" s="508"/>
      <c r="AD137" s="327" t="s">
        <v>51</v>
      </c>
      <c r="AE137" s="301"/>
      <c r="AF137" s="301"/>
      <c r="AG137" s="301"/>
      <c r="AH137" s="301"/>
      <c r="AI137" s="301"/>
      <c r="AJ137" s="301"/>
      <c r="AK137" s="301"/>
      <c r="AL137" s="301"/>
      <c r="AM137" s="301"/>
      <c r="AN137" s="301"/>
      <c r="AO137" s="301"/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1"/>
      <c r="BH137" s="301"/>
      <c r="BI137" s="301"/>
      <c r="BJ137" s="301"/>
      <c r="BK137" s="301"/>
      <c r="BL137" s="301"/>
      <c r="BM137" s="301"/>
      <c r="BN137" s="302"/>
    </row>
    <row r="138" spans="2:66" s="300" customFormat="1" ht="17.25" customHeight="1" thickTop="1" thickBot="1">
      <c r="H138" s="926" t="s">
        <v>47</v>
      </c>
      <c r="I138" s="927"/>
      <c r="J138" s="927"/>
      <c r="K138" s="927"/>
      <c r="L138" s="927"/>
      <c r="M138" s="927"/>
      <c r="N138" s="928"/>
      <c r="O138" s="586">
        <f>J98</f>
        <v>66.95</v>
      </c>
      <c r="P138" s="586"/>
      <c r="Q138" s="586"/>
      <c r="R138" s="586"/>
      <c r="S138" s="300" t="s">
        <v>54</v>
      </c>
      <c r="U138" s="696" t="str" cm="1">
        <f t="array" ref="U138">angleDecimal2Txt(O138)</f>
        <v>+66°57.00 (+66.9500) [+66°57'00.00]</v>
      </c>
      <c r="V138" s="697"/>
      <c r="W138" s="697"/>
      <c r="X138" s="697"/>
      <c r="Y138" s="697"/>
      <c r="Z138" s="640"/>
      <c r="AB138" s="61"/>
      <c r="AC138" s="301"/>
      <c r="AD138" s="301"/>
      <c r="AE138" s="301"/>
      <c r="AF138" s="301"/>
      <c r="AG138" s="301"/>
      <c r="AH138" s="301"/>
      <c r="AI138" s="301"/>
      <c r="AJ138" s="301"/>
      <c r="AK138" s="301"/>
      <c r="AL138" s="301"/>
      <c r="AM138" s="301"/>
      <c r="AN138" s="301"/>
      <c r="AO138" s="301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/>
      <c r="BF138" s="301"/>
      <c r="BG138" s="301"/>
      <c r="BH138" s="301"/>
      <c r="BI138" s="301"/>
      <c r="BJ138" s="301"/>
      <c r="BK138" s="301"/>
      <c r="BL138" s="301"/>
      <c r="BM138" s="301"/>
      <c r="BN138" s="302"/>
    </row>
    <row r="139" spans="2:66" s="300" customFormat="1" ht="17.25" customHeight="1" thickTop="1" thickBot="1">
      <c r="H139" s="926" t="s">
        <v>24</v>
      </c>
      <c r="I139" s="927"/>
      <c r="J139" s="927"/>
      <c r="K139" s="927"/>
      <c r="L139" s="927"/>
      <c r="M139" s="927"/>
      <c r="N139" s="928"/>
      <c r="O139" s="586">
        <f>J97</f>
        <v>2.1666666666666667E-2</v>
      </c>
      <c r="P139" s="586"/>
      <c r="Q139" s="586"/>
      <c r="R139" s="586"/>
      <c r="S139" s="300" t="s">
        <v>54</v>
      </c>
      <c r="U139" s="696" t="str" cm="1">
        <f t="array" ref="U139">angleDecimal2Txt(O139)</f>
        <v>+00°01.30 (+00.0216) [+00°01'18.00]</v>
      </c>
      <c r="V139" s="697"/>
      <c r="W139" s="697"/>
      <c r="X139" s="697"/>
      <c r="Y139" s="697"/>
      <c r="Z139" s="640"/>
      <c r="AB139" s="61"/>
      <c r="AC139" s="3" t="s">
        <v>59</v>
      </c>
      <c r="AD139" s="5">
        <f>O139</f>
        <v>2.1666666666666667E-2</v>
      </c>
      <c r="AE139" s="301"/>
      <c r="AF139" s="301"/>
      <c r="AG139" s="301"/>
      <c r="AH139" s="301"/>
      <c r="AI139" s="301"/>
      <c r="AJ139" s="301"/>
      <c r="AK139" s="301"/>
      <c r="AL139" s="301"/>
      <c r="AM139" s="301"/>
      <c r="AN139" s="301"/>
      <c r="AO139" s="301"/>
      <c r="AP139" s="301"/>
      <c r="AQ139" s="301"/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/>
      <c r="BD139" s="301"/>
      <c r="BE139" s="301"/>
      <c r="BF139" s="301"/>
      <c r="BG139" s="301"/>
      <c r="BH139" s="301"/>
      <c r="BI139" s="301"/>
      <c r="BJ139" s="301"/>
      <c r="BK139" s="301"/>
      <c r="BL139" s="301"/>
      <c r="BM139" s="301"/>
      <c r="BN139" s="302"/>
    </row>
    <row r="140" spans="2:66" s="300" customFormat="1" ht="17.25" customHeight="1" thickTop="1" thickBot="1">
      <c r="C140" s="344"/>
      <c r="D140" s="344"/>
      <c r="E140" s="344"/>
      <c r="F140" s="344"/>
      <c r="H140" s="926" t="s">
        <v>68</v>
      </c>
      <c r="I140" s="927"/>
      <c r="J140" s="927"/>
      <c r="K140" s="927"/>
      <c r="L140" s="927"/>
      <c r="M140" s="927"/>
      <c r="N140" s="928"/>
      <c r="O140" s="569">
        <f>AD141</f>
        <v>4.1436457377531689E-2</v>
      </c>
      <c r="P140" s="569"/>
      <c r="Q140" s="569"/>
      <c r="R140" s="569"/>
      <c r="S140" s="300" t="s">
        <v>54</v>
      </c>
      <c r="U140" s="696" t="str" cm="1">
        <f t="array" ref="U140">angleDecimal2Txt(O140)</f>
        <v>+00°02.48 (+00.0414) [+00°02'29.17]</v>
      </c>
      <c r="V140" s="697"/>
      <c r="W140" s="697"/>
      <c r="X140" s="697"/>
      <c r="Y140" s="697"/>
      <c r="Z140" s="640"/>
      <c r="AB140" s="61"/>
      <c r="AC140" s="3" t="s">
        <v>46</v>
      </c>
      <c r="AD140" s="3">
        <f>J96</f>
        <v>2</v>
      </c>
      <c r="AE140" s="301"/>
      <c r="AF140" s="301"/>
      <c r="AG140" s="301"/>
      <c r="AH140" s="301"/>
      <c r="AI140" s="301"/>
      <c r="AJ140" s="301"/>
      <c r="AK140" s="301"/>
      <c r="AL140" s="301"/>
      <c r="AM140" s="301"/>
      <c r="AN140" s="301"/>
      <c r="AO140" s="301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1"/>
      <c r="BH140" s="301"/>
      <c r="BI140" s="301"/>
      <c r="BJ140" s="301"/>
      <c r="BK140" s="301"/>
      <c r="BL140" s="301"/>
      <c r="BM140" s="301"/>
      <c r="BN140" s="302"/>
    </row>
    <row r="141" spans="2:66" s="300" customFormat="1" ht="17.25" customHeight="1" thickTop="1" thickBot="1">
      <c r="C141" s="344"/>
      <c r="D141" s="344"/>
      <c r="E141" s="344"/>
      <c r="F141" s="344"/>
      <c r="G141" s="344"/>
      <c r="K141" s="343"/>
      <c r="L141" s="343"/>
      <c r="M141" s="589" t="s">
        <v>122</v>
      </c>
      <c r="N141" s="589"/>
      <c r="O141" s="589"/>
      <c r="P141" s="589"/>
      <c r="Q141" s="343"/>
      <c r="R141" s="343"/>
      <c r="U141" s="343"/>
      <c r="V141" s="343"/>
      <c r="W141" s="343"/>
      <c r="X141" s="343"/>
      <c r="Y141" s="343"/>
      <c r="Z141" s="343"/>
      <c r="AB141" s="61"/>
      <c r="AC141" s="74" t="s">
        <v>67</v>
      </c>
      <c r="AD141" s="3">
        <f>0.0293 * SQRT(AD140)</f>
        <v>4.1436457377531689E-2</v>
      </c>
      <c r="AE141" s="301"/>
      <c r="AF141" s="301"/>
      <c r="AG141" s="301"/>
      <c r="AH141" s="301"/>
      <c r="AI141" s="301"/>
      <c r="AJ141" s="301"/>
      <c r="AK141" s="301"/>
      <c r="AL141" s="301"/>
      <c r="AM141" s="301"/>
      <c r="AN141" s="301"/>
      <c r="AO141" s="301"/>
      <c r="AP141" s="301"/>
      <c r="AQ141" s="301"/>
      <c r="AR141" s="301"/>
      <c r="AS141" s="301"/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1"/>
      <c r="BH141" s="301"/>
      <c r="BI141" s="301"/>
      <c r="BJ141" s="301"/>
      <c r="BK141" s="301"/>
      <c r="BL141" s="301"/>
      <c r="BM141" s="301"/>
      <c r="BN141" s="302"/>
    </row>
    <row r="142" spans="2:66" s="300" customFormat="1" ht="17.25" customHeight="1" thickTop="1" thickBot="1">
      <c r="C142" s="344"/>
      <c r="D142" s="344"/>
      <c r="E142" s="344"/>
      <c r="F142" s="344"/>
      <c r="H142" s="929" t="s">
        <v>448</v>
      </c>
      <c r="I142" s="677"/>
      <c r="J142" s="677"/>
      <c r="K142" s="677"/>
      <c r="L142" s="677"/>
      <c r="M142" s="677"/>
      <c r="N142" s="678"/>
      <c r="O142" s="649">
        <f>O138-O139-O140</f>
        <v>66.886896875955813</v>
      </c>
      <c r="P142" s="686"/>
      <c r="Q142" s="300" t="s">
        <v>54</v>
      </c>
      <c r="R142" s="507">
        <f>O142*Outils!F4</f>
        <v>1.1673965769273382</v>
      </c>
      <c r="S142" s="507"/>
      <c r="T142" s="37" t="s">
        <v>64</v>
      </c>
      <c r="U142" s="696" t="str" cm="1">
        <f t="array" ref="U142">angleDecimal2Txt(O142)</f>
        <v>+66°53.21 (+66.8868) [+66°53'12.82]</v>
      </c>
      <c r="V142" s="697"/>
      <c r="W142" s="697"/>
      <c r="X142" s="697"/>
      <c r="Y142" s="697"/>
      <c r="Z142" s="640"/>
      <c r="AB142" s="61"/>
      <c r="AC142" s="301"/>
      <c r="AD142" s="301"/>
      <c r="AE142" s="301"/>
      <c r="AF142" s="301"/>
      <c r="AG142" s="301"/>
      <c r="AH142" s="301"/>
      <c r="AI142" s="301"/>
      <c r="AJ142" s="301"/>
      <c r="AK142" s="301"/>
      <c r="AL142" s="301"/>
      <c r="AM142" s="301"/>
      <c r="AN142" s="301"/>
      <c r="AO142" s="301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/>
      <c r="BF142" s="301"/>
      <c r="BG142" s="301"/>
      <c r="BH142" s="301"/>
      <c r="BI142" s="301"/>
      <c r="BJ142" s="301"/>
      <c r="BK142" s="301"/>
      <c r="BL142" s="301"/>
      <c r="BM142" s="301"/>
      <c r="BN142" s="302"/>
    </row>
    <row r="143" spans="2:66" s="300" customFormat="1" ht="17.25" customHeight="1" thickTop="1"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U143" s="343"/>
      <c r="V143" s="343"/>
      <c r="W143" s="343"/>
      <c r="X143" s="343"/>
      <c r="Y143" s="343"/>
      <c r="Z143" s="343"/>
      <c r="AB143" s="61"/>
      <c r="AC143" s="301"/>
      <c r="AD143" s="301"/>
      <c r="AE143" s="301"/>
      <c r="AF143" s="301"/>
      <c r="AG143" s="301"/>
      <c r="AH143" s="301"/>
      <c r="AI143" s="301"/>
      <c r="AJ143" s="301"/>
      <c r="AK143" s="301"/>
      <c r="AL143" s="301"/>
      <c r="AM143" s="301"/>
      <c r="AN143" s="301"/>
      <c r="AO143" s="301"/>
      <c r="AP143" s="301"/>
      <c r="AQ143" s="301"/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/>
      <c r="BF143" s="301"/>
      <c r="BG143" s="301"/>
      <c r="BH143" s="301"/>
      <c r="BI143" s="301"/>
      <c r="BJ143" s="301"/>
      <c r="BK143" s="301"/>
      <c r="BL143" s="301"/>
      <c r="BM143" s="301"/>
      <c r="BN143" s="302"/>
    </row>
    <row r="144" spans="2:66" s="300" customFormat="1" ht="17.25" customHeight="1">
      <c r="C144" s="344"/>
      <c r="D144" s="344"/>
      <c r="E144" s="344"/>
      <c r="F144" s="344"/>
      <c r="H144" s="343"/>
      <c r="I144" s="343"/>
      <c r="J144" s="343"/>
      <c r="K144" s="343"/>
      <c r="L144" s="343"/>
      <c r="M144" s="767" t="s">
        <v>61</v>
      </c>
      <c r="N144" s="767"/>
      <c r="O144" s="767"/>
      <c r="P144" s="767"/>
      <c r="Q144" s="343"/>
      <c r="R144" s="343"/>
      <c r="U144" s="343"/>
      <c r="V144" s="343"/>
      <c r="W144" s="343"/>
      <c r="X144" s="343"/>
      <c r="Y144" s="343"/>
      <c r="Z144" s="343"/>
      <c r="AB144" s="61"/>
      <c r="AC144" s="301"/>
      <c r="AD144" s="301"/>
      <c r="AE144" s="301"/>
      <c r="AF144" s="301"/>
      <c r="AG144" s="301"/>
      <c r="AH144" s="301"/>
      <c r="AI144" s="301"/>
      <c r="AJ144" s="301"/>
      <c r="AK144" s="301"/>
      <c r="AL144" s="301"/>
      <c r="AM144" s="301"/>
      <c r="AN144" s="301"/>
      <c r="AO144" s="301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1"/>
      <c r="BH144" s="301"/>
      <c r="BI144" s="301"/>
      <c r="BJ144" s="301"/>
      <c r="BK144" s="301"/>
      <c r="BL144" s="301"/>
      <c r="BM144" s="301"/>
      <c r="BN144" s="302"/>
    </row>
    <row r="145" spans="1:67" s="300" customFormat="1" ht="17.25" customHeight="1" thickBot="1">
      <c r="M145" s="768" t="s">
        <v>150</v>
      </c>
      <c r="N145" s="768"/>
      <c r="O145" s="767"/>
      <c r="P145" s="767"/>
      <c r="AB145" s="61"/>
      <c r="AC145" s="301"/>
      <c r="AD145" s="301"/>
      <c r="AE145" s="301"/>
      <c r="AF145" s="301"/>
      <c r="AG145" s="301"/>
      <c r="AH145" s="301"/>
      <c r="AI145" s="301"/>
      <c r="AJ145" s="301"/>
      <c r="AK145" s="301"/>
      <c r="AL145" s="301"/>
      <c r="AM145" s="301"/>
      <c r="AN145" s="301"/>
      <c r="AO145" s="301"/>
      <c r="AP145" s="301"/>
      <c r="AQ145" s="301"/>
      <c r="AR145" s="301"/>
      <c r="AS145" s="301"/>
      <c r="AT145" s="301"/>
      <c r="AU145" s="301"/>
      <c r="AV145" s="301"/>
      <c r="AW145" s="301"/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1"/>
      <c r="BH145" s="301"/>
      <c r="BI145" s="301"/>
      <c r="BJ145" s="301"/>
      <c r="BK145" s="301"/>
      <c r="BL145" s="301"/>
      <c r="BM145" s="301"/>
      <c r="BN145" s="302"/>
    </row>
    <row r="146" spans="1:67" ht="17.25" customHeight="1" thickTop="1" thickBot="1">
      <c r="A146" s="343"/>
      <c r="B146" s="343"/>
      <c r="C146" s="343"/>
      <c r="D146" s="343"/>
      <c r="E146" s="343"/>
      <c r="F146" s="300"/>
      <c r="G146" s="300"/>
      <c r="H146" s="549" t="s">
        <v>52</v>
      </c>
      <c r="I146" s="550"/>
      <c r="J146" s="550"/>
      <c r="K146" s="550"/>
      <c r="L146" s="550"/>
      <c r="M146" s="550"/>
      <c r="N146" s="551"/>
      <c r="O146" s="769">
        <f>J101</f>
        <v>2.8833333333333332E-3</v>
      </c>
      <c r="P146" s="770"/>
      <c r="Q146" s="770"/>
      <c r="R146" s="770"/>
      <c r="S146" s="300" t="s">
        <v>54</v>
      </c>
      <c r="T146" s="300"/>
      <c r="U146" s="696" t="str" cm="1">
        <f t="array" ref="U146">angleDecimal2Txt(O146)</f>
        <v>+00°00.17 (+00.0028) [+00°00'10.37]</v>
      </c>
      <c r="V146" s="697"/>
      <c r="W146" s="697"/>
      <c r="X146" s="697"/>
      <c r="Y146" s="697"/>
      <c r="Z146" s="640"/>
      <c r="AA146" s="300"/>
      <c r="AB146" s="61"/>
      <c r="AC146" s="3" t="s">
        <v>194</v>
      </c>
      <c r="AD146" s="3">
        <f>O146*COS(R142)</f>
        <v>1.1318451843031962E-3</v>
      </c>
      <c r="BN146" s="302"/>
      <c r="BO146" s="300"/>
    </row>
    <row r="147" spans="1:67" ht="17.25" customHeight="1" thickTop="1" thickBot="1">
      <c r="A147" s="343"/>
      <c r="B147" s="343"/>
      <c r="C147" s="343"/>
      <c r="D147" s="343"/>
      <c r="E147" s="343"/>
      <c r="F147" s="300"/>
      <c r="G147" s="300"/>
      <c r="H147" s="676" t="s">
        <v>151</v>
      </c>
      <c r="I147" s="677"/>
      <c r="J147" s="677"/>
      <c r="K147" s="677"/>
      <c r="L147" s="677"/>
      <c r="M147" s="677"/>
      <c r="N147" s="678"/>
      <c r="O147" s="642">
        <f>AD146</f>
        <v>1.1318451843031962E-3</v>
      </c>
      <c r="P147" s="642"/>
      <c r="Q147" s="642"/>
      <c r="R147" s="642"/>
      <c r="S147" s="300" t="s">
        <v>54</v>
      </c>
      <c r="T147" s="300"/>
      <c r="U147" s="696" t="str" cm="1">
        <f t="array" ref="U147">angleDecimal2Txt(O147)</f>
        <v>+00°00.06 (+00.0011) [+00°00'04.07]</v>
      </c>
      <c r="V147" s="697"/>
      <c r="W147" s="697"/>
      <c r="X147" s="697"/>
      <c r="Y147" s="697"/>
      <c r="Z147" s="640"/>
      <c r="AA147" s="300"/>
      <c r="AB147" s="61"/>
      <c r="BN147" s="302"/>
      <c r="BO147" s="300"/>
    </row>
    <row r="148" spans="1:67" ht="17.25" customHeight="1" thickTop="1">
      <c r="A148" s="343"/>
      <c r="B148" s="343"/>
      <c r="C148" s="343"/>
      <c r="D148" s="343"/>
      <c r="E148" s="343"/>
      <c r="F148" s="300"/>
      <c r="G148" s="300"/>
      <c r="H148" s="343"/>
      <c r="I148" s="343"/>
      <c r="J148" s="343"/>
      <c r="K148" s="343"/>
      <c r="L148" s="343"/>
      <c r="M148" s="343"/>
      <c r="N148" s="343"/>
      <c r="O148" s="343"/>
      <c r="P148" s="343"/>
      <c r="Q148" s="343"/>
      <c r="R148" s="343"/>
      <c r="S148" s="343"/>
      <c r="T148" s="343"/>
      <c r="U148" s="343"/>
      <c r="V148" s="343"/>
      <c r="W148" s="343"/>
      <c r="X148" s="343"/>
      <c r="Y148" s="343"/>
      <c r="Z148" s="343"/>
      <c r="AA148" s="300"/>
      <c r="AB148" s="61"/>
      <c r="BN148" s="302"/>
      <c r="BO148" s="300"/>
    </row>
    <row r="149" spans="1:67" ht="17.25" customHeight="1">
      <c r="A149" s="343"/>
      <c r="B149" s="343"/>
      <c r="C149" s="343"/>
      <c r="D149" s="343"/>
      <c r="E149" s="344"/>
      <c r="F149" s="300"/>
      <c r="G149" s="300"/>
      <c r="H149" s="343"/>
      <c r="I149" s="343"/>
      <c r="J149" s="343"/>
      <c r="K149" s="343"/>
      <c r="L149" s="343"/>
      <c r="M149" s="343"/>
      <c r="N149" s="343"/>
      <c r="O149" s="343"/>
      <c r="P149" s="300"/>
      <c r="Q149" s="300"/>
      <c r="R149" s="300"/>
      <c r="S149" s="772" t="s">
        <v>135</v>
      </c>
      <c r="T149" s="773"/>
      <c r="U149" s="774"/>
      <c r="V149" s="300"/>
      <c r="W149" s="300"/>
      <c r="X149" s="300"/>
      <c r="Y149" s="343"/>
      <c r="Z149" s="343"/>
      <c r="AA149" s="300"/>
      <c r="AB149" s="61"/>
      <c r="AC149" s="3" t="s">
        <v>49</v>
      </c>
      <c r="AD149" s="3" t="s">
        <v>196</v>
      </c>
      <c r="BN149" s="302"/>
      <c r="BO149" s="300"/>
    </row>
    <row r="150" spans="1:67" ht="17.25" customHeight="1">
      <c r="A150" s="343"/>
      <c r="B150" s="343"/>
      <c r="C150" s="343"/>
      <c r="D150" s="343"/>
      <c r="E150" s="344"/>
      <c r="F150" s="300"/>
      <c r="G150" s="300"/>
      <c r="H150" s="549" t="s">
        <v>65</v>
      </c>
      <c r="I150" s="550"/>
      <c r="J150" s="550"/>
      <c r="K150" s="550"/>
      <c r="L150" s="550"/>
      <c r="M150" s="550"/>
      <c r="N150" s="551"/>
      <c r="O150" s="663">
        <f>S150</f>
        <v>10</v>
      </c>
      <c r="P150" s="664"/>
      <c r="Q150" s="664"/>
      <c r="R150" s="664"/>
      <c r="S150" s="583">
        <v>10</v>
      </c>
      <c r="T150" s="584"/>
      <c r="U150" s="585"/>
      <c r="V150" s="300"/>
      <c r="W150" s="300"/>
      <c r="X150" s="300"/>
      <c r="Y150" s="343"/>
      <c r="Z150" s="343"/>
      <c r="AA150" s="300"/>
      <c r="AB150" s="61"/>
      <c r="AC150" s="3" t="s">
        <v>197</v>
      </c>
      <c r="AD150" s="3">
        <f>1/TAN((O142 + 7.31 / (O142 + 4.4)) * Outils!F4)</f>
        <v>0.4246923427253872</v>
      </c>
      <c r="BN150" s="302"/>
      <c r="BO150" s="300"/>
    </row>
    <row r="151" spans="1:67" ht="17.25" customHeight="1" thickBot="1">
      <c r="A151" s="343"/>
      <c r="B151" s="343"/>
      <c r="C151" s="343"/>
      <c r="D151" s="343"/>
      <c r="E151" s="343"/>
      <c r="F151" s="300"/>
      <c r="G151" s="300"/>
      <c r="H151" s="549" t="s">
        <v>66</v>
      </c>
      <c r="I151" s="550"/>
      <c r="J151" s="550"/>
      <c r="K151" s="550"/>
      <c r="L151" s="550"/>
      <c r="M151" s="550"/>
      <c r="N151" s="551"/>
      <c r="O151" s="663">
        <f>S151</f>
        <v>1010</v>
      </c>
      <c r="P151" s="664"/>
      <c r="Q151" s="664"/>
      <c r="R151" s="664"/>
      <c r="S151" s="583">
        <v>1010</v>
      </c>
      <c r="T151" s="584"/>
      <c r="U151" s="585"/>
      <c r="V151" s="300"/>
      <c r="W151" s="300"/>
      <c r="X151" s="300"/>
      <c r="Y151" s="343"/>
      <c r="Z151" s="343"/>
      <c r="AA151" s="300"/>
      <c r="AB151" s="61"/>
      <c r="AC151" s="3" t="s">
        <v>198</v>
      </c>
      <c r="AD151" s="3">
        <f>AD150/60</f>
        <v>7.0782057120897862E-3</v>
      </c>
      <c r="BN151" s="302"/>
      <c r="BO151" s="300"/>
    </row>
    <row r="152" spans="1:67" ht="17.25" customHeight="1" thickTop="1" thickBot="1">
      <c r="A152" s="343"/>
      <c r="B152" s="343"/>
      <c r="C152" s="343"/>
      <c r="D152" s="343"/>
      <c r="E152" s="343"/>
      <c r="F152" s="300"/>
      <c r="G152" s="300"/>
      <c r="H152" s="676" t="s">
        <v>152</v>
      </c>
      <c r="I152" s="677"/>
      <c r="J152" s="677"/>
      <c r="K152" s="677"/>
      <c r="L152" s="677"/>
      <c r="M152" s="677"/>
      <c r="N152" s="678"/>
      <c r="O152" s="642">
        <f>AD153</f>
        <v>7.0732034465688749E-3</v>
      </c>
      <c r="P152" s="642"/>
      <c r="Q152" s="642"/>
      <c r="R152" s="642"/>
      <c r="S152" s="300" t="s">
        <v>54</v>
      </c>
      <c r="T152" s="300"/>
      <c r="U152" s="696" t="str" cm="1">
        <f t="array" ref="U152">angleDecimal2Txt(O152)</f>
        <v>+00°00.42 (+00.0070) [+00°00'25.46]</v>
      </c>
      <c r="V152" s="697"/>
      <c r="W152" s="697"/>
      <c r="X152" s="697"/>
      <c r="Y152" s="697"/>
      <c r="Z152" s="640"/>
      <c r="AA152" s="300"/>
      <c r="AB152" s="61"/>
      <c r="AC152" s="3" t="s">
        <v>100</v>
      </c>
      <c r="AD152" s="3">
        <f xml:space="preserve"> 0.28 * O151 / (273 + O150)</f>
        <v>0.99929328621908131</v>
      </c>
      <c r="BN152" s="302"/>
      <c r="BO152" s="300"/>
    </row>
    <row r="153" spans="1:67" ht="17.25" customHeight="1" thickTop="1">
      <c r="A153" s="343"/>
      <c r="B153" s="343"/>
      <c r="C153" s="343"/>
      <c r="D153" s="343"/>
      <c r="E153" s="343"/>
      <c r="F153" s="300"/>
      <c r="G153" s="300"/>
      <c r="H153" s="343"/>
      <c r="I153" s="343"/>
      <c r="J153" s="343"/>
      <c r="K153" s="343"/>
      <c r="L153" s="343"/>
      <c r="M153" s="343"/>
      <c r="N153" s="343"/>
      <c r="O153" s="343"/>
      <c r="P153" s="300"/>
      <c r="Q153" s="300"/>
      <c r="R153" s="300"/>
      <c r="S153" s="300"/>
      <c r="T153" s="300"/>
      <c r="U153" s="300"/>
      <c r="V153" s="300"/>
      <c r="W153" s="300"/>
      <c r="X153" s="300"/>
      <c r="Y153" s="343"/>
      <c r="Z153" s="343"/>
      <c r="AA153" s="300"/>
      <c r="AB153" s="61"/>
      <c r="AC153" s="3" t="s">
        <v>195</v>
      </c>
      <c r="AD153" s="3">
        <f>AD152*AD151</f>
        <v>7.0732034465688749E-3</v>
      </c>
      <c r="BN153" s="302"/>
      <c r="BO153" s="300"/>
    </row>
    <row r="154" spans="1:67" ht="17.25" customHeight="1">
      <c r="A154" s="343"/>
      <c r="B154" s="343"/>
      <c r="C154" s="343"/>
      <c r="D154" s="343"/>
      <c r="E154" s="343"/>
      <c r="F154" s="300"/>
      <c r="G154" s="300"/>
      <c r="H154" s="549" t="s">
        <v>106</v>
      </c>
      <c r="I154" s="550"/>
      <c r="J154" s="550"/>
      <c r="K154" s="550"/>
      <c r="L154" s="550"/>
      <c r="M154" s="550"/>
      <c r="N154" s="551"/>
      <c r="O154" s="662">
        <f>J105</f>
        <v>0.53333333333333333</v>
      </c>
      <c r="P154" s="662"/>
      <c r="Q154" s="662"/>
      <c r="R154" s="662"/>
      <c r="S154" s="300"/>
      <c r="T154" s="300"/>
      <c r="U154" s="300"/>
      <c r="V154" s="300"/>
      <c r="W154" s="300"/>
      <c r="X154" s="300"/>
      <c r="Y154" s="300"/>
      <c r="Z154" s="300"/>
      <c r="AA154" s="300"/>
      <c r="AB154" s="61"/>
      <c r="BN154" s="302"/>
      <c r="BO154" s="300"/>
    </row>
    <row r="155" spans="1:67" ht="17.25" customHeight="1" thickBot="1">
      <c r="A155" s="300"/>
      <c r="B155" s="343"/>
      <c r="C155" s="343"/>
      <c r="D155" s="343"/>
      <c r="E155" s="344"/>
      <c r="F155" s="344"/>
      <c r="G155" s="344"/>
      <c r="H155" s="549" t="s">
        <v>70</v>
      </c>
      <c r="I155" s="550"/>
      <c r="J155" s="550"/>
      <c r="K155" s="550"/>
      <c r="L155" s="550"/>
      <c r="M155" s="550"/>
      <c r="N155" s="551"/>
      <c r="O155" s="662" t="str">
        <f>J100</f>
        <v>BordInf</v>
      </c>
      <c r="P155" s="662"/>
      <c r="Q155" s="662"/>
      <c r="R155" s="662"/>
      <c r="S155" s="300"/>
      <c r="T155" s="300"/>
      <c r="U155" s="300"/>
      <c r="V155" s="300"/>
      <c r="W155" s="300"/>
      <c r="X155" s="300"/>
      <c r="Y155" s="300"/>
      <c r="Z155" s="300"/>
      <c r="AA155" s="300"/>
      <c r="AB155" s="61"/>
      <c r="AC155" s="3" t="s">
        <v>30</v>
      </c>
      <c r="AD155" s="578" t="str">
        <f>J99</f>
        <v>Soleil</v>
      </c>
      <c r="AE155" s="578"/>
      <c r="BN155" s="302"/>
      <c r="BO155" s="300"/>
    </row>
    <row r="156" spans="1:67" ht="17.25" customHeight="1" thickTop="1" thickBot="1">
      <c r="A156" s="300"/>
      <c r="B156" s="300"/>
      <c r="C156" s="344"/>
      <c r="D156" s="344"/>
      <c r="E156" s="344"/>
      <c r="F156" s="344"/>
      <c r="G156" s="344"/>
      <c r="H156" s="676" t="s">
        <v>71</v>
      </c>
      <c r="I156" s="677"/>
      <c r="J156" s="677"/>
      <c r="K156" s="677"/>
      <c r="L156" s="677"/>
      <c r="M156" s="677"/>
      <c r="N156" s="678"/>
      <c r="O156" s="682">
        <f>AD159</f>
        <v>0.26666666666666666</v>
      </c>
      <c r="P156" s="682"/>
      <c r="Q156" s="682"/>
      <c r="R156" s="682"/>
      <c r="S156" s="300" t="s">
        <v>54</v>
      </c>
      <c r="T156" s="300"/>
      <c r="U156" s="696" t="str" cm="1">
        <f t="array" ref="U156">angleDecimal2Txt(O156)</f>
        <v>+00°16.00 (+00.2666) [+00°16'00.00]</v>
      </c>
      <c r="V156" s="697"/>
      <c r="W156" s="697"/>
      <c r="X156" s="697"/>
      <c r="Y156" s="697"/>
      <c r="Z156" s="640"/>
      <c r="AA156" s="300"/>
      <c r="AB156" s="61"/>
      <c r="AC156" s="3" t="s">
        <v>202</v>
      </c>
      <c r="AD156" s="578" t="str">
        <f>O155</f>
        <v>BordInf</v>
      </c>
      <c r="AE156" s="578"/>
      <c r="BN156" s="302"/>
      <c r="BO156" s="300"/>
    </row>
    <row r="157" spans="1:67" ht="17.25" customHeight="1" thickTop="1">
      <c r="A157" s="300"/>
      <c r="B157" s="300"/>
      <c r="C157" s="344"/>
      <c r="D157" s="344"/>
      <c r="E157" s="344"/>
      <c r="F157" s="344"/>
      <c r="G157" s="344"/>
      <c r="H157" s="343"/>
      <c r="I157" s="343"/>
      <c r="J157" s="343"/>
      <c r="K157" s="343"/>
      <c r="L157" s="343"/>
      <c r="M157" s="343"/>
      <c r="N157" s="343"/>
      <c r="O157" s="343"/>
      <c r="P157" s="343"/>
      <c r="Q157" s="343"/>
      <c r="R157" s="343"/>
      <c r="S157" s="343"/>
      <c r="T157" s="343"/>
      <c r="U157" s="343"/>
      <c r="V157" s="343"/>
      <c r="W157" s="343"/>
      <c r="X157" s="343"/>
      <c r="Y157" s="343"/>
      <c r="Z157" s="343"/>
      <c r="AA157" s="300"/>
      <c r="AB157" s="61"/>
      <c r="AC157" s="3" t="s">
        <v>203</v>
      </c>
      <c r="AD157" s="579">
        <f>HLOOKUP(AD156,AD104:AF105,2)</f>
        <v>0.5</v>
      </c>
      <c r="AE157" s="579"/>
      <c r="BN157" s="302"/>
      <c r="BO157" s="300"/>
    </row>
    <row r="158" spans="1:67" ht="17.25" customHeight="1">
      <c r="A158" s="300"/>
      <c r="B158" s="300"/>
      <c r="C158" s="344"/>
      <c r="D158" s="344"/>
      <c r="E158" s="344"/>
      <c r="F158" s="344"/>
      <c r="G158" s="591" t="s">
        <v>115</v>
      </c>
      <c r="H158" s="592"/>
      <c r="I158" s="592"/>
      <c r="J158" s="592"/>
      <c r="K158" s="592"/>
      <c r="L158" s="592"/>
      <c r="M158" s="592"/>
      <c r="N158" s="592"/>
      <c r="O158" s="592"/>
      <c r="P158" s="592"/>
      <c r="Q158" s="592"/>
      <c r="R158" s="592"/>
      <c r="S158" s="593"/>
      <c r="T158" s="343"/>
      <c r="U158" s="343"/>
      <c r="V158" s="343"/>
      <c r="W158" s="343"/>
      <c r="X158" s="343"/>
      <c r="Y158" s="343"/>
      <c r="Z158" s="343"/>
      <c r="AA158" s="300"/>
      <c r="AB158" s="61"/>
      <c r="AC158" s="3" t="s">
        <v>106</v>
      </c>
      <c r="AD158" s="3" t="str">
        <f>HLOOKUP(AD155,AD100:AF102,3)</f>
        <v>32'</v>
      </c>
      <c r="AE158" s="3" cm="1">
        <f t="array" ref="AE158">angleConvert2Decimal(AD158)</f>
        <v>0.53333333333333333</v>
      </c>
      <c r="BN158" s="302"/>
      <c r="BO158" s="300"/>
    </row>
    <row r="159" spans="1:67" ht="17.25" customHeight="1">
      <c r="A159" s="300"/>
      <c r="B159" s="300"/>
      <c r="C159" s="344"/>
      <c r="D159" s="344"/>
      <c r="E159" s="344"/>
      <c r="F159" s="344"/>
      <c r="G159" s="665" t="s">
        <v>124</v>
      </c>
      <c r="H159" s="666"/>
      <c r="I159" s="460" t="s">
        <v>119</v>
      </c>
      <c r="J159" s="461"/>
      <c r="K159" s="461"/>
      <c r="L159" s="461"/>
      <c r="M159" s="461"/>
      <c r="N159" s="462"/>
      <c r="O159" s="775">
        <f>(O147-O152-O140+O154/2) * 60</f>
        <v>13.157331061612158</v>
      </c>
      <c r="P159" s="587"/>
      <c r="Q159" s="587"/>
      <c r="R159" s="587"/>
      <c r="S159" s="594" t="s">
        <v>116</v>
      </c>
      <c r="T159" s="343"/>
      <c r="U159" s="343"/>
      <c r="V159" s="343"/>
      <c r="W159" s="343"/>
      <c r="X159" s="343"/>
      <c r="Y159" s="343"/>
      <c r="Z159" s="343"/>
      <c r="AA159" s="300"/>
      <c r="AB159" s="61"/>
      <c r="AC159" s="3" t="s">
        <v>203</v>
      </c>
      <c r="AD159" s="579">
        <f>AE158*AD157</f>
        <v>0.26666666666666666</v>
      </c>
      <c r="AE159" s="579"/>
      <c r="BN159" s="302"/>
      <c r="BO159" s="300"/>
    </row>
    <row r="160" spans="1:67" ht="17.25" customHeight="1">
      <c r="A160" s="300"/>
      <c r="B160" s="300"/>
      <c r="C160" s="344"/>
      <c r="D160" s="344"/>
      <c r="E160" s="344"/>
      <c r="F160" s="344"/>
      <c r="G160" s="667"/>
      <c r="H160" s="668"/>
      <c r="I160" s="659" t="s">
        <v>123</v>
      </c>
      <c r="J160" s="660"/>
      <c r="K160" s="660"/>
      <c r="L160" s="660"/>
      <c r="M160" s="660"/>
      <c r="N160" s="661"/>
      <c r="O160" s="776"/>
      <c r="P160" s="588"/>
      <c r="Q160" s="588"/>
      <c r="R160" s="588"/>
      <c r="S160" s="595"/>
      <c r="T160" s="343"/>
      <c r="U160" s="343"/>
      <c r="V160" s="343"/>
      <c r="W160" s="343"/>
      <c r="X160" s="343"/>
      <c r="Y160" s="343"/>
      <c r="Z160" s="343"/>
      <c r="AA160" s="300"/>
      <c r="AB160" s="61"/>
      <c r="BN160" s="302"/>
      <c r="BO160" s="300"/>
    </row>
    <row r="161" spans="1:67" ht="17.25" customHeight="1">
      <c r="A161" s="300"/>
      <c r="B161" s="300"/>
      <c r="C161" s="344"/>
      <c r="D161" s="344"/>
      <c r="E161" s="344"/>
      <c r="F161" s="344"/>
      <c r="G161" s="344"/>
      <c r="H161" s="343"/>
      <c r="I161" s="460" t="s">
        <v>120</v>
      </c>
      <c r="J161" s="461"/>
      <c r="K161" s="461"/>
      <c r="L161" s="461"/>
      <c r="M161" s="461"/>
      <c r="N161" s="462"/>
      <c r="O161" s="587">
        <f>(O147-O152+O154/2)*60</f>
        <v>15.64351850426406</v>
      </c>
      <c r="P161" s="587"/>
      <c r="Q161" s="587"/>
      <c r="R161" s="587"/>
      <c r="S161" s="594" t="s">
        <v>116</v>
      </c>
      <c r="T161" s="343"/>
      <c r="U161" s="343"/>
      <c r="V161" s="343"/>
      <c r="W161" s="343"/>
      <c r="X161" s="343"/>
      <c r="Y161" s="343"/>
      <c r="Z161" s="343"/>
      <c r="AA161" s="300"/>
      <c r="AB161" s="61"/>
      <c r="BN161" s="302"/>
      <c r="BO161" s="300"/>
    </row>
    <row r="162" spans="1:67" ht="17.25" customHeight="1">
      <c r="A162" s="300"/>
      <c r="B162" s="300"/>
      <c r="C162" s="344"/>
      <c r="D162" s="344"/>
      <c r="E162" s="344"/>
      <c r="F162" s="344"/>
      <c r="G162" s="344"/>
      <c r="H162" s="343"/>
      <c r="I162" s="659" t="s">
        <v>121</v>
      </c>
      <c r="J162" s="660"/>
      <c r="K162" s="660"/>
      <c r="L162" s="660"/>
      <c r="M162" s="660"/>
      <c r="N162" s="661"/>
      <c r="O162" s="588"/>
      <c r="P162" s="588"/>
      <c r="Q162" s="588"/>
      <c r="R162" s="588"/>
      <c r="S162" s="595"/>
      <c r="T162" s="343"/>
      <c r="U162" s="343"/>
      <c r="V162" s="343"/>
      <c r="W162" s="343"/>
      <c r="X162" s="343"/>
      <c r="Y162" s="343"/>
      <c r="Z162" s="343"/>
      <c r="AA162" s="300"/>
      <c r="AB162" s="61"/>
      <c r="BN162" s="302"/>
      <c r="BO162" s="300"/>
    </row>
    <row r="163" spans="1:67" ht="17.25" customHeight="1">
      <c r="A163" s="300"/>
      <c r="B163" s="300"/>
      <c r="C163" s="344"/>
      <c r="D163" s="344"/>
      <c r="E163" s="344"/>
      <c r="F163" s="344"/>
      <c r="G163" s="344"/>
      <c r="H163" s="343"/>
      <c r="I163" s="956" t="s">
        <v>71</v>
      </c>
      <c r="J163" s="957"/>
      <c r="K163" s="957"/>
      <c r="L163" s="957"/>
      <c r="M163" s="957"/>
      <c r="N163" s="958"/>
      <c r="O163" s="687">
        <f>O156*60</f>
        <v>16</v>
      </c>
      <c r="P163" s="688"/>
      <c r="Q163" s="688"/>
      <c r="R163" s="688"/>
      <c r="S163" s="75" t="s">
        <v>116</v>
      </c>
      <c r="T163" s="343"/>
      <c r="U163" s="343"/>
      <c r="V163" s="343"/>
      <c r="W163" s="343"/>
      <c r="X163" s="343"/>
      <c r="Y163" s="343"/>
      <c r="Z163" s="343"/>
      <c r="AA163" s="300"/>
      <c r="AB163" s="61"/>
      <c r="BN163" s="302"/>
      <c r="BO163" s="300"/>
    </row>
    <row r="164" spans="1:67" ht="17.25" customHeight="1" thickBot="1">
      <c r="A164" s="300"/>
      <c r="B164" s="300"/>
      <c r="C164" s="344"/>
      <c r="D164" s="344"/>
      <c r="E164" s="344"/>
      <c r="F164" s="344"/>
      <c r="G164" s="344"/>
      <c r="H164" s="343"/>
      <c r="I164" s="343"/>
      <c r="J164" s="343"/>
      <c r="K164" s="343"/>
      <c r="L164" s="343"/>
      <c r="M164" s="343"/>
      <c r="N164" s="343"/>
      <c r="O164" s="343"/>
      <c r="P164" s="343"/>
      <c r="Q164" s="343"/>
      <c r="R164" s="343"/>
      <c r="S164" s="300"/>
      <c r="T164" s="300"/>
      <c r="U164" s="300"/>
      <c r="V164" s="300"/>
      <c r="W164" s="300"/>
      <c r="X164" s="300"/>
      <c r="Y164" s="300"/>
      <c r="Z164" s="300"/>
      <c r="AA164" s="300"/>
      <c r="AB164" s="61"/>
      <c r="BN164" s="302"/>
      <c r="BO164" s="300"/>
    </row>
    <row r="165" spans="1:67" ht="17.25" customHeight="1" thickTop="1" thickBot="1">
      <c r="A165" s="300"/>
      <c r="B165" s="300"/>
      <c r="C165" s="344"/>
      <c r="D165" s="344"/>
      <c r="E165" s="344"/>
      <c r="F165" s="344"/>
      <c r="G165" s="344"/>
      <c r="H165" s="683" t="s">
        <v>153</v>
      </c>
      <c r="I165" s="684"/>
      <c r="J165" s="684"/>
      <c r="K165" s="684"/>
      <c r="L165" s="684"/>
      <c r="M165" s="684"/>
      <c r="N165" s="685"/>
      <c r="O165" s="686">
        <f>O142-O152+O147+O156</f>
        <v>67.147622184360216</v>
      </c>
      <c r="P165" s="642"/>
      <c r="Q165" s="642"/>
      <c r="R165" s="642"/>
      <c r="S165" s="300" t="s">
        <v>54</v>
      </c>
      <c r="T165" s="300"/>
      <c r="U165" s="696" t="str" cm="1">
        <f t="array" ref="U165">angleDecimal2Txt(O165)</f>
        <v>+67°08.85 (+67.1476) [+67°08'51.43]</v>
      </c>
      <c r="V165" s="697"/>
      <c r="W165" s="697"/>
      <c r="X165" s="697"/>
      <c r="Y165" s="697"/>
      <c r="Z165" s="640"/>
      <c r="AA165" s="300"/>
      <c r="AB165" s="61"/>
      <c r="BN165" s="302"/>
      <c r="BO165" s="300"/>
    </row>
    <row r="166" spans="1:67" ht="17.25" customHeight="1" thickTop="1">
      <c r="A166" s="300"/>
      <c r="B166" s="300"/>
      <c r="C166" s="344"/>
      <c r="D166" s="344"/>
      <c r="E166" s="344"/>
      <c r="F166" s="344"/>
      <c r="G166" s="344"/>
      <c r="H166" s="300"/>
      <c r="I166" s="300"/>
      <c r="J166" s="300"/>
      <c r="K166" s="300"/>
      <c r="L166" s="300"/>
      <c r="M166" s="300"/>
      <c r="N166" s="300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61"/>
      <c r="BN166" s="302"/>
      <c r="BO166" s="300"/>
    </row>
    <row r="167" spans="1:67" ht="17.25" customHeight="1">
      <c r="A167" s="300"/>
      <c r="B167" s="300"/>
      <c r="C167" s="344"/>
      <c r="D167" s="344"/>
      <c r="E167" s="344"/>
      <c r="F167" s="458" t="s">
        <v>63</v>
      </c>
      <c r="G167" s="458"/>
      <c r="H167" s="458"/>
      <c r="I167" s="458"/>
      <c r="J167" s="649" t="str">
        <f>IF(G136=AD136,O175,"---")</f>
        <v>---</v>
      </c>
      <c r="K167" s="650"/>
      <c r="L167" s="686"/>
      <c r="M167" s="333"/>
      <c r="N167" s="333"/>
      <c r="O167" s="333"/>
      <c r="P167" s="333"/>
      <c r="Q167" s="333"/>
      <c r="R167" s="333"/>
      <c r="S167" s="333"/>
      <c r="T167" s="333"/>
      <c r="U167" s="333"/>
      <c r="V167" s="333"/>
      <c r="W167" s="333"/>
      <c r="X167" s="333"/>
      <c r="Y167" s="333"/>
      <c r="Z167" s="333"/>
      <c r="AA167" s="300"/>
      <c r="AB167" s="61"/>
      <c r="BN167" s="302"/>
      <c r="BO167" s="300"/>
    </row>
    <row r="168" spans="1:67" ht="17.25" customHeight="1">
      <c r="A168" s="300"/>
      <c r="B168" s="300"/>
      <c r="C168" s="344"/>
      <c r="D168" s="344"/>
      <c r="E168" s="344"/>
      <c r="M168" s="300"/>
      <c r="N168" s="300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61"/>
      <c r="BN168" s="302"/>
      <c r="BO168" s="300"/>
    </row>
    <row r="169" spans="1:67" ht="17.25" customHeight="1">
      <c r="A169" s="300"/>
      <c r="B169" s="300"/>
      <c r="C169" s="344"/>
      <c r="D169" s="344"/>
      <c r="E169" s="344"/>
      <c r="M169" s="300"/>
      <c r="N169" s="300"/>
      <c r="O169" s="300"/>
      <c r="P169" s="300"/>
      <c r="Q169" s="300"/>
      <c r="R169" s="300"/>
      <c r="S169" s="300"/>
      <c r="T169" s="335" t="s">
        <v>84</v>
      </c>
      <c r="U169" s="777" t="s">
        <v>33</v>
      </c>
      <c r="V169" s="777"/>
      <c r="W169" s="300"/>
      <c r="X169" s="300"/>
      <c r="Y169" s="300"/>
      <c r="Z169" s="300"/>
      <c r="AA169" s="300"/>
      <c r="AB169" s="61"/>
      <c r="BN169" s="302"/>
      <c r="BO169" s="300"/>
    </row>
    <row r="170" spans="1:67" ht="17.25" customHeight="1">
      <c r="A170" s="300"/>
      <c r="B170" s="300"/>
      <c r="C170" s="344"/>
      <c r="D170" s="344"/>
      <c r="E170" s="344"/>
      <c r="F170" s="344"/>
      <c r="G170" s="344"/>
      <c r="H170" s="300"/>
      <c r="I170" s="300"/>
      <c r="J170" s="300"/>
      <c r="K170" s="300"/>
      <c r="L170" s="300"/>
      <c r="M170" s="300"/>
      <c r="N170" s="300"/>
      <c r="O170" s="300"/>
      <c r="P170" s="300"/>
      <c r="Q170" s="300"/>
      <c r="R170" s="300"/>
      <c r="S170" s="300"/>
      <c r="T170" s="336" t="s">
        <v>80</v>
      </c>
      <c r="U170" s="777" t="s">
        <v>82</v>
      </c>
      <c r="V170" s="777"/>
      <c r="W170" s="300"/>
      <c r="X170" s="300"/>
      <c r="Y170" s="300"/>
      <c r="Z170" s="300"/>
      <c r="AA170" s="300"/>
      <c r="AB170" s="61"/>
      <c r="BN170" s="302"/>
      <c r="BO170" s="300"/>
    </row>
    <row r="171" spans="1:67" ht="17.25" customHeight="1">
      <c r="A171" s="300"/>
      <c r="B171" s="300"/>
      <c r="C171" s="344"/>
      <c r="D171" s="344"/>
      <c r="E171" s="344"/>
      <c r="F171" s="344"/>
      <c r="G171" s="344"/>
      <c r="H171" s="300" t="s">
        <v>72</v>
      </c>
      <c r="I171" s="337" t="s">
        <v>74</v>
      </c>
      <c r="J171" s="300" t="s">
        <v>60</v>
      </c>
      <c r="K171" s="669" t="s">
        <v>77</v>
      </c>
      <c r="L171" s="300" t="s">
        <v>59</v>
      </c>
      <c r="M171" s="300"/>
      <c r="N171" s="669" t="s">
        <v>79</v>
      </c>
      <c r="O171" s="337" t="s">
        <v>246</v>
      </c>
      <c r="P171" s="300"/>
      <c r="Q171" s="669" t="s">
        <v>79</v>
      </c>
      <c r="R171" s="300" t="s">
        <v>247</v>
      </c>
      <c r="S171" s="300"/>
      <c r="T171" s="338" t="s">
        <v>81</v>
      </c>
      <c r="U171" s="778" t="s">
        <v>83</v>
      </c>
      <c r="V171" s="778"/>
      <c r="W171" s="300"/>
      <c r="X171" s="300"/>
      <c r="Y171" s="300"/>
      <c r="AB171" s="61"/>
      <c r="BN171" s="302"/>
      <c r="BO171" s="300"/>
    </row>
    <row r="172" spans="1:67" ht="17.25" customHeight="1" thickBot="1">
      <c r="A172" s="300"/>
      <c r="B172" s="300"/>
      <c r="C172" s="344"/>
      <c r="D172" s="344"/>
      <c r="E172" s="344"/>
      <c r="F172" s="344"/>
      <c r="G172" s="344"/>
      <c r="H172" s="300"/>
      <c r="I172" s="337"/>
      <c r="J172" s="42">
        <f>O138</f>
        <v>66.95</v>
      </c>
      <c r="K172" s="669"/>
      <c r="L172" s="689">
        <f>O139</f>
        <v>2.1666666666666667E-2</v>
      </c>
      <c r="M172" s="690"/>
      <c r="N172" s="669"/>
      <c r="O172" s="693" t="s">
        <v>157</v>
      </c>
      <c r="P172" s="694"/>
      <c r="Q172" s="669"/>
      <c r="R172" s="113" t="s">
        <v>81</v>
      </c>
      <c r="S172" s="300"/>
      <c r="T172" s="300"/>
      <c r="U172" s="300"/>
      <c r="AB172" s="61"/>
      <c r="BN172" s="302"/>
      <c r="BO172" s="300"/>
    </row>
    <row r="173" spans="1:67" ht="17.25" customHeight="1" thickTop="1" thickBot="1">
      <c r="A173" s="300"/>
      <c r="B173" s="300"/>
      <c r="C173" s="344"/>
      <c r="D173" s="344"/>
      <c r="E173" s="344"/>
      <c r="F173" s="344"/>
      <c r="G173" s="344"/>
      <c r="H173" s="300"/>
      <c r="I173" s="337"/>
      <c r="K173" s="337" t="s">
        <v>245</v>
      </c>
      <c r="L173" s="691" cm="1">
        <f t="array" ref="L173">angleConvert2Decimal(L172)</f>
        <v>2.1666666666666699E-2</v>
      </c>
      <c r="M173" s="692"/>
      <c r="N173" s="300"/>
      <c r="O173" s="482" cm="1">
        <f t="array" ref="O173">angleConvert2Decimal(O172)</f>
        <v>0.17166666666666669</v>
      </c>
      <c r="P173" s="483"/>
      <c r="Q173" s="309"/>
      <c r="R173" s="299" cm="1">
        <f t="array" ref="R173">angleConvert2Decimal(R172)</f>
        <v>-0.53333333333333333</v>
      </c>
      <c r="T173" s="7" t="s">
        <v>111</v>
      </c>
      <c r="U173" s="7"/>
      <c r="V173" s="7">
        <f>R173+O173</f>
        <v>-0.36166666666666664</v>
      </c>
      <c r="W173" s="696" t="str" cm="1">
        <f t="array" ref="W173">angleDecimal2Txt(V173)</f>
        <v>-00°21.69 (-00.3616) [-00°21'42.00]</v>
      </c>
      <c r="X173" s="697"/>
      <c r="Y173" s="697"/>
      <c r="Z173" s="697"/>
      <c r="AA173" s="640"/>
      <c r="AB173" s="61"/>
      <c r="BN173" s="302"/>
      <c r="BO173" s="300"/>
    </row>
    <row r="174" spans="1:67" ht="17.25" customHeight="1" thickTop="1" thickBot="1">
      <c r="A174" s="300"/>
      <c r="B174" s="300"/>
      <c r="C174" s="344"/>
      <c r="D174" s="344"/>
      <c r="E174" s="344"/>
      <c r="F174" s="344"/>
      <c r="G174" s="344"/>
      <c r="H174" s="300"/>
      <c r="I174" s="337"/>
      <c r="J174" s="300"/>
      <c r="K174" s="337"/>
      <c r="L174" s="300"/>
      <c r="M174" s="300"/>
      <c r="N174" s="337"/>
      <c r="O174" s="300"/>
      <c r="P174" s="300"/>
      <c r="Q174" s="337"/>
      <c r="R174" s="339"/>
      <c r="S174" s="300"/>
      <c r="T174" s="300"/>
      <c r="U174" s="300"/>
      <c r="V174" s="300"/>
      <c r="W174" s="300"/>
      <c r="X174" s="300"/>
      <c r="Y174" s="300"/>
      <c r="Z174" s="300"/>
      <c r="AA174" s="300"/>
      <c r="AB174" s="61"/>
      <c r="BN174" s="302"/>
      <c r="BO174" s="300"/>
    </row>
    <row r="175" spans="1:67" ht="17.25" customHeight="1" thickTop="1" thickBot="1">
      <c r="A175" s="300"/>
      <c r="B175" s="300"/>
      <c r="C175" s="344"/>
      <c r="D175" s="344"/>
      <c r="E175" s="344"/>
      <c r="F175" s="344"/>
      <c r="G175" s="344"/>
      <c r="H175" s="683" t="s">
        <v>156</v>
      </c>
      <c r="I175" s="684"/>
      <c r="J175" s="684"/>
      <c r="K175" s="684"/>
      <c r="L175" s="684"/>
      <c r="M175" s="684"/>
      <c r="N175" s="685"/>
      <c r="O175" s="686">
        <f>J172-L173+O173+R173</f>
        <v>66.566666666666677</v>
      </c>
      <c r="P175" s="642"/>
      <c r="Q175" s="642"/>
      <c r="R175" s="642"/>
      <c r="S175" s="300" t="s">
        <v>54</v>
      </c>
      <c r="T175" s="300"/>
      <c r="U175" s="696" t="str" cm="1">
        <f t="array" ref="U175">angleDecimal2Txt(O175)</f>
        <v>+66°34.00 (+66.5666) [+66°34'00.00]</v>
      </c>
      <c r="V175" s="697"/>
      <c r="W175" s="697"/>
      <c r="X175" s="697"/>
      <c r="Y175" s="697"/>
      <c r="Z175" s="640"/>
      <c r="AA175" s="300"/>
      <c r="AB175" s="61"/>
      <c r="BN175" s="302"/>
      <c r="BO175" s="300"/>
    </row>
    <row r="176" spans="1:67" ht="17.25" customHeight="1" thickTop="1" thickBot="1">
      <c r="A176" s="300"/>
      <c r="B176" s="300"/>
      <c r="C176" s="344"/>
      <c r="D176" s="340"/>
      <c r="E176" s="344"/>
      <c r="F176" s="344"/>
      <c r="G176" s="344"/>
      <c r="H176" s="300"/>
      <c r="I176" s="300"/>
      <c r="J176" s="300"/>
      <c r="K176" s="300"/>
      <c r="L176" s="300"/>
      <c r="M176" s="300"/>
      <c r="N176" s="300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61"/>
      <c r="BN176" s="302"/>
      <c r="BO176" s="300"/>
    </row>
    <row r="177" spans="1:67" ht="17.25" customHeight="1" thickBot="1">
      <c r="A177" s="300"/>
      <c r="B177" s="931" t="s">
        <v>273</v>
      </c>
      <c r="C177" s="932"/>
      <c r="D177" s="932"/>
      <c r="E177" s="932"/>
      <c r="F177" s="932"/>
      <c r="G177" s="932"/>
      <c r="H177" s="932"/>
      <c r="I177" s="932"/>
      <c r="J177" s="932"/>
      <c r="K177" s="932"/>
      <c r="L177" s="932"/>
      <c r="M177" s="932"/>
      <c r="N177" s="932"/>
      <c r="O177" s="932"/>
      <c r="P177" s="932"/>
      <c r="Q177" s="932"/>
      <c r="R177" s="932"/>
      <c r="S177" s="932"/>
      <c r="T177" s="932"/>
      <c r="U177" s="932"/>
      <c r="V177" s="932"/>
      <c r="W177" s="932"/>
      <c r="X177" s="932"/>
      <c r="Y177" s="932"/>
      <c r="Z177" s="932"/>
      <c r="AA177" s="932"/>
      <c r="AB177" s="62"/>
      <c r="BN177" s="302"/>
      <c r="BO177" s="300"/>
    </row>
    <row r="178" spans="1:67" ht="17.25" customHeight="1">
      <c r="A178" s="300"/>
      <c r="B178" s="300"/>
      <c r="C178" s="300"/>
      <c r="D178" s="300"/>
      <c r="E178" s="300"/>
      <c r="F178" s="300"/>
      <c r="G178" s="300"/>
      <c r="H178" s="300"/>
      <c r="I178" s="300"/>
      <c r="J178" s="300"/>
      <c r="K178" s="300"/>
      <c r="L178" s="300"/>
      <c r="M178" s="300"/>
      <c r="N178" s="300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61"/>
      <c r="BN178" s="302"/>
      <c r="BO178" s="300"/>
    </row>
    <row r="179" spans="1:67" ht="17.25" customHeight="1">
      <c r="A179" s="300"/>
      <c r="B179" s="300"/>
      <c r="C179" s="343"/>
      <c r="D179" s="343"/>
      <c r="E179" s="670" t="s">
        <v>279</v>
      </c>
      <c r="F179" s="671"/>
      <c r="G179" s="671"/>
      <c r="H179" s="671"/>
      <c r="I179" s="609">
        <f>90-Q180</f>
        <v>22.852377815639784</v>
      </c>
      <c r="J179" s="610"/>
      <c r="K179" s="610"/>
      <c r="L179" s="610"/>
      <c r="M179" s="611"/>
      <c r="N179" s="300"/>
      <c r="O179" s="939" t="s">
        <v>274</v>
      </c>
      <c r="P179" s="940"/>
      <c r="Q179" s="941"/>
      <c r="R179" s="941"/>
      <c r="S179" s="941"/>
      <c r="T179" s="942"/>
      <c r="AB179" s="61"/>
      <c r="BN179" s="302"/>
      <c r="BO179" s="300"/>
    </row>
    <row r="180" spans="1:67" ht="17.25" customHeight="1" thickBot="1">
      <c r="A180" s="300"/>
      <c r="B180" s="300"/>
      <c r="C180" s="343"/>
      <c r="D180" s="343"/>
      <c r="E180" s="672"/>
      <c r="F180" s="673"/>
      <c r="G180" s="673"/>
      <c r="H180" s="673"/>
      <c r="I180" s="944"/>
      <c r="J180" s="945"/>
      <c r="K180" s="945"/>
      <c r="L180" s="945"/>
      <c r="M180" s="946"/>
      <c r="N180" s="342" t="s">
        <v>125</v>
      </c>
      <c r="O180" s="820" t="s">
        <v>72</v>
      </c>
      <c r="P180" s="947"/>
      <c r="Q180" s="732">
        <f>F135</f>
        <v>67.147622184360216</v>
      </c>
      <c r="R180" s="733"/>
      <c r="S180" s="733"/>
      <c r="T180" s="125" t="s">
        <v>54</v>
      </c>
      <c r="Y180" s="300"/>
      <c r="Z180" s="300"/>
      <c r="AA180" s="300"/>
      <c r="AB180" s="61"/>
      <c r="BN180" s="302"/>
      <c r="BO180" s="300"/>
    </row>
    <row r="181" spans="1:67" ht="17.25" customHeight="1" thickTop="1" thickBot="1">
      <c r="A181" s="300"/>
      <c r="B181" s="300"/>
      <c r="C181" s="343"/>
      <c r="D181" s="343"/>
      <c r="E181" s="674"/>
      <c r="F181" s="675"/>
      <c r="G181" s="675"/>
      <c r="H181" s="675"/>
      <c r="I181" s="696" t="str" cm="1">
        <f t="array" ref="I181">angleDecimal2Txt(I179)</f>
        <v>+22°51.14 (+22.8523) [+22°51'08.56]</v>
      </c>
      <c r="J181" s="697"/>
      <c r="K181" s="697"/>
      <c r="L181" s="697"/>
      <c r="M181" s="640"/>
      <c r="N181" s="300"/>
      <c r="O181" s="820" t="s">
        <v>86</v>
      </c>
      <c r="P181" s="947"/>
      <c r="Q181" s="732">
        <f>F117</f>
        <v>23.126787287532395</v>
      </c>
      <c r="R181" s="733"/>
      <c r="S181" s="733"/>
      <c r="T181" s="125" t="s">
        <v>54</v>
      </c>
      <c r="Y181" s="300"/>
      <c r="Z181" s="300"/>
      <c r="AA181" s="300"/>
      <c r="AB181" s="61"/>
      <c r="BN181" s="302"/>
      <c r="BO181" s="300"/>
    </row>
    <row r="182" spans="1:67" ht="17.25" customHeight="1" thickTop="1">
      <c r="A182" s="300"/>
      <c r="B182" s="300"/>
      <c r="C182" s="343"/>
      <c r="D182" s="343"/>
      <c r="E182" s="300"/>
      <c r="F182" s="300"/>
      <c r="G182" s="300"/>
      <c r="H182" s="300"/>
      <c r="I182" s="300"/>
      <c r="J182" s="300"/>
      <c r="K182" s="300"/>
      <c r="L182" s="300"/>
      <c r="M182" s="300"/>
      <c r="N182" s="300"/>
      <c r="O182" s="300"/>
      <c r="P182" s="300"/>
      <c r="Q182" s="300"/>
      <c r="R182" s="300"/>
      <c r="S182" s="300"/>
      <c r="T182" s="300"/>
      <c r="U182" s="300"/>
      <c r="V182" s="300"/>
      <c r="AA182" s="300"/>
      <c r="AB182" s="61"/>
      <c r="BN182" s="302"/>
      <c r="BO182" s="300"/>
    </row>
    <row r="183" spans="1:67" ht="17.25" customHeight="1">
      <c r="A183" s="300"/>
      <c r="B183" s="300"/>
      <c r="C183" s="343"/>
      <c r="D183" s="343"/>
      <c r="AB183" s="61"/>
      <c r="BN183" s="302"/>
      <c r="BO183" s="300"/>
    </row>
    <row r="184" spans="1:67" ht="17.25" customHeight="1">
      <c r="A184" s="300"/>
      <c r="B184" s="300"/>
      <c r="C184" s="343"/>
      <c r="D184" s="343"/>
      <c r="E184" s="933" t="s">
        <v>228</v>
      </c>
      <c r="F184" s="934"/>
      <c r="G184" s="934"/>
      <c r="H184" s="934"/>
      <c r="I184" s="934"/>
      <c r="J184" s="934"/>
      <c r="K184" s="934"/>
      <c r="L184" s="934"/>
      <c r="M184" s="934"/>
      <c r="N184" s="934"/>
      <c r="O184" s="935"/>
      <c r="AB184" s="61"/>
      <c r="BN184" s="302"/>
      <c r="BO184" s="300"/>
    </row>
    <row r="185" spans="1:67" ht="17.25" customHeight="1">
      <c r="A185" s="300"/>
      <c r="B185" s="300"/>
      <c r="C185" s="343"/>
      <c r="D185" s="343"/>
      <c r="E185" s="736"/>
      <c r="F185" s="736" t="s">
        <v>230</v>
      </c>
      <c r="G185" s="736"/>
      <c r="H185" s="736"/>
      <c r="I185" s="736"/>
      <c r="J185" s="736"/>
      <c r="K185" s="936" t="s">
        <v>232</v>
      </c>
      <c r="L185" s="937"/>
      <c r="M185" s="937"/>
      <c r="N185" s="937"/>
      <c r="O185" s="938"/>
      <c r="Q185" s="586" t="s">
        <v>87</v>
      </c>
      <c r="R185" s="586"/>
      <c r="S185" s="943">
        <f>F113</f>
        <v>27.25</v>
      </c>
      <c r="T185" s="943"/>
      <c r="U185" s="569" t="str">
        <f>CONCATENATE("Lat et Dec - Meme sens ?: ",AC185)</f>
        <v>Lat et Dec - Meme sens ?: TRUE</v>
      </c>
      <c r="V185" s="569"/>
      <c r="W185" s="569"/>
      <c r="X185" s="569"/>
      <c r="Y185" s="300"/>
      <c r="AB185" s="61"/>
      <c r="AC185" s="301" t="b">
        <f>IF(S185*S186&gt;0,TRUE,FALSE)</f>
        <v>1</v>
      </c>
      <c r="BN185" s="302"/>
      <c r="BO185" s="300"/>
    </row>
    <row r="186" spans="1:67" ht="17.25" customHeight="1">
      <c r="A186" s="300"/>
      <c r="B186" s="300"/>
      <c r="C186" s="343"/>
      <c r="D186" s="343"/>
      <c r="E186" s="736"/>
      <c r="F186" s="736" t="s">
        <v>231</v>
      </c>
      <c r="G186" s="736"/>
      <c r="H186" s="736"/>
      <c r="I186" s="736"/>
      <c r="J186" s="736"/>
      <c r="K186" s="936" t="s">
        <v>233</v>
      </c>
      <c r="L186" s="937"/>
      <c r="M186" s="937"/>
      <c r="N186" s="937"/>
      <c r="O186" s="938"/>
      <c r="Q186" s="586" t="s">
        <v>86</v>
      </c>
      <c r="R186" s="586"/>
      <c r="S186" s="943">
        <f>F117</f>
        <v>23.126787287532395</v>
      </c>
      <c r="T186" s="943"/>
      <c r="U186" s="569" t="str">
        <f>CONCATENATE("Lat &gt; Dec  ? : ",AC186)</f>
        <v>Lat &gt; Dec  ? : TRUE</v>
      </c>
      <c r="V186" s="569"/>
      <c r="W186" s="569"/>
      <c r="X186" s="569"/>
      <c r="Y186" s="300"/>
      <c r="AB186" s="61"/>
      <c r="AC186" s="379" t="b">
        <f>IF(ABS(S185)&gt;ABS(S186),TRUE, FALSE)</f>
        <v>1</v>
      </c>
      <c r="BN186" s="302"/>
      <c r="BO186" s="300"/>
    </row>
    <row r="187" spans="1:67" ht="17.25" customHeight="1">
      <c r="A187" s="300"/>
      <c r="B187" s="300"/>
      <c r="C187" s="300"/>
      <c r="D187" s="300"/>
      <c r="E187" s="948" t="s">
        <v>229</v>
      </c>
      <c r="F187" s="948"/>
      <c r="G187" s="948"/>
      <c r="H187" s="948"/>
      <c r="I187" s="948"/>
      <c r="J187" s="948"/>
      <c r="K187" s="936" t="s">
        <v>234</v>
      </c>
      <c r="L187" s="937"/>
      <c r="M187" s="937"/>
      <c r="N187" s="937"/>
      <c r="O187" s="938"/>
      <c r="AB187" s="61"/>
      <c r="AC187" s="301" t="s">
        <v>276</v>
      </c>
      <c r="AD187" s="347">
        <f>I179+S186</f>
        <v>45.979165103172178</v>
      </c>
      <c r="BN187" s="302"/>
      <c r="BO187" s="300"/>
    </row>
    <row r="188" spans="1:67" ht="17.25" customHeight="1">
      <c r="A188" s="300"/>
      <c r="B188" s="300"/>
      <c r="C188" s="344"/>
      <c r="D188" s="344"/>
      <c r="E188" s="300"/>
      <c r="F188" s="300"/>
      <c r="G188" s="300"/>
      <c r="H188" s="300"/>
      <c r="I188" s="300"/>
      <c r="J188" s="300"/>
      <c r="K188" s="300"/>
      <c r="L188" s="300"/>
      <c r="M188" s="300"/>
      <c r="N188" s="300"/>
      <c r="O188" s="300"/>
      <c r="AB188" s="61"/>
      <c r="AC188" s="301" t="s">
        <v>277</v>
      </c>
      <c r="AD188" s="347">
        <f>S186-I179</f>
        <v>0.27440947189261067</v>
      </c>
      <c r="BN188" s="302"/>
      <c r="BO188" s="300"/>
    </row>
    <row r="189" spans="1:67" ht="17.25" customHeight="1" thickBot="1">
      <c r="A189" s="300"/>
      <c r="B189" s="300"/>
      <c r="C189" s="344"/>
      <c r="D189" s="344"/>
      <c r="E189" s="344"/>
      <c r="F189" s="344"/>
      <c r="G189" s="344"/>
      <c r="H189" s="300"/>
      <c r="I189" s="300"/>
      <c r="J189" s="300"/>
      <c r="K189" s="300"/>
      <c r="L189" s="300"/>
      <c r="AB189" s="61"/>
      <c r="AC189" s="301" t="s">
        <v>278</v>
      </c>
      <c r="AD189" s="347">
        <f>I179-S186</f>
        <v>-0.27440947189261067</v>
      </c>
      <c r="BN189" s="302"/>
      <c r="BO189" s="300"/>
    </row>
    <row r="190" spans="1:67" ht="17.25" customHeight="1" thickTop="1" thickBot="1">
      <c r="A190" s="300"/>
      <c r="B190" s="300"/>
      <c r="C190" s="344"/>
      <c r="D190" s="344"/>
      <c r="E190" s="344"/>
      <c r="F190" s="344"/>
      <c r="G190" s="344"/>
      <c r="H190" s="740" t="s">
        <v>227</v>
      </c>
      <c r="I190" s="741"/>
      <c r="J190" s="741"/>
      <c r="K190" s="741"/>
      <c r="L190" s="930"/>
      <c r="M190" s="954">
        <f>AC190</f>
        <v>45.979165103172178</v>
      </c>
      <c r="N190" s="955"/>
      <c r="O190" s="50" t="s">
        <v>28</v>
      </c>
      <c r="P190" s="640" t="str">
        <f>latitudeDecimal2Txt(M190)</f>
        <v>N 45°58.74 (N 45.9791) [N 45°58'44.99]</v>
      </c>
      <c r="Q190" s="474"/>
      <c r="R190" s="474"/>
      <c r="S190" s="474"/>
      <c r="T190" s="474"/>
      <c r="U190" s="474"/>
      <c r="AB190" s="61"/>
      <c r="AC190" s="301">
        <f>IF(AC185,IF(AC186,AD187,AD188),AD189)</f>
        <v>45.979165103172178</v>
      </c>
      <c r="BN190" s="302"/>
      <c r="BO190" s="300"/>
    </row>
    <row r="191" spans="1:67" ht="17.25" customHeight="1" thickTop="1">
      <c r="A191" s="343"/>
      <c r="B191" s="343"/>
      <c r="C191" s="343"/>
      <c r="D191" s="343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61"/>
      <c r="BN191" s="302"/>
      <c r="BO191" s="300"/>
    </row>
    <row r="192" spans="1:67" s="300" customFormat="1" ht="17.25" customHeight="1">
      <c r="C192" s="344"/>
      <c r="D192" s="344"/>
      <c r="E192" s="344"/>
      <c r="F192" s="344"/>
      <c r="G192" s="344"/>
      <c r="AB192" s="61"/>
      <c r="AC192" s="301"/>
      <c r="AD192" s="301"/>
      <c r="AE192" s="301"/>
      <c r="AF192" s="301"/>
      <c r="AG192" s="301"/>
      <c r="AH192" s="301"/>
      <c r="AI192" s="301"/>
      <c r="AJ192" s="301"/>
      <c r="AK192" s="301"/>
      <c r="AL192" s="301"/>
      <c r="AM192" s="301"/>
      <c r="AN192" s="301"/>
      <c r="AO192" s="301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1"/>
      <c r="BH192" s="301"/>
      <c r="BI192" s="301"/>
      <c r="BJ192" s="301"/>
      <c r="BK192" s="301"/>
      <c r="BL192" s="301"/>
      <c r="BM192" s="301"/>
      <c r="BN192" s="302"/>
    </row>
    <row r="193" spans="1:67" ht="17.25" customHeight="1" thickBot="1">
      <c r="A193" s="300"/>
      <c r="B193" s="300"/>
      <c r="C193" s="344"/>
      <c r="D193" s="344"/>
      <c r="E193" s="344"/>
      <c r="F193" s="344"/>
      <c r="G193" s="344"/>
      <c r="H193" s="300"/>
      <c r="I193" s="300"/>
      <c r="J193" s="300"/>
      <c r="K193" s="300"/>
      <c r="L193" s="300"/>
      <c r="M193" s="300"/>
      <c r="N193" s="300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61"/>
      <c r="BN193" s="302"/>
      <c r="BO193" s="300"/>
    </row>
    <row r="194" spans="1:67" ht="17.25" customHeight="1" thickBot="1">
      <c r="A194" s="300"/>
      <c r="B194" s="304" t="s">
        <v>248</v>
      </c>
      <c r="C194" s="305"/>
      <c r="D194" s="305"/>
      <c r="E194" s="305"/>
      <c r="F194" s="305"/>
      <c r="G194" s="305"/>
      <c r="H194" s="305"/>
      <c r="I194" s="305"/>
      <c r="J194" s="305"/>
      <c r="K194" s="305"/>
      <c r="L194" s="305"/>
      <c r="M194" s="305"/>
      <c r="N194" s="305"/>
      <c r="O194" s="305"/>
      <c r="P194" s="305"/>
      <c r="Q194" s="305"/>
      <c r="R194" s="305"/>
      <c r="S194" s="305"/>
      <c r="T194" s="305"/>
      <c r="U194" s="305"/>
      <c r="V194" s="305"/>
      <c r="W194" s="305"/>
      <c r="X194" s="305"/>
      <c r="Y194" s="305"/>
      <c r="Z194" s="305"/>
      <c r="AA194" s="345"/>
      <c r="AB194" s="62"/>
      <c r="BN194" s="302"/>
      <c r="BO194" s="300"/>
    </row>
    <row r="195" spans="1:67" s="300" customFormat="1" ht="17.25" customHeight="1">
      <c r="C195" s="344"/>
      <c r="D195" s="344"/>
      <c r="E195" s="344"/>
      <c r="F195" s="344"/>
      <c r="G195" s="344"/>
      <c r="AB195" s="61"/>
      <c r="AC195" s="301"/>
      <c r="AD195" s="301"/>
      <c r="AE195" s="301"/>
      <c r="AF195" s="301"/>
      <c r="AG195" s="301"/>
      <c r="AH195" s="301"/>
      <c r="AI195" s="301"/>
      <c r="AJ195" s="301"/>
      <c r="AK195" s="301"/>
      <c r="AL195" s="301"/>
      <c r="AM195" s="301"/>
      <c r="AN195" s="301"/>
      <c r="AO195" s="301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1"/>
      <c r="BH195" s="301"/>
      <c r="BI195" s="301"/>
      <c r="BJ195" s="301"/>
      <c r="BK195" s="301"/>
      <c r="BL195" s="301"/>
      <c r="BM195" s="301"/>
      <c r="BN195" s="302"/>
    </row>
    <row r="196" spans="1:67" ht="17.25" customHeight="1" thickBot="1">
      <c r="A196" s="300"/>
      <c r="B196" s="300"/>
      <c r="C196" s="731" t="s">
        <v>249</v>
      </c>
      <c r="D196" s="731"/>
      <c r="E196" s="731"/>
      <c r="F196" s="731"/>
      <c r="G196" s="114"/>
      <c r="H196" s="731" t="s">
        <v>250</v>
      </c>
      <c r="I196" s="731"/>
      <c r="J196" s="731"/>
      <c r="K196" s="300"/>
      <c r="L196" s="735" t="s">
        <v>239</v>
      </c>
      <c r="M196" s="735"/>
      <c r="N196" s="735"/>
      <c r="O196" s="300"/>
      <c r="P196" s="300"/>
      <c r="Q196" s="793" t="s">
        <v>251</v>
      </c>
      <c r="R196" s="793"/>
      <c r="S196" s="793"/>
      <c r="T196" s="793"/>
      <c r="U196" s="346"/>
      <c r="V196" s="300"/>
      <c r="W196" s="300"/>
      <c r="X196" s="300"/>
      <c r="Y196" s="300"/>
      <c r="Z196" s="300"/>
      <c r="AA196" s="300"/>
      <c r="AB196" s="61"/>
      <c r="AD196" s="347"/>
      <c r="BN196" s="302"/>
      <c r="BO196" s="300"/>
    </row>
    <row r="197" spans="1:67" ht="17.25" customHeight="1" thickTop="1" thickBot="1">
      <c r="A197" s="300"/>
      <c r="B197" s="300"/>
      <c r="C197" s="344"/>
      <c r="D197" s="146" t="s">
        <v>41</v>
      </c>
      <c r="E197" s="736">
        <f>M190</f>
        <v>45.979165103172178</v>
      </c>
      <c r="F197" s="736"/>
      <c r="G197" s="344"/>
      <c r="H197" s="300"/>
      <c r="I197" s="736">
        <f>V184</f>
        <v>0</v>
      </c>
      <c r="J197" s="736"/>
      <c r="K197" s="300" t="s">
        <v>112</v>
      </c>
      <c r="L197" s="300"/>
      <c r="M197" s="736">
        <v>180</v>
      </c>
      <c r="N197" s="736"/>
      <c r="O197" s="300"/>
      <c r="P197" s="300"/>
      <c r="Q197" s="300"/>
      <c r="R197" s="147" t="s">
        <v>41</v>
      </c>
      <c r="S197" s="578">
        <f>E197</f>
        <v>45.979165103172178</v>
      </c>
      <c r="T197" s="578"/>
      <c r="U197" s="959" t="str" cm="1">
        <f t="array" ref="U197">latitudeDecimal2Txt(S197)</f>
        <v>N 45°58.74 (N 45.9791) [N 45°58'44.99]</v>
      </c>
      <c r="V197" s="960"/>
      <c r="W197" s="960"/>
      <c r="X197" s="960"/>
      <c r="Y197" s="960"/>
      <c r="Z197" s="961"/>
      <c r="AA197" s="300"/>
      <c r="AB197" s="61"/>
      <c r="AD197" s="347"/>
      <c r="BN197" s="302"/>
      <c r="BO197" s="300"/>
    </row>
    <row r="198" spans="1:67" ht="17.25" customHeight="1" thickTop="1">
      <c r="A198" s="300"/>
      <c r="B198" s="300"/>
      <c r="C198" s="344"/>
      <c r="D198" s="300"/>
      <c r="E198" s="344"/>
      <c r="F198" s="344"/>
      <c r="G198" s="344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61"/>
      <c r="BN198" s="302"/>
      <c r="BO198" s="300"/>
    </row>
    <row r="199" spans="1:67" ht="17.25" customHeight="1">
      <c r="A199" s="300"/>
      <c r="B199" s="300"/>
      <c r="F199" s="344"/>
      <c r="G199" s="344"/>
      <c r="H199" s="300"/>
      <c r="I199" s="300"/>
      <c r="J199" s="300"/>
      <c r="K199" s="300"/>
      <c r="L199" s="300"/>
      <c r="M199" s="300"/>
      <c r="N199" s="300"/>
      <c r="O199" s="300"/>
      <c r="P199" s="300"/>
      <c r="Q199" s="793" t="s">
        <v>252</v>
      </c>
      <c r="R199" s="793"/>
      <c r="S199" s="793"/>
      <c r="T199" s="300"/>
      <c r="U199" s="300"/>
      <c r="V199" s="300"/>
      <c r="W199" s="300"/>
      <c r="X199" s="300"/>
      <c r="Y199" s="300"/>
      <c r="Z199" s="300"/>
      <c r="AA199" s="300"/>
      <c r="AB199" s="61"/>
      <c r="BN199" s="302"/>
      <c r="BO199" s="300"/>
    </row>
    <row r="200" spans="1:67" ht="17.25" customHeight="1">
      <c r="A200" s="300"/>
      <c r="B200" s="300"/>
      <c r="C200" s="344"/>
      <c r="D200" s="344"/>
      <c r="E200" s="344"/>
      <c r="F200" s="344"/>
      <c r="G200" s="344"/>
      <c r="H200" s="300"/>
      <c r="I200" s="300"/>
      <c r="J200" s="300"/>
      <c r="K200" s="300"/>
      <c r="L200" s="300"/>
      <c r="M200" s="300"/>
      <c r="N200" s="300"/>
      <c r="O200" s="300"/>
      <c r="P200" s="300"/>
      <c r="Q200" s="300"/>
      <c r="R200" s="578">
        <f>M197-90</f>
        <v>90</v>
      </c>
      <c r="S200" s="578"/>
      <c r="T200" s="50" t="s">
        <v>28</v>
      </c>
      <c r="U200" s="300"/>
      <c r="V200" s="300"/>
      <c r="W200" s="300"/>
      <c r="X200" s="300"/>
      <c r="Y200" s="300"/>
      <c r="Z200" s="300"/>
      <c r="AA200" s="300"/>
      <c r="AB200" s="61"/>
      <c r="BN200" s="302"/>
      <c r="BO200" s="300"/>
    </row>
    <row r="201" spans="1:67" ht="17.25" customHeight="1">
      <c r="AB201" s="301"/>
    </row>
    <row r="202" spans="1:67" ht="17.25" customHeight="1" thickBot="1">
      <c r="AB202" s="301"/>
    </row>
    <row r="203" spans="1:67" ht="17.25" customHeight="1" thickBot="1">
      <c r="B203" s="348" t="s">
        <v>256</v>
      </c>
      <c r="C203" s="349"/>
      <c r="D203" s="349"/>
      <c r="E203" s="349"/>
      <c r="F203" s="349"/>
      <c r="G203" s="349"/>
      <c r="H203" s="349"/>
      <c r="I203" s="349"/>
      <c r="J203" s="349"/>
      <c r="K203" s="349"/>
      <c r="L203" s="349"/>
      <c r="M203" s="349"/>
      <c r="N203" s="349"/>
      <c r="O203" s="349"/>
      <c r="P203" s="349"/>
      <c r="Q203" s="349"/>
      <c r="R203" s="349"/>
      <c r="S203" s="349"/>
      <c r="T203" s="349"/>
      <c r="U203" s="349"/>
      <c r="V203" s="349"/>
      <c r="W203" s="349"/>
      <c r="X203" s="349"/>
      <c r="Y203" s="349"/>
      <c r="Z203" s="349"/>
      <c r="AA203" s="350"/>
      <c r="AB203" s="301"/>
    </row>
    <row r="204" spans="1:67" ht="17.25" customHeight="1">
      <c r="AB204" s="301"/>
      <c r="AD204" s="347"/>
    </row>
    <row r="205" spans="1:67" ht="17.25" customHeight="1" thickBot="1">
      <c r="C205" s="729" t="s">
        <v>251</v>
      </c>
      <c r="D205" s="729"/>
      <c r="E205" s="729"/>
      <c r="F205" s="729"/>
      <c r="G205" s="346"/>
      <c r="H205" s="300"/>
      <c r="I205" s="300"/>
      <c r="J205" s="300"/>
      <c r="K205" s="300"/>
      <c r="L205" s="300"/>
      <c r="Q205" s="351" t="s">
        <v>257</v>
      </c>
      <c r="R205" s="351"/>
      <c r="S205" s="351"/>
      <c r="T205" s="351"/>
      <c r="U205" s="351"/>
      <c r="V205" s="351"/>
      <c r="W205" s="351"/>
      <c r="AB205" s="301"/>
    </row>
    <row r="206" spans="1:67" ht="17.25" customHeight="1" thickTop="1" thickBot="1">
      <c r="D206" s="148" t="s">
        <v>41</v>
      </c>
      <c r="E206" s="730">
        <f>I215</f>
        <v>0</v>
      </c>
      <c r="F206" s="730"/>
      <c r="G206" s="737" t="str" cm="1">
        <f t="array" ref="G206">latitudeDecimal2Txt(E206)</f>
        <v>N 00°00.00 (N 00.0000) [N 00°00'00.00]</v>
      </c>
      <c r="H206" s="737"/>
      <c r="I206" s="737"/>
      <c r="J206" s="737"/>
      <c r="K206" s="737"/>
      <c r="L206" s="737"/>
      <c r="R206" s="147" t="s">
        <v>41</v>
      </c>
      <c r="S206" s="578">
        <f>AG209</f>
        <v>45.979165103172178</v>
      </c>
      <c r="T206" s="578"/>
      <c r="U206" s="737" t="str" cm="1">
        <f t="array" ref="U206">latitudeDecimal2Txt(S206)</f>
        <v>N 45°58.74 (N 45.9791) [N 45°58'44.99]</v>
      </c>
      <c r="V206" s="737"/>
      <c r="W206" s="737"/>
      <c r="X206" s="737"/>
      <c r="Y206" s="737"/>
      <c r="Z206" s="737"/>
      <c r="AB206" s="301"/>
      <c r="AC206" s="352" t="s">
        <v>303</v>
      </c>
      <c r="AD206" s="353">
        <f>D210</f>
        <v>30</v>
      </c>
    </row>
    <row r="207" spans="1:67" ht="17.25" customHeight="1" thickTop="1" thickBot="1">
      <c r="D207" s="148" t="s">
        <v>42</v>
      </c>
      <c r="E207" s="730">
        <v>-7</v>
      </c>
      <c r="F207" s="730"/>
      <c r="G207" s="737" t="str" cm="1">
        <f t="array" ref="G207">longitudeDecimal2Txt(E207)</f>
        <v>W 07°00.00 (W 07.0000) [W 07°00'00.00]</v>
      </c>
      <c r="H207" s="737"/>
      <c r="I207" s="737"/>
      <c r="J207" s="737"/>
      <c r="K207" s="737"/>
      <c r="L207" s="737"/>
      <c r="R207" s="147" t="s">
        <v>42</v>
      </c>
      <c r="S207" s="578">
        <f>AG210</f>
        <v>19.546083349430702</v>
      </c>
      <c r="T207" s="578"/>
      <c r="U207" s="737" t="str" cm="1">
        <f t="array" ref="U207">longitudeDecimal2Txt(S207)</f>
        <v>E 19°32.76 (E 19.5460) [E 19°32'45.90]</v>
      </c>
      <c r="V207" s="737"/>
      <c r="W207" s="737"/>
      <c r="X207" s="737"/>
      <c r="Y207" s="737"/>
      <c r="Z207" s="737"/>
      <c r="AB207" s="301"/>
      <c r="AC207" s="354" t="s">
        <v>305</v>
      </c>
      <c r="AD207" s="353">
        <f>E206</f>
        <v>0</v>
      </c>
    </row>
    <row r="208" spans="1:67" ht="17.25" customHeight="1" thickTop="1">
      <c r="C208" s="300"/>
      <c r="D208" s="300"/>
      <c r="E208" s="300"/>
      <c r="F208" s="300"/>
      <c r="G208" s="300"/>
      <c r="H208" s="300"/>
      <c r="I208" s="300"/>
      <c r="J208" s="300"/>
      <c r="K208" s="300"/>
      <c r="L208" s="300"/>
      <c r="AB208" s="301"/>
      <c r="AC208" s="352" t="s">
        <v>306</v>
      </c>
      <c r="AD208" s="353">
        <f>E207</f>
        <v>-7</v>
      </c>
    </row>
    <row r="209" spans="2:65" ht="17.25" customHeight="1">
      <c r="C209" s="729" t="s">
        <v>252</v>
      </c>
      <c r="D209" s="729"/>
      <c r="E209" s="729"/>
      <c r="F209" s="119"/>
      <c r="G209" s="300"/>
      <c r="H209" s="300"/>
      <c r="I209" s="300"/>
      <c r="J209" s="300"/>
      <c r="K209" s="300"/>
      <c r="L209" s="300"/>
      <c r="AB209" s="301"/>
      <c r="AC209" s="352" t="s">
        <v>258</v>
      </c>
      <c r="AD209" s="352">
        <f>TAN(AD206*Outils!F37) * (1 / COS(AD207*Outils!F37))</f>
        <v>0</v>
      </c>
      <c r="AE209" s="792" t="s">
        <v>309</v>
      </c>
      <c r="AF209" s="792"/>
      <c r="AG209" s="359">
        <f>S197</f>
        <v>45.979165103172178</v>
      </c>
    </row>
    <row r="210" spans="2:65" ht="17.25" customHeight="1">
      <c r="D210" s="730">
        <v>30</v>
      </c>
      <c r="E210" s="730"/>
      <c r="F210" s="149" t="s">
        <v>28</v>
      </c>
      <c r="G210" s="300"/>
      <c r="H210" s="300"/>
      <c r="I210" s="300"/>
      <c r="J210" s="300"/>
      <c r="K210" s="300"/>
      <c r="L210" s="300"/>
      <c r="AB210" s="301"/>
      <c r="AC210" s="352" t="s">
        <v>259</v>
      </c>
      <c r="AD210" s="352">
        <f>AD208-AD207*AD209</f>
        <v>-7</v>
      </c>
      <c r="AE210" s="792"/>
      <c r="AF210" s="792"/>
      <c r="AG210" s="355">
        <f>E207+(S197-E206)*TAN(D210*Outils!F4)/COS(Outils!F4*E206)</f>
        <v>19.546083349430702</v>
      </c>
    </row>
    <row r="211" spans="2:65">
      <c r="AB211" s="301"/>
    </row>
    <row r="212" spans="2:65">
      <c r="S212" s="300"/>
      <c r="T212" s="300"/>
      <c r="AB212" s="301"/>
    </row>
    <row r="213" spans="2:65" ht="15.75" thickBot="1">
      <c r="AB213" s="301"/>
    </row>
    <row r="214" spans="2:65" ht="15.75" thickBot="1">
      <c r="B214" s="348" t="s">
        <v>607</v>
      </c>
      <c r="C214" s="349"/>
      <c r="D214" s="349"/>
      <c r="E214" s="349"/>
      <c r="F214" s="349"/>
      <c r="G214" s="349"/>
      <c r="H214" s="349"/>
      <c r="I214" s="349"/>
      <c r="J214" s="349"/>
      <c r="K214" s="349"/>
      <c r="L214" s="349"/>
      <c r="M214" s="349"/>
      <c r="N214" s="349"/>
      <c r="O214" s="349"/>
      <c r="P214" s="349"/>
      <c r="Q214" s="349"/>
      <c r="R214" s="349"/>
      <c r="S214" s="349"/>
      <c r="T214" s="349"/>
      <c r="U214" s="349"/>
      <c r="V214" s="349"/>
      <c r="W214" s="349"/>
      <c r="X214" s="349"/>
      <c r="Y214" s="349"/>
      <c r="Z214" s="349"/>
      <c r="AA214" s="350"/>
      <c r="AB214" s="301"/>
    </row>
    <row r="215" spans="2:65">
      <c r="K215" s="347"/>
      <c r="L215" s="347"/>
      <c r="AB215" s="301"/>
    </row>
    <row r="216" spans="2:65">
      <c r="B216" s="455" t="s">
        <v>1</v>
      </c>
      <c r="C216" s="455"/>
      <c r="D216" s="455" t="str">
        <f>E84</f>
        <v>2025/06/30</v>
      </c>
      <c r="E216" s="455"/>
      <c r="F216" s="455"/>
      <c r="G216" s="455"/>
      <c r="H216" s="360" t="s">
        <v>2</v>
      </c>
      <c r="I216" s="455" t="str">
        <f>I84</f>
        <v>16:55:39.45(16.9276)</v>
      </c>
      <c r="J216" s="455"/>
      <c r="K216" s="455"/>
      <c r="L216" s="455"/>
      <c r="AB216" s="301"/>
    </row>
    <row r="217" spans="2:65">
      <c r="B217" s="467" t="s">
        <v>30</v>
      </c>
      <c r="C217" s="467"/>
      <c r="D217" s="798" t="s">
        <v>474</v>
      </c>
      <c r="E217" s="798"/>
      <c r="F217" s="798"/>
      <c r="G217" s="798"/>
      <c r="H217" s="361"/>
      <c r="I217" s="361"/>
      <c r="J217" s="361"/>
      <c r="K217" s="361"/>
      <c r="L217" s="361"/>
      <c r="AA217" s="362"/>
      <c r="AB217" s="301"/>
    </row>
    <row r="218" spans="2:65">
      <c r="B218" s="363"/>
      <c r="C218" s="363"/>
      <c r="D218" s="364"/>
      <c r="E218" s="363"/>
      <c r="AA218" s="362"/>
      <c r="AB218" s="301"/>
    </row>
    <row r="219" spans="2:65" s="347" customFormat="1" ht="17.25" customHeight="1" thickBot="1">
      <c r="B219" s="365" t="s">
        <v>442</v>
      </c>
      <c r="C219" s="365"/>
      <c r="D219" s="365"/>
      <c r="E219" s="365"/>
      <c r="F219" s="366"/>
      <c r="G219" s="366"/>
      <c r="H219" s="367"/>
      <c r="I219" s="367"/>
      <c r="J219" s="367"/>
      <c r="K219" s="367"/>
      <c r="L219" s="367"/>
      <c r="M219" s="367"/>
      <c r="N219" s="367"/>
      <c r="O219" s="367"/>
      <c r="P219" s="367"/>
      <c r="Q219" s="367"/>
      <c r="AB219" s="61"/>
      <c r="AC219" s="301"/>
      <c r="AD219" s="301"/>
      <c r="AE219" s="301"/>
      <c r="AF219" s="301"/>
      <c r="AG219" s="301"/>
      <c r="AH219" s="301"/>
      <c r="AI219" s="301"/>
      <c r="AJ219" s="301"/>
      <c r="AK219" s="301"/>
      <c r="AL219" s="301"/>
      <c r="AM219" s="301"/>
      <c r="AN219" s="301"/>
      <c r="AO219" s="301"/>
      <c r="AP219" s="301"/>
      <c r="AQ219" s="301"/>
      <c r="AR219" s="301"/>
      <c r="AS219" s="301"/>
      <c r="AT219" s="301"/>
      <c r="AU219" s="301"/>
      <c r="AV219" s="301"/>
      <c r="AW219" s="301"/>
      <c r="AX219" s="301"/>
      <c r="AY219" s="301"/>
      <c r="AZ219" s="301"/>
      <c r="BA219" s="301"/>
      <c r="BB219" s="301"/>
      <c r="BC219" s="301"/>
      <c r="BD219" s="301"/>
      <c r="BE219" s="301"/>
      <c r="BF219" s="301"/>
      <c r="BG219" s="301"/>
      <c r="BH219" s="301"/>
      <c r="BI219" s="301"/>
      <c r="BJ219" s="301"/>
      <c r="BK219" s="301"/>
      <c r="BL219" s="301"/>
      <c r="BM219" s="301"/>
    </row>
    <row r="220" spans="2:65" s="347" customFormat="1" ht="17.25" customHeight="1" thickTop="1">
      <c r="C220" s="466" t="s">
        <v>526</v>
      </c>
      <c r="D220" s="466"/>
      <c r="E220" s="466" t="str" cm="1">
        <f t="array" ref="E220">angleDecimal2Txt(angleConvert2Decimal(M98))</f>
        <v>+66°57.00 (+66.9500) [+66°57'00.00]</v>
      </c>
      <c r="F220" s="466"/>
      <c r="G220" s="466"/>
      <c r="H220" s="466"/>
      <c r="I220" s="466"/>
      <c r="AB220" s="61"/>
      <c r="AC220" s="301"/>
      <c r="AD220" s="301"/>
      <c r="AE220" s="301"/>
      <c r="AF220" s="301"/>
      <c r="AG220" s="301"/>
      <c r="AH220" s="301"/>
      <c r="AI220" s="301"/>
      <c r="AJ220" s="301"/>
      <c r="AK220" s="301"/>
      <c r="AL220" s="301"/>
      <c r="AM220" s="301"/>
      <c r="AN220" s="301"/>
      <c r="AO220" s="301"/>
      <c r="AP220" s="301"/>
      <c r="AQ220" s="301"/>
      <c r="AR220" s="301"/>
      <c r="AS220" s="301"/>
      <c r="AT220" s="301"/>
      <c r="AU220" s="301"/>
      <c r="AV220" s="301"/>
      <c r="AW220" s="301"/>
      <c r="AX220" s="301"/>
      <c r="AY220" s="301"/>
      <c r="AZ220" s="301"/>
      <c r="BA220" s="301"/>
      <c r="BB220" s="301"/>
      <c r="BC220" s="301"/>
      <c r="BD220" s="301"/>
      <c r="BE220" s="301"/>
      <c r="BF220" s="301"/>
      <c r="BG220" s="301"/>
      <c r="BH220" s="301"/>
      <c r="BI220" s="301"/>
      <c r="BJ220" s="301"/>
      <c r="BK220" s="301"/>
      <c r="BL220" s="301"/>
      <c r="BM220" s="301"/>
    </row>
    <row r="221" spans="2:65" s="347" customFormat="1" ht="17.25" customHeight="1">
      <c r="C221" s="448" t="s">
        <v>70</v>
      </c>
      <c r="D221" s="448"/>
      <c r="E221" s="448" t="str">
        <f>J100</f>
        <v>BordInf</v>
      </c>
      <c r="F221" s="448"/>
      <c r="G221" s="448"/>
      <c r="H221" s="448"/>
      <c r="I221" s="448"/>
      <c r="AB221" s="61"/>
      <c r="AC221" s="301"/>
      <c r="AD221" s="301"/>
      <c r="AE221" s="301"/>
      <c r="AF221" s="301"/>
      <c r="AG221" s="301"/>
      <c r="AH221" s="301"/>
      <c r="AI221" s="301"/>
      <c r="AJ221" s="301"/>
      <c r="AK221" s="301"/>
      <c r="AL221" s="301"/>
      <c r="AM221" s="301"/>
      <c r="AN221" s="301"/>
      <c r="AO221" s="301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/>
      <c r="BB221" s="301"/>
      <c r="BC221" s="301"/>
      <c r="BD221" s="301"/>
      <c r="BE221" s="301"/>
      <c r="BF221" s="301"/>
      <c r="BG221" s="301"/>
      <c r="BH221" s="301"/>
      <c r="BI221" s="301"/>
      <c r="BJ221" s="301"/>
      <c r="BK221" s="301"/>
      <c r="BL221" s="301"/>
      <c r="BM221" s="301"/>
    </row>
    <row r="222" spans="2:65" s="347" customFormat="1" ht="17.25" customHeight="1">
      <c r="C222" s="454" t="s">
        <v>444</v>
      </c>
      <c r="D222" s="454"/>
      <c r="E222" s="469" t="str" cm="1">
        <f t="array" ref="E222">angleDecimal2Txt(angleConvert2Decimal(M97))</f>
        <v>+00°01.30 (+00.0216) [+00°01'18.00]</v>
      </c>
      <c r="F222" s="469"/>
      <c r="G222" s="469"/>
      <c r="H222" s="469"/>
      <c r="I222" s="469"/>
      <c r="AB222" s="61"/>
      <c r="AC222" s="301"/>
      <c r="AD222" s="301"/>
      <c r="AE222" s="301"/>
      <c r="AF222" s="301"/>
      <c r="AG222" s="301"/>
      <c r="AH222" s="301"/>
      <c r="AI222" s="301"/>
      <c r="AJ222" s="301"/>
      <c r="AK222" s="301"/>
      <c r="AL222" s="301"/>
      <c r="AM222" s="301"/>
      <c r="AN222" s="301"/>
      <c r="AO222" s="301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1"/>
      <c r="BH222" s="301"/>
      <c r="BI222" s="301"/>
      <c r="BJ222" s="301"/>
      <c r="BK222" s="301"/>
      <c r="BL222" s="301"/>
      <c r="BM222" s="301"/>
    </row>
    <row r="223" spans="2:65" s="347" customFormat="1" ht="17.25" customHeight="1">
      <c r="C223" s="455" t="s">
        <v>445</v>
      </c>
      <c r="D223" s="455"/>
      <c r="E223" s="470" t="str">
        <f>CONCATENATE(M96, " m")</f>
        <v>2 m</v>
      </c>
      <c r="F223" s="470"/>
      <c r="G223" s="470"/>
      <c r="H223" s="470"/>
      <c r="I223" s="470"/>
      <c r="AB223" s="61"/>
      <c r="AC223" s="301"/>
      <c r="AD223" s="301"/>
      <c r="AE223" s="301"/>
      <c r="AF223" s="301"/>
      <c r="AG223" s="301"/>
      <c r="AH223" s="301"/>
      <c r="AI223" s="301"/>
      <c r="AJ223" s="301"/>
      <c r="AK223" s="301"/>
      <c r="AL223" s="301"/>
      <c r="AM223" s="301"/>
      <c r="AN223" s="301"/>
      <c r="AO223" s="301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1"/>
      <c r="BH223" s="301"/>
      <c r="BI223" s="301"/>
      <c r="BJ223" s="301"/>
      <c r="BK223" s="301"/>
      <c r="BL223" s="301"/>
      <c r="BM223" s="301"/>
    </row>
    <row r="224" spans="2:65" s="347" customFormat="1" ht="17.25" customHeight="1">
      <c r="E224" s="436" t="str" cm="1">
        <f t="array" ref="E224">angleDecimal2Txt(O142)</f>
        <v>+66°53.21 (+66.8868) [+66°53'12.82]</v>
      </c>
      <c r="F224" s="436"/>
      <c r="G224" s="436"/>
      <c r="H224" s="436"/>
      <c r="I224" s="436"/>
      <c r="J224" s="436" t="s">
        <v>527</v>
      </c>
      <c r="K224" s="436"/>
      <c r="L224" s="436"/>
      <c r="AB224" s="61"/>
      <c r="AC224" s="301"/>
      <c r="AD224" s="301"/>
      <c r="AE224" s="301"/>
      <c r="AF224" s="301"/>
      <c r="AG224" s="301"/>
      <c r="AH224" s="301"/>
      <c r="AI224" s="301"/>
      <c r="AJ224" s="301"/>
      <c r="AK224" s="301"/>
      <c r="AL224" s="301"/>
      <c r="AM224" s="301"/>
      <c r="AN224" s="301"/>
      <c r="AO224" s="301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1"/>
      <c r="BH224" s="301"/>
      <c r="BI224" s="301"/>
      <c r="BJ224" s="301"/>
      <c r="BK224" s="301"/>
      <c r="BL224" s="301"/>
      <c r="BM224" s="301"/>
    </row>
    <row r="225" spans="2:65" s="347" customFormat="1" ht="17.25" customHeight="1">
      <c r="E225" s="368"/>
      <c r="F225" s="452" t="s">
        <v>445</v>
      </c>
      <c r="G225" s="453"/>
      <c r="H225" s="451" t="str" cm="1">
        <f t="array" ref="H225">angleDecimal2Txt(O140)</f>
        <v>+00°02.48 (+00.0414) [+00°02'29.17]</v>
      </c>
      <c r="I225" s="451"/>
      <c r="J225" s="451"/>
      <c r="K225" s="451"/>
      <c r="L225" s="451"/>
      <c r="AB225" s="61"/>
      <c r="AC225" s="301"/>
      <c r="AD225" s="301"/>
      <c r="AE225" s="301"/>
      <c r="AF225" s="301"/>
      <c r="AG225" s="301"/>
      <c r="AH225" s="301"/>
      <c r="AI225" s="301"/>
      <c r="AJ225" s="301"/>
      <c r="AK225" s="301"/>
      <c r="AL225" s="301"/>
      <c r="AM225" s="301"/>
      <c r="AN225" s="301"/>
      <c r="AO225" s="301"/>
      <c r="AP225" s="301"/>
      <c r="AQ225" s="301"/>
      <c r="AR225" s="301"/>
      <c r="AS225" s="301"/>
      <c r="AT225" s="301"/>
      <c r="AU225" s="301"/>
      <c r="AV225" s="301"/>
      <c r="AW225" s="301"/>
      <c r="AX225" s="301"/>
      <c r="AY225" s="301"/>
      <c r="AZ225" s="301"/>
      <c r="BA225" s="301"/>
      <c r="BB225" s="301"/>
      <c r="BC225" s="301"/>
      <c r="BD225" s="301"/>
      <c r="BE225" s="301"/>
      <c r="BF225" s="301"/>
      <c r="BG225" s="301"/>
      <c r="BH225" s="301"/>
      <c r="BI225" s="301"/>
      <c r="BJ225" s="301"/>
      <c r="BK225" s="301"/>
      <c r="BL225" s="301"/>
      <c r="BM225" s="301"/>
    </row>
    <row r="226" spans="2:65" s="347" customFormat="1" ht="17.25" customHeight="1">
      <c r="F226" s="437" t="s">
        <v>452</v>
      </c>
      <c r="G226" s="437"/>
      <c r="H226" s="451" t="str" cm="1">
        <f t="array" ref="H226">angleDecimal2Txt(O152)</f>
        <v>+00°00.42 (+00.0070) [+00°00'25.46]</v>
      </c>
      <c r="I226" s="451"/>
      <c r="J226" s="451"/>
      <c r="K226" s="451"/>
      <c r="L226" s="451"/>
      <c r="AB226" s="61"/>
      <c r="AC226" s="301"/>
      <c r="AD226" s="301"/>
      <c r="AE226" s="301"/>
      <c r="AF226" s="301"/>
      <c r="AG226" s="301"/>
      <c r="AH226" s="301"/>
      <c r="AI226" s="301"/>
      <c r="AJ226" s="301"/>
      <c r="AK226" s="301"/>
      <c r="AL226" s="301"/>
      <c r="AM226" s="301"/>
      <c r="AN226" s="301"/>
      <c r="AO226" s="301"/>
      <c r="AP226" s="301"/>
      <c r="AQ226" s="301"/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1"/>
      <c r="BH226" s="301"/>
      <c r="BI226" s="301"/>
      <c r="BJ226" s="301"/>
      <c r="BK226" s="301"/>
      <c r="BL226" s="301"/>
      <c r="BM226" s="301"/>
    </row>
    <row r="227" spans="2:65" s="347" customFormat="1" ht="17.25" customHeight="1">
      <c r="F227" s="437" t="s">
        <v>453</v>
      </c>
      <c r="G227" s="437"/>
      <c r="H227" s="437" t="str" cm="1">
        <f t="array" ref="H227">angleDecimal2Txt(O147)</f>
        <v>+00°00.06 (+00.0011) [+00°00'04.07]</v>
      </c>
      <c r="I227" s="437"/>
      <c r="J227" s="437"/>
      <c r="K227" s="437"/>
      <c r="L227" s="437"/>
      <c r="AB227" s="61"/>
      <c r="AC227" s="301"/>
      <c r="AD227" s="301"/>
      <c r="AE227" s="301"/>
      <c r="AF227" s="301"/>
      <c r="AG227" s="301"/>
      <c r="AH227" s="301"/>
      <c r="AI227" s="301"/>
      <c r="AJ227" s="301"/>
      <c r="AK227" s="301"/>
      <c r="AL227" s="301"/>
      <c r="AM227" s="301"/>
      <c r="AN227" s="301"/>
      <c r="AO227" s="301"/>
      <c r="AP227" s="301"/>
      <c r="AQ227" s="301"/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1"/>
      <c r="BH227" s="301"/>
      <c r="BI227" s="301"/>
      <c r="BJ227" s="301"/>
      <c r="BK227" s="301"/>
      <c r="BL227" s="301"/>
      <c r="BM227" s="301"/>
    </row>
    <row r="228" spans="2:65" s="347" customFormat="1" ht="17.25" customHeight="1">
      <c r="F228" s="437" t="s">
        <v>106</v>
      </c>
      <c r="G228" s="437"/>
      <c r="H228" s="437" t="str" cm="1">
        <f t="array" ref="H228">angleDecimal2Txt(O154)</f>
        <v>+00°32.00 (+00.5333) [+00°32'00.00]</v>
      </c>
      <c r="I228" s="437"/>
      <c r="J228" s="437"/>
      <c r="K228" s="437"/>
      <c r="L228" s="437"/>
      <c r="AB228" s="61"/>
      <c r="AC228" s="301"/>
      <c r="AD228" s="301"/>
      <c r="AE228" s="301"/>
      <c r="AF228" s="301"/>
      <c r="AG228" s="301"/>
      <c r="AH228" s="301"/>
      <c r="AI228" s="301"/>
      <c r="AJ228" s="301"/>
      <c r="AK228" s="301"/>
      <c r="AL228" s="301"/>
      <c r="AM228" s="301"/>
      <c r="AN228" s="301"/>
      <c r="AO228" s="301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1"/>
      <c r="BH228" s="301"/>
      <c r="BI228" s="301"/>
      <c r="BJ228" s="301"/>
      <c r="BK228" s="301"/>
      <c r="BL228" s="301"/>
      <c r="BM228" s="301"/>
    </row>
    <row r="229" spans="2:65" s="347" customFormat="1" ht="17.25" customHeight="1">
      <c r="F229" s="437" t="s">
        <v>71</v>
      </c>
      <c r="G229" s="437"/>
      <c r="H229" s="437" t="str" cm="1">
        <f t="array" ref="H229">angleDecimal2Txt(O156)</f>
        <v>+00°16.00 (+00.2666) [+00°16'00.00]</v>
      </c>
      <c r="I229" s="437"/>
      <c r="J229" s="437"/>
      <c r="K229" s="437"/>
      <c r="L229" s="437"/>
      <c r="AB229" s="61"/>
      <c r="AC229" s="301"/>
      <c r="AD229" s="301"/>
      <c r="AE229" s="301"/>
      <c r="AF229" s="301"/>
      <c r="AG229" s="301"/>
      <c r="AH229" s="301"/>
      <c r="AI229" s="301"/>
      <c r="AJ229" s="301"/>
      <c r="AK229" s="301"/>
      <c r="AL229" s="301"/>
      <c r="AM229" s="301"/>
      <c r="AN229" s="301"/>
      <c r="AO229" s="301"/>
      <c r="AP229" s="301"/>
      <c r="AQ229" s="301"/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1"/>
      <c r="BH229" s="301"/>
      <c r="BI229" s="301"/>
      <c r="BJ229" s="301"/>
      <c r="BK229" s="301"/>
      <c r="BL229" s="301"/>
      <c r="BM229" s="301"/>
    </row>
    <row r="230" spans="2:65" s="347" customFormat="1" ht="17.25" customHeight="1">
      <c r="D230" s="369"/>
      <c r="E230" s="436" t="str" cm="1">
        <f t="array" ref="E230">angleDecimal2Txt(F135)</f>
        <v>+67°08.85 (+67.1476) [+67°08'51.43]</v>
      </c>
      <c r="F230" s="436"/>
      <c r="G230" s="436"/>
      <c r="H230" s="436"/>
      <c r="I230" s="436"/>
      <c r="J230" s="436" t="s">
        <v>528</v>
      </c>
      <c r="K230" s="436"/>
      <c r="L230" s="436"/>
      <c r="AB230" s="61"/>
      <c r="AC230" s="301"/>
      <c r="AD230" s="301"/>
      <c r="AE230" s="301"/>
      <c r="AF230" s="301"/>
      <c r="AG230" s="301"/>
      <c r="AH230" s="301"/>
      <c r="AI230" s="301"/>
      <c r="AJ230" s="301"/>
      <c r="AK230" s="301"/>
      <c r="AL230" s="301"/>
      <c r="AM230" s="301"/>
      <c r="AN230" s="301"/>
      <c r="AO230" s="301"/>
      <c r="AP230" s="301"/>
      <c r="AQ230" s="301"/>
      <c r="AR230" s="301"/>
      <c r="AS230" s="301"/>
      <c r="AT230" s="301"/>
      <c r="AU230" s="301"/>
      <c r="AV230" s="301"/>
      <c r="AW230" s="301"/>
      <c r="AX230" s="301"/>
      <c r="AY230" s="301"/>
      <c r="AZ230" s="301"/>
      <c r="BA230" s="301"/>
      <c r="BB230" s="301"/>
      <c r="BC230" s="301"/>
      <c r="BD230" s="301"/>
      <c r="BE230" s="301"/>
      <c r="BF230" s="301"/>
      <c r="BG230" s="301"/>
      <c r="BH230" s="301"/>
      <c r="BI230" s="301"/>
      <c r="BJ230" s="301"/>
      <c r="BK230" s="301"/>
      <c r="BL230" s="301"/>
      <c r="BM230" s="301"/>
    </row>
    <row r="231" spans="2:65" s="347" customFormat="1" ht="17.25" customHeight="1">
      <c r="D231" s="369"/>
      <c r="F231" s="437" t="str" cm="1">
        <f t="array" ref="F231">angleDecimal2Txt(O147-O152-O140)</f>
        <v>-00°02.84 (-00.0473) [-00°02'50.56]</v>
      </c>
      <c r="G231" s="437"/>
      <c r="H231" s="437"/>
      <c r="I231" s="437"/>
      <c r="J231" s="437"/>
      <c r="K231" s="437" t="s">
        <v>454</v>
      </c>
      <c r="L231" s="437"/>
      <c r="M231" s="437"/>
      <c r="N231" s="450" t="s">
        <v>470</v>
      </c>
      <c r="O231" s="450"/>
      <c r="P231" s="450"/>
      <c r="AB231" s="61"/>
      <c r="AC231" s="301"/>
      <c r="AD231" s="301"/>
      <c r="AE231" s="301"/>
      <c r="AF231" s="301"/>
      <c r="AG231" s="301"/>
      <c r="AH231" s="301"/>
      <c r="AI231" s="301"/>
      <c r="AJ231" s="301"/>
      <c r="AK231" s="301"/>
      <c r="AL231" s="301"/>
      <c r="AM231" s="301"/>
      <c r="AN231" s="301"/>
      <c r="AO231" s="301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1"/>
      <c r="BH231" s="301"/>
      <c r="BI231" s="301"/>
      <c r="BJ231" s="301"/>
      <c r="BK231" s="301"/>
      <c r="BL231" s="301"/>
      <c r="BM231" s="301"/>
    </row>
    <row r="232" spans="2:65" s="347" customFormat="1" ht="17.25" customHeight="1">
      <c r="D232" s="369"/>
      <c r="F232" s="437" t="str" cm="1">
        <f t="array" ref="F232">angleDecimal2Txt(O147-O152-O140+O156)</f>
        <v>+00°13.15 (+00.2192) [+00°13'09.43]</v>
      </c>
      <c r="G232" s="437"/>
      <c r="H232" s="437"/>
      <c r="I232" s="437"/>
      <c r="J232" s="437"/>
      <c r="K232" s="437" t="s">
        <v>450</v>
      </c>
      <c r="L232" s="437"/>
      <c r="M232" s="437"/>
      <c r="N232" s="450"/>
      <c r="O232" s="450"/>
      <c r="P232" s="450"/>
      <c r="AB232" s="61"/>
      <c r="AC232" s="301"/>
      <c r="AD232" s="301"/>
      <c r="AE232" s="301"/>
      <c r="AF232" s="301"/>
      <c r="AG232" s="301"/>
      <c r="AH232" s="301"/>
      <c r="AI232" s="301"/>
      <c r="AJ232" s="301"/>
      <c r="AK232" s="301"/>
      <c r="AL232" s="301"/>
      <c r="AM232" s="301"/>
      <c r="AN232" s="301"/>
      <c r="AO232" s="301"/>
      <c r="AP232" s="301"/>
      <c r="AQ232" s="301"/>
      <c r="AR232" s="301"/>
      <c r="AS232" s="301"/>
      <c r="AT232" s="301"/>
      <c r="AU232" s="301"/>
      <c r="AV232" s="301"/>
      <c r="AW232" s="301"/>
      <c r="AX232" s="301"/>
      <c r="AY232" s="301"/>
      <c r="AZ232" s="301"/>
      <c r="BA232" s="301"/>
      <c r="BB232" s="301"/>
      <c r="BC232" s="301"/>
      <c r="BD232" s="301"/>
      <c r="BE232" s="301"/>
      <c r="BF232" s="301"/>
      <c r="BG232" s="301"/>
      <c r="BH232" s="301"/>
      <c r="BI232" s="301"/>
      <c r="BJ232" s="301"/>
      <c r="BK232" s="301"/>
      <c r="BL232" s="301"/>
      <c r="BM232" s="301"/>
    </row>
    <row r="233" spans="2:65" s="347" customFormat="1" ht="17.25" customHeight="1">
      <c r="D233" s="369"/>
      <c r="F233" s="437" t="str" cm="1">
        <f t="array" ref="F233">angleDecimal2Txt(O147-O152+O156)</f>
        <v>+00°15.64 (+00.2607) [+00°15'38.61]</v>
      </c>
      <c r="G233" s="437"/>
      <c r="H233" s="437"/>
      <c r="I233" s="437"/>
      <c r="J233" s="437"/>
      <c r="K233" s="437" t="s">
        <v>451</v>
      </c>
      <c r="L233" s="437"/>
      <c r="M233" s="437"/>
      <c r="N233" s="450"/>
      <c r="O233" s="450"/>
      <c r="P233" s="450"/>
      <c r="AB233" s="61"/>
      <c r="AC233" s="301"/>
      <c r="AD233" s="301"/>
      <c r="AE233" s="301"/>
      <c r="AF233" s="301"/>
      <c r="AG233" s="301"/>
      <c r="AH233" s="301"/>
      <c r="AI233" s="301"/>
      <c r="AJ233" s="301"/>
      <c r="AK233" s="301"/>
      <c r="AL233" s="301"/>
      <c r="AM233" s="301"/>
      <c r="AN233" s="301"/>
      <c r="AO233" s="301"/>
      <c r="AP233" s="301"/>
      <c r="AQ233" s="301"/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1"/>
      <c r="BH233" s="301"/>
      <c r="BI233" s="301"/>
      <c r="BJ233" s="301"/>
      <c r="BK233" s="301"/>
      <c r="BL233" s="301"/>
      <c r="BM233" s="301"/>
    </row>
    <row r="234" spans="2:65" s="347" customFormat="1" ht="17.25" customHeight="1">
      <c r="AB234" s="61"/>
      <c r="AC234" s="301"/>
      <c r="AD234" s="301"/>
      <c r="AE234" s="301"/>
      <c r="AF234" s="301"/>
      <c r="AG234" s="301"/>
      <c r="AH234" s="301"/>
      <c r="AI234" s="301"/>
      <c r="AJ234" s="301"/>
      <c r="AK234" s="301"/>
      <c r="AL234" s="301"/>
      <c r="AM234" s="301"/>
      <c r="AN234" s="301"/>
      <c r="AO234" s="301"/>
      <c r="AP234" s="301"/>
      <c r="AQ234" s="301"/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1"/>
      <c r="BH234" s="301"/>
      <c r="BI234" s="301"/>
      <c r="BJ234" s="301"/>
      <c r="BK234" s="301"/>
      <c r="BL234" s="301"/>
      <c r="BM234" s="301"/>
    </row>
    <row r="235" spans="2:65" s="347" customFormat="1" ht="17.25" customHeight="1">
      <c r="C235" s="369"/>
      <c r="AB235" s="61"/>
      <c r="AC235" s="301"/>
      <c r="AD235" s="301"/>
      <c r="AE235" s="301"/>
      <c r="AF235" s="301"/>
      <c r="AG235" s="301"/>
      <c r="AH235" s="301"/>
      <c r="AI235" s="301"/>
      <c r="AJ235" s="301"/>
      <c r="AK235" s="301"/>
      <c r="AL235" s="301"/>
      <c r="AM235" s="301"/>
      <c r="AN235" s="301"/>
      <c r="AO235" s="301"/>
      <c r="AP235" s="301"/>
      <c r="AQ235" s="301"/>
      <c r="AR235" s="301"/>
      <c r="AS235" s="301"/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/>
      <c r="BF235" s="301"/>
      <c r="BG235" s="301"/>
      <c r="BH235" s="301"/>
      <c r="BI235" s="301"/>
      <c r="BJ235" s="301"/>
      <c r="BK235" s="301"/>
      <c r="BL235" s="301"/>
      <c r="BM235" s="301"/>
    </row>
    <row r="236" spans="2:65" s="347" customFormat="1" ht="17.25" customHeight="1" thickBot="1">
      <c r="B236" s="367" t="s">
        <v>62</v>
      </c>
      <c r="C236" s="366"/>
      <c r="D236" s="366"/>
      <c r="E236" s="366"/>
      <c r="F236" s="366"/>
      <c r="G236" s="366"/>
      <c r="H236" s="367"/>
      <c r="I236" s="367"/>
      <c r="J236" s="367"/>
      <c r="K236" s="367"/>
      <c r="L236" s="367"/>
      <c r="M236" s="367"/>
      <c r="N236" s="367"/>
      <c r="O236" s="367"/>
      <c r="P236" s="367"/>
      <c r="Q236" s="367"/>
      <c r="AB236" s="61"/>
      <c r="AC236" s="301"/>
      <c r="AD236" s="301"/>
      <c r="AE236" s="301"/>
      <c r="AF236" s="301"/>
      <c r="AG236" s="301"/>
      <c r="AH236" s="301"/>
      <c r="AI236" s="301"/>
      <c r="AJ236" s="301"/>
      <c r="AK236" s="301"/>
      <c r="AL236" s="301"/>
      <c r="AM236" s="301"/>
      <c r="AN236" s="301"/>
      <c r="AO236" s="301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/>
      <c r="BF236" s="301"/>
      <c r="BG236" s="301"/>
      <c r="BH236" s="301"/>
      <c r="BI236" s="301"/>
      <c r="BJ236" s="301"/>
      <c r="BK236" s="301"/>
      <c r="BL236" s="301"/>
      <c r="BM236" s="301"/>
    </row>
    <row r="237" spans="2:65" s="347" customFormat="1" ht="17.25" customHeight="1" thickTop="1">
      <c r="C237" s="447" t="s">
        <v>455</v>
      </c>
      <c r="D237" s="447"/>
      <c r="E237" s="447" t="str" cm="1">
        <f t="array" ref="E237">latitudeDecimal2Txt(F113)</f>
        <v>N 27°15.00 (N 27.2500) [N 27°15'00.00]</v>
      </c>
      <c r="F237" s="447"/>
      <c r="G237" s="447"/>
      <c r="H237" s="447"/>
      <c r="I237" s="447"/>
      <c r="J237" s="447"/>
      <c r="AB237" s="61"/>
      <c r="AC237" s="301"/>
      <c r="AD237" s="301"/>
      <c r="AE237" s="301"/>
      <c r="AF237" s="301"/>
      <c r="AG237" s="301"/>
      <c r="AH237" s="301"/>
      <c r="AI237" s="301"/>
      <c r="AJ237" s="301"/>
      <c r="AK237" s="301"/>
      <c r="AL237" s="301"/>
      <c r="AM237" s="301"/>
      <c r="AN237" s="301"/>
      <c r="AO237" s="301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1"/>
      <c r="BH237" s="301"/>
      <c r="BI237" s="301"/>
      <c r="BJ237" s="301"/>
      <c r="BK237" s="301"/>
      <c r="BL237" s="301"/>
      <c r="BM237" s="301"/>
    </row>
    <row r="238" spans="2:65" s="347" customFormat="1" ht="17.25" customHeight="1">
      <c r="F238" s="450" t="str">
        <f>CONCATENATE("Déc. - ", G73)</f>
        <v xml:space="preserve">Déc. - </v>
      </c>
      <c r="G238" s="450"/>
      <c r="H238" s="437">
        <f>IF($G$118=$AD$118,M122,CONCATENATE("T0:",M130))</f>
        <v>12</v>
      </c>
      <c r="I238" s="437"/>
      <c r="J238" s="437" t="str" cm="1">
        <f t="array" ref="J238">IF($G$118=$AD$118,angleDecimal2Txt(AE121,0),CONCATENATE("Pos. à T0:",angleDecimal2Txt(AD129,0)))</f>
        <v>+23°08.09</v>
      </c>
      <c r="K238" s="437"/>
      <c r="L238" s="437"/>
      <c r="M238" s="437"/>
      <c r="AB238" s="61"/>
      <c r="AC238" s="301"/>
      <c r="AD238" s="301"/>
      <c r="AE238" s="301"/>
      <c r="AF238" s="301"/>
      <c r="AG238" s="301"/>
      <c r="AH238" s="301"/>
      <c r="AI238" s="301"/>
      <c r="AJ238" s="301"/>
      <c r="AK238" s="301"/>
      <c r="AL238" s="301"/>
      <c r="AM238" s="301"/>
      <c r="AN238" s="301"/>
      <c r="AO238" s="301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1"/>
      <c r="BH238" s="301"/>
      <c r="BI238" s="301"/>
      <c r="BJ238" s="301"/>
      <c r="BK238" s="301"/>
      <c r="BL238" s="301"/>
      <c r="BM238" s="301"/>
    </row>
    <row r="239" spans="2:65" s="347" customFormat="1" ht="17.25" customHeight="1">
      <c r="F239" s="450"/>
      <c r="G239" s="450"/>
      <c r="H239" s="437" cm="1">
        <f t="array" ref="H239">IF($G$118=$AD$118,M124,CONCATENATE("V:",angleDecimal2Txt(AD131,0)))</f>
        <v>13</v>
      </c>
      <c r="I239" s="437"/>
      <c r="J239" s="437" t="str" cm="1">
        <f t="array" ref="J239">IF($G$118=$AD$118,angleDecimal2Txt(AE122,0),CONCATENATE("dt:",TEXT((I130-M130),"0.000")," h"))</f>
        <v>+23°08.00</v>
      </c>
      <c r="K239" s="437"/>
      <c r="L239" s="437"/>
      <c r="M239" s="437"/>
      <c r="AB239" s="61"/>
      <c r="AC239" s="301"/>
      <c r="AD239" s="301"/>
      <c r="AE239" s="301"/>
      <c r="AF239" s="301"/>
      <c r="AG239" s="301"/>
      <c r="AH239" s="301"/>
      <c r="AI239" s="301"/>
      <c r="AJ239" s="301"/>
      <c r="AK239" s="301"/>
      <c r="AL239" s="301"/>
      <c r="AM239" s="301"/>
      <c r="AN239" s="301"/>
      <c r="AO239" s="301"/>
      <c r="AP239" s="301"/>
      <c r="AQ239" s="301"/>
      <c r="AR239" s="301"/>
      <c r="AS239" s="301"/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1"/>
      <c r="BH239" s="301"/>
      <c r="BI239" s="301"/>
      <c r="BJ239" s="301"/>
      <c r="BK239" s="301"/>
      <c r="BL239" s="301"/>
      <c r="BM239" s="301"/>
    </row>
    <row r="240" spans="2:65" s="347" customFormat="1" ht="17.25" customHeight="1">
      <c r="C240" s="449" t="s">
        <v>9</v>
      </c>
      <c r="D240" s="449"/>
      <c r="E240" s="449" t="str" cm="1">
        <f t="array" ref="E240">latitudeDecimal2Txt(F117)</f>
        <v>N 23°07.60 (N 23.1267) [N 23°07'36.43]</v>
      </c>
      <c r="F240" s="449"/>
      <c r="G240" s="449"/>
      <c r="H240" s="449"/>
      <c r="I240" s="449"/>
      <c r="J240" s="449"/>
      <c r="AB240" s="61"/>
      <c r="AC240" s="301"/>
      <c r="AD240" s="301"/>
      <c r="AE240" s="301"/>
      <c r="AF240" s="301"/>
      <c r="AG240" s="301"/>
      <c r="AH240" s="301"/>
      <c r="AI240" s="301"/>
      <c r="AJ240" s="301"/>
      <c r="AK240" s="301"/>
      <c r="AL240" s="301"/>
      <c r="AM240" s="301"/>
      <c r="AN240" s="301"/>
      <c r="AO240" s="301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1"/>
      <c r="BH240" s="301"/>
      <c r="BI240" s="301"/>
      <c r="BJ240" s="301"/>
      <c r="BK240" s="301"/>
      <c r="BL240" s="301"/>
      <c r="BM240" s="301"/>
    </row>
    <row r="241" spans="2:66" s="347" customFormat="1" ht="17.25" customHeight="1">
      <c r="F241" s="452" t="s">
        <v>475</v>
      </c>
      <c r="G241" s="797"/>
      <c r="H241" s="797"/>
      <c r="I241" s="797"/>
      <c r="J241" s="797"/>
      <c r="K241" s="797"/>
      <c r="L241" s="797"/>
      <c r="M241" s="453"/>
      <c r="AB241" s="61"/>
      <c r="AC241" s="301"/>
      <c r="AD241" s="301"/>
      <c r="AE241" s="301"/>
      <c r="AF241" s="301"/>
      <c r="AG241" s="301"/>
      <c r="AH241" s="301"/>
      <c r="AI241" s="301"/>
      <c r="AJ241" s="301"/>
      <c r="AK241" s="301"/>
      <c r="AL241" s="301"/>
      <c r="AM241" s="301"/>
      <c r="AN241" s="301"/>
      <c r="AO241" s="301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/>
      <c r="BF241" s="301"/>
      <c r="BG241" s="301"/>
      <c r="BH241" s="301"/>
      <c r="BI241" s="301"/>
      <c r="BJ241" s="301"/>
      <c r="BK241" s="301"/>
      <c r="BL241" s="301"/>
      <c r="BM241" s="301"/>
    </row>
    <row r="242" spans="2:66" s="347" customFormat="1" ht="17.25" customHeight="1">
      <c r="F242" s="437" t="s">
        <v>72</v>
      </c>
      <c r="G242" s="437"/>
      <c r="H242" s="452" t="str" cm="1">
        <f t="array" ref="H242">angleDecimal2Txt(Q180,0)</f>
        <v>+67°08.85</v>
      </c>
      <c r="I242" s="797"/>
      <c r="J242" s="797"/>
      <c r="K242" s="797"/>
      <c r="L242" s="797"/>
      <c r="M242" s="453"/>
      <c r="AB242" s="61"/>
      <c r="AC242" s="301"/>
      <c r="AD242" s="301"/>
      <c r="AE242" s="301"/>
      <c r="AF242" s="301"/>
      <c r="AG242" s="301"/>
      <c r="AH242" s="301"/>
      <c r="AI242" s="301"/>
      <c r="AJ242" s="301"/>
      <c r="AK242" s="301"/>
      <c r="AL242" s="301"/>
      <c r="AM242" s="301"/>
      <c r="AN242" s="301"/>
      <c r="AO242" s="301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1"/>
      <c r="BH242" s="301"/>
      <c r="BI242" s="301"/>
      <c r="BJ242" s="301"/>
      <c r="BK242" s="301"/>
      <c r="BL242" s="301"/>
      <c r="BM242" s="301"/>
    </row>
    <row r="243" spans="2:66" s="347" customFormat="1" ht="17.25" customHeight="1">
      <c r="C243" s="436" t="s">
        <v>476</v>
      </c>
      <c r="D243" s="436"/>
      <c r="E243" s="436" t="str">
        <f>angleDecimal2Txt(I179,1)</f>
        <v>+22°51.14 (+22.8523) [+22°51'08.56]</v>
      </c>
      <c r="F243" s="436"/>
      <c r="G243" s="436"/>
      <c r="H243" s="436"/>
      <c r="I243" s="436"/>
      <c r="J243" s="436"/>
      <c r="AB243" s="61"/>
      <c r="AC243" s="301"/>
      <c r="AD243" s="301"/>
      <c r="AE243" s="301"/>
      <c r="AF243" s="301"/>
      <c r="AG243" s="301"/>
      <c r="AH243" s="301"/>
      <c r="AI243" s="301"/>
      <c r="AJ243" s="301"/>
      <c r="AK243" s="301"/>
      <c r="AL243" s="301"/>
      <c r="AM243" s="301"/>
      <c r="AN243" s="301"/>
      <c r="AO243" s="301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1"/>
      <c r="BH243" s="301"/>
      <c r="BI243" s="301"/>
      <c r="BJ243" s="301"/>
      <c r="BK243" s="301"/>
      <c r="BL243" s="301"/>
      <c r="BM243" s="301"/>
    </row>
    <row r="244" spans="2:66" s="300" customFormat="1" ht="17.25" customHeight="1">
      <c r="C244" s="344"/>
      <c r="D244" s="344"/>
      <c r="E244" s="344"/>
      <c r="F244" s="799" t="s">
        <v>228</v>
      </c>
      <c r="G244" s="800"/>
      <c r="H244" s="800"/>
      <c r="I244" s="800"/>
      <c r="J244" s="800"/>
      <c r="K244" s="800"/>
      <c r="L244" s="800"/>
      <c r="M244" s="800"/>
      <c r="N244" s="800"/>
      <c r="O244" s="800"/>
      <c r="P244" s="801"/>
      <c r="Q244" s="301"/>
      <c r="AB244" s="61"/>
      <c r="AC244" s="301"/>
      <c r="AD244" s="301"/>
      <c r="AE244" s="301"/>
      <c r="AF244" s="301"/>
      <c r="AG244" s="301"/>
      <c r="AH244" s="301"/>
      <c r="AI244" s="301"/>
      <c r="AJ244" s="301"/>
      <c r="AK244" s="301"/>
      <c r="AL244" s="301"/>
      <c r="AM244" s="301"/>
      <c r="AN244" s="301"/>
      <c r="AO244" s="301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1"/>
      <c r="BH244" s="301"/>
      <c r="BI244" s="301"/>
      <c r="BJ244" s="301"/>
      <c r="BK244" s="301"/>
      <c r="BL244" s="301"/>
      <c r="BM244" s="301"/>
      <c r="BN244" s="302"/>
    </row>
    <row r="245" spans="2:66" s="300" customFormat="1" ht="17.25" customHeight="1">
      <c r="C245" s="344"/>
      <c r="D245" s="344"/>
      <c r="E245" s="344"/>
      <c r="F245" s="804"/>
      <c r="G245" s="802" t="s">
        <v>230</v>
      </c>
      <c r="H245" s="802"/>
      <c r="I245" s="802"/>
      <c r="J245" s="802"/>
      <c r="K245" s="802"/>
      <c r="L245" s="794" t="s">
        <v>232</v>
      </c>
      <c r="M245" s="795"/>
      <c r="N245" s="795"/>
      <c r="O245" s="795"/>
      <c r="P245" s="796"/>
      <c r="Q245" s="301"/>
      <c r="AB245" s="61"/>
      <c r="AC245" s="301"/>
      <c r="AD245" s="301"/>
      <c r="AE245" s="301"/>
      <c r="AF245" s="301"/>
      <c r="AG245" s="301"/>
      <c r="AH245" s="301"/>
      <c r="AI245" s="301"/>
      <c r="AJ245" s="301"/>
      <c r="AK245" s="301"/>
      <c r="AL245" s="301"/>
      <c r="AM245" s="301"/>
      <c r="AN245" s="301"/>
      <c r="AO245" s="301"/>
      <c r="AP245" s="301"/>
      <c r="AQ245" s="301"/>
      <c r="AR245" s="301"/>
      <c r="AS245" s="301"/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1"/>
      <c r="BH245" s="301"/>
      <c r="BI245" s="301"/>
      <c r="BJ245" s="301"/>
      <c r="BK245" s="301"/>
      <c r="BL245" s="301"/>
      <c r="BM245" s="301"/>
      <c r="BN245" s="302"/>
    </row>
    <row r="246" spans="2:66" s="300" customFormat="1" ht="17.25" customHeight="1">
      <c r="C246" s="344"/>
      <c r="D246" s="344"/>
      <c r="E246" s="344"/>
      <c r="F246" s="804"/>
      <c r="G246" s="802" t="s">
        <v>231</v>
      </c>
      <c r="H246" s="802"/>
      <c r="I246" s="802"/>
      <c r="J246" s="802"/>
      <c r="K246" s="802"/>
      <c r="L246" s="794" t="s">
        <v>233</v>
      </c>
      <c r="M246" s="795"/>
      <c r="N246" s="795"/>
      <c r="O246" s="795"/>
      <c r="P246" s="796"/>
      <c r="Q246" s="301"/>
      <c r="AB246" s="61"/>
      <c r="AC246" s="301"/>
      <c r="AD246" s="301"/>
      <c r="AE246" s="301"/>
      <c r="AF246" s="301"/>
      <c r="AG246" s="301"/>
      <c r="AH246" s="301"/>
      <c r="AI246" s="301"/>
      <c r="AJ246" s="301"/>
      <c r="AK246" s="301"/>
      <c r="AL246" s="301"/>
      <c r="AM246" s="301"/>
      <c r="AN246" s="301"/>
      <c r="AO246" s="301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1"/>
      <c r="BH246" s="301"/>
      <c r="BI246" s="301"/>
      <c r="BJ246" s="301"/>
      <c r="BK246" s="301"/>
      <c r="BL246" s="301"/>
      <c r="BM246" s="301"/>
      <c r="BN246" s="302"/>
    </row>
    <row r="247" spans="2:66" s="300" customFormat="1" ht="17.25" customHeight="1">
      <c r="C247" s="344"/>
      <c r="D247" s="344"/>
      <c r="E247" s="344"/>
      <c r="F247" s="803" t="s">
        <v>229</v>
      </c>
      <c r="G247" s="803"/>
      <c r="H247" s="803"/>
      <c r="I247" s="803"/>
      <c r="J247" s="803"/>
      <c r="K247" s="803"/>
      <c r="L247" s="794" t="s">
        <v>234</v>
      </c>
      <c r="M247" s="795"/>
      <c r="N247" s="795"/>
      <c r="O247" s="795"/>
      <c r="P247" s="796"/>
      <c r="Q247" s="301"/>
      <c r="AB247" s="61"/>
      <c r="AC247" s="301"/>
      <c r="AD247" s="301"/>
      <c r="AE247" s="301"/>
      <c r="AF247" s="301"/>
      <c r="AG247" s="301"/>
      <c r="AH247" s="301"/>
      <c r="AI247" s="301"/>
      <c r="AJ247" s="301"/>
      <c r="AK247" s="301"/>
      <c r="AL247" s="301"/>
      <c r="AM247" s="301"/>
      <c r="AN247" s="301"/>
      <c r="AO247" s="301"/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1"/>
      <c r="BH247" s="301"/>
      <c r="BI247" s="301"/>
      <c r="BJ247" s="301"/>
      <c r="BK247" s="301"/>
      <c r="BL247" s="301"/>
      <c r="BM247" s="301"/>
      <c r="BN247" s="302"/>
    </row>
    <row r="248" spans="2:66" s="300" customFormat="1" ht="17.25" customHeight="1">
      <c r="C248" s="344"/>
      <c r="D248" s="344"/>
      <c r="E248" s="344"/>
      <c r="F248" s="437" t="s">
        <v>477</v>
      </c>
      <c r="G248" s="437"/>
      <c r="H248" s="452" t="b">
        <f>((F113*F117)&gt;0)</f>
        <v>1</v>
      </c>
      <c r="I248" s="797"/>
      <c r="J248" s="797"/>
      <c r="K248" s="797"/>
      <c r="L248" s="797"/>
      <c r="M248" s="453"/>
      <c r="Q248" s="301"/>
      <c r="AB248" s="61"/>
      <c r="AC248" s="301"/>
      <c r="AD248" s="301"/>
      <c r="AE248" s="301"/>
      <c r="AF248" s="301"/>
      <c r="AG248" s="301"/>
      <c r="AH248" s="301"/>
      <c r="AI248" s="301"/>
      <c r="AJ248" s="301"/>
      <c r="AK248" s="301"/>
      <c r="AL248" s="301"/>
      <c r="AM248" s="301"/>
      <c r="AN248" s="301"/>
      <c r="AO248" s="301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1"/>
      <c r="BH248" s="301"/>
      <c r="BI248" s="301"/>
      <c r="BJ248" s="301"/>
      <c r="BK248" s="301"/>
      <c r="BL248" s="301"/>
      <c r="BM248" s="301"/>
      <c r="BN248" s="302"/>
    </row>
    <row r="249" spans="2:66" s="300" customFormat="1" ht="17.25" customHeight="1">
      <c r="C249" s="344"/>
      <c r="D249" s="344"/>
      <c r="E249" s="344"/>
      <c r="F249" s="437" t="s">
        <v>478</v>
      </c>
      <c r="G249" s="437"/>
      <c r="H249" s="452" t="b">
        <f>(F113&gt;F117)</f>
        <v>1</v>
      </c>
      <c r="I249" s="797"/>
      <c r="J249" s="797"/>
      <c r="K249" s="797"/>
      <c r="L249" s="797"/>
      <c r="M249" s="453"/>
      <c r="P249" s="370"/>
      <c r="Q249" s="370"/>
      <c r="AB249" s="61"/>
      <c r="AC249" s="301"/>
      <c r="AD249" s="301"/>
      <c r="AE249" s="301"/>
      <c r="AF249" s="301"/>
      <c r="AG249" s="301"/>
      <c r="AH249" s="301"/>
      <c r="AI249" s="301"/>
      <c r="AJ249" s="301"/>
      <c r="AK249" s="301"/>
      <c r="AL249" s="301"/>
      <c r="AM249" s="301"/>
      <c r="AN249" s="301"/>
      <c r="AO249" s="301"/>
      <c r="AP249" s="301"/>
      <c r="AQ249" s="301"/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1"/>
      <c r="BH249" s="301"/>
      <c r="BI249" s="301"/>
      <c r="BJ249" s="301"/>
      <c r="BK249" s="301"/>
      <c r="BL249" s="301"/>
      <c r="BM249" s="301"/>
      <c r="BN249" s="302"/>
    </row>
    <row r="250" spans="2:66" s="300" customFormat="1" ht="17.25" customHeight="1">
      <c r="B250" s="962" t="s">
        <v>227</v>
      </c>
      <c r="C250" s="963"/>
      <c r="D250" s="964"/>
      <c r="E250" s="438" t="str" cm="1">
        <f t="array" ref="E250">latitudeDecimal2Txt(M190)</f>
        <v>N 45°58.74 (N 45.9791) [N 45°58'44.99]</v>
      </c>
      <c r="F250" s="438"/>
      <c r="G250" s="438"/>
      <c r="H250" s="438"/>
      <c r="I250" s="438"/>
      <c r="J250" s="438"/>
      <c r="N250" s="370"/>
      <c r="O250" s="370"/>
      <c r="P250" s="370"/>
      <c r="Q250" s="370"/>
      <c r="AB250" s="61"/>
      <c r="AC250" s="301"/>
      <c r="AD250" s="301"/>
      <c r="AE250" s="301"/>
      <c r="AF250" s="301"/>
      <c r="AG250" s="301"/>
      <c r="AH250" s="301"/>
      <c r="AI250" s="301"/>
      <c r="AJ250" s="301"/>
      <c r="AK250" s="301"/>
      <c r="AL250" s="301"/>
      <c r="AM250" s="301"/>
      <c r="AN250" s="301"/>
      <c r="AO250" s="301"/>
      <c r="AP250" s="301"/>
      <c r="AQ250" s="301"/>
      <c r="AR250" s="301"/>
      <c r="AS250" s="301"/>
      <c r="AT250" s="301"/>
      <c r="AU250" s="301"/>
      <c r="AV250" s="301"/>
      <c r="AW250" s="301"/>
      <c r="AX250" s="301"/>
      <c r="AY250" s="301"/>
      <c r="AZ250" s="301"/>
      <c r="BA250" s="301"/>
      <c r="BB250" s="301"/>
      <c r="BC250" s="301"/>
      <c r="BD250" s="301"/>
      <c r="BE250" s="301"/>
      <c r="BF250" s="301"/>
      <c r="BG250" s="301"/>
      <c r="BH250" s="301"/>
      <c r="BI250" s="301"/>
      <c r="BJ250" s="301"/>
      <c r="BK250" s="301"/>
      <c r="BL250" s="301"/>
      <c r="BM250" s="301"/>
      <c r="BN250" s="302"/>
    </row>
    <row r="251" spans="2:66" s="300" customFormat="1" ht="17.25" customHeight="1">
      <c r="B251" s="438" t="s">
        <v>529</v>
      </c>
      <c r="C251" s="438"/>
      <c r="D251" s="438"/>
      <c r="E251" s="438" t="str">
        <f>longitudeDecimal2Txt(V78)</f>
        <v>W 72°46.96 (W 72.7826) [W 72°46'57.69]</v>
      </c>
      <c r="F251" s="438"/>
      <c r="G251" s="438"/>
      <c r="H251" s="438"/>
      <c r="I251" s="438"/>
      <c r="J251" s="438"/>
      <c r="AB251" s="61"/>
      <c r="AC251" s="301"/>
      <c r="AD251" s="301"/>
      <c r="AE251" s="301"/>
      <c r="AF251" s="301"/>
      <c r="AG251" s="301"/>
      <c r="AH251" s="301"/>
      <c r="AI251" s="301"/>
      <c r="AJ251" s="301"/>
      <c r="AK251" s="301"/>
      <c r="AL251" s="301"/>
      <c r="AM251" s="301"/>
      <c r="AN251" s="301"/>
      <c r="AO251" s="301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/>
      <c r="BF251" s="301"/>
      <c r="BG251" s="301"/>
      <c r="BH251" s="301"/>
      <c r="BI251" s="301"/>
      <c r="BJ251" s="301"/>
      <c r="BK251" s="301"/>
      <c r="BL251" s="301"/>
      <c r="BM251" s="301"/>
      <c r="BN251" s="302"/>
    </row>
  </sheetData>
  <sheetProtection selectLockedCells="1"/>
  <protectedRanges>
    <protectedRange sqref="M88:Y88" name="Heure visee" securityDescriptor="O:WDG:WDD:(A;;CC;;;WD)"/>
  </protectedRanges>
  <mergeCells count="376">
    <mergeCell ref="E251:J251"/>
    <mergeCell ref="B251:D251"/>
    <mergeCell ref="H78:U79"/>
    <mergeCell ref="V78:W79"/>
    <mergeCell ref="X78:AC79"/>
    <mergeCell ref="M190:N190"/>
    <mergeCell ref="AE209:AF210"/>
    <mergeCell ref="W173:AA173"/>
    <mergeCell ref="I163:N163"/>
    <mergeCell ref="I162:N162"/>
    <mergeCell ref="I161:N161"/>
    <mergeCell ref="I160:N160"/>
    <mergeCell ref="U207:Z207"/>
    <mergeCell ref="U206:Z206"/>
    <mergeCell ref="U197:Z197"/>
    <mergeCell ref="U175:Z175"/>
    <mergeCell ref="P190:U190"/>
    <mergeCell ref="O181:P181"/>
    <mergeCell ref="Q181:S181"/>
    <mergeCell ref="Q185:R185"/>
    <mergeCell ref="U185:X185"/>
    <mergeCell ref="Q186:R186"/>
    <mergeCell ref="E197:F197"/>
    <mergeCell ref="B250:D250"/>
    <mergeCell ref="I197:J197"/>
    <mergeCell ref="C196:F196"/>
    <mergeCell ref="H196:J196"/>
    <mergeCell ref="L196:N196"/>
    <mergeCell ref="Q196:T196"/>
    <mergeCell ref="D210:E210"/>
    <mergeCell ref="C209:E209"/>
    <mergeCell ref="M197:N197"/>
    <mergeCell ref="S197:T197"/>
    <mergeCell ref="E207:F207"/>
    <mergeCell ref="G207:L207"/>
    <mergeCell ref="S207:T207"/>
    <mergeCell ref="Q199:S199"/>
    <mergeCell ref="R200:S200"/>
    <mergeCell ref="C205:F205"/>
    <mergeCell ref="E206:F206"/>
    <mergeCell ref="G206:L206"/>
    <mergeCell ref="S206:T206"/>
    <mergeCell ref="U170:V170"/>
    <mergeCell ref="K171:K172"/>
    <mergeCell ref="N171:N172"/>
    <mergeCell ref="Q171:Q172"/>
    <mergeCell ref="U171:V171"/>
    <mergeCell ref="L172:M172"/>
    <mergeCell ref="O172:P172"/>
    <mergeCell ref="L173:M173"/>
    <mergeCell ref="O173:P173"/>
    <mergeCell ref="H175:N175"/>
    <mergeCell ref="O175:R175"/>
    <mergeCell ref="H190:L190"/>
    <mergeCell ref="B177:AA177"/>
    <mergeCell ref="E184:O184"/>
    <mergeCell ref="E185:E186"/>
    <mergeCell ref="F185:J185"/>
    <mergeCell ref="K185:O185"/>
    <mergeCell ref="F186:J186"/>
    <mergeCell ref="K186:O186"/>
    <mergeCell ref="O179:T179"/>
    <mergeCell ref="U186:X186"/>
    <mergeCell ref="S185:T185"/>
    <mergeCell ref="I181:M181"/>
    <mergeCell ref="E179:H181"/>
    <mergeCell ref="I179:M180"/>
    <mergeCell ref="O180:P180"/>
    <mergeCell ref="Q180:S180"/>
    <mergeCell ref="S186:T186"/>
    <mergeCell ref="E187:J187"/>
    <mergeCell ref="K187:O187"/>
    <mergeCell ref="U169:V169"/>
    <mergeCell ref="O161:R162"/>
    <mergeCell ref="S161:S162"/>
    <mergeCell ref="O163:R163"/>
    <mergeCell ref="H165:N165"/>
    <mergeCell ref="O165:R165"/>
    <mergeCell ref="U165:Z165"/>
    <mergeCell ref="F167:I167"/>
    <mergeCell ref="J167:L167"/>
    <mergeCell ref="H152:N152"/>
    <mergeCell ref="O152:R152"/>
    <mergeCell ref="U152:Z152"/>
    <mergeCell ref="AD159:AE159"/>
    <mergeCell ref="AD155:AE155"/>
    <mergeCell ref="O156:R156"/>
    <mergeCell ref="U156:Z156"/>
    <mergeCell ref="AD156:AE156"/>
    <mergeCell ref="AD157:AE157"/>
    <mergeCell ref="G158:S158"/>
    <mergeCell ref="G159:H160"/>
    <mergeCell ref="I159:N159"/>
    <mergeCell ref="O159:R160"/>
    <mergeCell ref="S159:S160"/>
    <mergeCell ref="H156:N156"/>
    <mergeCell ref="H155:N155"/>
    <mergeCell ref="O155:R155"/>
    <mergeCell ref="H154:N154"/>
    <mergeCell ref="O154:R154"/>
    <mergeCell ref="H140:N140"/>
    <mergeCell ref="O140:R140"/>
    <mergeCell ref="U140:Z140"/>
    <mergeCell ref="M141:P141"/>
    <mergeCell ref="H142:N142"/>
    <mergeCell ref="O142:P142"/>
    <mergeCell ref="R142:S142"/>
    <mergeCell ref="U142:Z142"/>
    <mergeCell ref="M144:P144"/>
    <mergeCell ref="M145:P145"/>
    <mergeCell ref="H146:N146"/>
    <mergeCell ref="O146:R146"/>
    <mergeCell ref="S149:U149"/>
    <mergeCell ref="H150:N150"/>
    <mergeCell ref="O150:R150"/>
    <mergeCell ref="S150:U150"/>
    <mergeCell ref="H151:N151"/>
    <mergeCell ref="O151:R151"/>
    <mergeCell ref="S151:U151"/>
    <mergeCell ref="U146:Z146"/>
    <mergeCell ref="H147:N147"/>
    <mergeCell ref="O147:R147"/>
    <mergeCell ref="U147:Z147"/>
    <mergeCell ref="H138:N138"/>
    <mergeCell ref="O138:R138"/>
    <mergeCell ref="U138:Z138"/>
    <mergeCell ref="H139:N139"/>
    <mergeCell ref="O139:R139"/>
    <mergeCell ref="U139:Z139"/>
    <mergeCell ref="V130:Y131"/>
    <mergeCell ref="F132:K132"/>
    <mergeCell ref="P132:T132"/>
    <mergeCell ref="U132:Y132"/>
    <mergeCell ref="F130:H131"/>
    <mergeCell ref="I130:L131"/>
    <mergeCell ref="M130:O131"/>
    <mergeCell ref="P130:P131"/>
    <mergeCell ref="Q130:T131"/>
    <mergeCell ref="U130:U131"/>
    <mergeCell ref="AC136:AC137"/>
    <mergeCell ref="F137:I137"/>
    <mergeCell ref="J137:L137"/>
    <mergeCell ref="D135:E135"/>
    <mergeCell ref="F135:H135"/>
    <mergeCell ref="M135:N135"/>
    <mergeCell ref="S135:U135"/>
    <mergeCell ref="V135:Z135"/>
    <mergeCell ref="C136:F136"/>
    <mergeCell ref="G136:I136"/>
    <mergeCell ref="F117:H117"/>
    <mergeCell ref="F126:K126"/>
    <mergeCell ref="F128:H129"/>
    <mergeCell ref="I128:L129"/>
    <mergeCell ref="M128:O129"/>
    <mergeCell ref="C118:F118"/>
    <mergeCell ref="G118:I118"/>
    <mergeCell ref="AC118:AC119"/>
    <mergeCell ref="F120:H121"/>
    <mergeCell ref="I120:L121"/>
    <mergeCell ref="M120:O121"/>
    <mergeCell ref="P120:T121"/>
    <mergeCell ref="P128:T129"/>
    <mergeCell ref="U128:Y129"/>
    <mergeCell ref="F122:H125"/>
    <mergeCell ref="I122:L125"/>
    <mergeCell ref="M122:O123"/>
    <mergeCell ref="P122:P123"/>
    <mergeCell ref="Q122:T123"/>
    <mergeCell ref="U122:Y123"/>
    <mergeCell ref="M124:O125"/>
    <mergeCell ref="P124:P125"/>
    <mergeCell ref="Q124:T125"/>
    <mergeCell ref="U124:Y125"/>
    <mergeCell ref="S103:X103"/>
    <mergeCell ref="P104:X104"/>
    <mergeCell ref="S107:X107"/>
    <mergeCell ref="P108:X108"/>
    <mergeCell ref="E111:H112"/>
    <mergeCell ref="F113:H114"/>
    <mergeCell ref="C105:I108"/>
    <mergeCell ref="J105:L108"/>
    <mergeCell ref="M105:O108"/>
    <mergeCell ref="P105:R106"/>
    <mergeCell ref="P107:R107"/>
    <mergeCell ref="J101:L104"/>
    <mergeCell ref="M101:O104"/>
    <mergeCell ref="C99:I99"/>
    <mergeCell ref="J99:L99"/>
    <mergeCell ref="M99:O99"/>
    <mergeCell ref="C100:I100"/>
    <mergeCell ref="J100:L100"/>
    <mergeCell ref="M100:O100"/>
    <mergeCell ref="M97:O97"/>
    <mergeCell ref="P101:R102"/>
    <mergeCell ref="D102:I104"/>
    <mergeCell ref="P103:R103"/>
    <mergeCell ref="C101:D101"/>
    <mergeCell ref="C95:I95"/>
    <mergeCell ref="J95:L95"/>
    <mergeCell ref="M95:O95"/>
    <mergeCell ref="P95:X95"/>
    <mergeCell ref="P97:X97"/>
    <mergeCell ref="C98:I98"/>
    <mergeCell ref="J98:L98"/>
    <mergeCell ref="M98:O98"/>
    <mergeCell ref="P98:X98"/>
    <mergeCell ref="M96:O96"/>
    <mergeCell ref="C1:F4"/>
    <mergeCell ref="G1:Y2"/>
    <mergeCell ref="G3:I4"/>
    <mergeCell ref="J3:L4"/>
    <mergeCell ref="N3:P4"/>
    <mergeCell ref="Q3:S4"/>
    <mergeCell ref="C8:D8"/>
    <mergeCell ref="E8:G8"/>
    <mergeCell ref="V72:W73"/>
    <mergeCell ref="X72:X73"/>
    <mergeCell ref="H70:U71"/>
    <mergeCell ref="H72:U73"/>
    <mergeCell ref="E34:M35"/>
    <mergeCell ref="E30:K31"/>
    <mergeCell ref="F32:H33"/>
    <mergeCell ref="I32:N33"/>
    <mergeCell ref="O32:X33"/>
    <mergeCell ref="F43:H44"/>
    <mergeCell ref="I43:N44"/>
    <mergeCell ref="O43:X44"/>
    <mergeCell ref="E41:K42"/>
    <mergeCell ref="I36:I37"/>
    <mergeCell ref="J36:N37"/>
    <mergeCell ref="F36:H37"/>
    <mergeCell ref="X70:X71"/>
    <mergeCell ref="V80:W81"/>
    <mergeCell ref="C64:O66"/>
    <mergeCell ref="Q64:U64"/>
    <mergeCell ref="K50:L51"/>
    <mergeCell ref="B47:AA47"/>
    <mergeCell ref="C63:O63"/>
    <mergeCell ref="AA55:AA56"/>
    <mergeCell ref="P60:U60"/>
    <mergeCell ref="C49:R49"/>
    <mergeCell ref="N50:O51"/>
    <mergeCell ref="P50:Q51"/>
    <mergeCell ref="R50:R51"/>
    <mergeCell ref="C50:D50"/>
    <mergeCell ref="E50:G50"/>
    <mergeCell ref="C51:D51"/>
    <mergeCell ref="E51:G51"/>
    <mergeCell ref="I50:J51"/>
    <mergeCell ref="V70:W71"/>
    <mergeCell ref="C54:O54"/>
    <mergeCell ref="X55:Z56"/>
    <mergeCell ref="X74:X75"/>
    <mergeCell ref="V76:W77"/>
    <mergeCell ref="X76:X77"/>
    <mergeCell ref="O36:X37"/>
    <mergeCell ref="O11:X12"/>
    <mergeCell ref="E9:H10"/>
    <mergeCell ref="A11:C11"/>
    <mergeCell ref="F11:H12"/>
    <mergeCell ref="I11:I12"/>
    <mergeCell ref="J11:N12"/>
    <mergeCell ref="F28:H29"/>
    <mergeCell ref="O28:X29"/>
    <mergeCell ref="I28:N29"/>
    <mergeCell ref="E14:H15"/>
    <mergeCell ref="F16:H17"/>
    <mergeCell ref="I16:I17"/>
    <mergeCell ref="J16:N17"/>
    <mergeCell ref="O16:X17"/>
    <mergeCell ref="E19:H20"/>
    <mergeCell ref="F21:H22"/>
    <mergeCell ref="O21:X22"/>
    <mergeCell ref="I21:N22"/>
    <mergeCell ref="E26:K27"/>
    <mergeCell ref="J94:L94"/>
    <mergeCell ref="M94:O94"/>
    <mergeCell ref="P94:X94"/>
    <mergeCell ref="B216:C216"/>
    <mergeCell ref="D216:G216"/>
    <mergeCell ref="I216:L216"/>
    <mergeCell ref="K60:N60"/>
    <mergeCell ref="C55:D55"/>
    <mergeCell ref="E55:G55"/>
    <mergeCell ref="C56:D56"/>
    <mergeCell ref="E56:G56"/>
    <mergeCell ref="C60:D60"/>
    <mergeCell ref="C59:O59"/>
    <mergeCell ref="H76:U77"/>
    <mergeCell ref="K55:K56"/>
    <mergeCell ref="L55:N56"/>
    <mergeCell ref="O55:O56"/>
    <mergeCell ref="I55:J56"/>
    <mergeCell ref="P55:R56"/>
    <mergeCell ref="U55:W56"/>
    <mergeCell ref="I60:J60"/>
    <mergeCell ref="E60:G60"/>
    <mergeCell ref="V74:W75"/>
    <mergeCell ref="X80:AC81"/>
    <mergeCell ref="B217:C217"/>
    <mergeCell ref="C220:D220"/>
    <mergeCell ref="E220:I220"/>
    <mergeCell ref="C221:D221"/>
    <mergeCell ref="E221:I221"/>
    <mergeCell ref="H74:U75"/>
    <mergeCell ref="E88:H88"/>
    <mergeCell ref="I88:L88"/>
    <mergeCell ref="C92:I92"/>
    <mergeCell ref="J92:O92"/>
    <mergeCell ref="C93:I93"/>
    <mergeCell ref="J93:L93"/>
    <mergeCell ref="M93:O93"/>
    <mergeCell ref="C85:D85"/>
    <mergeCell ref="E85:G85"/>
    <mergeCell ref="C86:D88"/>
    <mergeCell ref="E86:H87"/>
    <mergeCell ref="C97:I97"/>
    <mergeCell ref="J97:L97"/>
    <mergeCell ref="C96:I96"/>
    <mergeCell ref="J96:L96"/>
    <mergeCell ref="H80:U81"/>
    <mergeCell ref="P93:X93"/>
    <mergeCell ref="C94:I94"/>
    <mergeCell ref="C222:D222"/>
    <mergeCell ref="E222:I222"/>
    <mergeCell ref="C223:D223"/>
    <mergeCell ref="E223:I223"/>
    <mergeCell ref="E224:I224"/>
    <mergeCell ref="J224:L224"/>
    <mergeCell ref="F225:G225"/>
    <mergeCell ref="H225:L225"/>
    <mergeCell ref="F226:G226"/>
    <mergeCell ref="H226:L226"/>
    <mergeCell ref="F227:G227"/>
    <mergeCell ref="H227:L227"/>
    <mergeCell ref="F228:G228"/>
    <mergeCell ref="H228:L228"/>
    <mergeCell ref="F229:G229"/>
    <mergeCell ref="H229:L229"/>
    <mergeCell ref="E230:I230"/>
    <mergeCell ref="J230:L230"/>
    <mergeCell ref="F231:J231"/>
    <mergeCell ref="K231:M231"/>
    <mergeCell ref="C240:D240"/>
    <mergeCell ref="E240:J240"/>
    <mergeCell ref="N231:P233"/>
    <mergeCell ref="F232:J232"/>
    <mergeCell ref="K232:M232"/>
    <mergeCell ref="F233:J233"/>
    <mergeCell ref="K233:M233"/>
    <mergeCell ref="C237:D237"/>
    <mergeCell ref="E237:J237"/>
    <mergeCell ref="L247:P247"/>
    <mergeCell ref="F248:G248"/>
    <mergeCell ref="H248:M248"/>
    <mergeCell ref="F249:G249"/>
    <mergeCell ref="H249:M249"/>
    <mergeCell ref="E250:J250"/>
    <mergeCell ref="D217:G217"/>
    <mergeCell ref="F241:M241"/>
    <mergeCell ref="H242:M242"/>
    <mergeCell ref="F244:P244"/>
    <mergeCell ref="G245:K245"/>
    <mergeCell ref="L245:P245"/>
    <mergeCell ref="G246:K246"/>
    <mergeCell ref="L246:P246"/>
    <mergeCell ref="F247:K247"/>
    <mergeCell ref="F245:F246"/>
    <mergeCell ref="C243:D243"/>
    <mergeCell ref="E243:J243"/>
    <mergeCell ref="F242:G242"/>
    <mergeCell ref="F238:G239"/>
    <mergeCell ref="H238:I238"/>
    <mergeCell ref="J238:M238"/>
    <mergeCell ref="H239:I239"/>
    <mergeCell ref="J239:M239"/>
  </mergeCells>
  <dataValidations count="7">
    <dataValidation type="list" allowBlank="1" showInputMessage="1" showErrorMessage="1" sqref="I11:I12 I36:I37" xr:uid="{A0B34710-7EA8-467A-9DCD-360D0BECE256}">
      <formula1>$A$13:$A$14</formula1>
    </dataValidation>
    <dataValidation type="list" allowBlank="1" showInputMessage="1" showErrorMessage="1" sqref="I16:I17" xr:uid="{759572A2-77FF-4924-B450-4A7FE467D243}">
      <formula1>$B$13:$B$14</formula1>
    </dataValidation>
    <dataValidation type="list" allowBlank="1" showInputMessage="1" showErrorMessage="1" sqref="J92:O92" xr:uid="{085B4DBA-5CF9-4829-A498-52FBF4F06D5F}">
      <formula1>$AC$92:$AD$92</formula1>
    </dataValidation>
    <dataValidation type="list" allowBlank="1" showInputMessage="1" showErrorMessage="1" sqref="G118:I118" xr:uid="{B80DE897-6191-4207-8AD8-D86F14352946}">
      <formula1>$AD$118:$AD$119</formula1>
    </dataValidation>
    <dataValidation type="list" allowBlank="1" showInputMessage="1" showErrorMessage="1" sqref="G136:I136" xr:uid="{26C2D47B-39F4-43F1-9FDB-BE88B518D5AB}">
      <formula1>$AD$64:$AD$65</formula1>
    </dataValidation>
    <dataValidation type="list" allowBlank="1" showInputMessage="1" showErrorMessage="1" sqref="M99:O99" xr:uid="{F39B73BF-68DC-4933-905B-2080A188E988}">
      <formula1>$AD$23:$AF$23</formula1>
    </dataValidation>
    <dataValidation type="list" allowBlank="1" showInputMessage="1" showErrorMessage="1" sqref="M100:O100" xr:uid="{46D9BFFB-766A-491E-8840-FABD452081F7}">
      <formula1>$AD$104:$AF$104</formula1>
    </dataValidation>
  </dataValidations>
  <pageMargins left="0.7" right="0.7" top="0.75" bottom="0.75" header="0.3" footer="0.3"/>
  <pageSetup paperSize="9" scale="8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212</xdr:row>
                    <xdr:rowOff>38100</xdr:rowOff>
                  </from>
                  <to>
                    <xdr:col>10</xdr:col>
                    <xdr:colOff>9525</xdr:colOff>
                    <xdr:row>213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3B6E-91AE-41D2-B060-A57218D8DF64}">
          <x14:formula1>
            <xm:f>Outils!$C$9:$C$10</xm:f>
          </x14:formula1>
          <xm:sqref>U130:U131 P122:P125 P130:P131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2"/>
  <sheetViews>
    <sheetView topLeftCell="A235" zoomScaleNormal="100" workbookViewId="0">
      <selection activeCell="B246" sqref="B246"/>
    </sheetView>
  </sheetViews>
  <sheetFormatPr defaultColWidth="6" defaultRowHeight="15"/>
  <cols>
    <col min="9" max="9" width="8.5703125" bestFit="1" customWidth="1"/>
    <col min="14" max="14" width="8.5703125" bestFit="1" customWidth="1"/>
    <col min="22" max="22" width="6.28515625" customWidth="1"/>
    <col min="23" max="23" width="7.140625" bestFit="1" customWidth="1"/>
    <col min="28" max="28" width="1.28515625" style="162" customWidth="1"/>
    <col min="29" max="30" width="16.140625" customWidth="1"/>
    <col min="31" max="31" width="9.5703125" bestFit="1" customWidth="1"/>
    <col min="32" max="32" width="6.5703125" bestFit="1" customWidth="1"/>
    <col min="33" max="33" width="9.5703125" bestFit="1" customWidth="1"/>
    <col min="34" max="34" width="8.5703125" bestFit="1" customWidth="1"/>
  </cols>
  <sheetData>
    <row r="1" spans="1:66" s="16" customFormat="1" ht="17.25" customHeight="1">
      <c r="C1" s="974" t="s">
        <v>143</v>
      </c>
      <c r="D1" s="974"/>
      <c r="E1" s="974"/>
      <c r="F1" s="974"/>
      <c r="G1" s="975" t="s">
        <v>144</v>
      </c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975"/>
      <c r="X1" s="975"/>
      <c r="Y1" s="975"/>
      <c r="AB1" s="16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974"/>
      <c r="D2" s="974"/>
      <c r="E2" s="974"/>
      <c r="F2" s="974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5"/>
      <c r="U2" s="975"/>
      <c r="V2" s="975"/>
      <c r="W2" s="975"/>
      <c r="X2" s="975"/>
      <c r="Y2" s="975"/>
      <c r="AB2" s="16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974"/>
      <c r="D3" s="974"/>
      <c r="E3" s="974"/>
      <c r="F3" s="974"/>
      <c r="G3" s="718" t="s">
        <v>148</v>
      </c>
      <c r="H3" s="718"/>
      <c r="I3" s="718"/>
      <c r="J3" s="719" t="s">
        <v>147</v>
      </c>
      <c r="K3" s="719"/>
      <c r="L3" s="719"/>
      <c r="N3" s="976" t="s">
        <v>242</v>
      </c>
      <c r="O3" s="976"/>
      <c r="P3" s="976"/>
      <c r="Q3" s="977" t="s">
        <v>207</v>
      </c>
      <c r="R3" s="977"/>
      <c r="S3" s="977"/>
      <c r="AB3" s="16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974"/>
      <c r="D4" s="974"/>
      <c r="E4" s="974"/>
      <c r="F4" s="974"/>
      <c r="G4" s="613"/>
      <c r="H4" s="613"/>
      <c r="I4" s="613"/>
      <c r="J4" s="720"/>
      <c r="K4" s="720"/>
      <c r="L4" s="720"/>
      <c r="N4" s="976"/>
      <c r="O4" s="976"/>
      <c r="P4" s="976"/>
      <c r="Q4" s="977"/>
      <c r="R4" s="977"/>
      <c r="S4" s="977"/>
      <c r="AB4" s="16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1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142" t="s">
        <v>281</v>
      </c>
      <c r="C7" s="143"/>
      <c r="D7" s="143"/>
      <c r="E7" s="143"/>
      <c r="F7" s="143"/>
      <c r="G7" s="143"/>
      <c r="H7" s="143"/>
      <c r="I7" s="143"/>
      <c r="J7" s="143"/>
      <c r="K7" s="143"/>
      <c r="L7" s="143"/>
      <c r="M7" s="143"/>
      <c r="N7" s="105" t="str">
        <f>dateDecimale2txt(dateConvert2Decimal(E8))</f>
        <v>2025/06/30 [YYYY/MM/DD]</v>
      </c>
      <c r="O7" s="105"/>
      <c r="P7" s="106"/>
      <c r="Q7" s="107"/>
      <c r="R7" s="133"/>
      <c r="S7" s="133"/>
      <c r="T7" s="133"/>
      <c r="U7" s="143"/>
      <c r="V7" s="143"/>
      <c r="W7" s="143"/>
      <c r="X7" s="143"/>
      <c r="Y7" s="143"/>
      <c r="Z7" s="143"/>
      <c r="AA7" s="143"/>
      <c r="AB7" s="163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>
      <c r="C8" s="714" t="s">
        <v>1</v>
      </c>
      <c r="D8" s="715"/>
      <c r="E8" s="596" t="s">
        <v>243</v>
      </c>
      <c r="F8" s="597"/>
      <c r="G8" s="597"/>
      <c r="H8"/>
      <c r="I8"/>
      <c r="J8"/>
      <c r="K8"/>
      <c r="L8"/>
      <c r="M8"/>
      <c r="N8"/>
      <c r="O8"/>
      <c r="AB8" s="161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>
      <c r="C9" s="14"/>
      <c r="D9" s="14"/>
      <c r="E9" s="561" t="s">
        <v>7</v>
      </c>
      <c r="F9" s="561"/>
      <c r="G9" s="561"/>
      <c r="H9" s="561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AB9" s="161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Bot="1">
      <c r="C10" s="14"/>
      <c r="D10" s="14"/>
      <c r="E10" s="561"/>
      <c r="F10" s="561"/>
      <c r="G10" s="561"/>
      <c r="H10" s="561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AB10" s="161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 s="555" t="s">
        <v>34</v>
      </c>
      <c r="B11" s="556"/>
      <c r="C11" s="557"/>
      <c r="D11" s="14"/>
      <c r="E11" s="14"/>
      <c r="F11" s="544">
        <f>AD12</f>
        <v>46.1</v>
      </c>
      <c r="G11" s="570"/>
      <c r="H11" s="570"/>
      <c r="I11" s="514" t="s">
        <v>3</v>
      </c>
      <c r="J11" s="539" t="s">
        <v>299</v>
      </c>
      <c r="K11" s="514"/>
      <c r="L11" s="514"/>
      <c r="M11" s="514"/>
      <c r="N11" s="514"/>
      <c r="O11" s="472" t="str" cm="1">
        <f t="array" ref="O11">angleDecimal2Txt(F11)</f>
        <v>+46°06.00 (+46.1000) [+46°06'00.00]</v>
      </c>
      <c r="P11" s="472"/>
      <c r="Q11" s="472"/>
      <c r="R11" s="472"/>
      <c r="S11" s="472"/>
      <c r="T11" s="472"/>
      <c r="U11" s="472"/>
      <c r="V11" s="472"/>
      <c r="W11" s="472"/>
      <c r="X11" s="472"/>
      <c r="Y11" s="14"/>
      <c r="Z11" s="14"/>
      <c r="AB11" s="161"/>
      <c r="AC11" s="129" t="s">
        <v>179</v>
      </c>
      <c r="AD11" s="3">
        <f>VLOOKUP(I11,$A$13:$C$14,3)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A12" s="17" t="s">
        <v>41</v>
      </c>
      <c r="B12" s="32" t="s">
        <v>42</v>
      </c>
      <c r="C12" s="18"/>
      <c r="D12" s="14"/>
      <c r="E12" s="14"/>
      <c r="F12" s="570"/>
      <c r="G12" s="570"/>
      <c r="H12" s="570"/>
      <c r="I12" s="514"/>
      <c r="J12" s="514"/>
      <c r="K12" s="514"/>
      <c r="L12" s="514"/>
      <c r="M12" s="514"/>
      <c r="N12" s="514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14"/>
      <c r="Z12" s="14"/>
      <c r="AB12" s="161"/>
      <c r="AC12" s="129" t="s">
        <v>180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>
      <c r="A13" s="17" t="s">
        <v>3</v>
      </c>
      <c r="B13" s="32" t="s">
        <v>5</v>
      </c>
      <c r="C13" s="18">
        <v>1</v>
      </c>
      <c r="D13" s="14"/>
      <c r="E13" s="14"/>
      <c r="F13" s="14"/>
      <c r="G13" s="14"/>
      <c r="H13" s="14"/>
      <c r="AB13" s="161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Bot="1">
      <c r="A14" s="19" t="s">
        <v>4</v>
      </c>
      <c r="B14" s="20" t="s">
        <v>6</v>
      </c>
      <c r="C14" s="21">
        <v>-1</v>
      </c>
      <c r="D14" s="14"/>
      <c r="E14" s="577" t="s">
        <v>8</v>
      </c>
      <c r="F14" s="577"/>
      <c r="G14" s="577"/>
      <c r="H14" s="577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1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Bot="1">
      <c r="C15" s="14"/>
      <c r="D15" s="14"/>
      <c r="E15" s="577"/>
      <c r="F15" s="577"/>
      <c r="G15" s="577"/>
      <c r="H15" s="577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161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2" customHeight="1" thickTop="1" thickBot="1">
      <c r="B16" s="14"/>
      <c r="C16" s="14"/>
      <c r="D16" s="14"/>
      <c r="E16" s="14"/>
      <c r="F16" s="544">
        <f>AD17</f>
        <v>-7.083333333333333</v>
      </c>
      <c r="G16" s="570"/>
      <c r="H16" s="570"/>
      <c r="I16" s="514" t="s">
        <v>6</v>
      </c>
      <c r="J16" s="539" t="s">
        <v>300</v>
      </c>
      <c r="K16" s="514"/>
      <c r="L16" s="514"/>
      <c r="M16" s="514"/>
      <c r="N16" s="514"/>
      <c r="O16" s="472" t="str" cm="1">
        <f t="array" ref="O16">angleDecimal2Txt(F16)</f>
        <v>-07°05.00 (-07.0833) [-07°05'00.00]</v>
      </c>
      <c r="P16" s="472"/>
      <c r="Q16" s="472"/>
      <c r="R16" s="472"/>
      <c r="S16" s="472"/>
      <c r="T16" s="472"/>
      <c r="U16" s="472"/>
      <c r="V16" s="472"/>
      <c r="W16" s="472"/>
      <c r="X16" s="472"/>
      <c r="Y16" s="14"/>
      <c r="Z16" s="14"/>
      <c r="AB16" s="161"/>
      <c r="AC16" s="129" t="s">
        <v>181</v>
      </c>
      <c r="AD16" s="3">
        <f>VLOOKUP(I16,B13:C14,2)</f>
        <v>-1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66" s="16" customFormat="1" ht="12" customHeight="1" thickTop="1" thickBot="1">
      <c r="C17" s="14"/>
      <c r="D17" s="14"/>
      <c r="E17" s="14"/>
      <c r="F17" s="570"/>
      <c r="G17" s="570"/>
      <c r="H17" s="570"/>
      <c r="I17" s="514"/>
      <c r="J17" s="514"/>
      <c r="K17" s="514"/>
      <c r="L17" s="514"/>
      <c r="M17" s="514"/>
      <c r="N17" s="514"/>
      <c r="O17" s="472"/>
      <c r="P17" s="472"/>
      <c r="Q17" s="472"/>
      <c r="R17" s="472"/>
      <c r="S17" s="472"/>
      <c r="T17" s="472"/>
      <c r="U17" s="472"/>
      <c r="V17" s="472"/>
      <c r="W17" s="472"/>
      <c r="X17" s="472"/>
      <c r="Y17" s="14"/>
      <c r="Z17" s="14"/>
      <c r="AB17" s="161"/>
      <c r="AC17" s="129" t="s">
        <v>182</v>
      </c>
      <c r="AD17" s="3" cm="1">
        <f t="array" ref="AD17">angleConvert2Decimal(J16)*AD16</f>
        <v>-7.083333333333333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:66" ht="12" customHeight="1" thickTop="1"/>
    <row r="19" spans="2:66" ht="12" customHeight="1">
      <c r="E19" s="577" t="s">
        <v>266</v>
      </c>
      <c r="F19" s="577"/>
      <c r="G19" s="577"/>
      <c r="H19" s="577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16"/>
    </row>
    <row r="20" spans="2:66" ht="12" customHeight="1" thickBot="1">
      <c r="E20" s="577"/>
      <c r="F20" s="577"/>
      <c r="G20" s="577"/>
      <c r="H20" s="577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16"/>
    </row>
    <row r="21" spans="2:66" ht="12" customHeight="1" thickTop="1" thickBot="1">
      <c r="E21" s="14"/>
      <c r="F21" s="544">
        <f>heureConvert2Decimal(I21)</f>
        <v>10.340277777777779</v>
      </c>
      <c r="G21" s="570"/>
      <c r="H21" s="570"/>
      <c r="I21" s="848" t="s">
        <v>235</v>
      </c>
      <c r="J21" s="528"/>
      <c r="K21" s="528"/>
      <c r="L21" s="528"/>
      <c r="M21" s="528"/>
      <c r="N21" s="845"/>
      <c r="O21" s="472" t="str">
        <f>heureDecimal2Txt(F21)</f>
        <v>10:20:25.00(10.3402)</v>
      </c>
      <c r="P21" s="472"/>
      <c r="Q21" s="472"/>
      <c r="R21" s="472"/>
      <c r="S21" s="472"/>
      <c r="T21" s="472"/>
      <c r="U21" s="472"/>
      <c r="V21" s="472"/>
      <c r="W21" s="472"/>
      <c r="X21" s="472"/>
    </row>
    <row r="22" spans="2:66" ht="12" customHeight="1" thickTop="1" thickBot="1">
      <c r="E22" s="14"/>
      <c r="F22" s="570"/>
      <c r="G22" s="570"/>
      <c r="H22" s="570"/>
      <c r="I22" s="529"/>
      <c r="J22" s="530"/>
      <c r="K22" s="530"/>
      <c r="L22" s="530"/>
      <c r="M22" s="530"/>
      <c r="N22" s="847"/>
      <c r="O22" s="472"/>
      <c r="P22" s="472"/>
      <c r="Q22" s="472"/>
      <c r="R22" s="472"/>
      <c r="S22" s="472"/>
      <c r="T22" s="472"/>
      <c r="U22" s="472"/>
      <c r="V22" s="472"/>
      <c r="W22" s="472"/>
      <c r="X22" s="472"/>
    </row>
    <row r="23" spans="2:66" ht="15.75" thickTop="1"/>
    <row r="24" spans="2:66" ht="15.75" thickBot="1"/>
    <row r="25" spans="2:66" s="16" customFormat="1" ht="17.25" customHeight="1" thickBot="1">
      <c r="B25" s="25" t="s">
        <v>282</v>
      </c>
      <c r="C25" s="26"/>
      <c r="D25" s="26"/>
      <c r="E25" s="77"/>
      <c r="F25" s="77"/>
      <c r="G25" s="77"/>
      <c r="H25" s="77"/>
      <c r="I25" s="77"/>
      <c r="J25" s="77"/>
      <c r="K25" s="77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163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2:66" ht="12.75" customHeight="1">
      <c r="E26" s="849" t="s">
        <v>285</v>
      </c>
      <c r="F26" s="850"/>
      <c r="G26" s="850"/>
      <c r="H26" s="850"/>
      <c r="I26" s="850"/>
      <c r="J26" s="850"/>
      <c r="K26" s="851"/>
    </row>
    <row r="27" spans="2:66" ht="12.75" customHeight="1" thickBot="1">
      <c r="E27" s="852"/>
      <c r="F27" s="853"/>
      <c r="G27" s="853"/>
      <c r="H27" s="853"/>
      <c r="I27" s="853"/>
      <c r="J27" s="853"/>
      <c r="K27" s="854"/>
    </row>
    <row r="28" spans="2:66" ht="12.75" customHeight="1" thickTop="1" thickBot="1">
      <c r="F28" s="543">
        <f>angleConvert2Decimal(I28)</f>
        <v>260</v>
      </c>
      <c r="G28" s="841"/>
      <c r="H28" s="841"/>
      <c r="I28" s="843">
        <v>260</v>
      </c>
      <c r="J28" s="844"/>
      <c r="K28" s="844"/>
      <c r="L28" s="528"/>
      <c r="M28" s="528"/>
      <c r="N28" s="845"/>
      <c r="O28" s="472" t="str" cm="1">
        <f t="array" ref="O28">angleDecimal2Txt(F28)</f>
        <v>+260°00.00 (+260.0000) [+260°00'00.00]</v>
      </c>
      <c r="P28" s="472"/>
      <c r="Q28" s="472"/>
      <c r="R28" s="472"/>
      <c r="S28" s="472"/>
      <c r="T28" s="472"/>
      <c r="U28" s="472"/>
      <c r="V28" s="472"/>
      <c r="W28" s="472"/>
      <c r="X28" s="472"/>
    </row>
    <row r="29" spans="2:66" ht="12.75" customHeight="1" thickTop="1" thickBot="1">
      <c r="F29" s="842"/>
      <c r="G29" s="842"/>
      <c r="H29" s="842"/>
      <c r="I29" s="846"/>
      <c r="J29" s="844"/>
      <c r="K29" s="844"/>
      <c r="L29" s="530"/>
      <c r="M29" s="530"/>
      <c r="N29" s="847"/>
      <c r="O29" s="472"/>
      <c r="P29" s="472"/>
      <c r="Q29" s="472"/>
      <c r="R29" s="472"/>
      <c r="S29" s="472"/>
      <c r="T29" s="472"/>
      <c r="U29" s="472"/>
      <c r="V29" s="472"/>
      <c r="W29" s="472"/>
      <c r="X29" s="472"/>
    </row>
    <row r="30" spans="2:66" ht="12.75" customHeight="1" thickTop="1">
      <c r="E30" s="495" t="s">
        <v>286</v>
      </c>
      <c r="F30" s="496"/>
      <c r="G30" s="496"/>
      <c r="H30" s="496"/>
      <c r="I30" s="496"/>
      <c r="J30" s="496"/>
      <c r="K30" s="497"/>
    </row>
    <row r="31" spans="2:66" ht="12.75" customHeight="1" thickBot="1">
      <c r="E31" s="498"/>
      <c r="F31" s="499"/>
      <c r="G31" s="499"/>
      <c r="H31" s="499"/>
      <c r="I31" s="499"/>
      <c r="J31" s="499"/>
      <c r="K31" s="500"/>
    </row>
    <row r="32" spans="2:66" ht="12.75" customHeight="1" thickTop="1" thickBot="1">
      <c r="F32" s="543">
        <f>I32</f>
        <v>5</v>
      </c>
      <c r="G32" s="841"/>
      <c r="H32" s="841"/>
      <c r="I32" s="843">
        <v>5</v>
      </c>
      <c r="J32" s="844"/>
      <c r="K32" s="844"/>
      <c r="L32" s="528"/>
      <c r="M32" s="528"/>
      <c r="N32" s="845"/>
      <c r="O32" s="472" t="str" cm="1">
        <f t="array" ref="O32">angleDecimal2Txt(F32)</f>
        <v>+05°00.00 (+05.0000) [+05°00'00.00]</v>
      </c>
      <c r="P32" s="472"/>
      <c r="Q32" s="472"/>
      <c r="R32" s="472"/>
      <c r="S32" s="472"/>
      <c r="T32" s="472"/>
      <c r="U32" s="472"/>
      <c r="V32" s="472"/>
      <c r="W32" s="472"/>
      <c r="X32" s="472"/>
    </row>
    <row r="33" spans="2:30" ht="12.75" customHeight="1" thickTop="1" thickBot="1">
      <c r="F33" s="842"/>
      <c r="G33" s="842"/>
      <c r="H33" s="842"/>
      <c r="I33" s="846"/>
      <c r="J33" s="844"/>
      <c r="K33" s="844"/>
      <c r="L33" s="844"/>
      <c r="M33" s="844"/>
      <c r="N33" s="847"/>
      <c r="O33" s="472"/>
      <c r="P33" s="472"/>
      <c r="Q33" s="472"/>
      <c r="R33" s="472"/>
      <c r="S33" s="472"/>
      <c r="T33" s="472"/>
      <c r="U33" s="472"/>
      <c r="V33" s="472"/>
      <c r="W33" s="472"/>
      <c r="X33" s="472"/>
    </row>
    <row r="34" spans="2:30" ht="12.75" customHeight="1" thickTop="1">
      <c r="E34" s="898" t="s">
        <v>284</v>
      </c>
      <c r="F34" s="899"/>
      <c r="G34" s="899"/>
      <c r="H34" s="899"/>
      <c r="I34" s="899"/>
      <c r="J34" s="899"/>
      <c r="K34" s="899"/>
      <c r="L34" s="899"/>
      <c r="M34" s="900"/>
    </row>
    <row r="35" spans="2:30" ht="12.75" customHeight="1" thickBot="1">
      <c r="E35" s="901"/>
      <c r="F35" s="902"/>
      <c r="G35" s="902"/>
      <c r="H35" s="902"/>
      <c r="I35" s="902"/>
      <c r="J35" s="902"/>
      <c r="K35" s="902"/>
      <c r="L35" s="902"/>
      <c r="M35" s="903"/>
    </row>
    <row r="36" spans="2:30" s="144" customFormat="1" ht="12.75" customHeight="1" thickTop="1" thickBot="1">
      <c r="F36" s="911">
        <f>AD37</f>
        <v>46.1</v>
      </c>
      <c r="G36" s="912"/>
      <c r="H36" s="912"/>
      <c r="I36" s="978" t="str">
        <f>I11</f>
        <v>N</v>
      </c>
      <c r="J36" s="980" t="str">
        <f>J11</f>
        <v>46°06</v>
      </c>
      <c r="K36" s="978"/>
      <c r="L36" s="978"/>
      <c r="M36" s="978"/>
      <c r="N36" s="979"/>
      <c r="O36" s="840" t="str" cm="1">
        <f t="array" ref="O36">angleDecimal2Txt(F36)</f>
        <v>+46°06.00 (+46.1000) [+46°06'00.00]</v>
      </c>
      <c r="P36" s="840"/>
      <c r="Q36" s="840"/>
      <c r="R36" s="840"/>
      <c r="S36" s="840"/>
      <c r="T36" s="840"/>
      <c r="U36" s="840"/>
      <c r="V36" s="840"/>
      <c r="W36" s="840"/>
      <c r="X36" s="840"/>
      <c r="AB36" s="164"/>
      <c r="AC36" s="130" t="s">
        <v>179</v>
      </c>
      <c r="AD36" s="124">
        <f>VLOOKUP(I36,$A$13:$C$14,3)</f>
        <v>1</v>
      </c>
    </row>
    <row r="37" spans="2:30" s="144" customFormat="1" ht="12.75" customHeight="1" thickTop="1" thickBot="1">
      <c r="F37" s="913"/>
      <c r="G37" s="913"/>
      <c r="H37" s="913"/>
      <c r="I37" s="979"/>
      <c r="J37" s="979"/>
      <c r="K37" s="979"/>
      <c r="L37" s="979"/>
      <c r="M37" s="979"/>
      <c r="N37" s="979"/>
      <c r="O37" s="840"/>
      <c r="P37" s="840"/>
      <c r="Q37" s="840"/>
      <c r="R37" s="840"/>
      <c r="S37" s="840"/>
      <c r="T37" s="840"/>
      <c r="U37" s="840"/>
      <c r="V37" s="840"/>
      <c r="W37" s="840"/>
      <c r="X37" s="840"/>
      <c r="AB37" s="164"/>
      <c r="AC37" s="130" t="s">
        <v>180</v>
      </c>
      <c r="AD37" s="124" cm="1">
        <f t="array" ref="AD37">angleConvert2Decimal(J36)*AD36</f>
        <v>46.1</v>
      </c>
    </row>
    <row r="38" spans="2:30" s="144" customFormat="1" ht="12.75" customHeight="1" thickTop="1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 s="162"/>
      <c r="AC38"/>
      <c r="AD38"/>
    </row>
    <row r="39" spans="2:30" ht="15.75" thickBot="1"/>
    <row r="40" spans="2:30" ht="15.75" thickBot="1">
      <c r="B40" s="25" t="s">
        <v>283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163"/>
    </row>
    <row r="41" spans="2:30" ht="12" customHeight="1">
      <c r="E41" s="904" t="s">
        <v>267</v>
      </c>
      <c r="F41" s="905"/>
      <c r="G41" s="905"/>
      <c r="H41" s="905"/>
      <c r="I41" s="905"/>
      <c r="J41" s="905"/>
      <c r="K41" s="905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16"/>
    </row>
    <row r="42" spans="2:30" ht="12" customHeight="1" thickBot="1">
      <c r="E42" s="906"/>
      <c r="F42" s="907"/>
      <c r="G42" s="907"/>
      <c r="H42" s="907"/>
      <c r="I42" s="907"/>
      <c r="J42" s="907"/>
      <c r="K42" s="907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16"/>
    </row>
    <row r="43" spans="2:30" ht="12" customHeight="1" thickTop="1" thickBot="1">
      <c r="E43" s="14"/>
      <c r="F43" s="544">
        <f>heureConvert2Decimal(I43)</f>
        <v>12.051666666666668</v>
      </c>
      <c r="G43" s="570"/>
      <c r="H43" s="570"/>
      <c r="I43" s="848" t="s">
        <v>268</v>
      </c>
      <c r="J43" s="528"/>
      <c r="K43" s="528"/>
      <c r="L43" s="528"/>
      <c r="M43" s="528"/>
      <c r="N43" s="845"/>
      <c r="O43" s="472" t="str">
        <f>heureDecimal2Txt(F43)</f>
        <v>12:03:06.00(12.0516)</v>
      </c>
      <c r="P43" s="472"/>
      <c r="Q43" s="472"/>
      <c r="R43" s="472"/>
      <c r="S43" s="472"/>
      <c r="T43" s="472"/>
      <c r="U43" s="472"/>
      <c r="V43" s="472"/>
      <c r="W43" s="472"/>
      <c r="X43" s="472"/>
    </row>
    <row r="44" spans="2:30" ht="12" customHeight="1" thickTop="1" thickBot="1">
      <c r="E44" s="14"/>
      <c r="F44" s="570"/>
      <c r="G44" s="570"/>
      <c r="H44" s="570"/>
      <c r="I44" s="529"/>
      <c r="J44" s="530"/>
      <c r="K44" s="530"/>
      <c r="L44" s="530"/>
      <c r="M44" s="530"/>
      <c r="N44" s="847"/>
      <c r="O44" s="472"/>
      <c r="P44" s="472"/>
      <c r="Q44" s="472"/>
      <c r="R44" s="472"/>
      <c r="S44" s="472"/>
      <c r="T44" s="472"/>
      <c r="U44" s="472"/>
      <c r="V44" s="472"/>
      <c r="W44" s="472"/>
      <c r="X44" s="472"/>
    </row>
    <row r="45" spans="2:30" ht="15.75" thickTop="1"/>
    <row r="46" spans="2:30" ht="15.75" thickBot="1"/>
    <row r="47" spans="2:30" ht="15.75" thickBot="1">
      <c r="B47" s="966" t="s">
        <v>289</v>
      </c>
      <c r="C47" s="967"/>
      <c r="D47" s="967"/>
      <c r="E47" s="967"/>
      <c r="F47" s="967"/>
      <c r="G47" s="967"/>
      <c r="H47" s="967"/>
      <c r="I47" s="967"/>
      <c r="J47" s="967"/>
      <c r="K47" s="967"/>
      <c r="L47" s="967"/>
      <c r="M47" s="967"/>
      <c r="N47" s="967"/>
      <c r="O47" s="967"/>
      <c r="P47" s="967"/>
      <c r="Q47" s="967"/>
      <c r="R47" s="967"/>
      <c r="S47" s="967"/>
      <c r="T47" s="967"/>
      <c r="U47" s="967"/>
      <c r="V47" s="967"/>
      <c r="W47" s="967"/>
      <c r="X47" s="967"/>
      <c r="Y47" s="967"/>
      <c r="Z47" s="967"/>
      <c r="AA47" s="967"/>
      <c r="AB47" s="163"/>
    </row>
    <row r="49" spans="3:27">
      <c r="C49" s="871" t="s">
        <v>287</v>
      </c>
      <c r="D49" s="872"/>
      <c r="E49" s="872"/>
      <c r="F49" s="872"/>
      <c r="G49" s="872"/>
      <c r="H49" s="872"/>
      <c r="I49" s="872"/>
      <c r="J49" s="872"/>
      <c r="K49" s="872"/>
      <c r="L49" s="872"/>
      <c r="M49" s="872"/>
      <c r="N49" s="872"/>
      <c r="O49" s="872"/>
      <c r="P49" s="872"/>
      <c r="Q49" s="872"/>
      <c r="R49" s="873"/>
    </row>
    <row r="50" spans="3:27">
      <c r="C50" s="820" t="s">
        <v>114</v>
      </c>
      <c r="D50" s="820"/>
      <c r="E50" s="820">
        <f>F28</f>
        <v>260</v>
      </c>
      <c r="F50" s="820"/>
      <c r="G50" s="820"/>
      <c r="I50" s="881" t="s">
        <v>288</v>
      </c>
      <c r="J50" s="881"/>
      <c r="K50" s="862" t="b">
        <f>IF(E50&lt;180,TRUE,FALSE)</f>
        <v>0</v>
      </c>
      <c r="L50" s="862"/>
      <c r="N50" s="981" t="s">
        <v>262</v>
      </c>
      <c r="O50" s="981"/>
      <c r="P50" s="875">
        <f>E51*ABS(SIN(Outils!$F$4*Meridienne!E50))*(IF(K50,1,-1))</f>
        <v>-2.1130913087034959</v>
      </c>
      <c r="Q50" s="876"/>
      <c r="R50" s="879" t="s">
        <v>261</v>
      </c>
    </row>
    <row r="51" spans="3:27">
      <c r="C51" s="586" t="s">
        <v>113</v>
      </c>
      <c r="D51" s="586"/>
      <c r="E51" s="586">
        <f>F32</f>
        <v>5</v>
      </c>
      <c r="F51" s="586"/>
      <c r="G51" s="586"/>
      <c r="I51" s="882"/>
      <c r="J51" s="882"/>
      <c r="K51" s="863"/>
      <c r="L51" s="863"/>
      <c r="N51" s="982"/>
      <c r="O51" s="982"/>
      <c r="P51" s="877"/>
      <c r="Q51" s="878"/>
      <c r="R51" s="880"/>
    </row>
    <row r="54" spans="3:27">
      <c r="C54" s="871" t="s">
        <v>264</v>
      </c>
      <c r="D54" s="872"/>
      <c r="E54" s="872"/>
      <c r="F54" s="872"/>
      <c r="G54" s="872"/>
      <c r="H54" s="872"/>
      <c r="I54" s="872"/>
      <c r="J54" s="872"/>
      <c r="K54" s="883"/>
      <c r="L54" s="883"/>
      <c r="M54" s="883"/>
      <c r="N54" s="883"/>
      <c r="O54" s="884"/>
    </row>
    <row r="55" spans="3:27">
      <c r="C55" s="820" t="s">
        <v>254</v>
      </c>
      <c r="D55" s="820"/>
      <c r="E55" s="820">
        <f>F36</f>
        <v>46.1</v>
      </c>
      <c r="F55" s="820"/>
      <c r="G55" s="820"/>
      <c r="I55" s="983" t="s">
        <v>263</v>
      </c>
      <c r="J55" s="983"/>
      <c r="K55" s="824" t="s">
        <v>74</v>
      </c>
      <c r="L55" s="825">
        <f>$P$50/(60 * COS($E$55*Outils!$F$4))</f>
        <v>-5.0790446523574694E-2</v>
      </c>
      <c r="M55" s="825"/>
      <c r="N55" s="825"/>
      <c r="O55" s="826" t="s">
        <v>265</v>
      </c>
      <c r="P55" s="982" t="str">
        <f>IF(K50,"Vers l'Est","Vers l'Ouest")</f>
        <v>Vers l'Ouest</v>
      </c>
      <c r="Q55" s="982"/>
      <c r="R55" s="982"/>
      <c r="U55" s="984" t="s">
        <v>292</v>
      </c>
      <c r="V55" s="985"/>
      <c r="W55" s="986"/>
      <c r="X55" s="885">
        <f>IF(K50,-1*ABS(L55),ABS(L55))</f>
        <v>5.0790446523574694E-2</v>
      </c>
      <c r="Y55" s="886"/>
      <c r="Z55" s="886"/>
      <c r="AA55" s="867" t="s">
        <v>265</v>
      </c>
    </row>
    <row r="56" spans="3:27">
      <c r="C56" s="586" t="str">
        <f>N50</f>
        <v>VLong.</v>
      </c>
      <c r="D56" s="586"/>
      <c r="E56" s="586">
        <f>P50</f>
        <v>-2.1130913087034959</v>
      </c>
      <c r="F56" s="586"/>
      <c r="G56" s="586"/>
      <c r="I56" s="983"/>
      <c r="J56" s="983"/>
      <c r="K56" s="824"/>
      <c r="L56" s="825"/>
      <c r="M56" s="825"/>
      <c r="N56" s="825"/>
      <c r="O56" s="826"/>
      <c r="P56" s="982"/>
      <c r="Q56" s="982"/>
      <c r="R56" s="982"/>
      <c r="U56" s="987"/>
      <c r="V56" s="988"/>
      <c r="W56" s="989"/>
      <c r="X56" s="887"/>
      <c r="Y56" s="888"/>
      <c r="Z56" s="888"/>
      <c r="AA56" s="868"/>
    </row>
    <row r="59" spans="3:27" ht="18.75" customHeight="1">
      <c r="C59" s="821" t="s">
        <v>291</v>
      </c>
      <c r="D59" s="822"/>
      <c r="E59" s="822"/>
      <c r="F59" s="822"/>
      <c r="G59" s="822"/>
      <c r="H59" s="822"/>
      <c r="I59" s="822"/>
      <c r="J59" s="822"/>
      <c r="K59" s="822"/>
      <c r="L59" s="822"/>
      <c r="M59" s="822"/>
      <c r="N59" s="822"/>
      <c r="O59" s="823"/>
    </row>
    <row r="60" spans="3:27" ht="15" customHeight="1">
      <c r="C60" s="820" t="s">
        <v>182</v>
      </c>
      <c r="D60" s="820"/>
      <c r="E60" s="820">
        <f>F16</f>
        <v>-7.083333333333333</v>
      </c>
      <c r="F60" s="820"/>
      <c r="G60" s="820"/>
      <c r="I60" s="990" t="s">
        <v>269</v>
      </c>
      <c r="J60" s="991"/>
      <c r="K60" s="819">
        <f>longitude2LongitudeHoraire(E60)</f>
        <v>7.083333333333333</v>
      </c>
      <c r="L60" s="819"/>
      <c r="M60" s="819"/>
      <c r="N60" s="819"/>
      <c r="O60" s="126" t="s">
        <v>28</v>
      </c>
    </row>
    <row r="63" spans="3:27">
      <c r="C63" s="866" t="s">
        <v>270</v>
      </c>
      <c r="D63" s="866"/>
      <c r="E63" s="866"/>
      <c r="F63" s="866"/>
      <c r="G63" s="866"/>
      <c r="H63" s="866"/>
      <c r="I63" s="866"/>
      <c r="J63" s="866"/>
      <c r="K63" s="866"/>
      <c r="L63" s="866"/>
      <c r="M63" s="866"/>
      <c r="N63" s="866"/>
      <c r="O63" s="866"/>
    </row>
    <row r="64" spans="3:27" ht="15" customHeight="1" thickBot="1">
      <c r="C64" s="860" t="s">
        <v>290</v>
      </c>
      <c r="D64" s="860"/>
      <c r="E64" s="860"/>
      <c r="F64" s="860"/>
      <c r="G64" s="860"/>
      <c r="H64" s="860"/>
      <c r="I64" s="860"/>
      <c r="J64" s="860"/>
      <c r="K64" s="860"/>
      <c r="L64" s="860"/>
      <c r="M64" s="860"/>
      <c r="N64" s="860"/>
      <c r="O64" s="860"/>
      <c r="P64" s="145" t="s">
        <v>294</v>
      </c>
      <c r="Q64" s="861" t="s">
        <v>293</v>
      </c>
      <c r="R64" s="861"/>
      <c r="S64" s="861"/>
      <c r="T64" s="861"/>
      <c r="U64" s="861"/>
      <c r="V64" s="127">
        <v>15.002000000000001</v>
      </c>
      <c r="W64" s="128" t="s">
        <v>265</v>
      </c>
    </row>
    <row r="65" spans="2:71" ht="15.75" thickTop="1">
      <c r="C65" s="860"/>
      <c r="D65" s="860"/>
      <c r="E65" s="860"/>
      <c r="F65" s="860"/>
      <c r="G65" s="860"/>
      <c r="H65" s="860"/>
      <c r="I65" s="860"/>
      <c r="J65" s="860"/>
      <c r="K65" s="860"/>
      <c r="L65" s="860"/>
      <c r="M65" s="860"/>
      <c r="N65" s="860"/>
      <c r="O65" s="860"/>
    </row>
    <row r="66" spans="2:71">
      <c r="C66" s="860"/>
      <c r="D66" s="860"/>
      <c r="E66" s="860"/>
      <c r="F66" s="860"/>
      <c r="G66" s="860"/>
      <c r="H66" s="860"/>
      <c r="I66" s="860"/>
      <c r="J66" s="860"/>
      <c r="K66" s="860"/>
      <c r="L66" s="860"/>
      <c r="M66" s="860"/>
      <c r="N66" s="860"/>
      <c r="O66" s="860"/>
    </row>
    <row r="70" spans="2:71" ht="15" customHeight="1">
      <c r="H70" s="897" t="s">
        <v>295</v>
      </c>
      <c r="I70" s="897"/>
      <c r="J70" s="897"/>
      <c r="K70" s="897"/>
      <c r="L70" s="897"/>
      <c r="M70" s="897"/>
      <c r="N70" s="897"/>
      <c r="O70" s="897"/>
      <c r="P70" s="897"/>
      <c r="Q70" s="897"/>
      <c r="R70" s="897"/>
      <c r="S70" s="897"/>
      <c r="T70" s="897"/>
      <c r="U70" s="897"/>
      <c r="V70" s="855">
        <f>$K$60/($V$64-$L$55)</f>
        <v>0.47056612915044072</v>
      </c>
      <c r="W70" s="855"/>
      <c r="X70" s="855" t="s">
        <v>280</v>
      </c>
    </row>
    <row r="71" spans="2:71">
      <c r="H71" s="897"/>
      <c r="I71" s="897"/>
      <c r="J71" s="897"/>
      <c r="K71" s="897"/>
      <c r="L71" s="897"/>
      <c r="M71" s="897"/>
      <c r="N71" s="897"/>
      <c r="O71" s="897"/>
      <c r="P71" s="897"/>
      <c r="Q71" s="897"/>
      <c r="R71" s="897"/>
      <c r="S71" s="897"/>
      <c r="T71" s="897"/>
      <c r="U71" s="897"/>
      <c r="V71" s="855"/>
      <c r="W71" s="855"/>
      <c r="X71" s="856"/>
    </row>
    <row r="72" spans="2:71">
      <c r="H72" s="815" t="s">
        <v>296</v>
      </c>
      <c r="I72" s="815"/>
      <c r="J72" s="815"/>
      <c r="K72" s="815"/>
      <c r="L72" s="815"/>
      <c r="M72" s="815"/>
      <c r="N72" s="815"/>
      <c r="O72" s="815"/>
      <c r="P72" s="815"/>
      <c r="Q72" s="815"/>
      <c r="R72" s="815"/>
      <c r="S72" s="815"/>
      <c r="T72" s="815"/>
      <c r="U72" s="815"/>
      <c r="V72" s="857">
        <f>F43+V70</f>
        <v>12.522232795817109</v>
      </c>
      <c r="W72" s="859"/>
      <c r="X72" s="992" t="str">
        <f>heureDecimal2Txt(V72)</f>
        <v>12:31:20.03(12.5222)</v>
      </c>
      <c r="Y72" s="993"/>
      <c r="Z72" s="993"/>
      <c r="AA72" s="993"/>
      <c r="AB72" s="993"/>
      <c r="AC72" s="993"/>
    </row>
    <row r="73" spans="2:71">
      <c r="H73" s="815"/>
      <c r="I73" s="815"/>
      <c r="J73" s="815"/>
      <c r="K73" s="815"/>
      <c r="L73" s="815"/>
      <c r="M73" s="815"/>
      <c r="N73" s="815"/>
      <c r="O73" s="815"/>
      <c r="P73" s="815"/>
      <c r="Q73" s="815"/>
      <c r="R73" s="815"/>
      <c r="S73" s="815"/>
      <c r="T73" s="815"/>
      <c r="U73" s="815"/>
      <c r="V73" s="859"/>
      <c r="W73" s="859"/>
      <c r="X73" s="992"/>
      <c r="Y73" s="993"/>
      <c r="Z73" s="993"/>
      <c r="AA73" s="993"/>
      <c r="AB73" s="993"/>
      <c r="AC73" s="993"/>
    </row>
    <row r="74" spans="2:71">
      <c r="H74" s="897" t="s">
        <v>297</v>
      </c>
      <c r="I74" s="897"/>
      <c r="J74" s="897"/>
      <c r="K74" s="897"/>
      <c r="L74" s="897"/>
      <c r="M74" s="897"/>
      <c r="N74" s="897"/>
      <c r="O74" s="897"/>
      <c r="P74" s="897"/>
      <c r="Q74" s="897"/>
      <c r="R74" s="897"/>
      <c r="S74" s="897"/>
      <c r="T74" s="897"/>
      <c r="U74" s="897"/>
      <c r="V74" s="894">
        <f>V72-F21</f>
        <v>2.1819550180393303</v>
      </c>
      <c r="W74" s="855"/>
      <c r="X74" s="855" t="s">
        <v>280</v>
      </c>
    </row>
    <row r="75" spans="2:71">
      <c r="H75" s="897"/>
      <c r="I75" s="897"/>
      <c r="J75" s="897"/>
      <c r="K75" s="897"/>
      <c r="L75" s="897"/>
      <c r="M75" s="897"/>
      <c r="N75" s="897"/>
      <c r="O75" s="897"/>
      <c r="P75" s="897"/>
      <c r="Q75" s="897"/>
      <c r="R75" s="897"/>
      <c r="S75" s="897"/>
      <c r="T75" s="897"/>
      <c r="U75" s="897"/>
      <c r="V75" s="855"/>
      <c r="W75" s="855"/>
      <c r="X75" s="856"/>
    </row>
    <row r="76" spans="2:71">
      <c r="H76" s="815" t="s">
        <v>301</v>
      </c>
      <c r="I76" s="815"/>
      <c r="J76" s="815"/>
      <c r="K76" s="815"/>
      <c r="L76" s="815"/>
      <c r="M76" s="815"/>
      <c r="N76" s="815"/>
      <c r="O76" s="815"/>
      <c r="P76" s="815"/>
      <c r="Q76" s="815"/>
      <c r="R76" s="815"/>
      <c r="S76" s="815"/>
      <c r="T76" s="815"/>
      <c r="U76" s="815"/>
      <c r="V76" s="857">
        <f>V74*E51</f>
        <v>10.909775090196652</v>
      </c>
      <c r="W76" s="859"/>
      <c r="X76" s="994" t="s">
        <v>112</v>
      </c>
    </row>
    <row r="77" spans="2:71">
      <c r="H77" s="815"/>
      <c r="I77" s="815"/>
      <c r="J77" s="815"/>
      <c r="K77" s="815"/>
      <c r="L77" s="815"/>
      <c r="M77" s="815"/>
      <c r="N77" s="815"/>
      <c r="O77" s="815"/>
      <c r="P77" s="815"/>
      <c r="Q77" s="815"/>
      <c r="R77" s="815"/>
      <c r="S77" s="815"/>
      <c r="T77" s="815"/>
      <c r="U77" s="815"/>
      <c r="V77" s="859"/>
      <c r="W77" s="859"/>
      <c r="X77" s="995"/>
    </row>
    <row r="79" spans="2:71" ht="15.75" thickBot="1"/>
    <row r="80" spans="2:71" s="16" customFormat="1" ht="17.25" customHeight="1" thickBot="1">
      <c r="B80" s="151" t="s">
        <v>312</v>
      </c>
      <c r="C80" s="152"/>
      <c r="D80" s="152"/>
      <c r="E80" s="152"/>
      <c r="F80" s="152"/>
      <c r="G80" s="152"/>
      <c r="H80" s="152"/>
      <c r="I80" s="152"/>
      <c r="J80" s="152"/>
      <c r="K80" s="152"/>
      <c r="L80" s="152"/>
      <c r="M80" s="152"/>
      <c r="N80" s="152"/>
      <c r="O80" s="152"/>
      <c r="P80" s="152"/>
      <c r="Q80" s="152"/>
      <c r="R80" s="152"/>
      <c r="S80" s="152"/>
      <c r="T80" s="152"/>
      <c r="U80" s="150"/>
      <c r="V80" s="150"/>
      <c r="W80" s="150"/>
      <c r="X80" s="150"/>
      <c r="Y80" s="150"/>
      <c r="Z80" s="150"/>
      <c r="AA80" s="150"/>
      <c r="AB80" s="168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 s="94"/>
      <c r="AU80" s="94"/>
      <c r="AV80" s="94"/>
      <c r="AW80" s="94"/>
      <c r="AX80" s="94"/>
      <c r="AY80" s="94"/>
      <c r="AZ80" s="94"/>
      <c r="BA80" s="94"/>
      <c r="BB80" s="94"/>
      <c r="BC80" s="94"/>
      <c r="BD80" s="94"/>
      <c r="BE80" s="94"/>
      <c r="BF80" s="94"/>
      <c r="BG80" s="94"/>
      <c r="BH80" s="94"/>
      <c r="BI80" s="94"/>
      <c r="BJ80" s="94"/>
      <c r="BK80" s="94"/>
      <c r="BL80" s="94"/>
      <c r="BM80" s="94"/>
      <c r="BN80" s="94"/>
      <c r="BO80" s="94"/>
      <c r="BP80" s="94"/>
      <c r="BQ80" s="94"/>
      <c r="BR80" s="94"/>
      <c r="BS80" s="94"/>
    </row>
    <row r="81" spans="1:74" s="16" customFormat="1" ht="17.25" customHeight="1">
      <c r="C81" s="96"/>
      <c r="D81" s="97"/>
      <c r="E81" s="1023" t="s">
        <v>60</v>
      </c>
      <c r="F81" s="1024"/>
      <c r="G81" s="1065" t="s">
        <v>2</v>
      </c>
      <c r="H81" s="1066"/>
      <c r="I81" s="1066"/>
      <c r="J81" s="636" t="s">
        <v>244</v>
      </c>
      <c r="K81" s="636"/>
      <c r="L81" s="636"/>
      <c r="M81" s="1055" t="s">
        <v>314</v>
      </c>
      <c r="N81" s="1056"/>
      <c r="O81" s="1056"/>
      <c r="P81" s="1057"/>
      <c r="Q81" s="1055" t="s">
        <v>313</v>
      </c>
      <c r="R81" s="1056"/>
      <c r="S81" s="1056"/>
      <c r="T81" s="1057"/>
      <c r="U81" s="1061" t="s">
        <v>131</v>
      </c>
      <c r="V81" s="1061"/>
      <c r="W81" s="1061"/>
      <c r="X81" s="1062" t="s">
        <v>315</v>
      </c>
      <c r="Y81" s="1063"/>
      <c r="Z81" s="1063"/>
      <c r="AA81" s="1064"/>
      <c r="AB81" s="169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 s="94"/>
      <c r="AU81" s="94"/>
      <c r="AV81" s="94"/>
      <c r="AW81" s="94"/>
      <c r="AX81" s="94"/>
      <c r="AY81" s="94"/>
      <c r="AZ81" s="94"/>
      <c r="BA81" s="94"/>
      <c r="BB81" s="94"/>
      <c r="BC81" s="94"/>
      <c r="BD81" s="94"/>
      <c r="BE81" s="94"/>
      <c r="BF81" s="94"/>
      <c r="BG81" s="94"/>
      <c r="BH81" s="94"/>
      <c r="BI81" s="94"/>
      <c r="BJ81" s="94"/>
      <c r="BK81" s="94"/>
      <c r="BL81" s="94"/>
      <c r="BM81" s="94"/>
      <c r="BN81" s="94"/>
      <c r="BO81" s="94"/>
      <c r="BP81" s="94"/>
      <c r="BQ81" s="94"/>
      <c r="BR81" s="94"/>
      <c r="BS81" s="94"/>
    </row>
    <row r="82" spans="1:74" s="16" customFormat="1" ht="17.25" customHeight="1" thickBot="1">
      <c r="C82" s="98"/>
      <c r="D82" s="99"/>
      <c r="E82" s="504"/>
      <c r="F82" s="506"/>
      <c r="G82" s="1067"/>
      <c r="H82" s="1068"/>
      <c r="I82" s="1068"/>
      <c r="J82" s="636"/>
      <c r="K82" s="636"/>
      <c r="L82" s="636"/>
      <c r="M82" s="1058"/>
      <c r="N82" s="1059"/>
      <c r="O82" s="1059"/>
      <c r="P82" s="1060"/>
      <c r="Q82" s="1058"/>
      <c r="R82" s="1059"/>
      <c r="S82" s="1059"/>
      <c r="T82" s="1060"/>
      <c r="U82" s="1061"/>
      <c r="V82" s="1061"/>
      <c r="W82" s="1061"/>
      <c r="X82" s="1058"/>
      <c r="Y82" s="1059"/>
      <c r="Z82" s="1059"/>
      <c r="AA82" s="1060"/>
      <c r="AB82" s="169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</row>
    <row r="83" spans="1:74" s="94" customFormat="1" ht="17.25" customHeight="1" thickTop="1" thickBot="1">
      <c r="A83" s="16"/>
      <c r="B83" s="16"/>
      <c r="C83" s="158" t="s">
        <v>215</v>
      </c>
      <c r="D83" s="159"/>
      <c r="E83" s="996" t="s">
        <v>225</v>
      </c>
      <c r="F83" s="997"/>
      <c r="G83" s="1000" t="str">
        <f>heureDecimal2Txt(AC83)</f>
        <v>10:30:50.00(10.5138)</v>
      </c>
      <c r="H83" s="1001"/>
      <c r="I83" s="1002"/>
      <c r="J83" s="1003" t="s">
        <v>235</v>
      </c>
      <c r="K83" s="1004"/>
      <c r="L83" s="1004"/>
      <c r="M83" s="1004">
        <v>0</v>
      </c>
      <c r="N83" s="1004"/>
      <c r="O83" s="1004"/>
      <c r="P83" s="1004"/>
      <c r="Q83" s="1005">
        <v>2</v>
      </c>
      <c r="R83" s="1005"/>
      <c r="S83" s="1005"/>
      <c r="T83" s="1005"/>
      <c r="U83" s="1006" t="s">
        <v>316</v>
      </c>
      <c r="V83" s="1007"/>
      <c r="W83" s="1007"/>
      <c r="X83" s="1008" t="str">
        <f>heureDecimal2Txt(AH83)</f>
        <v>02:00:30.03(02.0083)</v>
      </c>
      <c r="Y83" s="1008"/>
      <c r="Z83" s="1008"/>
      <c r="AA83" s="1008"/>
      <c r="AB83" s="170"/>
      <c r="AC83" s="129">
        <f>AD83+(AE83+AF83+AG83)/3600</f>
        <v>10.513888888888889</v>
      </c>
      <c r="AD83" s="3">
        <f>heureConvert2Decimal(J83)</f>
        <v>10.340277777777779</v>
      </c>
      <c r="AE83" s="160">
        <f>M83*3600</f>
        <v>0</v>
      </c>
      <c r="AF83" s="67">
        <f>Q83</f>
        <v>2</v>
      </c>
      <c r="AG83" s="3">
        <f>heureConvert2Decimal(U83)*60</f>
        <v>623</v>
      </c>
      <c r="AH83" s="5">
        <f>$V$72-AC83</f>
        <v>2.0083439069282196</v>
      </c>
      <c r="AI83" s="3"/>
      <c r="AJ83" s="3"/>
      <c r="AK83"/>
      <c r="AL83"/>
      <c r="AM83"/>
      <c r="AN83"/>
      <c r="AO83"/>
      <c r="AP83"/>
      <c r="AQ83"/>
      <c r="AR83"/>
      <c r="AS83"/>
      <c r="BU83" s="16"/>
      <c r="BV83" s="16"/>
    </row>
    <row r="84" spans="1:74" s="94" customFormat="1" ht="17.25" customHeight="1" thickTop="1" thickBot="1">
      <c r="C84" s="154" t="s">
        <v>217</v>
      </c>
      <c r="D84" s="155"/>
      <c r="E84" s="996" t="s">
        <v>325</v>
      </c>
      <c r="F84" s="997"/>
      <c r="G84" s="1000" t="str">
        <f>heureDecimal2Txt(AC84)</f>
        <v>10:45:50.00(10.7638)</v>
      </c>
      <c r="H84" s="1001"/>
      <c r="I84" s="1002"/>
      <c r="J84" s="1003" t="s">
        <v>319</v>
      </c>
      <c r="K84" s="1004"/>
      <c r="L84" s="1004"/>
      <c r="M84" s="1004">
        <v>0</v>
      </c>
      <c r="N84" s="1004"/>
      <c r="O84" s="1004"/>
      <c r="P84" s="1004"/>
      <c r="Q84" s="1005">
        <v>2</v>
      </c>
      <c r="R84" s="1005"/>
      <c r="S84" s="1005"/>
      <c r="T84" s="1005"/>
      <c r="U84" s="1006" t="s">
        <v>316</v>
      </c>
      <c r="V84" s="1007"/>
      <c r="W84" s="1007"/>
      <c r="X84" s="1008" t="str">
        <f t="shared" ref="X84:X87" si="0">heureDecimal2Txt(AH84)</f>
        <v>01:45:30.03(01.7583)</v>
      </c>
      <c r="Y84" s="1008"/>
      <c r="Z84" s="1008"/>
      <c r="AA84" s="1008"/>
      <c r="AB84" s="170"/>
      <c r="AC84" s="129">
        <f>AD84+(AE84+AF84+AG84)/3600</f>
        <v>10.763888888888889</v>
      </c>
      <c r="AD84" s="3">
        <f>heureConvert2Decimal(J84)</f>
        <v>10.590277777777779</v>
      </c>
      <c r="AE84" s="160">
        <f>M84*3600</f>
        <v>0</v>
      </c>
      <c r="AF84" s="67">
        <f>Q84</f>
        <v>2</v>
      </c>
      <c r="AG84" s="3">
        <f>heureConvert2Decimal(U84)*60</f>
        <v>623</v>
      </c>
      <c r="AH84" s="5">
        <f t="shared" ref="AH84:AH87" si="1">$V$72-AC84</f>
        <v>1.7583439069282196</v>
      </c>
      <c r="AI84" s="3"/>
      <c r="AJ84" s="3"/>
      <c r="AK84"/>
      <c r="AL84"/>
      <c r="AM84"/>
      <c r="AN84"/>
      <c r="AO84"/>
      <c r="AP84"/>
      <c r="AQ84"/>
      <c r="AR84"/>
      <c r="AS84"/>
    </row>
    <row r="85" spans="1:74" s="94" customFormat="1" ht="17.25" customHeight="1" thickTop="1" thickBot="1">
      <c r="C85" s="154" t="s">
        <v>219</v>
      </c>
      <c r="D85" s="155"/>
      <c r="E85" s="996" t="s">
        <v>326</v>
      </c>
      <c r="F85" s="997"/>
      <c r="G85" s="1000" t="str">
        <f>heureDecimal2Txt(AC85)</f>
        <v>11:04:50.00(11.0805)</v>
      </c>
      <c r="H85" s="1001"/>
      <c r="I85" s="1002"/>
      <c r="J85" s="1003" t="s">
        <v>320</v>
      </c>
      <c r="K85" s="1004"/>
      <c r="L85" s="1004"/>
      <c r="M85" s="1004">
        <v>0</v>
      </c>
      <c r="N85" s="1004"/>
      <c r="O85" s="1004"/>
      <c r="P85" s="1004"/>
      <c r="Q85" s="1005">
        <v>2</v>
      </c>
      <c r="R85" s="1005"/>
      <c r="S85" s="1005"/>
      <c r="T85" s="1005"/>
      <c r="U85" s="1006" t="s">
        <v>316</v>
      </c>
      <c r="V85" s="1007"/>
      <c r="W85" s="1007"/>
      <c r="X85" s="1008" t="str">
        <f t="shared" si="0"/>
        <v>01:26:30.03(01.4416)</v>
      </c>
      <c r="Y85" s="1008"/>
      <c r="Z85" s="1008"/>
      <c r="AA85" s="1008"/>
      <c r="AB85" s="170"/>
      <c r="AC85" s="129">
        <f>AD85+(AE85+AF85+AG85)/3600</f>
        <v>11.080555555555556</v>
      </c>
      <c r="AD85" s="3">
        <f>heureConvert2Decimal(J85)</f>
        <v>10.906944444444445</v>
      </c>
      <c r="AE85" s="160">
        <f>M85*3600</f>
        <v>0</v>
      </c>
      <c r="AF85" s="67">
        <f>Q85</f>
        <v>2</v>
      </c>
      <c r="AG85" s="3">
        <f>heureConvert2Decimal(U85)*60</f>
        <v>623</v>
      </c>
      <c r="AH85" s="5">
        <f t="shared" si="1"/>
        <v>1.4416772402615532</v>
      </c>
      <c r="AI85" s="3"/>
      <c r="AJ85" s="3"/>
      <c r="AK85"/>
      <c r="AL85"/>
      <c r="AM85"/>
      <c r="AN85"/>
      <c r="AO85"/>
      <c r="AP85"/>
      <c r="AQ85"/>
      <c r="AR85"/>
      <c r="AS85"/>
    </row>
    <row r="86" spans="1:74" s="94" customFormat="1" ht="17.25" customHeight="1" thickTop="1" thickBot="1">
      <c r="C86" s="154" t="s">
        <v>221</v>
      </c>
      <c r="D86" s="155"/>
      <c r="E86" s="996" t="s">
        <v>327</v>
      </c>
      <c r="F86" s="997"/>
      <c r="G86" s="1000" t="str">
        <f>heureDecimal2Txt(AC86)</f>
        <v>11:20:50.00(11.3472)</v>
      </c>
      <c r="H86" s="1001"/>
      <c r="I86" s="1002"/>
      <c r="J86" s="1003" t="s">
        <v>321</v>
      </c>
      <c r="K86" s="1004"/>
      <c r="L86" s="1004"/>
      <c r="M86" s="1004">
        <v>0</v>
      </c>
      <c r="N86" s="1004"/>
      <c r="O86" s="1004"/>
      <c r="P86" s="1004"/>
      <c r="Q86" s="1005">
        <v>2</v>
      </c>
      <c r="R86" s="1005"/>
      <c r="S86" s="1005"/>
      <c r="T86" s="1005"/>
      <c r="U86" s="1006" t="s">
        <v>316</v>
      </c>
      <c r="V86" s="1007"/>
      <c r="W86" s="1007"/>
      <c r="X86" s="1008" t="str">
        <f t="shared" si="0"/>
        <v>01:10:30.03(01.1750)</v>
      </c>
      <c r="Y86" s="1008"/>
      <c r="Z86" s="1008"/>
      <c r="AA86" s="1008"/>
      <c r="AB86" s="170"/>
      <c r="AC86" s="129">
        <f>AD86+(AE86+AF86+AG86)/3600</f>
        <v>11.347222222222221</v>
      </c>
      <c r="AD86" s="3">
        <f>heureConvert2Decimal(J86)</f>
        <v>11.173611111111111</v>
      </c>
      <c r="AE86" s="160">
        <f>M86*3600</f>
        <v>0</v>
      </c>
      <c r="AF86" s="67">
        <f>Q86</f>
        <v>2</v>
      </c>
      <c r="AG86" s="3">
        <f>heureConvert2Decimal(U86)*60</f>
        <v>623</v>
      </c>
      <c r="AH86" s="5">
        <f t="shared" si="1"/>
        <v>1.1750105735948875</v>
      </c>
      <c r="AI86" s="3"/>
      <c r="AJ86" s="3"/>
      <c r="AK86"/>
      <c r="AL86"/>
      <c r="AM86"/>
      <c r="AN86"/>
      <c r="AO86"/>
      <c r="AP86"/>
      <c r="AQ86"/>
      <c r="AR86"/>
      <c r="AS86"/>
    </row>
    <row r="87" spans="1:74" s="94" customFormat="1" ht="17.25" customHeight="1" thickTop="1">
      <c r="C87" s="173" t="s">
        <v>223</v>
      </c>
      <c r="D87" s="174"/>
      <c r="E87" s="1035" t="s">
        <v>328</v>
      </c>
      <c r="F87" s="1036"/>
      <c r="G87" s="1037" t="str">
        <f>heureDecimal2Txt(AC87)</f>
        <v>12:20:50.00(12.3472)</v>
      </c>
      <c r="H87" s="1038"/>
      <c r="I87" s="1039"/>
      <c r="J87" s="1040" t="s">
        <v>322</v>
      </c>
      <c r="K87" s="1041"/>
      <c r="L87" s="1041"/>
      <c r="M87" s="1041">
        <v>0</v>
      </c>
      <c r="N87" s="1041"/>
      <c r="O87" s="1041"/>
      <c r="P87" s="1041"/>
      <c r="Q87" s="1042">
        <v>2</v>
      </c>
      <c r="R87" s="1042"/>
      <c r="S87" s="1042"/>
      <c r="T87" s="1042"/>
      <c r="U87" s="1045" t="s">
        <v>316</v>
      </c>
      <c r="V87" s="1046"/>
      <c r="W87" s="1046"/>
      <c r="X87" s="1047" t="str">
        <f t="shared" si="0"/>
        <v>00:10:30.03(00.1750)</v>
      </c>
      <c r="Y87" s="1047"/>
      <c r="Z87" s="1047"/>
      <c r="AA87" s="1047"/>
      <c r="AB87" s="170"/>
      <c r="AC87" s="175">
        <f>AD87+(AE87+AF87+AG87)/3600</f>
        <v>12.347222222222221</v>
      </c>
      <c r="AD87" s="176">
        <f>heureConvert2Decimal(J87)</f>
        <v>12.173611111111111</v>
      </c>
      <c r="AE87" s="177">
        <f>M87*3600</f>
        <v>0</v>
      </c>
      <c r="AF87" s="178">
        <f>Q87</f>
        <v>2</v>
      </c>
      <c r="AG87" s="176">
        <f>heureConvert2Decimal(U87)*60</f>
        <v>623</v>
      </c>
      <c r="AH87" s="182">
        <f t="shared" si="1"/>
        <v>0.17501057359488748</v>
      </c>
      <c r="AI87" s="176"/>
      <c r="AJ87" s="176"/>
      <c r="AK87"/>
      <c r="AL87"/>
      <c r="AM87"/>
      <c r="AN87"/>
      <c r="AO87"/>
      <c r="AP87"/>
      <c r="AQ87"/>
      <c r="AR87"/>
      <c r="AS87"/>
    </row>
    <row r="88" spans="1:74" s="8" customFormat="1" ht="15.75" customHeight="1">
      <c r="B88" s="973" t="str">
        <f>CONCATENATE(" C U L M I N A T I O N vers ", " ------  &gt;&gt;&gt;&gt; ", X72, "&lt;&lt;&lt;&lt; -------" )</f>
        <v xml:space="preserve"> C U L M I N A T I O N vers  ------  &gt;&gt;&gt;&gt; 12:31:20.03(12.5222)&lt;&lt;&lt;&lt; -------</v>
      </c>
      <c r="C88" s="973"/>
      <c r="D88" s="973"/>
      <c r="E88" s="973"/>
      <c r="F88" s="973"/>
      <c r="G88" s="973"/>
      <c r="H88" s="973"/>
      <c r="I88" s="973"/>
      <c r="J88" s="973"/>
      <c r="K88" s="973"/>
      <c r="L88" s="973"/>
      <c r="M88" s="973"/>
      <c r="N88" s="973"/>
      <c r="O88" s="973"/>
      <c r="P88" s="973"/>
      <c r="Q88" s="973"/>
      <c r="R88" s="973"/>
      <c r="S88" s="973"/>
      <c r="T88" s="973"/>
      <c r="U88" s="973"/>
      <c r="V88" s="973"/>
      <c r="W88" s="973"/>
      <c r="X88" s="973"/>
      <c r="Y88" s="973"/>
      <c r="Z88" s="973"/>
      <c r="AA88" s="973"/>
      <c r="AB88" s="973"/>
      <c r="AC88" s="973"/>
      <c r="AD88" s="973"/>
      <c r="AE88" s="973"/>
      <c r="AF88" s="973"/>
      <c r="AG88" s="973"/>
      <c r="AH88" s="973"/>
      <c r="AI88" s="973"/>
      <c r="AJ88" s="973"/>
    </row>
    <row r="89" spans="1:74" s="8" customFormat="1" ht="15.75" customHeight="1">
      <c r="B89" s="973"/>
      <c r="C89" s="973"/>
      <c r="D89" s="973"/>
      <c r="E89" s="973"/>
      <c r="F89" s="973"/>
      <c r="G89" s="973"/>
      <c r="H89" s="973"/>
      <c r="I89" s="973"/>
      <c r="J89" s="973"/>
      <c r="K89" s="973"/>
      <c r="L89" s="973"/>
      <c r="M89" s="973"/>
      <c r="N89" s="973"/>
      <c r="O89" s="973"/>
      <c r="P89" s="973"/>
      <c r="Q89" s="973"/>
      <c r="R89" s="973"/>
      <c r="S89" s="973"/>
      <c r="T89" s="973"/>
      <c r="U89" s="973"/>
      <c r="V89" s="973"/>
      <c r="W89" s="973"/>
      <c r="X89" s="973"/>
      <c r="Y89" s="973"/>
      <c r="Z89" s="973"/>
      <c r="AA89" s="973"/>
      <c r="AB89" s="973"/>
      <c r="AC89" s="973"/>
      <c r="AD89" s="973"/>
      <c r="AE89" s="973"/>
      <c r="AF89" s="973"/>
      <c r="AG89" s="973"/>
      <c r="AH89" s="973"/>
      <c r="AI89" s="973"/>
      <c r="AJ89" s="973"/>
    </row>
    <row r="90" spans="1:74" s="94" customFormat="1" ht="18" customHeight="1">
      <c r="C90" s="96"/>
      <c r="D90" s="97"/>
      <c r="E90" s="998" t="s">
        <v>317</v>
      </c>
      <c r="F90" s="998"/>
      <c r="G90" s="1033" t="s">
        <v>318</v>
      </c>
      <c r="H90" s="1033"/>
      <c r="I90" s="1033"/>
      <c r="J90" s="969" t="s">
        <v>340</v>
      </c>
      <c r="K90" s="970"/>
      <c r="L90" s="970"/>
      <c r="M90" s="970"/>
      <c r="N90" s="970"/>
      <c r="O90" s="970"/>
      <c r="P90" s="970"/>
      <c r="Q90" s="970"/>
      <c r="R90" s="970"/>
      <c r="S90" s="970"/>
      <c r="T90" s="970"/>
      <c r="U90" s="970"/>
      <c r="V90" s="970"/>
      <c r="W90" s="970"/>
      <c r="X90" s="970"/>
      <c r="Y90" s="970"/>
      <c r="Z90" s="971"/>
      <c r="AA90" s="1043" t="s">
        <v>323</v>
      </c>
      <c r="AB90" s="156"/>
      <c r="AC90" t="s">
        <v>324</v>
      </c>
      <c r="AD90" t="s">
        <v>3</v>
      </c>
      <c r="AE90" t="s">
        <v>339</v>
      </c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</row>
    <row r="91" spans="1:74" s="94" customFormat="1" ht="24" customHeight="1">
      <c r="C91" s="98"/>
      <c r="D91" s="99"/>
      <c r="E91" s="999"/>
      <c r="F91" s="999"/>
      <c r="G91" s="1034"/>
      <c r="H91" s="1034"/>
      <c r="I91" s="1034"/>
      <c r="J91" s="972" t="s">
        <v>329</v>
      </c>
      <c r="K91" s="972"/>
      <c r="L91" s="972"/>
      <c r="M91" s="965" t="s">
        <v>244</v>
      </c>
      <c r="N91" s="965"/>
      <c r="O91" s="965"/>
      <c r="P91" s="968" t="s">
        <v>314</v>
      </c>
      <c r="Q91" s="968"/>
      <c r="R91" s="968"/>
      <c r="S91" s="968"/>
      <c r="T91" s="968" t="s">
        <v>313</v>
      </c>
      <c r="U91" s="968"/>
      <c r="V91" s="968"/>
      <c r="W91" s="968"/>
      <c r="X91" s="968" t="s">
        <v>131</v>
      </c>
      <c r="Y91" s="968"/>
      <c r="Z91" s="968"/>
      <c r="AA91" s="1044"/>
      <c r="AB91" s="157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</row>
    <row r="92" spans="1:74" s="94" customFormat="1" ht="17.25" customHeight="1" thickBot="1">
      <c r="C92" s="1029" t="s">
        <v>224</v>
      </c>
      <c r="D92" s="1029"/>
      <c r="E92" s="1030" t="str">
        <f>E87</f>
        <v>6°54</v>
      </c>
      <c r="F92" s="1031"/>
      <c r="G92" s="1032" t="str">
        <f>heureDecimal2Txt(AC92)</f>
        <v>12:41:50.07(12.6972)</v>
      </c>
      <c r="H92" s="1032"/>
      <c r="I92" s="1032"/>
      <c r="J92" s="1048" t="str">
        <f>heureDecimal2Txt(AD92)</f>
        <v>13:00:25.00(13.0069)</v>
      </c>
      <c r="K92" s="1048"/>
      <c r="L92" s="1049"/>
      <c r="M92" s="1050" t="s">
        <v>337</v>
      </c>
      <c r="N92" s="1051"/>
      <c r="O92" s="1051"/>
      <c r="P92" s="1051">
        <v>0</v>
      </c>
      <c r="Q92" s="1051"/>
      <c r="R92" s="1051"/>
      <c r="S92" s="1051"/>
      <c r="T92" s="1052">
        <v>2</v>
      </c>
      <c r="U92" s="1052"/>
      <c r="V92" s="1052"/>
      <c r="W92" s="1052"/>
      <c r="X92" s="1053" t="s">
        <v>316</v>
      </c>
      <c r="Y92" s="1054"/>
      <c r="Z92" s="1054"/>
      <c r="AA92" s="179" t="s">
        <v>324</v>
      </c>
      <c r="AB92" s="180"/>
      <c r="AC92">
        <f>AC87+2*AH87</f>
        <v>12.697243369411996</v>
      </c>
      <c r="AD92" s="129">
        <f>AE92+(AF92+AG92+AH92)/3600</f>
        <v>13.006944444444445</v>
      </c>
      <c r="AE92" s="3">
        <f>heureConvert2Decimal(M92)</f>
        <v>12.833333333333334</v>
      </c>
      <c r="AF92" s="160">
        <f>P92*3600</f>
        <v>0</v>
      </c>
      <c r="AG92" s="67">
        <f>T92</f>
        <v>2</v>
      </c>
      <c r="AH92" s="3">
        <f>heureConvert2Decimal(X92)*60</f>
        <v>623</v>
      </c>
      <c r="AI92" s="5"/>
      <c r="AJ92"/>
      <c r="AK92"/>
      <c r="AL92"/>
      <c r="AM92"/>
      <c r="AN92"/>
      <c r="AO92"/>
      <c r="AP92"/>
      <c r="AQ92"/>
      <c r="AR92"/>
      <c r="AS92"/>
      <c r="AT92"/>
      <c r="AU92"/>
      <c r="AV92"/>
    </row>
    <row r="93" spans="1:74" s="94" customFormat="1" ht="17.25" customHeight="1" thickTop="1" thickBot="1">
      <c r="C93" s="1029" t="s">
        <v>222</v>
      </c>
      <c r="D93" s="1029"/>
      <c r="E93" s="1030" t="str">
        <f>E86</f>
        <v>5°54</v>
      </c>
      <c r="F93" s="1031"/>
      <c r="G93" s="1032" t="str">
        <f>heureDecimal2Txt(AC93)</f>
        <v>13:41:50.07(13.6972)</v>
      </c>
      <c r="H93" s="1032"/>
      <c r="I93" s="1032"/>
      <c r="J93" s="1001" t="str">
        <f t="shared" ref="J93:J96" si="2">heureDecimal2Txt(AD93)</f>
        <v>13:50:25.00(13.8402)</v>
      </c>
      <c r="K93" s="1001"/>
      <c r="L93" s="1002"/>
      <c r="M93" s="1003" t="s">
        <v>336</v>
      </c>
      <c r="N93" s="1004"/>
      <c r="O93" s="1004"/>
      <c r="P93" s="1004">
        <v>0</v>
      </c>
      <c r="Q93" s="1004"/>
      <c r="R93" s="1004"/>
      <c r="S93" s="1004"/>
      <c r="T93" s="1005">
        <v>2</v>
      </c>
      <c r="U93" s="1005"/>
      <c r="V93" s="1005"/>
      <c r="W93" s="1005"/>
      <c r="X93" s="1006" t="s">
        <v>316</v>
      </c>
      <c r="Y93" s="1007"/>
      <c r="Z93" s="1007"/>
      <c r="AA93" s="179" t="s">
        <v>339</v>
      </c>
      <c r="AB93" s="180"/>
      <c r="AC93">
        <f>AC86+2*AH86</f>
        <v>13.697243369411996</v>
      </c>
      <c r="AD93" s="129">
        <f>AE93+(AF93+AG93+AH93)/3600</f>
        <v>13.840277777777777</v>
      </c>
      <c r="AE93" s="3">
        <f>heureConvert2Decimal(M93)</f>
        <v>13.666666666666666</v>
      </c>
      <c r="AF93" s="160">
        <f>P93*3600</f>
        <v>0</v>
      </c>
      <c r="AG93" s="67">
        <f>T93</f>
        <v>2</v>
      </c>
      <c r="AH93" s="3">
        <f>heureConvert2Decimal(X93)*60</f>
        <v>623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</row>
    <row r="94" spans="1:74" s="94" customFormat="1" ht="17.25" customHeight="1" thickTop="1" thickBot="1">
      <c r="C94" s="1029" t="s">
        <v>220</v>
      </c>
      <c r="D94" s="1029"/>
      <c r="E94" s="1030" t="str">
        <f>E85</f>
        <v>4°54</v>
      </c>
      <c r="F94" s="1031"/>
      <c r="G94" s="1032" t="str">
        <f t="shared" ref="G94:G96" si="3">heureDecimal2Txt(AC94)</f>
        <v>13:57:50.07(13.9639)</v>
      </c>
      <c r="H94" s="1032"/>
      <c r="I94" s="1032"/>
      <c r="J94" s="1001" t="str">
        <f t="shared" si="2"/>
        <v>13:52:02.00(13.8672)</v>
      </c>
      <c r="K94" s="1001"/>
      <c r="L94" s="1002"/>
      <c r="M94" s="1003" t="s">
        <v>335</v>
      </c>
      <c r="N94" s="1004"/>
      <c r="O94" s="1004"/>
      <c r="P94" s="1004">
        <v>0</v>
      </c>
      <c r="Q94" s="1004"/>
      <c r="R94" s="1004"/>
      <c r="S94" s="1004"/>
      <c r="T94" s="1005">
        <v>2</v>
      </c>
      <c r="U94" s="1005"/>
      <c r="V94" s="1005"/>
      <c r="W94" s="1005"/>
      <c r="X94" s="1006" t="s">
        <v>130</v>
      </c>
      <c r="Y94" s="1007"/>
      <c r="Z94" s="1007"/>
      <c r="AA94" s="179" t="s">
        <v>339</v>
      </c>
      <c r="AB94" s="153"/>
      <c r="AC94">
        <f>AC85+2*AH85</f>
        <v>13.963910036078662</v>
      </c>
      <c r="AD94" s="129">
        <f>AE94+(AF94+AG94+AH94)/3600</f>
        <v>13.867222222222223</v>
      </c>
      <c r="AE94" s="3">
        <f>heureConvert2Decimal(M94)</f>
        <v>13.866666666666667</v>
      </c>
      <c r="AF94" s="160">
        <f>P94*3600</f>
        <v>0</v>
      </c>
      <c r="AG94" s="67">
        <f>T94</f>
        <v>2</v>
      </c>
      <c r="AH94" s="3">
        <f>heureConvert2Decimal(X94)*60</f>
        <v>0</v>
      </c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</row>
    <row r="95" spans="1:74" s="94" customFormat="1" ht="17.25" customHeight="1" thickTop="1" thickBot="1">
      <c r="C95" s="1029" t="s">
        <v>218</v>
      </c>
      <c r="D95" s="1029"/>
      <c r="E95" s="1030" t="str">
        <f>E84</f>
        <v>3°54</v>
      </c>
      <c r="F95" s="1031"/>
      <c r="G95" s="1032" t="str">
        <f t="shared" si="3"/>
        <v>14:16:50.07(14.2805)</v>
      </c>
      <c r="H95" s="1032"/>
      <c r="I95" s="1032"/>
      <c r="J95" s="1001" t="str">
        <f>heureDecimal2Txt(AD95)</f>
        <v>14:10:02.00(14.1672)</v>
      </c>
      <c r="K95" s="1001"/>
      <c r="L95" s="1002"/>
      <c r="M95" s="1003" t="s">
        <v>334</v>
      </c>
      <c r="N95" s="1004"/>
      <c r="O95" s="1004"/>
      <c r="P95" s="1004">
        <v>0</v>
      </c>
      <c r="Q95" s="1004"/>
      <c r="R95" s="1004"/>
      <c r="S95" s="1004"/>
      <c r="T95" s="1005">
        <v>2</v>
      </c>
      <c r="U95" s="1005"/>
      <c r="V95" s="1005"/>
      <c r="W95" s="1005"/>
      <c r="X95" s="1006" t="s">
        <v>130</v>
      </c>
      <c r="Y95" s="1007"/>
      <c r="Z95" s="1007"/>
      <c r="AA95" s="179" t="s">
        <v>339</v>
      </c>
      <c r="AB95" s="153"/>
      <c r="AC95">
        <f>AC84+2*AH84</f>
        <v>14.280576702745329</v>
      </c>
      <c r="AD95" s="129">
        <f>AE95+(AF95+AG95+AH95)/3600</f>
        <v>14.167222222222222</v>
      </c>
      <c r="AE95" s="3">
        <f>heureConvert2Decimal(M95)</f>
        <v>14.166666666666666</v>
      </c>
      <c r="AF95" s="160">
        <f>P95*3600</f>
        <v>0</v>
      </c>
      <c r="AG95" s="67">
        <f>T95</f>
        <v>2</v>
      </c>
      <c r="AH95" s="3">
        <f>heureConvert2Decimal(X95)*60</f>
        <v>0</v>
      </c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</row>
    <row r="96" spans="1:74" s="94" customFormat="1" ht="17.25" customHeight="1" thickTop="1" thickBot="1">
      <c r="C96" s="1029" t="s">
        <v>216</v>
      </c>
      <c r="D96" s="1029"/>
      <c r="E96" s="1030" t="str">
        <f>E83</f>
        <v>2°54</v>
      </c>
      <c r="F96" s="1031"/>
      <c r="G96" s="1032" t="str">
        <f t="shared" si="3"/>
        <v>14:31:50.07(14.5305)</v>
      </c>
      <c r="H96" s="1032"/>
      <c r="I96" s="1032"/>
      <c r="J96" s="1001" t="str">
        <f t="shared" si="2"/>
        <v>14:32:03.00(14.5341)</v>
      </c>
      <c r="K96" s="1001"/>
      <c r="L96" s="1002"/>
      <c r="M96" s="1003" t="s">
        <v>332</v>
      </c>
      <c r="N96" s="1004"/>
      <c r="O96" s="1004"/>
      <c r="P96" s="1004">
        <v>0</v>
      </c>
      <c r="Q96" s="1004"/>
      <c r="R96" s="1004"/>
      <c r="S96" s="1004"/>
      <c r="T96" s="1005">
        <v>2</v>
      </c>
      <c r="U96" s="1005"/>
      <c r="V96" s="1005"/>
      <c r="W96" s="1005"/>
      <c r="X96" s="1006" t="s">
        <v>130</v>
      </c>
      <c r="Y96" s="1007"/>
      <c r="Z96" s="1007"/>
      <c r="AA96" s="179" t="s">
        <v>324</v>
      </c>
      <c r="AB96" s="153"/>
      <c r="AC96">
        <f>AC83+2*AH83</f>
        <v>14.530576702745329</v>
      </c>
      <c r="AD96" s="129">
        <f>AE96+(AF96+AG96+AH96)/3600</f>
        <v>14.534166666666666</v>
      </c>
      <c r="AE96" s="3">
        <f>heureConvert2Decimal(M96)</f>
        <v>14.53361111111111</v>
      </c>
      <c r="AF96" s="160">
        <f>P96*3600</f>
        <v>0</v>
      </c>
      <c r="AG96" s="67">
        <f>T96</f>
        <v>2</v>
      </c>
      <c r="AH96" s="3">
        <f>heureConvert2Decimal(X96)*60</f>
        <v>0</v>
      </c>
      <c r="AU96"/>
    </row>
    <row r="97" spans="2:30" ht="15.75" thickTop="1"/>
    <row r="98" spans="2:30" ht="15.75" thickBot="1"/>
    <row r="99" spans="2:30" ht="15.75" thickBot="1">
      <c r="B99" s="151" t="s">
        <v>330</v>
      </c>
      <c r="C99" s="152"/>
      <c r="D99" s="152"/>
      <c r="E99" s="150"/>
      <c r="F99" s="150"/>
      <c r="G99" s="150"/>
      <c r="H99" s="150"/>
      <c r="I99" s="150"/>
      <c r="J99" s="150"/>
      <c r="K99" s="150"/>
      <c r="L99" s="152"/>
      <c r="M99" s="152"/>
      <c r="N99" s="152"/>
      <c r="O99" s="152"/>
      <c r="P99" s="152"/>
      <c r="Q99" s="152"/>
      <c r="R99" s="152"/>
      <c r="S99" s="152"/>
      <c r="T99" s="152"/>
      <c r="U99" s="150"/>
      <c r="V99" s="150"/>
      <c r="W99" s="150"/>
      <c r="X99" s="150"/>
      <c r="Y99" s="150"/>
      <c r="Z99" s="150"/>
      <c r="AA99" s="150"/>
    </row>
    <row r="100" spans="2:30">
      <c r="B100" s="16"/>
      <c r="E100" s="1069" t="s">
        <v>331</v>
      </c>
      <c r="F100" s="1069"/>
      <c r="G100" s="1069" t="s">
        <v>11</v>
      </c>
      <c r="H100" s="1069"/>
      <c r="I100" s="1069"/>
      <c r="J100" s="1069"/>
      <c r="K100" s="1069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2:30">
      <c r="B101" s="16"/>
      <c r="C101" s="158" t="s">
        <v>215</v>
      </c>
      <c r="D101" s="241"/>
      <c r="E101" s="1069" t="b">
        <f>(AA96="O")</f>
        <v>1</v>
      </c>
      <c r="F101" s="1069"/>
      <c r="G101" s="1069">
        <f>IF(E101,(AD96+AC83)/2,0)</f>
        <v>12.524027777777778</v>
      </c>
      <c r="H101" s="1069"/>
      <c r="I101" s="102" t="str">
        <f>heureDecimal2Txt(G101)</f>
        <v>12:31:26.50(12.5240)</v>
      </c>
      <c r="J101" s="102"/>
      <c r="K101" s="102"/>
      <c r="Z101" s="16"/>
      <c r="AA101" s="16"/>
      <c r="AC101" t="s">
        <v>341</v>
      </c>
      <c r="AD101">
        <f>IF(G101&gt;0,1,0)</f>
        <v>1</v>
      </c>
    </row>
    <row r="102" spans="2:30">
      <c r="B102" s="16"/>
      <c r="C102" s="154" t="s">
        <v>217</v>
      </c>
      <c r="D102" s="242"/>
      <c r="E102" s="1069" t="b">
        <f>(AA95="O")</f>
        <v>0</v>
      </c>
      <c r="F102" s="1069"/>
      <c r="G102" s="1069">
        <f>IF(E102,(AD95+AC84)/2,0)</f>
        <v>0</v>
      </c>
      <c r="H102" s="1069"/>
      <c r="I102" s="102" t="str">
        <f t="shared" ref="I102:I107" si="4">heureDecimal2Txt(G102)</f>
        <v>00:00:00.00(00.0000)</v>
      </c>
      <c r="J102" s="102"/>
      <c r="K102" s="102"/>
      <c r="Z102" s="16"/>
      <c r="AA102" s="16"/>
      <c r="AC102" t="s">
        <v>341</v>
      </c>
      <c r="AD102">
        <f t="shared" ref="AD102:AD105" si="5">IF(G102&gt;0,1,0)</f>
        <v>0</v>
      </c>
    </row>
    <row r="103" spans="2:30">
      <c r="B103" s="16"/>
      <c r="C103" s="154" t="s">
        <v>219</v>
      </c>
      <c r="D103" s="242"/>
      <c r="E103" s="1069" t="b">
        <f>(AA94="O")</f>
        <v>0</v>
      </c>
      <c r="F103" s="1069"/>
      <c r="G103" s="1069">
        <f>IF(E103,(AD94+AC85)/2,0)</f>
        <v>0</v>
      </c>
      <c r="H103" s="1069"/>
      <c r="I103" s="102" t="str">
        <f t="shared" si="4"/>
        <v>00:00:00.00(00.0000)</v>
      </c>
      <c r="J103" s="102"/>
      <c r="K103" s="102"/>
      <c r="Z103" s="16"/>
      <c r="AA103" s="16"/>
      <c r="AC103" t="s">
        <v>341</v>
      </c>
      <c r="AD103">
        <f t="shared" si="5"/>
        <v>0</v>
      </c>
    </row>
    <row r="104" spans="2:30">
      <c r="C104" s="154" t="s">
        <v>221</v>
      </c>
      <c r="D104" s="242"/>
      <c r="E104" s="1069" t="b">
        <f>(AA93="O")</f>
        <v>0</v>
      </c>
      <c r="F104" s="1069"/>
      <c r="G104" s="1069">
        <f>IF(E104,(AD93+AC86)/2,0)</f>
        <v>0</v>
      </c>
      <c r="H104" s="1069"/>
      <c r="I104" s="102" t="str">
        <f t="shared" si="4"/>
        <v>00:00:00.00(00.0000)</v>
      </c>
      <c r="J104" s="102"/>
      <c r="K104" s="102"/>
      <c r="AC104" t="s">
        <v>341</v>
      </c>
      <c r="AD104">
        <f t="shared" si="5"/>
        <v>0</v>
      </c>
    </row>
    <row r="105" spans="2:30">
      <c r="C105" s="173" t="s">
        <v>223</v>
      </c>
      <c r="D105" s="243"/>
      <c r="E105" s="1069" t="b">
        <f>(AA92="O")</f>
        <v>1</v>
      </c>
      <c r="F105" s="1069"/>
      <c r="G105" s="1069">
        <f>IF(E105,(AD92+AC87)/2,0)</f>
        <v>12.677083333333332</v>
      </c>
      <c r="H105" s="1069"/>
      <c r="I105" s="102" t="str">
        <f t="shared" si="4"/>
        <v>12:40:37.49(12.6770)</v>
      </c>
      <c r="J105" s="102"/>
      <c r="K105" s="102"/>
      <c r="AC105" t="s">
        <v>341</v>
      </c>
      <c r="AD105">
        <f t="shared" si="5"/>
        <v>1</v>
      </c>
    </row>
    <row r="107" spans="2:30">
      <c r="E107" t="s">
        <v>333</v>
      </c>
      <c r="G107" s="1073">
        <f>SUM(G101:G105)/SUM(AD101:AD105)</f>
        <v>12.600555555555555</v>
      </c>
      <c r="H107" s="1073"/>
      <c r="I107" t="str">
        <f t="shared" si="4"/>
        <v>12:36:02.00(12.6005)</v>
      </c>
      <c r="N107" s="1070" t="s">
        <v>338</v>
      </c>
      <c r="O107" s="1070"/>
      <c r="P107" s="1070"/>
      <c r="Q107" s="1070">
        <f>G107</f>
        <v>12.600555555555555</v>
      </c>
      <c r="R107" s="1070"/>
      <c r="S107" s="1072" t="str">
        <f>heureDecimal2Txt(Q107)</f>
        <v>12:36:02.00(12.6005)</v>
      </c>
      <c r="T107" s="1072"/>
      <c r="U107" s="1072"/>
      <c r="V107" s="1072"/>
      <c r="W107" s="1072"/>
      <c r="X107" s="1072"/>
      <c r="Y107" s="1072"/>
    </row>
    <row r="108" spans="2:30">
      <c r="N108" s="1070"/>
      <c r="O108" s="1070"/>
      <c r="P108" s="1070"/>
      <c r="Q108" s="1070"/>
      <c r="R108" s="1070"/>
      <c r="S108" s="1072"/>
      <c r="T108" s="1072"/>
      <c r="U108" s="1072"/>
      <c r="V108" s="1072"/>
      <c r="W108" s="1072"/>
      <c r="X108" s="1072"/>
      <c r="Y108" s="1072"/>
    </row>
    <row r="109" spans="2:30">
      <c r="N109" s="1070" t="s">
        <v>182</v>
      </c>
      <c r="O109" s="1070"/>
      <c r="P109" s="1070"/>
      <c r="Q109" s="1071">
        <f>(F43-Q107)</f>
        <v>-0.54888888888888765</v>
      </c>
      <c r="R109" s="1070"/>
      <c r="S109" s="1072" t="str">
        <f>longitudeDecimal2Txt(Q109)</f>
        <v>W 00°32.93 (W 00.5488) [W 00°32'55.99]</v>
      </c>
      <c r="T109" s="1072"/>
      <c r="U109" s="1072"/>
      <c r="V109" s="1072"/>
      <c r="W109" s="1072"/>
      <c r="X109" s="1072"/>
      <c r="Y109" s="1072"/>
    </row>
    <row r="110" spans="2:30">
      <c r="N110" s="1070"/>
      <c r="O110" s="1070"/>
      <c r="P110" s="1070"/>
      <c r="Q110" s="1070"/>
      <c r="R110" s="1070"/>
      <c r="S110" s="1072"/>
      <c r="T110" s="1072"/>
      <c r="U110" s="1072"/>
      <c r="V110" s="1072"/>
      <c r="W110" s="1072"/>
      <c r="X110" s="1072"/>
      <c r="Y110" s="1072"/>
    </row>
    <row r="112" spans="2:30" ht="15.75" thickBot="1"/>
    <row r="113" spans="2:66" s="16" customFormat="1" ht="17.25" customHeight="1" thickBot="1">
      <c r="B113" s="25" t="s">
        <v>0</v>
      </c>
      <c r="C113" s="26"/>
      <c r="D113" s="26"/>
      <c r="E113" s="105" t="str">
        <f>N7</f>
        <v>2025/06/30 [YYYY/MM/DD]</v>
      </c>
      <c r="F113" s="105"/>
      <c r="G113" s="106"/>
      <c r="H113" s="107"/>
      <c r="I113" s="105" t="str">
        <f>heureDecimal2Txt(E117)</f>
        <v>12:31:20.03(12.5222)</v>
      </c>
      <c r="J113" s="105"/>
      <c r="K113" s="105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16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>
      <c r="C114" s="714" t="s">
        <v>1</v>
      </c>
      <c r="D114" s="715"/>
      <c r="E114" s="813" t="s">
        <v>243</v>
      </c>
      <c r="F114" s="814"/>
      <c r="G114" s="814"/>
      <c r="H114" s="59"/>
      <c r="AB114" s="161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>
      <c r="C115" s="495" t="s">
        <v>11</v>
      </c>
      <c r="D115" s="497"/>
      <c r="E115" s="495" t="s">
        <v>2</v>
      </c>
      <c r="F115" s="496"/>
      <c r="G115" s="496"/>
      <c r="H115" s="497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AB115" s="171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thickBot="1">
      <c r="C116" s="716"/>
      <c r="D116" s="717"/>
      <c r="E116" s="498"/>
      <c r="F116" s="499"/>
      <c r="G116" s="499"/>
      <c r="H116" s="500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AB116" s="161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 s="498"/>
      <c r="D117" s="500"/>
      <c r="E117" s="806">
        <f>V72</f>
        <v>12.522232795817109</v>
      </c>
      <c r="F117" s="806"/>
      <c r="G117" s="806"/>
      <c r="H117" s="806"/>
      <c r="I117" s="637" t="str" cm="1">
        <f t="array" ref="I117">heureDecimal2Txt(E117)</f>
        <v>12:31:20.03(12.5222)</v>
      </c>
      <c r="J117" s="638"/>
      <c r="K117" s="638"/>
      <c r="L117" s="639"/>
      <c r="M117"/>
      <c r="N117"/>
      <c r="O117"/>
      <c r="P117"/>
      <c r="Q117"/>
      <c r="R117"/>
      <c r="S117"/>
      <c r="T117"/>
      <c r="U117"/>
      <c r="V117"/>
      <c r="W117"/>
      <c r="X117"/>
      <c r="Y117"/>
      <c r="AB117" s="1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ht="17.25" customHeight="1" thickTop="1">
      <c r="B118" s="16"/>
      <c r="I118" s="11"/>
      <c r="J118" s="11"/>
      <c r="K118" s="11"/>
      <c r="V118" s="11"/>
      <c r="W118" s="11"/>
      <c r="X118" s="11"/>
      <c r="Y118" s="11"/>
      <c r="Z118" s="16"/>
      <c r="AA118" s="16"/>
      <c r="AB118" s="161"/>
      <c r="BN118" s="24"/>
    </row>
    <row r="119" spans="2:66" s="16" customFormat="1" ht="17.25" customHeight="1" thickBot="1">
      <c r="C119" s="15"/>
      <c r="D119" s="15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AB119" s="161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Bot="1">
      <c r="B120" s="25" t="s">
        <v>18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163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s="16" customFormat="1" ht="18" customHeight="1" thickBot="1">
      <c r="B121"/>
      <c r="C121" s="651" t="s">
        <v>176</v>
      </c>
      <c r="D121" s="652"/>
      <c r="E121" s="652"/>
      <c r="F121" s="652"/>
      <c r="G121" s="652"/>
      <c r="H121" s="652"/>
      <c r="I121" s="653"/>
      <c r="J121" s="654" t="s">
        <v>178</v>
      </c>
      <c r="K121" s="655"/>
      <c r="L121" s="655"/>
      <c r="M121" s="655"/>
      <c r="N121" s="655"/>
      <c r="O121" s="656"/>
      <c r="P121"/>
      <c r="Q121"/>
      <c r="R121"/>
      <c r="S121"/>
      <c r="T121"/>
      <c r="U121"/>
      <c r="V121"/>
      <c r="W121"/>
      <c r="X121"/>
      <c r="Y121"/>
      <c r="Z121"/>
      <c r="AA121"/>
      <c r="AB121" s="161"/>
      <c r="AC121" s="165" t="s">
        <v>177</v>
      </c>
      <c r="AD121" s="68" t="s">
        <v>178</v>
      </c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2:66" s="16" customFormat="1" ht="18" customHeight="1" thickTop="1" thickBot="1">
      <c r="B122" s="14"/>
      <c r="C122" s="651" t="s">
        <v>139</v>
      </c>
      <c r="D122" s="652"/>
      <c r="E122" s="652"/>
      <c r="F122" s="652"/>
      <c r="G122" s="652"/>
      <c r="H122" s="652"/>
      <c r="I122" s="653"/>
      <c r="J122" s="807" cm="1">
        <f t="array" ref="J122">angleConvert2Decimal(M122)</f>
        <v>0.9</v>
      </c>
      <c r="K122" s="808"/>
      <c r="L122" s="809"/>
      <c r="M122" s="810" t="s">
        <v>105</v>
      </c>
      <c r="N122" s="811"/>
      <c r="O122" s="812"/>
      <c r="P122" s="696" t="str" cm="1">
        <f t="array" ref="P122">angleDecimal2Txt(J122)</f>
        <v>+00°54.00 (+00.9000) [+00°54'00.00]</v>
      </c>
      <c r="Q122" s="697"/>
      <c r="R122" s="697"/>
      <c r="S122" s="697"/>
      <c r="T122" s="697"/>
      <c r="U122" s="697"/>
      <c r="V122" s="697"/>
      <c r="W122" s="697"/>
      <c r="X122" s="640"/>
      <c r="Y122" s="14"/>
      <c r="AB122" s="161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16" customFormat="1" ht="18" customHeight="1" thickTop="1" thickBot="1">
      <c r="C123" s="641" t="s">
        <v>138</v>
      </c>
      <c r="D123" s="641"/>
      <c r="E123" s="641"/>
      <c r="F123" s="641"/>
      <c r="G123" s="641"/>
      <c r="H123" s="641"/>
      <c r="I123" s="641"/>
      <c r="J123" s="649" cm="1">
        <f t="array" ref="J123">angleConvert2Decimal(M123)</f>
        <v>33.4</v>
      </c>
      <c r="K123" s="650"/>
      <c r="L123" s="686"/>
      <c r="M123" s="816" t="s">
        <v>226</v>
      </c>
      <c r="N123" s="817"/>
      <c r="O123" s="818"/>
      <c r="P123" s="474" t="str" cm="1">
        <f t="array" ref="P123">angleDecimal2Txt(J123)</f>
        <v>+33°24.00 (+33.3999) [+33°24'00.00]</v>
      </c>
      <c r="Q123" s="474"/>
      <c r="R123" s="474"/>
      <c r="S123" s="474"/>
      <c r="T123" s="474"/>
      <c r="U123" s="474"/>
      <c r="V123" s="474"/>
      <c r="W123" s="474"/>
      <c r="X123" s="474"/>
      <c r="Y123" s="14"/>
      <c r="AB123" s="161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2:66" s="16" customFormat="1" ht="18" customHeight="1" thickTop="1" thickBot="1">
      <c r="C124" s="641" t="s">
        <v>146</v>
      </c>
      <c r="D124" s="641"/>
      <c r="E124" s="641"/>
      <c r="F124" s="641"/>
      <c r="G124" s="641"/>
      <c r="H124" s="641"/>
      <c r="I124" s="641"/>
      <c r="J124" s="649" cm="1">
        <f t="array" ref="J124">angleConvert2Decimal(M124)</f>
        <v>16.25</v>
      </c>
      <c r="K124" s="650"/>
      <c r="L124" s="686"/>
      <c r="M124" s="816">
        <f>(J123-J122)/2</f>
        <v>16.25</v>
      </c>
      <c r="N124" s="817"/>
      <c r="O124" s="818"/>
      <c r="P124" s="474" t="str" cm="1">
        <f t="array" ref="P124">angleDecimal2Txt(J124)</f>
        <v>+16°15.00 (+16.2500) [+16°15'00.00]</v>
      </c>
      <c r="Q124" s="474"/>
      <c r="R124" s="474"/>
      <c r="S124" s="474"/>
      <c r="T124" s="474"/>
      <c r="U124" s="474"/>
      <c r="V124" s="474"/>
      <c r="W124" s="474"/>
      <c r="X124" s="474"/>
      <c r="Y124" s="14"/>
      <c r="AB124" s="161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8" customHeight="1" thickTop="1" thickBot="1">
      <c r="C125" s="658" t="s">
        <v>19</v>
      </c>
      <c r="D125" s="658"/>
      <c r="E125" s="658"/>
      <c r="F125" s="658"/>
      <c r="G125" s="658"/>
      <c r="H125" s="658"/>
      <c r="I125" s="658"/>
      <c r="J125" s="644">
        <f>M125</f>
        <v>2</v>
      </c>
      <c r="K125" s="645"/>
      <c r="L125" s="646"/>
      <c r="M125" s="538">
        <v>2</v>
      </c>
      <c r="N125" s="538"/>
      <c r="O125" s="538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AB125" s="161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8" customHeight="1" thickTop="1" thickBot="1">
      <c r="B126" s="14"/>
      <c r="C126" s="545" t="s">
        <v>20</v>
      </c>
      <c r="D126" s="546"/>
      <c r="E126" s="546"/>
      <c r="F126" s="546"/>
      <c r="G126" s="546"/>
      <c r="H126" s="546"/>
      <c r="I126" s="547"/>
      <c r="J126" s="649" cm="1">
        <f t="array" ref="J126">angleConvert2Decimal(M126)</f>
        <v>2.1666666666666667E-2</v>
      </c>
      <c r="K126" s="650"/>
      <c r="L126" s="686"/>
      <c r="M126" s="537" t="s">
        <v>260</v>
      </c>
      <c r="N126" s="538"/>
      <c r="O126" s="538"/>
      <c r="P126" s="474" t="str" cm="1">
        <f t="array" ref="P126">angleDecimal2Txt(J126)</f>
        <v>+00°01.30 (+00.0216) [+00°01'18.00]</v>
      </c>
      <c r="Q126" s="474"/>
      <c r="R126" s="474"/>
      <c r="S126" s="474"/>
      <c r="T126" s="474"/>
      <c r="U126" s="474"/>
      <c r="V126" s="474"/>
      <c r="W126" s="474"/>
      <c r="X126" s="474"/>
      <c r="Y126" s="14"/>
      <c r="AB126" s="161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8" customHeight="1" thickTop="1" thickBot="1">
      <c r="C127" s="558" t="s">
        <v>26</v>
      </c>
      <c r="D127" s="558"/>
      <c r="E127" s="558"/>
      <c r="F127" s="558"/>
      <c r="G127" s="558"/>
      <c r="H127" s="558"/>
      <c r="I127" s="558"/>
      <c r="J127" s="916" cm="1">
        <f t="array" ref="J127">IF(J121=AC121,J124,angleConvert2Decimal(M127))</f>
        <v>66.95</v>
      </c>
      <c r="K127" s="917"/>
      <c r="L127" s="918"/>
      <c r="M127" s="537" t="s">
        <v>271</v>
      </c>
      <c r="N127" s="538"/>
      <c r="O127" s="538"/>
      <c r="P127" s="474" t="str" cm="1">
        <f t="array" ref="P127">angleDecimal2Txt(J127)</f>
        <v>+66°57.00 (+66.9500) [+66°57'00.00]</v>
      </c>
      <c r="Q127" s="474"/>
      <c r="R127" s="474"/>
      <c r="S127" s="474"/>
      <c r="T127" s="474"/>
      <c r="U127" s="474"/>
      <c r="V127" s="474"/>
      <c r="W127" s="474"/>
      <c r="X127" s="474"/>
      <c r="Y127" s="14"/>
      <c r="AB127" s="161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8" customHeight="1" thickTop="1">
      <c r="C128" s="548" t="s">
        <v>30</v>
      </c>
      <c r="D128" s="548"/>
      <c r="E128" s="548"/>
      <c r="F128" s="548"/>
      <c r="G128" s="548"/>
      <c r="H128" s="548"/>
      <c r="I128" s="548"/>
      <c r="J128" s="549" t="str">
        <f>M128</f>
        <v>Soleil</v>
      </c>
      <c r="K128" s="550"/>
      <c r="L128" s="551"/>
      <c r="M128" s="598" t="s">
        <v>31</v>
      </c>
      <c r="N128" s="599"/>
      <c r="O128" s="600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AB128" s="161"/>
      <c r="AC128"/>
      <c r="AD128"/>
      <c r="AE128"/>
      <c r="AF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8" customHeight="1">
      <c r="C129" s="548" t="s">
        <v>56</v>
      </c>
      <c r="D129" s="548"/>
      <c r="E129" s="548"/>
      <c r="F129" s="548"/>
      <c r="G129" s="548"/>
      <c r="H129" s="548"/>
      <c r="I129" s="548"/>
      <c r="J129" s="549" t="str">
        <f>M129</f>
        <v>BordInf</v>
      </c>
      <c r="K129" s="550"/>
      <c r="L129" s="551"/>
      <c r="M129" s="568" t="s">
        <v>57</v>
      </c>
      <c r="N129" s="568"/>
      <c r="O129" s="568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AB129" s="161"/>
      <c r="AC129" s="166" t="s">
        <v>201</v>
      </c>
      <c r="AD129" s="70" t="s">
        <v>32</v>
      </c>
      <c r="AE129" s="70" t="s">
        <v>33</v>
      </c>
      <c r="AF129" s="70" t="s">
        <v>31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>
      <c r="C130" s="559" t="s">
        <v>162</v>
      </c>
      <c r="D130" s="560"/>
      <c r="E130" s="27"/>
      <c r="F130" s="27"/>
      <c r="G130" s="27"/>
      <c r="H130" s="27"/>
      <c r="I130" s="28"/>
      <c r="J130" s="609" cm="1">
        <f t="array" ref="J130">angleConvert2Decimal(M130)</f>
        <v>2.8833333333333332E-3</v>
      </c>
      <c r="K130" s="610"/>
      <c r="L130" s="611"/>
      <c r="M130" s="618" t="str">
        <f>P132</f>
        <v>0.173'</v>
      </c>
      <c r="N130" s="619"/>
      <c r="O130" s="619"/>
      <c r="P130" s="624" t="s">
        <v>101</v>
      </c>
      <c r="Q130" s="624"/>
      <c r="R130" s="624"/>
      <c r="S130" s="14"/>
      <c r="T130" s="14"/>
      <c r="U130" s="14"/>
      <c r="V130" s="14"/>
      <c r="W130" s="14"/>
      <c r="X130" s="14"/>
      <c r="Y130" s="14"/>
      <c r="AB130" s="161"/>
      <c r="AC130" s="166" t="s">
        <v>103</v>
      </c>
      <c r="AD130" s="71" t="s">
        <v>104</v>
      </c>
      <c r="AE130" s="71" t="s">
        <v>105</v>
      </c>
      <c r="AF130" s="71" t="s">
        <v>76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customHeight="1" thickBot="1">
      <c r="C131" s="29"/>
      <c r="D131" s="787" t="s">
        <v>163</v>
      </c>
      <c r="E131" s="787"/>
      <c r="F131" s="787"/>
      <c r="G131" s="787"/>
      <c r="H131" s="787"/>
      <c r="I131" s="788"/>
      <c r="J131" s="612"/>
      <c r="K131" s="613"/>
      <c r="L131" s="614"/>
      <c r="M131" s="620"/>
      <c r="N131" s="621"/>
      <c r="O131" s="621"/>
      <c r="P131" s="624"/>
      <c r="Q131" s="624"/>
      <c r="R131" s="624"/>
      <c r="S131" s="14"/>
      <c r="T131" s="14"/>
      <c r="U131" s="14"/>
      <c r="V131" s="14"/>
      <c r="W131" s="14"/>
      <c r="X131" s="14"/>
      <c r="Y131" s="14"/>
      <c r="AB131" s="161"/>
      <c r="AC131" s="166" t="s">
        <v>107</v>
      </c>
      <c r="AD131" s="71" t="s">
        <v>104</v>
      </c>
      <c r="AE131" s="71" t="s">
        <v>108</v>
      </c>
      <c r="AF131" s="71" t="s">
        <v>75</v>
      </c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 thickTop="1" thickBot="1">
      <c r="C132" s="29"/>
      <c r="D132" s="787"/>
      <c r="E132" s="787"/>
      <c r="F132" s="787"/>
      <c r="G132" s="787"/>
      <c r="H132" s="787"/>
      <c r="I132" s="788"/>
      <c r="J132" s="612"/>
      <c r="K132" s="613"/>
      <c r="L132" s="614"/>
      <c r="M132" s="620"/>
      <c r="N132" s="621"/>
      <c r="O132" s="621"/>
      <c r="P132" s="542" t="str">
        <f>HLOOKUP(M128,AD129:AF131,2,FALSE)</f>
        <v>0.173'</v>
      </c>
      <c r="Q132" s="542"/>
      <c r="R132" s="542"/>
      <c r="S132" s="540" t="str" cm="1">
        <f t="array" ref="S132">angleDecimal2Txt(angleConvert2Decimal(P132))</f>
        <v>+00°00.17 (+00.0028) [+00°00'10.37]</v>
      </c>
      <c r="T132" s="540"/>
      <c r="U132" s="540"/>
      <c r="V132" s="540"/>
      <c r="W132" s="540"/>
      <c r="X132" s="541"/>
      <c r="Y132" s="14"/>
      <c r="AB132" s="1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 thickTop="1" thickBot="1">
      <c r="C133" s="30"/>
      <c r="D133" s="789"/>
      <c r="E133" s="789"/>
      <c r="F133" s="789"/>
      <c r="G133" s="789"/>
      <c r="H133" s="789"/>
      <c r="I133" s="790"/>
      <c r="J133" s="921"/>
      <c r="K133" s="746"/>
      <c r="L133" s="747"/>
      <c r="M133" s="622"/>
      <c r="N133" s="623"/>
      <c r="O133" s="623"/>
      <c r="P133" s="480" t="str" cm="1">
        <f t="array" ref="P133">angleDecimal2Txt(J130)</f>
        <v>+00°00.17 (+00.0028) [+00°00'10.37]</v>
      </c>
      <c r="Q133" s="480"/>
      <c r="R133" s="480"/>
      <c r="S133" s="474"/>
      <c r="T133" s="474"/>
      <c r="U133" s="474"/>
      <c r="V133" s="474"/>
      <c r="W133" s="474"/>
      <c r="X133" s="474"/>
      <c r="Y133" s="14"/>
      <c r="AB133" s="161"/>
      <c r="AC133" s="166" t="s">
        <v>102</v>
      </c>
      <c r="AD133" s="70" t="s">
        <v>57</v>
      </c>
      <c r="AE133" s="70" t="s">
        <v>199</v>
      </c>
      <c r="AF133" s="70" t="s">
        <v>58</v>
      </c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Top="1">
      <c r="C134" s="601" t="s">
        <v>106</v>
      </c>
      <c r="D134" s="602"/>
      <c r="E134" s="602"/>
      <c r="F134" s="602"/>
      <c r="G134" s="602"/>
      <c r="H134" s="602"/>
      <c r="I134" s="603"/>
      <c r="J134" s="609" cm="1">
        <f t="array" ref="J134">angleConvert2Decimal(M134)</f>
        <v>0.53333333333333333</v>
      </c>
      <c r="K134" s="610"/>
      <c r="L134" s="611"/>
      <c r="M134" s="618" t="str">
        <f>P136</f>
        <v>32'</v>
      </c>
      <c r="N134" s="619"/>
      <c r="O134" s="619"/>
      <c r="P134" s="624" t="s">
        <v>101</v>
      </c>
      <c r="Q134" s="624"/>
      <c r="R134" s="624"/>
      <c r="S134" s="14"/>
      <c r="T134" s="14"/>
      <c r="U134" s="14"/>
      <c r="V134" s="14"/>
      <c r="W134" s="14"/>
      <c r="X134" s="14"/>
      <c r="Y134" s="14"/>
      <c r="AB134" s="161"/>
      <c r="AC134" s="166" t="s">
        <v>200</v>
      </c>
      <c r="AD134" s="72">
        <v>0.5</v>
      </c>
      <c r="AE134" s="72">
        <v>-0.5</v>
      </c>
      <c r="AF134" s="72">
        <v>0</v>
      </c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Bot="1">
      <c r="C135" s="604"/>
      <c r="D135" s="531"/>
      <c r="E135" s="531"/>
      <c r="F135" s="531"/>
      <c r="G135" s="531"/>
      <c r="H135" s="531"/>
      <c r="I135" s="605"/>
      <c r="J135" s="612"/>
      <c r="K135" s="613"/>
      <c r="L135" s="614"/>
      <c r="M135" s="620"/>
      <c r="N135" s="621"/>
      <c r="O135" s="621"/>
      <c r="P135" s="624"/>
      <c r="Q135" s="624"/>
      <c r="R135" s="624"/>
      <c r="S135" s="14"/>
      <c r="T135" s="14"/>
      <c r="U135" s="14"/>
      <c r="V135" s="14"/>
      <c r="W135" s="14"/>
      <c r="X135" s="14"/>
      <c r="Y135" s="14"/>
      <c r="AB135" s="1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 thickBot="1">
      <c r="C136" s="604"/>
      <c r="D136" s="531"/>
      <c r="E136" s="531"/>
      <c r="F136" s="531"/>
      <c r="G136" s="531"/>
      <c r="H136" s="531"/>
      <c r="I136" s="605"/>
      <c r="J136" s="612"/>
      <c r="K136" s="613"/>
      <c r="L136" s="614"/>
      <c r="M136" s="620"/>
      <c r="N136" s="621"/>
      <c r="O136" s="621"/>
      <c r="P136" s="542" t="str">
        <f>HLOOKUP(M128,AD129:AF131,3,FALSE)</f>
        <v>32'</v>
      </c>
      <c r="Q136" s="542"/>
      <c r="R136" s="542"/>
      <c r="S136" s="540" t="str" cm="1">
        <f t="array" ref="S136">angleDecimal2Txt(angleConvert2Decimal(P136))</f>
        <v>+00°32.00 (+00.5333) [+00°32'00.00]</v>
      </c>
      <c r="T136" s="540"/>
      <c r="U136" s="540"/>
      <c r="V136" s="540"/>
      <c r="W136" s="540"/>
      <c r="X136" s="541"/>
      <c r="Y136" s="14"/>
      <c r="AB136" s="1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 thickTop="1" thickBot="1">
      <c r="C137" s="606"/>
      <c r="D137" s="607"/>
      <c r="E137" s="607"/>
      <c r="F137" s="607"/>
      <c r="G137" s="607"/>
      <c r="H137" s="607"/>
      <c r="I137" s="608"/>
      <c r="J137" s="615"/>
      <c r="K137" s="616"/>
      <c r="L137" s="617"/>
      <c r="M137" s="622"/>
      <c r="N137" s="623"/>
      <c r="O137" s="623"/>
      <c r="P137" s="480" t="str" cm="1">
        <f t="array" ref="P137">angleDecimal2Txt(J134)</f>
        <v>+00°32.00 (+00.5333) [+00°32'00.00]</v>
      </c>
      <c r="Q137" s="480"/>
      <c r="R137" s="480"/>
      <c r="S137" s="474"/>
      <c r="T137" s="474"/>
      <c r="U137" s="474"/>
      <c r="V137" s="474"/>
      <c r="W137" s="474"/>
      <c r="X137" s="474"/>
      <c r="Y137" s="14"/>
      <c r="AB137" s="1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 thickTop="1" thickBot="1"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AB138" s="1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 thickBot="1">
      <c r="B139" s="25" t="s">
        <v>214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163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>
      <c r="C140" s="14"/>
      <c r="D140" s="14"/>
      <c r="E140" s="561" t="s">
        <v>7</v>
      </c>
      <c r="F140" s="561"/>
      <c r="G140" s="561"/>
      <c r="H140" s="561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AB140" s="1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>
      <c r="C141" s="14"/>
      <c r="D141" s="14"/>
      <c r="E141" s="561"/>
      <c r="F141" s="561"/>
      <c r="G141" s="561"/>
      <c r="H141" s="56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B141" s="1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>
      <c r="A142"/>
      <c r="B142"/>
      <c r="C142"/>
      <c r="D142" s="14"/>
      <c r="E142" s="14"/>
      <c r="F142" s="919">
        <f>F36</f>
        <v>46.1</v>
      </c>
      <c r="G142" s="920"/>
      <c r="H142" s="920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 s="14"/>
      <c r="Z142" s="14"/>
      <c r="AB142" s="1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31"/>
    </row>
    <row r="143" spans="1:66" s="16" customFormat="1" ht="17.25" customHeight="1">
      <c r="A143"/>
      <c r="B143"/>
      <c r="C143"/>
      <c r="D143" s="14"/>
      <c r="E143" s="14"/>
      <c r="F143" s="920"/>
      <c r="G143" s="920"/>
      <c r="H143" s="920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 s="14"/>
      <c r="Z143" s="14"/>
      <c r="AB143" s="1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31"/>
    </row>
    <row r="144" spans="1:66" s="16" customFormat="1" ht="17.25" customHeight="1">
      <c r="A144"/>
      <c r="B144"/>
      <c r="C144"/>
      <c r="D144" s="14"/>
      <c r="E144" s="14"/>
      <c r="F144" s="14"/>
      <c r="G144" s="14"/>
      <c r="H144" s="14"/>
      <c r="AB144" s="1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31"/>
    </row>
    <row r="145" spans="2:66" s="16" customFormat="1" ht="17.25" customHeight="1" thickBot="1">
      <c r="C145" s="59"/>
      <c r="D145" s="59"/>
      <c r="E145" s="59"/>
      <c r="F145" s="59"/>
      <c r="G145" s="59"/>
      <c r="AB145" s="1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2:66" s="16" customFormat="1" ht="17.25" customHeight="1" thickBot="1">
      <c r="B146" s="25" t="s">
        <v>9</v>
      </c>
      <c r="C146" s="26"/>
      <c r="D146" s="26"/>
      <c r="E146" s="26"/>
      <c r="F146" s="532">
        <f>IF(G147=AD147,F151,F159)</f>
        <v>23.134129612006973</v>
      </c>
      <c r="G146" s="532"/>
      <c r="H146" s="532"/>
      <c r="I146" s="26"/>
      <c r="J146" s="26"/>
      <c r="K146" s="26" t="str" cm="1">
        <f t="array" ref="K146">angleDecimal2Txt(F146)</f>
        <v>+23°08.04 (+23.1341) [+23°08'02.86]</v>
      </c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163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2:66" s="33" customFormat="1" ht="17.25" customHeight="1">
      <c r="C147" s="531" t="s">
        <v>35</v>
      </c>
      <c r="D147" s="531"/>
      <c r="E147" s="531"/>
      <c r="F147" s="531"/>
      <c r="G147" s="724" t="s">
        <v>10</v>
      </c>
      <c r="H147" s="724"/>
      <c r="I147" s="724"/>
      <c r="AB147" s="172"/>
      <c r="AC147" s="1009" t="s">
        <v>36</v>
      </c>
      <c r="AD147" s="68" t="s">
        <v>10</v>
      </c>
      <c r="AE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6" s="16" customFormat="1" ht="17.25" customHeight="1">
      <c r="C148" s="34" t="s">
        <v>10</v>
      </c>
      <c r="D148" s="34"/>
      <c r="E148" s="35"/>
      <c r="F148" s="35"/>
      <c r="G148" s="14"/>
      <c r="H148" s="14"/>
      <c r="I148" s="14"/>
      <c r="AB148" s="161"/>
      <c r="AC148" s="1009"/>
      <c r="AD148" s="68" t="s">
        <v>14</v>
      </c>
      <c r="AE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2:66" s="16" customFormat="1" ht="17.25" customHeight="1">
      <c r="C149" s="59"/>
      <c r="D149" s="59"/>
      <c r="E149" s="59"/>
      <c r="F149" s="515" t="s">
        <v>9</v>
      </c>
      <c r="G149" s="515"/>
      <c r="H149" s="515"/>
      <c r="I149" s="495" t="s">
        <v>12</v>
      </c>
      <c r="J149" s="496"/>
      <c r="K149" s="496"/>
      <c r="L149" s="497"/>
      <c r="M149" s="516" t="s">
        <v>13</v>
      </c>
      <c r="N149" s="516"/>
      <c r="O149" s="516"/>
      <c r="P149" s="520" t="s">
        <v>15</v>
      </c>
      <c r="Q149" s="520"/>
      <c r="R149" s="520"/>
      <c r="S149" s="520"/>
      <c r="T149" s="520"/>
      <c r="U149" s="14"/>
      <c r="AB149" s="161"/>
      <c r="AC149"/>
      <c r="AD149" s="73" t="s">
        <v>73</v>
      </c>
      <c r="AE149" s="3" t="s">
        <v>191</v>
      </c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2:66" s="16" customFormat="1" ht="17.25" customHeight="1" thickBot="1">
      <c r="C150" s="59"/>
      <c r="D150" s="59"/>
      <c r="E150" s="59"/>
      <c r="F150" s="515"/>
      <c r="G150" s="515"/>
      <c r="H150" s="515"/>
      <c r="I150" s="498"/>
      <c r="J150" s="499"/>
      <c r="K150" s="499"/>
      <c r="L150" s="500"/>
      <c r="M150" s="516"/>
      <c r="N150" s="516"/>
      <c r="O150" s="516"/>
      <c r="P150" s="520"/>
      <c r="Q150" s="520"/>
      <c r="R150" s="520"/>
      <c r="S150" s="520"/>
      <c r="T150" s="520"/>
      <c r="U150" s="14"/>
      <c r="AB150" s="161"/>
      <c r="AC150" s="129" t="s">
        <v>183</v>
      </c>
      <c r="AD150" s="3">
        <f>VLOOKUP(P151,Outils!C9:E10,3)</f>
        <v>1</v>
      </c>
      <c r="AE150" s="3" cm="1">
        <f t="array" ref="AE150">AD150*angleConvert2Decimal(Q151)</f>
        <v>23.135000000000002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2:66" s="16" customFormat="1" ht="17.25" customHeight="1" thickTop="1" thickBot="1">
      <c r="C151" s="59"/>
      <c r="D151" s="59"/>
      <c r="F151" s="543">
        <f>IF(G147=AD148,"---",AD155)</f>
        <v>23.134129612006973</v>
      </c>
      <c r="G151" s="543"/>
      <c r="H151" s="543"/>
      <c r="I151" s="665">
        <f>E117</f>
        <v>12.522232795817109</v>
      </c>
      <c r="J151" s="781"/>
      <c r="K151" s="781"/>
      <c r="L151" s="666"/>
      <c r="M151" s="511">
        <v>12</v>
      </c>
      <c r="N151" s="512"/>
      <c r="O151" s="512"/>
      <c r="P151" s="512" t="s">
        <v>3</v>
      </c>
      <c r="Q151" s="635" t="s">
        <v>272</v>
      </c>
      <c r="R151" s="791"/>
      <c r="S151" s="791"/>
      <c r="T151" s="791"/>
      <c r="U151" s="472" t="str" cm="1">
        <f t="array" ref="U151">angleDecimal2Txt(AE150)</f>
        <v>+23°08.09 (+23.1350) [+23°08'06.00]</v>
      </c>
      <c r="V151" s="576"/>
      <c r="W151" s="576"/>
      <c r="X151" s="576"/>
      <c r="Y151" s="576"/>
      <c r="AB151" s="161"/>
      <c r="AC151" s="129" t="s">
        <v>184</v>
      </c>
      <c r="AD151" s="3">
        <f>VLOOKUP(P153,Outils!C9:E10,3)</f>
        <v>1</v>
      </c>
      <c r="AE151" s="3" cm="1">
        <f t="array" ref="AE151">AD151*angleConvert2Decimal(Q153)</f>
        <v>23.133333333333333</v>
      </c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2:66" s="16" customFormat="1" ht="17.25" customHeight="1" thickTop="1" thickBot="1">
      <c r="C152" s="59"/>
      <c r="D152" s="59"/>
      <c r="E152" s="59"/>
      <c r="F152" s="544"/>
      <c r="G152" s="544"/>
      <c r="H152" s="544"/>
      <c r="I152" s="698"/>
      <c r="J152" s="782"/>
      <c r="K152" s="782"/>
      <c r="L152" s="783"/>
      <c r="M152" s="513"/>
      <c r="N152" s="514"/>
      <c r="O152" s="514"/>
      <c r="P152" s="514"/>
      <c r="Q152" s="554"/>
      <c r="R152" s="554"/>
      <c r="S152" s="554"/>
      <c r="T152" s="554"/>
      <c r="U152" s="576"/>
      <c r="V152" s="576"/>
      <c r="W152" s="576"/>
      <c r="X152" s="576"/>
      <c r="Y152" s="576"/>
      <c r="AB152" s="161"/>
      <c r="AC152" s="129" t="s">
        <v>38</v>
      </c>
      <c r="AD152" s="5">
        <f>AE151-AE150</f>
        <v>-1.6666666666687036E-3</v>
      </c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2:66" s="16" customFormat="1" ht="17.25" customHeight="1" thickTop="1" thickBot="1">
      <c r="C153" s="59"/>
      <c r="D153" s="59"/>
      <c r="E153" s="59"/>
      <c r="F153" s="544"/>
      <c r="G153" s="544"/>
      <c r="H153" s="544"/>
      <c r="I153" s="698"/>
      <c r="J153" s="782"/>
      <c r="K153" s="782"/>
      <c r="L153" s="783"/>
      <c r="M153" s="513">
        <v>13</v>
      </c>
      <c r="N153" s="514"/>
      <c r="O153" s="514"/>
      <c r="P153" s="514" t="s">
        <v>3</v>
      </c>
      <c r="Q153" s="553" t="s">
        <v>275</v>
      </c>
      <c r="R153" s="554"/>
      <c r="S153" s="554"/>
      <c r="T153" s="554"/>
      <c r="U153" s="472" t="str" cm="1">
        <f t="array" ref="U153">angleDecimal2Txt((AE151))</f>
        <v>+23°08.00 (+23.1333) [+23°08'00.00]</v>
      </c>
      <c r="V153" s="576"/>
      <c r="W153" s="576"/>
      <c r="X153" s="576"/>
      <c r="Y153" s="576"/>
      <c r="AB153" s="161"/>
      <c r="AC153" s="129" t="s">
        <v>185</v>
      </c>
      <c r="AD153" s="5">
        <f>M153-M151</f>
        <v>1</v>
      </c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2:66" s="16" customFormat="1" ht="17.25" customHeight="1" thickTop="1" thickBot="1">
      <c r="C154" s="59"/>
      <c r="D154" s="59"/>
      <c r="E154" s="59"/>
      <c r="F154" s="544"/>
      <c r="G154" s="544"/>
      <c r="H154" s="544"/>
      <c r="I154" s="667"/>
      <c r="J154" s="922"/>
      <c r="K154" s="922"/>
      <c r="L154" s="668"/>
      <c r="M154" s="513"/>
      <c r="N154" s="514"/>
      <c r="O154" s="514"/>
      <c r="P154" s="514"/>
      <c r="Q154" s="554"/>
      <c r="R154" s="554"/>
      <c r="S154" s="554"/>
      <c r="T154" s="554"/>
      <c r="U154" s="576"/>
      <c r="V154" s="576"/>
      <c r="W154" s="576"/>
      <c r="X154" s="576"/>
      <c r="Y154" s="576"/>
      <c r="AB154" s="161"/>
      <c r="AC154" s="129" t="s">
        <v>39</v>
      </c>
      <c r="AD154" s="5">
        <f>I151-M151</f>
        <v>0.52223279581710891</v>
      </c>
      <c r="AE154"/>
      <c r="AF154"/>
      <c r="AG154"/>
      <c r="AH154"/>
      <c r="AI154" s="11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2:66" s="16" customFormat="1" ht="17.25" customHeight="1" thickTop="1" thickBot="1">
      <c r="C155" s="59"/>
      <c r="D155" s="59"/>
      <c r="E155" s="59"/>
      <c r="F155" s="474" t="str" cm="1">
        <f t="array" ref="F155">angleDecimal2Txt(F151)</f>
        <v>+23°08.04 (+23.1341) [+23°08'02.86]</v>
      </c>
      <c r="G155" s="474"/>
      <c r="H155" s="474"/>
      <c r="I155" s="480"/>
      <c r="J155" s="480"/>
      <c r="K155" s="480"/>
      <c r="AA155" s="14"/>
      <c r="AB155" s="161"/>
      <c r="AC155" s="129" t="s">
        <v>37</v>
      </c>
      <c r="AD155" s="3">
        <f>AE150+(AD152/AD153)*AD154</f>
        <v>23.134129612006973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2:66" s="16" customFormat="1" ht="17.25" customHeight="1" thickTop="1">
      <c r="C156" s="34" t="s">
        <v>14</v>
      </c>
      <c r="D156" s="34"/>
      <c r="E156" s="35"/>
      <c r="F156" s="35"/>
      <c r="G156" s="14"/>
      <c r="H156" s="14"/>
      <c r="I156" s="14"/>
      <c r="AA156" s="14"/>
      <c r="AB156" s="1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2:66" s="16" customFormat="1" ht="17.25" customHeight="1">
      <c r="C157" s="14"/>
      <c r="D157" s="14"/>
      <c r="E157" s="14"/>
      <c r="F157" s="515" t="s">
        <v>9</v>
      </c>
      <c r="G157" s="515"/>
      <c r="H157" s="515"/>
      <c r="I157" s="495" t="s">
        <v>12</v>
      </c>
      <c r="J157" s="496"/>
      <c r="K157" s="496"/>
      <c r="L157" s="497"/>
      <c r="M157" s="516" t="s">
        <v>13</v>
      </c>
      <c r="N157" s="516"/>
      <c r="O157" s="516"/>
      <c r="P157" s="520" t="s">
        <v>16</v>
      </c>
      <c r="Q157" s="520"/>
      <c r="R157" s="520"/>
      <c r="S157" s="520"/>
      <c r="T157" s="520"/>
      <c r="U157" s="520" t="s">
        <v>142</v>
      </c>
      <c r="V157" s="520"/>
      <c r="W157" s="520"/>
      <c r="X157" s="520"/>
      <c r="Y157" s="520"/>
      <c r="AA157" s="14"/>
      <c r="AB157" s="161"/>
      <c r="AC157" s="129" t="s">
        <v>186</v>
      </c>
      <c r="AD157" s="3">
        <f>VLOOKUP(P159,Outils!C9:E10,3)</f>
        <v>-1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2:66" s="16" customFormat="1" ht="17.25" customHeight="1">
      <c r="C158" s="59"/>
      <c r="D158" s="59"/>
      <c r="E158" s="59"/>
      <c r="F158" s="515"/>
      <c r="G158" s="515"/>
      <c r="H158" s="515"/>
      <c r="I158" s="498"/>
      <c r="J158" s="499"/>
      <c r="K158" s="499"/>
      <c r="L158" s="500"/>
      <c r="M158" s="516"/>
      <c r="N158" s="516"/>
      <c r="O158" s="516"/>
      <c r="P158" s="520"/>
      <c r="Q158" s="520"/>
      <c r="R158" s="520"/>
      <c r="S158" s="520"/>
      <c r="T158" s="520"/>
      <c r="U158" s="520"/>
      <c r="V158" s="520"/>
      <c r="W158" s="520"/>
      <c r="X158" s="520"/>
      <c r="Y158" s="520"/>
      <c r="Z158" s="14"/>
      <c r="AA158" s="14"/>
      <c r="AB158" s="161"/>
      <c r="AC158" s="129" t="s">
        <v>187</v>
      </c>
      <c r="AD158" s="3" cm="1">
        <f t="array" ref="AD158">angleConvert2Decimal(Q159)*AD157</f>
        <v>-12.24</v>
      </c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2:66" s="16" customFormat="1" ht="17.25" customHeight="1">
      <c r="C159" s="59"/>
      <c r="D159" s="59"/>
      <c r="F159" s="543" t="str">
        <f>IF(G147=AD148,AD161,"---")</f>
        <v>---</v>
      </c>
      <c r="G159" s="543"/>
      <c r="H159" s="543"/>
      <c r="I159" s="665">
        <f>E117</f>
        <v>12.522232795817109</v>
      </c>
      <c r="J159" s="781"/>
      <c r="K159" s="781"/>
      <c r="L159" s="666"/>
      <c r="M159" s="511">
        <v>0</v>
      </c>
      <c r="N159" s="512"/>
      <c r="O159" s="512"/>
      <c r="P159" s="512" t="s">
        <v>4</v>
      </c>
      <c r="Q159" s="519" t="s">
        <v>136</v>
      </c>
      <c r="R159" s="512"/>
      <c r="S159" s="512"/>
      <c r="T159" s="512"/>
      <c r="U159" s="512" t="s">
        <v>3</v>
      </c>
      <c r="V159" s="519" t="s">
        <v>117</v>
      </c>
      <c r="W159" s="512"/>
      <c r="X159" s="512"/>
      <c r="Y159" s="512"/>
      <c r="Z159" s="14"/>
      <c r="AB159" s="161"/>
      <c r="AC159" s="129" t="s">
        <v>188</v>
      </c>
      <c r="AD159" s="3">
        <f>VLOOKUP(U159,Outils!C9:E10,3)</f>
        <v>1</v>
      </c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2:66" s="16" customFormat="1" ht="17.25" customHeight="1" collapsed="1" thickBot="1">
      <c r="C160" s="59"/>
      <c r="D160" s="59"/>
      <c r="E160" s="59"/>
      <c r="F160" s="544"/>
      <c r="G160" s="544"/>
      <c r="H160" s="544"/>
      <c r="I160" s="667"/>
      <c r="J160" s="922"/>
      <c r="K160" s="922"/>
      <c r="L160" s="668"/>
      <c r="M160" s="513"/>
      <c r="N160" s="514"/>
      <c r="O160" s="514"/>
      <c r="P160" s="514"/>
      <c r="Q160" s="514"/>
      <c r="R160" s="514"/>
      <c r="S160" s="514"/>
      <c r="T160" s="514"/>
      <c r="U160" s="514"/>
      <c r="V160" s="514"/>
      <c r="W160" s="514"/>
      <c r="X160" s="514"/>
      <c r="Y160" s="514"/>
      <c r="Z160" s="14"/>
      <c r="AB160" s="161"/>
      <c r="AC160" s="129" t="s">
        <v>189</v>
      </c>
      <c r="AD160" s="3" cm="1">
        <f t="array" ref="AD160">angleConvert2Decimal(V159)*AD159</f>
        <v>1.6E-2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7" s="16" customFormat="1" ht="17.25" customHeight="1" thickTop="1" thickBot="1">
      <c r="C161" s="59"/>
      <c r="D161" s="59"/>
      <c r="E161" s="59"/>
      <c r="F161" s="474" t="e" cm="1">
        <f t="array" ref="F161">angleDecimal2Txt(F159)</f>
        <v>#VALUE!</v>
      </c>
      <c r="G161" s="474"/>
      <c r="H161" s="474"/>
      <c r="I161" s="480"/>
      <c r="J161" s="480"/>
      <c r="K161" s="480"/>
      <c r="P161" s="474" t="str" cm="1">
        <f t="array" ref="P161">angleDecimal2Txt(AD158)</f>
        <v>-12°14.40 (-12.2400) [-12°14'24.00]</v>
      </c>
      <c r="Q161" s="474"/>
      <c r="R161" s="474"/>
      <c r="S161" s="474"/>
      <c r="T161" s="474"/>
      <c r="U161" s="474" t="str" cm="1">
        <f t="array" ref="U161">angleDecimal2Txt(AD160)</f>
        <v>+00°00.96 (+00.0160) [+00°00'57.60]</v>
      </c>
      <c r="V161" s="457"/>
      <c r="W161" s="457"/>
      <c r="X161" s="457"/>
      <c r="Y161" s="457"/>
      <c r="AB161" s="161"/>
      <c r="AC161" s="129" t="s">
        <v>190</v>
      </c>
      <c r="AD161" s="3">
        <f>AD158+AD160*(I159-M159)</f>
        <v>-12.039644275266927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7" s="16" customFormat="1" ht="17.25" customHeight="1" thickTop="1">
      <c r="C162" s="59"/>
      <c r="D162" s="59"/>
      <c r="E162" s="59"/>
      <c r="F162" s="59"/>
      <c r="G162" s="59"/>
      <c r="S162" s="14"/>
      <c r="T162" s="14"/>
      <c r="U162" s="14"/>
      <c r="V162" s="14"/>
      <c r="W162" s="14"/>
      <c r="X162" s="14"/>
      <c r="AB162" s="1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7" s="16" customFormat="1" ht="17.25" customHeight="1" thickBot="1">
      <c r="C163" s="59"/>
      <c r="D163" s="59"/>
      <c r="E163" s="59"/>
      <c r="F163" s="59"/>
      <c r="G163" s="59"/>
      <c r="S163" s="14"/>
      <c r="T163" s="14"/>
      <c r="U163" s="14"/>
      <c r="V163" s="14"/>
      <c r="W163" s="14"/>
      <c r="X163" s="14"/>
      <c r="AB163" s="1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7" s="16" customFormat="1" ht="17.25" customHeight="1" thickBot="1">
      <c r="B164" s="25" t="s">
        <v>23</v>
      </c>
      <c r="C164" s="26"/>
      <c r="D164" s="1010" t="s">
        <v>72</v>
      </c>
      <c r="E164" s="1011"/>
      <c r="F164" s="532">
        <f>IF(G165=AD165,O204,O194)</f>
        <v>67.147622184360216</v>
      </c>
      <c r="G164" s="532"/>
      <c r="H164" s="532"/>
      <c r="I164" s="26"/>
      <c r="J164" s="26"/>
      <c r="K164" s="26"/>
      <c r="L164" s="26" t="s">
        <v>60</v>
      </c>
      <c r="M164" s="1010">
        <f>O167</f>
        <v>66.95</v>
      </c>
      <c r="N164" s="1010"/>
      <c r="O164" s="26"/>
      <c r="P164" s="60"/>
      <c r="Q164" s="26" t="s">
        <v>99</v>
      </c>
      <c r="R164" s="26"/>
      <c r="S164" s="523">
        <f>-O181+O176+O185</f>
        <v>0.260725308404401</v>
      </c>
      <c r="T164" s="524"/>
      <c r="U164" s="525"/>
      <c r="V164" s="923" t="str" cm="1">
        <f t="array" ref="V164">angleDecimal2Txt(S164)</f>
        <v>+00°15.64 (+00.2607) [+00°15'38.61]</v>
      </c>
      <c r="W164" s="924"/>
      <c r="X164" s="924"/>
      <c r="Y164" s="924"/>
      <c r="Z164" s="925"/>
      <c r="AA164" s="26"/>
      <c r="AB164" s="163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24"/>
    </row>
    <row r="165" spans="1:67" s="16" customFormat="1" ht="17.25" customHeight="1">
      <c r="C165" s="531" t="s">
        <v>35</v>
      </c>
      <c r="D165" s="531"/>
      <c r="E165" s="531"/>
      <c r="F165" s="531"/>
      <c r="G165" s="456" t="s">
        <v>51</v>
      </c>
      <c r="H165" s="456"/>
      <c r="I165" s="456"/>
      <c r="P165" s="16" t="s">
        <v>69</v>
      </c>
      <c r="V165" s="14"/>
      <c r="W165" s="14"/>
      <c r="X165" s="14"/>
      <c r="Y165" s="14"/>
      <c r="Z165" s="14"/>
      <c r="AB165" s="161"/>
      <c r="AC165" s="1009" t="s">
        <v>36</v>
      </c>
      <c r="AD165" s="68" t="s">
        <v>50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7" s="16" customFormat="1" ht="17.25" customHeight="1" thickBot="1">
      <c r="C166" s="33"/>
      <c r="D166" s="33"/>
      <c r="E166" s="33"/>
      <c r="F166" s="1012" t="s">
        <v>62</v>
      </c>
      <c r="G166" s="1012"/>
      <c r="H166" s="1013"/>
      <c r="I166" s="1013"/>
      <c r="J166" s="916">
        <f>IF(G165=AD165,"---",O194)</f>
        <v>67.147622184360216</v>
      </c>
      <c r="K166" s="917"/>
      <c r="L166" s="91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9"/>
      <c r="W166" s="109"/>
      <c r="X166" s="109"/>
      <c r="Y166" s="109"/>
      <c r="Z166" s="109"/>
      <c r="AB166" s="161"/>
      <c r="AC166" s="1009"/>
      <c r="AD166" s="68" t="s">
        <v>51</v>
      </c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s="16" customFormat="1" ht="17.25" customHeight="1" thickTop="1" thickBot="1">
      <c r="H167" s="926" t="s">
        <v>47</v>
      </c>
      <c r="I167" s="927"/>
      <c r="J167" s="927"/>
      <c r="K167" s="927"/>
      <c r="L167" s="927"/>
      <c r="M167" s="927"/>
      <c r="N167" s="928"/>
      <c r="O167" s="586">
        <f>J127</f>
        <v>66.95</v>
      </c>
      <c r="P167" s="586"/>
      <c r="Q167" s="586"/>
      <c r="R167" s="586"/>
      <c r="S167" s="16" t="s">
        <v>54</v>
      </c>
      <c r="U167" s="696" t="str" cm="1">
        <f t="array" ref="U167">angleDecimal2Txt(O167)</f>
        <v>+66°57.00 (+66.9500) [+66°57'00.00]</v>
      </c>
      <c r="V167" s="697"/>
      <c r="W167" s="697"/>
      <c r="X167" s="697"/>
      <c r="Y167" s="697"/>
      <c r="Z167" s="640"/>
      <c r="AB167" s="161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 s="24"/>
    </row>
    <row r="168" spans="1:67" s="16" customFormat="1" ht="17.25" customHeight="1" thickTop="1" thickBot="1">
      <c r="H168" s="926" t="s">
        <v>24</v>
      </c>
      <c r="I168" s="927"/>
      <c r="J168" s="927"/>
      <c r="K168" s="927"/>
      <c r="L168" s="927"/>
      <c r="M168" s="927"/>
      <c r="N168" s="928"/>
      <c r="O168" s="586">
        <f>J126</f>
        <v>2.1666666666666667E-2</v>
      </c>
      <c r="P168" s="586"/>
      <c r="Q168" s="586"/>
      <c r="R168" s="586"/>
      <c r="S168" s="16" t="s">
        <v>54</v>
      </c>
      <c r="U168" s="696" t="str" cm="1">
        <f t="array" ref="U168">angleDecimal2Txt(O168)</f>
        <v>+00°01.30 (+00.0216) [+00°01'18.00]</v>
      </c>
      <c r="V168" s="697"/>
      <c r="W168" s="697"/>
      <c r="X168" s="697"/>
      <c r="Y168" s="697"/>
      <c r="Z168" s="640"/>
      <c r="AB168" s="161"/>
      <c r="AC168" s="129" t="s">
        <v>59</v>
      </c>
      <c r="AD168" s="5">
        <f>O168</f>
        <v>2.1666666666666667E-2</v>
      </c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7" s="16" customFormat="1" ht="17.25" customHeight="1" thickTop="1" thickBot="1">
      <c r="C169" s="59"/>
      <c r="D169" s="59"/>
      <c r="E169" s="59"/>
      <c r="F169" s="59"/>
      <c r="H169" s="926" t="s">
        <v>68</v>
      </c>
      <c r="I169" s="927"/>
      <c r="J169" s="927"/>
      <c r="K169" s="927"/>
      <c r="L169" s="927"/>
      <c r="M169" s="927"/>
      <c r="N169" s="928"/>
      <c r="O169" s="569">
        <f>AD170</f>
        <v>4.1436457377531689E-2</v>
      </c>
      <c r="P169" s="569"/>
      <c r="Q169" s="569"/>
      <c r="R169" s="569"/>
      <c r="S169" s="16" t="s">
        <v>54</v>
      </c>
      <c r="U169" s="696" t="str" cm="1">
        <f t="array" ref="U169">angleDecimal2Txt(O169)</f>
        <v>+00°02.48 (+00.0414) [+00°02'29.17]</v>
      </c>
      <c r="V169" s="697"/>
      <c r="W169" s="697"/>
      <c r="X169" s="697"/>
      <c r="Y169" s="697"/>
      <c r="Z169" s="640"/>
      <c r="AB169" s="161"/>
      <c r="AC169" s="129" t="s">
        <v>46</v>
      </c>
      <c r="AD169" s="3">
        <f>J125</f>
        <v>2</v>
      </c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s="16" customFormat="1" ht="17.25" customHeight="1" thickTop="1" thickBot="1">
      <c r="C170" s="59"/>
      <c r="D170" s="59"/>
      <c r="E170" s="59"/>
      <c r="F170" s="59"/>
      <c r="G170" s="59"/>
      <c r="K170" s="14"/>
      <c r="L170" s="14"/>
      <c r="M170" s="589" t="s">
        <v>122</v>
      </c>
      <c r="N170" s="589"/>
      <c r="O170" s="589"/>
      <c r="P170" s="589"/>
      <c r="Q170" s="14"/>
      <c r="R170" s="14"/>
      <c r="U170" s="14"/>
      <c r="V170" s="14"/>
      <c r="W170" s="14"/>
      <c r="X170" s="14"/>
      <c r="Y170" s="14"/>
      <c r="Z170" s="14"/>
      <c r="AB170" s="161"/>
      <c r="AC170" s="167" t="s">
        <v>67</v>
      </c>
      <c r="AD170" s="3">
        <f>0.0293 * SQRT(AD169)</f>
        <v>4.1436457377531689E-2</v>
      </c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 s="24"/>
    </row>
    <row r="171" spans="1:67" s="16" customFormat="1" ht="17.25" customHeight="1" thickTop="1" thickBot="1">
      <c r="C171" s="59"/>
      <c r="D171" s="59"/>
      <c r="E171" s="59"/>
      <c r="F171" s="59"/>
      <c r="H171" s="929" t="s">
        <v>48</v>
      </c>
      <c r="I171" s="677"/>
      <c r="J171" s="677"/>
      <c r="K171" s="677"/>
      <c r="L171" s="677"/>
      <c r="M171" s="677"/>
      <c r="N171" s="678"/>
      <c r="O171" s="649">
        <f>O167-O168-O169</f>
        <v>66.886896875955813</v>
      </c>
      <c r="P171" s="686"/>
      <c r="Q171" s="16" t="s">
        <v>54</v>
      </c>
      <c r="R171" s="507">
        <f>O171*Outils!F4</f>
        <v>1.1673965769273382</v>
      </c>
      <c r="S171" s="507"/>
      <c r="T171" s="37" t="s">
        <v>64</v>
      </c>
      <c r="U171" s="696" t="str" cm="1">
        <f t="array" ref="U171">angleDecimal2Txt(O171)</f>
        <v>+66°53.21 (+66.8868) [+66°53'12.82]</v>
      </c>
      <c r="V171" s="697"/>
      <c r="W171" s="697"/>
      <c r="X171" s="697"/>
      <c r="Y171" s="697"/>
      <c r="Z171" s="640"/>
      <c r="AB171" s="16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 s="24"/>
    </row>
    <row r="172" spans="1:67" s="16" customFormat="1" ht="17.25" customHeight="1" thickTop="1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U172" s="14"/>
      <c r="V172" s="14"/>
      <c r="W172" s="14"/>
      <c r="X172" s="14"/>
      <c r="Y172" s="14"/>
      <c r="Z172" s="14"/>
      <c r="AB172" s="161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 s="24"/>
    </row>
    <row r="173" spans="1:67" s="16" customFormat="1" ht="17.25" customHeight="1">
      <c r="C173" s="59"/>
      <c r="D173" s="59"/>
      <c r="E173" s="59"/>
      <c r="F173" s="59"/>
      <c r="H173" s="14"/>
      <c r="I173" s="14"/>
      <c r="J173" s="14"/>
      <c r="K173" s="14"/>
      <c r="L173" s="14"/>
      <c r="M173" s="767" t="s">
        <v>61</v>
      </c>
      <c r="N173" s="767"/>
      <c r="O173" s="767"/>
      <c r="P173" s="767"/>
      <c r="Q173" s="14"/>
      <c r="R173" s="14"/>
      <c r="U173" s="14"/>
      <c r="V173" s="14"/>
      <c r="W173" s="14"/>
      <c r="X173" s="14"/>
      <c r="Y173" s="14"/>
      <c r="Z173" s="14"/>
      <c r="AB173" s="1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7" s="16" customFormat="1" ht="17.25" customHeight="1" thickBot="1">
      <c r="M174" s="768" t="s">
        <v>150</v>
      </c>
      <c r="N174" s="768"/>
      <c r="O174" s="767"/>
      <c r="P174" s="767"/>
      <c r="AB174" s="1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7" ht="17.25" customHeight="1" thickTop="1" thickBot="1">
      <c r="A175" s="14"/>
      <c r="B175" s="14"/>
      <c r="C175" s="14"/>
      <c r="D175" s="14"/>
      <c r="E175" s="14"/>
      <c r="F175" s="16"/>
      <c r="G175" s="16"/>
      <c r="H175" s="549" t="s">
        <v>52</v>
      </c>
      <c r="I175" s="550"/>
      <c r="J175" s="550"/>
      <c r="K175" s="550"/>
      <c r="L175" s="550"/>
      <c r="M175" s="550"/>
      <c r="N175" s="551"/>
      <c r="O175" s="769">
        <f>J130</f>
        <v>2.8833333333333332E-3</v>
      </c>
      <c r="P175" s="770"/>
      <c r="Q175" s="770"/>
      <c r="R175" s="770"/>
      <c r="S175" s="16" t="s">
        <v>54</v>
      </c>
      <c r="T175" s="16"/>
      <c r="U175" s="696" t="str" cm="1">
        <f t="array" ref="U175">angleDecimal2Txt(O175)</f>
        <v>+00°00.17 (+00.0028) [+00°00'10.37]</v>
      </c>
      <c r="V175" s="697"/>
      <c r="W175" s="697"/>
      <c r="X175" s="697"/>
      <c r="Y175" s="697"/>
      <c r="Z175" s="640"/>
      <c r="AA175" s="16"/>
      <c r="AB175" s="161"/>
      <c r="AC175" s="129" t="s">
        <v>194</v>
      </c>
      <c r="AD175" s="3">
        <f>O175*COS(R171)</f>
        <v>1.1318451843031962E-3</v>
      </c>
      <c r="BN175" s="24"/>
      <c r="BO175" s="16"/>
    </row>
    <row r="176" spans="1:67" ht="17.25" customHeight="1" thickTop="1" thickBot="1">
      <c r="A176" s="14"/>
      <c r="B176" s="14"/>
      <c r="C176" s="14"/>
      <c r="D176" s="14"/>
      <c r="E176" s="14"/>
      <c r="F176" s="16"/>
      <c r="G176" s="16"/>
      <c r="H176" s="676" t="s">
        <v>151</v>
      </c>
      <c r="I176" s="677"/>
      <c r="J176" s="677"/>
      <c r="K176" s="677"/>
      <c r="L176" s="677"/>
      <c r="M176" s="677"/>
      <c r="N176" s="678"/>
      <c r="O176" s="642">
        <f>AD175</f>
        <v>1.1318451843031962E-3</v>
      </c>
      <c r="P176" s="642"/>
      <c r="Q176" s="642"/>
      <c r="R176" s="642"/>
      <c r="S176" s="16" t="s">
        <v>54</v>
      </c>
      <c r="T176" s="16"/>
      <c r="U176" s="696" t="str" cm="1">
        <f t="array" ref="U176">angleDecimal2Txt(O176)</f>
        <v>+00°00.06 (+00.0011) [+00°00'04.07]</v>
      </c>
      <c r="V176" s="697"/>
      <c r="W176" s="697"/>
      <c r="X176" s="697"/>
      <c r="Y176" s="697"/>
      <c r="Z176" s="640"/>
      <c r="AA176" s="16"/>
      <c r="AB176" s="161"/>
      <c r="BN176" s="24"/>
      <c r="BO176" s="16"/>
    </row>
    <row r="177" spans="1:67" ht="17.25" customHeight="1" thickTop="1">
      <c r="A177" s="14"/>
      <c r="B177" s="14"/>
      <c r="C177" s="14"/>
      <c r="D177" s="14"/>
      <c r="E177" s="14"/>
      <c r="F177" s="16"/>
      <c r="G177" s="16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6"/>
      <c r="AB177" s="161"/>
      <c r="BN177" s="24"/>
      <c r="BO177" s="16"/>
    </row>
    <row r="178" spans="1:67" ht="17.25" customHeight="1">
      <c r="A178" s="14"/>
      <c r="B178" s="14"/>
      <c r="C178" s="14"/>
      <c r="D178" s="14"/>
      <c r="E178" s="59"/>
      <c r="F178" s="16"/>
      <c r="G178" s="16"/>
      <c r="H178" s="14"/>
      <c r="I178" s="14"/>
      <c r="J178" s="14"/>
      <c r="K178" s="14"/>
      <c r="L178" s="14"/>
      <c r="M178" s="14"/>
      <c r="N178" s="14"/>
      <c r="O178" s="14"/>
      <c r="P178" s="16"/>
      <c r="Q178" s="16"/>
      <c r="R178" s="16"/>
      <c r="S178" s="772" t="s">
        <v>135</v>
      </c>
      <c r="T178" s="773"/>
      <c r="U178" s="774"/>
      <c r="V178" s="16"/>
      <c r="W178" s="16"/>
      <c r="X178" s="16"/>
      <c r="Y178" s="14"/>
      <c r="Z178" s="14"/>
      <c r="AA178" s="16"/>
      <c r="AB178" s="161"/>
      <c r="AC178" s="129" t="s">
        <v>49</v>
      </c>
      <c r="AD178" s="3" t="s">
        <v>196</v>
      </c>
      <c r="BN178" s="24"/>
      <c r="BO178" s="16"/>
    </row>
    <row r="179" spans="1:67" ht="17.25" customHeight="1">
      <c r="A179" s="14"/>
      <c r="B179" s="14"/>
      <c r="C179" s="14"/>
      <c r="D179" s="14"/>
      <c r="E179" s="59"/>
      <c r="F179" s="16"/>
      <c r="G179" s="16"/>
      <c r="H179" s="549" t="s">
        <v>65</v>
      </c>
      <c r="I179" s="550"/>
      <c r="J179" s="550"/>
      <c r="K179" s="550"/>
      <c r="L179" s="550"/>
      <c r="M179" s="550"/>
      <c r="N179" s="551"/>
      <c r="O179" s="663">
        <f>S179</f>
        <v>10</v>
      </c>
      <c r="P179" s="664"/>
      <c r="Q179" s="664"/>
      <c r="R179" s="664"/>
      <c r="S179" s="583">
        <v>10</v>
      </c>
      <c r="T179" s="584"/>
      <c r="U179" s="585"/>
      <c r="V179" s="16"/>
      <c r="W179" s="16"/>
      <c r="X179" s="16"/>
      <c r="Y179" s="14"/>
      <c r="Z179" s="14"/>
      <c r="AA179" s="16"/>
      <c r="AB179" s="161"/>
      <c r="AC179" s="129" t="s">
        <v>197</v>
      </c>
      <c r="AD179" s="3">
        <f>1/TAN((O171 + 7.31 / (O171 + 4.4)) * Outils!F4)</f>
        <v>0.4246923427253872</v>
      </c>
      <c r="BN179" s="24"/>
      <c r="BO179" s="16"/>
    </row>
    <row r="180" spans="1:67" ht="17.25" customHeight="1" thickBot="1">
      <c r="A180" s="14"/>
      <c r="B180" s="14"/>
      <c r="C180" s="14"/>
      <c r="D180" s="14"/>
      <c r="E180" s="14"/>
      <c r="F180" s="16"/>
      <c r="G180" s="16"/>
      <c r="H180" s="549" t="s">
        <v>66</v>
      </c>
      <c r="I180" s="550"/>
      <c r="J180" s="550"/>
      <c r="K180" s="550"/>
      <c r="L180" s="550"/>
      <c r="M180" s="550"/>
      <c r="N180" s="551"/>
      <c r="O180" s="663">
        <f>S180</f>
        <v>1010</v>
      </c>
      <c r="P180" s="664"/>
      <c r="Q180" s="664"/>
      <c r="R180" s="664"/>
      <c r="S180" s="583">
        <v>1010</v>
      </c>
      <c r="T180" s="584"/>
      <c r="U180" s="585"/>
      <c r="V180" s="16"/>
      <c r="W180" s="16"/>
      <c r="X180" s="16"/>
      <c r="Y180" s="14"/>
      <c r="Z180" s="14"/>
      <c r="AA180" s="16"/>
      <c r="AB180" s="161"/>
      <c r="AC180" s="129" t="s">
        <v>198</v>
      </c>
      <c r="AD180" s="3">
        <f>AD179/60</f>
        <v>7.0782057120897862E-3</v>
      </c>
      <c r="BN180" s="24"/>
      <c r="BO180" s="16"/>
    </row>
    <row r="181" spans="1:67" ht="17.25" customHeight="1" thickTop="1" thickBot="1">
      <c r="A181" s="14"/>
      <c r="B181" s="14"/>
      <c r="C181" s="14"/>
      <c r="D181" s="14"/>
      <c r="E181" s="14"/>
      <c r="F181" s="16"/>
      <c r="G181" s="16"/>
      <c r="H181" s="676" t="s">
        <v>152</v>
      </c>
      <c r="I181" s="677"/>
      <c r="J181" s="677"/>
      <c r="K181" s="677"/>
      <c r="L181" s="677"/>
      <c r="M181" s="677"/>
      <c r="N181" s="678"/>
      <c r="O181" s="642">
        <f>AD182</f>
        <v>7.0732034465688749E-3</v>
      </c>
      <c r="P181" s="642"/>
      <c r="Q181" s="642"/>
      <c r="R181" s="642"/>
      <c r="S181" s="16" t="s">
        <v>54</v>
      </c>
      <c r="T181" s="16"/>
      <c r="U181" s="696" t="str" cm="1">
        <f t="array" ref="U181">angleDecimal2Txt(O181)</f>
        <v>+00°00.42 (+00.0070) [+00°00'25.46]</v>
      </c>
      <c r="V181" s="697"/>
      <c r="W181" s="697"/>
      <c r="X181" s="697"/>
      <c r="Y181" s="697"/>
      <c r="Z181" s="640"/>
      <c r="AA181" s="16"/>
      <c r="AB181" s="161"/>
      <c r="AC181" s="129" t="s">
        <v>100</v>
      </c>
      <c r="AD181" s="3">
        <f xml:space="preserve"> 0.28 * O180 / (273 + O179)</f>
        <v>0.99929328621908131</v>
      </c>
      <c r="BN181" s="24"/>
      <c r="BO181" s="16"/>
    </row>
    <row r="182" spans="1:67" ht="17.25" customHeight="1" thickTop="1">
      <c r="A182" s="14"/>
      <c r="B182" s="14"/>
      <c r="C182" s="14"/>
      <c r="D182" s="14"/>
      <c r="E182" s="14"/>
      <c r="F182" s="16"/>
      <c r="G182" s="16"/>
      <c r="H182" s="14"/>
      <c r="I182" s="14"/>
      <c r="J182" s="14"/>
      <c r="K182" s="14"/>
      <c r="L182" s="14"/>
      <c r="M182" s="14"/>
      <c r="N182" s="14"/>
      <c r="O182" s="14"/>
      <c r="P182" s="16"/>
      <c r="Q182" s="16"/>
      <c r="R182" s="16"/>
      <c r="S182" s="16"/>
      <c r="T182" s="16"/>
      <c r="U182" s="16"/>
      <c r="V182" s="16"/>
      <c r="W182" s="16"/>
      <c r="X182" s="16"/>
      <c r="Y182" s="14"/>
      <c r="Z182" s="14"/>
      <c r="AA182" s="16"/>
      <c r="AB182" s="161"/>
      <c r="AC182" s="129" t="s">
        <v>195</v>
      </c>
      <c r="AD182" s="3">
        <f>AD181*AD180</f>
        <v>7.0732034465688749E-3</v>
      </c>
      <c r="BN182" s="24"/>
      <c r="BO182" s="16"/>
    </row>
    <row r="183" spans="1:67" ht="17.25" customHeight="1">
      <c r="A183" s="14"/>
      <c r="B183" s="14"/>
      <c r="C183" s="14"/>
      <c r="D183" s="14"/>
      <c r="E183" s="14"/>
      <c r="F183" s="16"/>
      <c r="G183" s="16"/>
      <c r="H183" s="549" t="s">
        <v>106</v>
      </c>
      <c r="I183" s="550"/>
      <c r="J183" s="550"/>
      <c r="K183" s="550"/>
      <c r="L183" s="550"/>
      <c r="M183" s="550"/>
      <c r="N183" s="551"/>
      <c r="O183" s="662">
        <f>J134</f>
        <v>0.53333333333333333</v>
      </c>
      <c r="P183" s="662"/>
      <c r="Q183" s="662"/>
      <c r="R183" s="662"/>
      <c r="S183" s="16"/>
      <c r="T183" s="16"/>
      <c r="U183" s="16"/>
      <c r="V183" s="16"/>
      <c r="W183" s="16"/>
      <c r="X183" s="16"/>
      <c r="Y183" s="16"/>
      <c r="Z183" s="16"/>
      <c r="AA183" s="16"/>
      <c r="AB183" s="161"/>
      <c r="BN183" s="24"/>
      <c r="BO183" s="16"/>
    </row>
    <row r="184" spans="1:67" ht="17.25" customHeight="1" thickBot="1">
      <c r="A184" s="16"/>
      <c r="B184" s="14"/>
      <c r="C184" s="14"/>
      <c r="D184" s="14"/>
      <c r="E184" s="59"/>
      <c r="F184" s="59"/>
      <c r="G184" s="59"/>
      <c r="H184" s="549" t="s">
        <v>70</v>
      </c>
      <c r="I184" s="550"/>
      <c r="J184" s="550"/>
      <c r="K184" s="550"/>
      <c r="L184" s="550"/>
      <c r="M184" s="550"/>
      <c r="N184" s="551"/>
      <c r="O184" s="662" t="str">
        <f>J129</f>
        <v>BordInf</v>
      </c>
      <c r="P184" s="662"/>
      <c r="Q184" s="662"/>
      <c r="R184" s="662"/>
      <c r="S184" s="16"/>
      <c r="T184" s="16"/>
      <c r="U184" s="16"/>
      <c r="V184" s="16"/>
      <c r="W184" s="16"/>
      <c r="X184" s="16"/>
      <c r="Y184" s="16"/>
      <c r="Z184" s="16"/>
      <c r="AA184" s="16"/>
      <c r="AB184" s="161"/>
      <c r="AC184" s="129" t="s">
        <v>30</v>
      </c>
      <c r="AD184" s="578" t="str">
        <f>J128</f>
        <v>Soleil</v>
      </c>
      <c r="AE184" s="578"/>
      <c r="BN184" s="24"/>
      <c r="BO184" s="16"/>
    </row>
    <row r="185" spans="1:67" ht="17.25" customHeight="1" thickTop="1" thickBot="1">
      <c r="A185" s="16"/>
      <c r="B185" s="16"/>
      <c r="C185" s="59"/>
      <c r="D185" s="59"/>
      <c r="E185" s="59"/>
      <c r="F185" s="59"/>
      <c r="G185" s="59"/>
      <c r="H185" s="676" t="s">
        <v>71</v>
      </c>
      <c r="I185" s="677"/>
      <c r="J185" s="677"/>
      <c r="K185" s="677"/>
      <c r="L185" s="677"/>
      <c r="M185" s="677"/>
      <c r="N185" s="678"/>
      <c r="O185" s="682">
        <f>AD188</f>
        <v>0.26666666666666666</v>
      </c>
      <c r="P185" s="682"/>
      <c r="Q185" s="682"/>
      <c r="R185" s="682"/>
      <c r="S185" s="16" t="s">
        <v>54</v>
      </c>
      <c r="T185" s="16"/>
      <c r="U185" s="696" t="str" cm="1">
        <f t="array" ref="U185">angleDecimal2Txt(O185)</f>
        <v>+00°16.00 (+00.2666) [+00°16'00.00]</v>
      </c>
      <c r="V185" s="697"/>
      <c r="W185" s="697"/>
      <c r="X185" s="697"/>
      <c r="Y185" s="697"/>
      <c r="Z185" s="640"/>
      <c r="AA185" s="16"/>
      <c r="AB185" s="161"/>
      <c r="AC185" s="129" t="s">
        <v>202</v>
      </c>
      <c r="AD185" s="578" t="str">
        <f>O184</f>
        <v>BordInf</v>
      </c>
      <c r="AE185" s="578"/>
      <c r="BN185" s="24"/>
      <c r="BO185" s="16"/>
    </row>
    <row r="186" spans="1:67" ht="17.25" customHeight="1" thickTop="1">
      <c r="A186" s="16"/>
      <c r="B186" s="16"/>
      <c r="C186" s="59"/>
      <c r="D186" s="59"/>
      <c r="E186" s="59"/>
      <c r="F186" s="59"/>
      <c r="G186" s="59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6"/>
      <c r="AB186" s="161"/>
      <c r="AC186" s="129" t="s">
        <v>203</v>
      </c>
      <c r="AD186" s="579">
        <f>HLOOKUP(AD185,AD133:AF134,2)</f>
        <v>0.5</v>
      </c>
      <c r="AE186" s="579"/>
      <c r="BN186" s="24"/>
      <c r="BO186" s="16"/>
    </row>
    <row r="187" spans="1:67" ht="17.25" customHeight="1">
      <c r="A187" s="16"/>
      <c r="B187" s="16"/>
      <c r="C187" s="59"/>
      <c r="D187" s="59"/>
      <c r="E187" s="59"/>
      <c r="F187" s="59"/>
      <c r="G187" s="591" t="s">
        <v>115</v>
      </c>
      <c r="H187" s="592"/>
      <c r="I187" s="592"/>
      <c r="J187" s="592"/>
      <c r="K187" s="592"/>
      <c r="L187" s="592"/>
      <c r="M187" s="592"/>
      <c r="N187" s="592"/>
      <c r="O187" s="592"/>
      <c r="P187" s="592"/>
      <c r="Q187" s="592"/>
      <c r="R187" s="592"/>
      <c r="S187" s="593"/>
      <c r="T187" s="14"/>
      <c r="U187" s="14"/>
      <c r="V187" s="14"/>
      <c r="W187" s="14"/>
      <c r="X187" s="14"/>
      <c r="Y187" s="14"/>
      <c r="Z187" s="14"/>
      <c r="AA187" s="16"/>
      <c r="AB187" s="161"/>
      <c r="AC187" s="129" t="s">
        <v>106</v>
      </c>
      <c r="AD187" s="3" t="str">
        <f>HLOOKUP(AD184,AD129:AF131,3)</f>
        <v>32'</v>
      </c>
      <c r="AE187" s="3" cm="1">
        <f t="array" ref="AE187">angleConvert2Decimal(AD187)</f>
        <v>0.53333333333333333</v>
      </c>
      <c r="BN187" s="24"/>
      <c r="BO187" s="16"/>
    </row>
    <row r="188" spans="1:67" ht="17.25" customHeight="1">
      <c r="A188" s="16"/>
      <c r="B188" s="16"/>
      <c r="C188" s="59"/>
      <c r="D188" s="59"/>
      <c r="E188" s="59"/>
      <c r="F188" s="59"/>
      <c r="G188" s="665" t="s">
        <v>124</v>
      </c>
      <c r="H188" s="666"/>
      <c r="I188" s="460" t="s">
        <v>119</v>
      </c>
      <c r="J188" s="461"/>
      <c r="K188" s="461"/>
      <c r="L188" s="461"/>
      <c r="M188" s="461"/>
      <c r="N188" s="462"/>
      <c r="O188" s="775">
        <f>(O176-O181-O169+O183/2) * 60</f>
        <v>13.157331061612158</v>
      </c>
      <c r="P188" s="587"/>
      <c r="Q188" s="587"/>
      <c r="R188" s="587"/>
      <c r="S188" s="594" t="s">
        <v>116</v>
      </c>
      <c r="T188" s="14"/>
      <c r="U188" s="14"/>
      <c r="V188" s="14"/>
      <c r="W188" s="14"/>
      <c r="X188" s="14"/>
      <c r="Y188" s="14"/>
      <c r="Z188" s="14"/>
      <c r="AA188" s="16"/>
      <c r="AB188" s="161"/>
      <c r="AC188" s="129" t="s">
        <v>203</v>
      </c>
      <c r="AD188" s="579">
        <f>AE187*AD186</f>
        <v>0.26666666666666666</v>
      </c>
      <c r="AE188" s="579"/>
      <c r="BN188" s="24"/>
      <c r="BO188" s="16"/>
    </row>
    <row r="189" spans="1:67" ht="17.25" customHeight="1">
      <c r="A189" s="16"/>
      <c r="B189" s="16"/>
      <c r="C189" s="59"/>
      <c r="D189" s="59"/>
      <c r="E189" s="59"/>
      <c r="F189" s="59"/>
      <c r="G189" s="667"/>
      <c r="H189" s="668"/>
      <c r="I189" s="659" t="s">
        <v>123</v>
      </c>
      <c r="J189" s="660"/>
      <c r="K189" s="660"/>
      <c r="L189" s="660"/>
      <c r="M189" s="660"/>
      <c r="N189" s="661"/>
      <c r="O189" s="776"/>
      <c r="P189" s="588"/>
      <c r="Q189" s="588"/>
      <c r="R189" s="588"/>
      <c r="S189" s="595"/>
      <c r="T189" s="14"/>
      <c r="U189" s="14"/>
      <c r="V189" s="14"/>
      <c r="W189" s="14"/>
      <c r="X189" s="14"/>
      <c r="Y189" s="14"/>
      <c r="Z189" s="14"/>
      <c r="AA189" s="16"/>
      <c r="AB189" s="161"/>
      <c r="BN189" s="24"/>
      <c r="BO189" s="16"/>
    </row>
    <row r="190" spans="1:67" ht="17.25" customHeight="1">
      <c r="A190" s="16"/>
      <c r="B190" s="16"/>
      <c r="C190" s="59"/>
      <c r="D190" s="59"/>
      <c r="E190" s="59"/>
      <c r="F190" s="59"/>
      <c r="G190" s="59"/>
      <c r="H190" s="14"/>
      <c r="I190" s="460" t="s">
        <v>120</v>
      </c>
      <c r="J190" s="461"/>
      <c r="K190" s="461"/>
      <c r="L190" s="461"/>
      <c r="M190" s="461"/>
      <c r="N190" s="462"/>
      <c r="O190" s="587">
        <f>(O176-O181+O183/2)*60</f>
        <v>15.64351850426406</v>
      </c>
      <c r="P190" s="587"/>
      <c r="Q190" s="587"/>
      <c r="R190" s="587"/>
      <c r="S190" s="594" t="s">
        <v>116</v>
      </c>
      <c r="T190" s="14"/>
      <c r="U190" s="14"/>
      <c r="V190" s="14"/>
      <c r="W190" s="14"/>
      <c r="X190" s="14"/>
      <c r="Y190" s="14"/>
      <c r="Z190" s="14"/>
      <c r="AA190" s="16"/>
      <c r="AB190" s="161"/>
      <c r="BN190" s="24"/>
      <c r="BO190" s="16"/>
    </row>
    <row r="191" spans="1:67" ht="17.25" customHeight="1">
      <c r="A191" s="16"/>
      <c r="B191" s="16"/>
      <c r="C191" s="59"/>
      <c r="D191" s="59"/>
      <c r="E191" s="59"/>
      <c r="F191" s="59"/>
      <c r="G191" s="59"/>
      <c r="H191" s="14"/>
      <c r="I191" s="659" t="s">
        <v>121</v>
      </c>
      <c r="J191" s="660"/>
      <c r="K191" s="660"/>
      <c r="L191" s="660"/>
      <c r="M191" s="660"/>
      <c r="N191" s="661"/>
      <c r="O191" s="588"/>
      <c r="P191" s="588"/>
      <c r="Q191" s="588"/>
      <c r="R191" s="588"/>
      <c r="S191" s="595"/>
      <c r="T191" s="14"/>
      <c r="U191" s="14"/>
      <c r="V191" s="14"/>
      <c r="W191" s="14"/>
      <c r="X191" s="14"/>
      <c r="Y191" s="14"/>
      <c r="Z191" s="14"/>
      <c r="AA191" s="16"/>
      <c r="AB191" s="161"/>
      <c r="BN191" s="24"/>
      <c r="BO191" s="16"/>
    </row>
    <row r="192" spans="1:67" ht="17.25" customHeight="1">
      <c r="A192" s="16"/>
      <c r="B192" s="16"/>
      <c r="C192" s="59"/>
      <c r="D192" s="59"/>
      <c r="E192" s="59"/>
      <c r="F192" s="59"/>
      <c r="G192" s="59"/>
      <c r="H192" s="14"/>
      <c r="I192" s="956" t="s">
        <v>71</v>
      </c>
      <c r="J192" s="957"/>
      <c r="K192" s="957"/>
      <c r="L192" s="957"/>
      <c r="M192" s="957"/>
      <c r="N192" s="958"/>
      <c r="O192" s="687">
        <f>O185*60</f>
        <v>16</v>
      </c>
      <c r="P192" s="688"/>
      <c r="Q192" s="688"/>
      <c r="R192" s="688"/>
      <c r="S192" s="75" t="s">
        <v>116</v>
      </c>
      <c r="T192" s="14"/>
      <c r="U192" s="14"/>
      <c r="V192" s="14"/>
      <c r="W192" s="14"/>
      <c r="X192" s="14"/>
      <c r="Y192" s="14"/>
      <c r="Z192" s="14"/>
      <c r="AA192" s="16"/>
      <c r="AB192" s="161"/>
      <c r="BN192" s="24"/>
      <c r="BO192" s="16"/>
    </row>
    <row r="193" spans="1:67" ht="17.25" customHeight="1" thickBot="1">
      <c r="A193" s="16"/>
      <c r="B193" s="16"/>
      <c r="C193" s="59"/>
      <c r="D193" s="59"/>
      <c r="E193" s="59"/>
      <c r="F193" s="59"/>
      <c r="G193" s="59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6"/>
      <c r="T193" s="16"/>
      <c r="U193" s="16"/>
      <c r="V193" s="16"/>
      <c r="W193" s="16"/>
      <c r="X193" s="16"/>
      <c r="Y193" s="16"/>
      <c r="Z193" s="16"/>
      <c r="AA193" s="16"/>
      <c r="AB193" s="161"/>
      <c r="BN193" s="24"/>
      <c r="BO193" s="16"/>
    </row>
    <row r="194" spans="1:67" ht="17.25" customHeight="1" thickTop="1" thickBot="1">
      <c r="A194" s="16"/>
      <c r="B194" s="16"/>
      <c r="C194" s="59"/>
      <c r="D194" s="59"/>
      <c r="E194" s="59"/>
      <c r="F194" s="59"/>
      <c r="G194" s="59"/>
      <c r="H194" s="1014" t="s">
        <v>153</v>
      </c>
      <c r="I194" s="1015"/>
      <c r="J194" s="1015"/>
      <c r="K194" s="1015"/>
      <c r="L194" s="1015"/>
      <c r="M194" s="1015"/>
      <c r="N194" s="1016"/>
      <c r="O194" s="686">
        <f>O171-O181+O176+O185</f>
        <v>67.147622184360216</v>
      </c>
      <c r="P194" s="642"/>
      <c r="Q194" s="642"/>
      <c r="R194" s="642"/>
      <c r="S194" s="16" t="s">
        <v>54</v>
      </c>
      <c r="T194" s="16"/>
      <c r="U194" s="696" t="str" cm="1">
        <f t="array" ref="U194">angleDecimal2Txt(O194)</f>
        <v>+67°08.85 (+67.1476) [+67°08'51.43]</v>
      </c>
      <c r="V194" s="697"/>
      <c r="W194" s="697"/>
      <c r="X194" s="697"/>
      <c r="Y194" s="697"/>
      <c r="Z194" s="640"/>
      <c r="AA194" s="16"/>
      <c r="AB194" s="161"/>
      <c r="BN194" s="24"/>
      <c r="BO194" s="16"/>
    </row>
    <row r="195" spans="1:67" ht="17.25" customHeight="1" thickTop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1"/>
      <c r="BN195" s="24"/>
      <c r="BO195" s="16"/>
    </row>
    <row r="196" spans="1:67" ht="17.25" customHeight="1">
      <c r="A196" s="16"/>
      <c r="B196" s="16"/>
      <c r="C196" s="59"/>
      <c r="D196" s="59"/>
      <c r="E196" s="59"/>
      <c r="F196" s="1012" t="s">
        <v>63</v>
      </c>
      <c r="G196" s="1012"/>
      <c r="H196" s="1012"/>
      <c r="I196" s="1012"/>
      <c r="J196" s="649" t="str">
        <f>IF(G165=AD165,O204,"---")</f>
        <v>---</v>
      </c>
      <c r="K196" s="650"/>
      <c r="L196" s="686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6"/>
      <c r="AB196" s="161"/>
      <c r="BN196" s="24"/>
      <c r="BO196" s="16"/>
    </row>
    <row r="197" spans="1:67" ht="17.25" customHeight="1">
      <c r="A197" s="16"/>
      <c r="B197" s="16"/>
      <c r="C197" s="59"/>
      <c r="D197" s="59"/>
      <c r="E197" s="59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1"/>
      <c r="BN197" s="24"/>
      <c r="BO197" s="16"/>
    </row>
    <row r="198" spans="1:67" ht="17.25" customHeight="1">
      <c r="A198" s="16"/>
      <c r="B198" s="16"/>
      <c r="C198" s="59"/>
      <c r="D198" s="59"/>
      <c r="E198" s="59"/>
      <c r="M198" s="16"/>
      <c r="N198" s="16"/>
      <c r="O198" s="16"/>
      <c r="P198" s="16"/>
      <c r="Q198" s="16"/>
      <c r="R198" s="16"/>
      <c r="S198" s="16"/>
      <c r="T198" s="111" t="s">
        <v>84</v>
      </c>
      <c r="U198" s="1017" t="s">
        <v>33</v>
      </c>
      <c r="V198" s="1017"/>
      <c r="W198" s="16"/>
      <c r="X198" s="16"/>
      <c r="Y198" s="16"/>
      <c r="Z198" s="16"/>
      <c r="AA198" s="16"/>
      <c r="AB198" s="161"/>
      <c r="BN198" s="24"/>
      <c r="BO198" s="16"/>
    </row>
    <row r="199" spans="1:67" ht="17.25" customHeigh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12" t="s">
        <v>80</v>
      </c>
      <c r="U199" s="1017" t="s">
        <v>82</v>
      </c>
      <c r="V199" s="1017"/>
      <c r="W199" s="16"/>
      <c r="X199" s="16"/>
      <c r="Y199" s="16"/>
      <c r="Z199" s="16"/>
      <c r="AA199" s="16"/>
      <c r="AB199" s="161"/>
      <c r="BN199" s="24"/>
      <c r="BO199" s="16"/>
    </row>
    <row r="200" spans="1:67" ht="17.25" customHeight="1">
      <c r="A200" s="16"/>
      <c r="B200" s="16"/>
      <c r="C200" s="59"/>
      <c r="D200" s="59"/>
      <c r="E200" s="59"/>
      <c r="F200" s="59"/>
      <c r="G200" s="59"/>
      <c r="H200" s="16" t="s">
        <v>72</v>
      </c>
      <c r="I200" s="40" t="s">
        <v>74</v>
      </c>
      <c r="J200" s="16" t="s">
        <v>60</v>
      </c>
      <c r="K200" s="1018" t="s">
        <v>77</v>
      </c>
      <c r="L200" s="16" t="s">
        <v>59</v>
      </c>
      <c r="M200" s="16"/>
      <c r="N200" s="1018" t="s">
        <v>79</v>
      </c>
      <c r="O200" s="40" t="s">
        <v>246</v>
      </c>
      <c r="P200" s="16"/>
      <c r="Q200" s="1018" t="s">
        <v>79</v>
      </c>
      <c r="R200" s="16" t="s">
        <v>247</v>
      </c>
      <c r="S200" s="16"/>
      <c r="T200" s="110" t="s">
        <v>81</v>
      </c>
      <c r="U200" s="1019" t="s">
        <v>83</v>
      </c>
      <c r="V200" s="1019"/>
      <c r="W200" s="16"/>
      <c r="X200" s="16"/>
      <c r="Y200" s="16"/>
      <c r="AB200" s="161"/>
      <c r="BN200" s="24"/>
      <c r="BO200" s="16"/>
    </row>
    <row r="201" spans="1:67" ht="17.25" customHeight="1" thickBot="1">
      <c r="A201" s="16"/>
      <c r="B201" s="16"/>
      <c r="C201" s="59"/>
      <c r="D201" s="59"/>
      <c r="E201" s="59"/>
      <c r="F201" s="59"/>
      <c r="G201" s="59"/>
      <c r="H201" s="16"/>
      <c r="I201" s="40"/>
      <c r="J201" s="42">
        <f>O167</f>
        <v>66.95</v>
      </c>
      <c r="K201" s="1018"/>
      <c r="L201" s="689">
        <f>O168</f>
        <v>2.1666666666666667E-2</v>
      </c>
      <c r="M201" s="690"/>
      <c r="N201" s="1018"/>
      <c r="O201" s="693" t="s">
        <v>157</v>
      </c>
      <c r="P201" s="694"/>
      <c r="Q201" s="1018"/>
      <c r="R201" s="113" t="s">
        <v>81</v>
      </c>
      <c r="S201" s="16"/>
      <c r="T201" s="16"/>
      <c r="U201" s="16"/>
      <c r="AB201" s="161"/>
      <c r="BN201" s="24"/>
      <c r="BO201" s="16"/>
    </row>
    <row r="202" spans="1:67" ht="17.25" customHeight="1" thickTop="1" thickBot="1">
      <c r="A202" s="16"/>
      <c r="B202" s="16"/>
      <c r="C202" s="59"/>
      <c r="D202" s="59"/>
      <c r="E202" s="59"/>
      <c r="F202" s="59"/>
      <c r="G202" s="59"/>
      <c r="H202" s="16"/>
      <c r="I202" s="40"/>
      <c r="K202" s="40" t="s">
        <v>245</v>
      </c>
      <c r="L202" s="691" cm="1">
        <f t="array" ref="L202">angleConvert2Decimal(L201)</f>
        <v>2.1666666666666699E-2</v>
      </c>
      <c r="M202" s="692"/>
      <c r="N202" s="16"/>
      <c r="O202" s="482" cm="1">
        <f t="array" ref="O202">angleConvert2Decimal(O201)</f>
        <v>0.17166666666666669</v>
      </c>
      <c r="P202" s="483"/>
      <c r="Q202" s="11"/>
      <c r="R202" s="104" cm="1">
        <f t="array" ref="R202">angleConvert2Decimal(R201)</f>
        <v>-0.53333333333333333</v>
      </c>
      <c r="T202" s="7" t="s">
        <v>111</v>
      </c>
      <c r="U202" s="7"/>
      <c r="V202" s="7">
        <f>R202+O202</f>
        <v>-0.36166666666666664</v>
      </c>
      <c r="W202" s="696" t="str" cm="1">
        <f t="array" ref="W202">angleDecimal2Txt(V202)</f>
        <v>-00°21.69 (-00.3616) [-00°21'42.00]</v>
      </c>
      <c r="X202" s="697"/>
      <c r="Y202" s="697"/>
      <c r="Z202" s="697"/>
      <c r="AA202" s="640"/>
      <c r="AB202" s="161"/>
      <c r="BN202" s="24"/>
      <c r="BO202" s="16"/>
    </row>
    <row r="203" spans="1:67" ht="17.25" customHeight="1" thickTop="1" thickBot="1">
      <c r="A203" s="16"/>
      <c r="B203" s="16"/>
      <c r="C203" s="59"/>
      <c r="D203" s="59"/>
      <c r="E203" s="59"/>
      <c r="F203" s="59"/>
      <c r="G203" s="59"/>
      <c r="H203" s="16"/>
      <c r="I203" s="40"/>
      <c r="J203" s="16"/>
      <c r="K203" s="40"/>
      <c r="L203" s="16"/>
      <c r="M203" s="16"/>
      <c r="N203" s="40"/>
      <c r="O203" s="16"/>
      <c r="P203" s="16"/>
      <c r="Q203" s="40"/>
      <c r="R203" s="45"/>
      <c r="S203" s="16"/>
      <c r="T203" s="16"/>
      <c r="U203" s="16"/>
      <c r="V203" s="16"/>
      <c r="W203" s="16"/>
      <c r="X203" s="16"/>
      <c r="Y203" s="16"/>
      <c r="Z203" s="16"/>
      <c r="AA203" s="16"/>
      <c r="AB203" s="161"/>
      <c r="BN203" s="24"/>
      <c r="BO203" s="16"/>
    </row>
    <row r="204" spans="1:67" ht="17.25" customHeight="1" thickTop="1" thickBot="1">
      <c r="A204" s="16"/>
      <c r="B204" s="16"/>
      <c r="C204" s="59"/>
      <c r="D204" s="59"/>
      <c r="E204" s="59"/>
      <c r="F204" s="59"/>
      <c r="G204" s="59"/>
      <c r="H204" s="1014" t="s">
        <v>156</v>
      </c>
      <c r="I204" s="1015"/>
      <c r="J204" s="1015"/>
      <c r="K204" s="1015"/>
      <c r="L204" s="1015"/>
      <c r="M204" s="1015"/>
      <c r="N204" s="1016"/>
      <c r="O204" s="686">
        <f>J201-L202+O202+R202</f>
        <v>66.566666666666677</v>
      </c>
      <c r="P204" s="642"/>
      <c r="Q204" s="642"/>
      <c r="R204" s="642"/>
      <c r="S204" s="16" t="s">
        <v>54</v>
      </c>
      <c r="T204" s="16"/>
      <c r="U204" s="696" t="str" cm="1">
        <f t="array" ref="U204">angleDecimal2Txt(O204)</f>
        <v>+66°34.00 (+66.5666) [+66°34'00.00]</v>
      </c>
      <c r="V204" s="697"/>
      <c r="W204" s="697"/>
      <c r="X204" s="697"/>
      <c r="Y204" s="697"/>
      <c r="Z204" s="640"/>
      <c r="AA204" s="16"/>
      <c r="AB204" s="161"/>
      <c r="BN204" s="24"/>
      <c r="BO204" s="16"/>
    </row>
    <row r="205" spans="1:67" ht="17.25" customHeight="1" thickTop="1" thickBot="1">
      <c r="A205" s="16"/>
      <c r="B205" s="16"/>
      <c r="C205" s="59"/>
      <c r="D205" s="46"/>
      <c r="E205" s="59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1"/>
      <c r="BN205" s="24"/>
      <c r="BO205" s="16"/>
    </row>
    <row r="206" spans="1:67" ht="17.25" customHeight="1" thickBot="1">
      <c r="A206" s="16"/>
      <c r="B206" s="1020" t="s">
        <v>273</v>
      </c>
      <c r="C206" s="1021"/>
      <c r="D206" s="1021"/>
      <c r="E206" s="1021"/>
      <c r="F206" s="1021"/>
      <c r="G206" s="1021"/>
      <c r="H206" s="1021"/>
      <c r="I206" s="1021"/>
      <c r="J206" s="1021"/>
      <c r="K206" s="1021"/>
      <c r="L206" s="1021"/>
      <c r="M206" s="1021"/>
      <c r="N206" s="1021"/>
      <c r="O206" s="1021"/>
      <c r="P206" s="1021"/>
      <c r="Q206" s="1021"/>
      <c r="R206" s="1021"/>
      <c r="S206" s="1021"/>
      <c r="T206" s="1021"/>
      <c r="U206" s="1021"/>
      <c r="V206" s="1021"/>
      <c r="W206" s="1021"/>
      <c r="X206" s="1021"/>
      <c r="Y206" s="1021"/>
      <c r="Z206" s="1021"/>
      <c r="AA206" s="1021"/>
      <c r="AB206" s="163"/>
      <c r="BN206" s="24"/>
      <c r="BO206" s="16"/>
    </row>
    <row r="207" spans="1:67" ht="17.25" customHeight="1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1"/>
      <c r="BN207" s="24"/>
      <c r="BO207" s="16"/>
    </row>
    <row r="208" spans="1:67" ht="17.25" customHeight="1">
      <c r="A208" s="16"/>
      <c r="B208" s="16"/>
      <c r="C208" s="14"/>
      <c r="D208" s="14"/>
      <c r="E208" s="670" t="s">
        <v>279</v>
      </c>
      <c r="F208" s="671"/>
      <c r="G208" s="671"/>
      <c r="H208" s="671"/>
      <c r="I208" s="609">
        <f>90-Q209</f>
        <v>22.852377815639784</v>
      </c>
      <c r="J208" s="610"/>
      <c r="K208" s="610"/>
      <c r="L208" s="610"/>
      <c r="M208" s="611"/>
      <c r="N208" s="16"/>
      <c r="O208" s="939" t="s">
        <v>274</v>
      </c>
      <c r="P208" s="940"/>
      <c r="Q208" s="941"/>
      <c r="R208" s="941"/>
      <c r="S208" s="941"/>
      <c r="T208" s="942"/>
      <c r="AB208" s="161"/>
      <c r="BN208" s="24"/>
      <c r="BO208" s="16"/>
    </row>
    <row r="209" spans="1:67" ht="17.25" customHeight="1" thickBot="1">
      <c r="A209" s="16"/>
      <c r="B209" s="16"/>
      <c r="C209" s="14"/>
      <c r="D209" s="14"/>
      <c r="E209" s="672"/>
      <c r="F209" s="673"/>
      <c r="G209" s="673"/>
      <c r="H209" s="673"/>
      <c r="I209" s="944"/>
      <c r="J209" s="945"/>
      <c r="K209" s="945"/>
      <c r="L209" s="945"/>
      <c r="M209" s="946"/>
      <c r="N209" s="48" t="s">
        <v>125</v>
      </c>
      <c r="O209" s="820" t="s">
        <v>72</v>
      </c>
      <c r="P209" s="947"/>
      <c r="Q209" s="732">
        <f>F164</f>
        <v>67.147622184360216</v>
      </c>
      <c r="R209" s="733"/>
      <c r="S209" s="733"/>
      <c r="T209" s="125" t="s">
        <v>54</v>
      </c>
      <c r="Y209" s="16"/>
      <c r="Z209" s="16"/>
      <c r="AA209" s="16"/>
      <c r="AB209" s="161"/>
      <c r="BN209" s="24"/>
      <c r="BO209" s="16"/>
    </row>
    <row r="210" spans="1:67" ht="17.25" customHeight="1" thickTop="1" thickBot="1">
      <c r="A210" s="16"/>
      <c r="B210" s="16"/>
      <c r="C210" s="14"/>
      <c r="D210" s="14"/>
      <c r="E210" s="674"/>
      <c r="F210" s="675"/>
      <c r="G210" s="675"/>
      <c r="H210" s="675"/>
      <c r="I210" s="696" t="str" cm="1">
        <f t="array" ref="I210">angleDecimal2Txt(I208)</f>
        <v>+22°51.14 (+22.8523) [+22°51'08.56]</v>
      </c>
      <c r="J210" s="697"/>
      <c r="K210" s="697"/>
      <c r="L210" s="697"/>
      <c r="M210" s="640"/>
      <c r="N210" s="16"/>
      <c r="O210" s="820" t="s">
        <v>86</v>
      </c>
      <c r="P210" s="947"/>
      <c r="Q210" s="732">
        <f>F146</f>
        <v>23.134129612006973</v>
      </c>
      <c r="R210" s="733"/>
      <c r="S210" s="733"/>
      <c r="T210" s="125" t="s">
        <v>54</v>
      </c>
      <c r="Y210" s="16"/>
      <c r="Z210" s="16"/>
      <c r="AA210" s="16"/>
      <c r="AB210" s="161"/>
      <c r="BN210" s="24"/>
      <c r="BO210" s="16"/>
    </row>
    <row r="211" spans="1:67" ht="17.25" customHeight="1" thickTop="1">
      <c r="A211" s="16"/>
      <c r="B211" s="16"/>
      <c r="C211" s="14"/>
      <c r="D211" s="14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AA211" s="16"/>
      <c r="AB211" s="161"/>
      <c r="BN211" s="24"/>
      <c r="BO211" s="16"/>
    </row>
    <row r="212" spans="1:67" ht="17.25" customHeight="1">
      <c r="A212" s="16"/>
      <c r="B212" s="16"/>
      <c r="C212" s="14"/>
      <c r="D212" s="14"/>
      <c r="AB212" s="161"/>
      <c r="BN212" s="24"/>
      <c r="BO212" s="16"/>
    </row>
    <row r="213" spans="1:67" ht="17.25" customHeight="1">
      <c r="A213" s="16"/>
      <c r="B213" s="16"/>
      <c r="C213" s="14"/>
      <c r="D213" s="14"/>
      <c r="E213" s="933" t="s">
        <v>228</v>
      </c>
      <c r="F213" s="934"/>
      <c r="G213" s="934"/>
      <c r="H213" s="934"/>
      <c r="I213" s="934"/>
      <c r="J213" s="934"/>
      <c r="K213" s="934"/>
      <c r="L213" s="934"/>
      <c r="M213" s="934"/>
      <c r="N213" s="934"/>
      <c r="O213" s="935"/>
      <c r="AB213" s="161"/>
      <c r="BN213" s="24"/>
      <c r="BO213" s="16"/>
    </row>
    <row r="214" spans="1:67" ht="17.25" customHeight="1">
      <c r="A214" s="16"/>
      <c r="B214" s="16"/>
      <c r="C214" s="14"/>
      <c r="D214" s="14"/>
      <c r="E214" s="736"/>
      <c r="F214" s="736" t="s">
        <v>230</v>
      </c>
      <c r="G214" s="736"/>
      <c r="H214" s="736"/>
      <c r="I214" s="736"/>
      <c r="J214" s="736"/>
      <c r="K214" s="936" t="s">
        <v>232</v>
      </c>
      <c r="L214" s="937"/>
      <c r="M214" s="937"/>
      <c r="N214" s="937"/>
      <c r="O214" s="938"/>
      <c r="Q214" s="586" t="s">
        <v>87</v>
      </c>
      <c r="R214" s="586"/>
      <c r="S214" s="943">
        <f>F142</f>
        <v>46.1</v>
      </c>
      <c r="T214" s="943"/>
      <c r="U214" s="569" t="str">
        <f>CONCATENATE("Lat et Dec - Meme sens ?: ",AC214)</f>
        <v>Lat et Dec - Meme sens ?: TRUE</v>
      </c>
      <c r="V214" s="569"/>
      <c r="W214" s="569"/>
      <c r="X214" s="569"/>
      <c r="Y214" s="16"/>
      <c r="AB214" s="161"/>
      <c r="AC214" t="b">
        <f>IF(S214*S215&gt;0,TRUE,FALSE)</f>
        <v>1</v>
      </c>
      <c r="BN214" s="24"/>
      <c r="BO214" s="16"/>
    </row>
    <row r="215" spans="1:67" ht="17.25" customHeight="1">
      <c r="A215" s="16"/>
      <c r="B215" s="16"/>
      <c r="C215" s="14"/>
      <c r="D215" s="14"/>
      <c r="E215" s="736"/>
      <c r="F215" s="736" t="s">
        <v>231</v>
      </c>
      <c r="G215" s="736"/>
      <c r="H215" s="736"/>
      <c r="I215" s="736"/>
      <c r="J215" s="736"/>
      <c r="K215" s="936" t="s">
        <v>233</v>
      </c>
      <c r="L215" s="937"/>
      <c r="M215" s="937"/>
      <c r="N215" s="937"/>
      <c r="O215" s="938"/>
      <c r="Q215" s="586" t="s">
        <v>86</v>
      </c>
      <c r="R215" s="586"/>
      <c r="S215" s="943">
        <f>F146</f>
        <v>23.134129612006973</v>
      </c>
      <c r="T215" s="943"/>
      <c r="U215" s="569" t="str">
        <f>CONCATENATE("Lat &gt; Dec  ? : ",AC215)</f>
        <v>Lat &gt; Dec  ? : TRUE</v>
      </c>
      <c r="V215" s="569"/>
      <c r="W215" s="569"/>
      <c r="X215" s="569"/>
      <c r="Y215" s="16"/>
      <c r="AB215" s="161"/>
      <c r="AC215" s="94" t="b">
        <f>IF(ABS(S214)&gt;ABS(S215),TRUE, FALSE)</f>
        <v>1</v>
      </c>
      <c r="BN215" s="24"/>
      <c r="BO215" s="16"/>
    </row>
    <row r="216" spans="1:67" ht="17.25" customHeight="1">
      <c r="A216" s="16"/>
      <c r="B216" s="16"/>
      <c r="C216" s="16"/>
      <c r="D216" s="16"/>
      <c r="E216" s="948" t="s">
        <v>229</v>
      </c>
      <c r="F216" s="948"/>
      <c r="G216" s="948"/>
      <c r="H216" s="948"/>
      <c r="I216" s="948"/>
      <c r="J216" s="948"/>
      <c r="K216" s="936" t="s">
        <v>234</v>
      </c>
      <c r="L216" s="937"/>
      <c r="M216" s="937"/>
      <c r="N216" s="937"/>
      <c r="O216" s="938"/>
      <c r="AB216" s="161"/>
      <c r="AC216" t="s">
        <v>276</v>
      </c>
      <c r="AD216" s="103">
        <f>I208+S215</f>
        <v>45.986507427646757</v>
      </c>
      <c r="BN216" s="24"/>
      <c r="BO216" s="16"/>
    </row>
    <row r="217" spans="1:67" ht="17.25" customHeight="1">
      <c r="A217" s="16"/>
      <c r="B217" s="16"/>
      <c r="C217" s="59"/>
      <c r="D217" s="59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AB217" s="161"/>
      <c r="AC217" t="s">
        <v>277</v>
      </c>
      <c r="AD217" s="103">
        <f>S215-I208</f>
        <v>0.28175179636718894</v>
      </c>
      <c r="BN217" s="24"/>
      <c r="BO217" s="16"/>
    </row>
    <row r="218" spans="1:67" ht="17.25" customHeight="1" thickBot="1">
      <c r="A218" s="16"/>
      <c r="B218" s="16"/>
      <c r="C218" s="59"/>
      <c r="D218" s="59"/>
      <c r="E218" s="59"/>
      <c r="F218" s="59"/>
      <c r="G218" s="59"/>
      <c r="H218" s="16"/>
      <c r="I218" s="16"/>
      <c r="J218" s="16"/>
      <c r="K218" s="16"/>
      <c r="L218" s="16"/>
      <c r="AB218" s="161"/>
      <c r="AC218" t="s">
        <v>278</v>
      </c>
      <c r="AD218" s="103">
        <f>I208-S215</f>
        <v>-0.28175179636718894</v>
      </c>
      <c r="BN218" s="24"/>
      <c r="BO218" s="16"/>
    </row>
    <row r="219" spans="1:67" ht="17.25" customHeight="1" thickTop="1" thickBot="1">
      <c r="A219" s="16"/>
      <c r="B219" s="16"/>
      <c r="C219" s="59"/>
      <c r="D219" s="59"/>
      <c r="E219" s="59"/>
      <c r="F219" s="59"/>
      <c r="G219" s="59"/>
      <c r="H219" s="1026" t="s">
        <v>227</v>
      </c>
      <c r="I219" s="1027"/>
      <c r="J219" s="1027"/>
      <c r="K219" s="1027"/>
      <c r="L219" s="1028"/>
      <c r="M219" s="954">
        <f>AC219</f>
        <v>45.986507427646757</v>
      </c>
      <c r="N219" s="955"/>
      <c r="O219" s="50" t="s">
        <v>28</v>
      </c>
      <c r="P219" s="640" t="str">
        <f>latitudeDecimal2Txt(M219)</f>
        <v>N 45°59.19 (N 45.9865) [N 45°59'11.42]</v>
      </c>
      <c r="Q219" s="474"/>
      <c r="R219" s="474"/>
      <c r="S219" s="474"/>
      <c r="T219" s="474"/>
      <c r="U219" s="474"/>
      <c r="AB219" s="161"/>
      <c r="AC219">
        <f>IF(AC214,IF(AC215,AD216,AD217),AD218)</f>
        <v>45.986507427646757</v>
      </c>
      <c r="BN219" s="24"/>
      <c r="BO219" s="16"/>
    </row>
    <row r="220" spans="1:67" ht="17.25" customHeight="1" thickTop="1" thickBot="1">
      <c r="A220" s="14"/>
      <c r="B220" s="14"/>
      <c r="C220" s="14"/>
      <c r="D220" s="14"/>
      <c r="H220" s="1026" t="s">
        <v>182</v>
      </c>
      <c r="I220" s="1027"/>
      <c r="J220" s="1027"/>
      <c r="K220" s="1027"/>
      <c r="L220" s="1028"/>
      <c r="M220" s="954">
        <f>Q109</f>
        <v>-0.54888888888888765</v>
      </c>
      <c r="N220" s="955"/>
      <c r="O220" s="50" t="s">
        <v>28</v>
      </c>
      <c r="P220" s="640" t="str">
        <f>longitudeDecimal2Txt(M220)</f>
        <v>W 00°32.93 (W 00.5488) [W 00°32'55.99]</v>
      </c>
      <c r="Q220" s="474"/>
      <c r="R220" s="474"/>
      <c r="S220" s="474"/>
      <c r="T220" s="474"/>
      <c r="U220" s="474"/>
      <c r="V220" s="16"/>
      <c r="W220" s="16"/>
      <c r="X220" s="16"/>
      <c r="Y220" s="16"/>
      <c r="Z220" s="16"/>
      <c r="AA220" s="16"/>
      <c r="AB220" s="161"/>
      <c r="BN220" s="24"/>
      <c r="BO220" s="16"/>
    </row>
    <row r="221" spans="1:67" s="16" customFormat="1" ht="17.25" customHeight="1" thickTop="1">
      <c r="C221" s="59"/>
      <c r="D221" s="59"/>
      <c r="E221" s="59"/>
      <c r="F221" s="59"/>
      <c r="G221" s="59"/>
      <c r="AB221" s="1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 s="24"/>
    </row>
    <row r="222" spans="1:67" ht="17.25" customHeight="1" thickBot="1">
      <c r="A222" s="16"/>
      <c r="B222" s="16"/>
      <c r="C222" s="59"/>
      <c r="D222" s="59"/>
      <c r="E222" s="59"/>
      <c r="F222" s="59"/>
      <c r="G222" s="59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1"/>
      <c r="BN222" s="24"/>
      <c r="BO222" s="16"/>
    </row>
    <row r="223" spans="1:67" ht="17.25" customHeight="1" thickBot="1">
      <c r="A223" s="16"/>
      <c r="B223" s="25" t="s">
        <v>248</v>
      </c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163"/>
      <c r="BN223" s="24"/>
      <c r="BO223" s="16"/>
    </row>
    <row r="224" spans="1:67" s="16" customFormat="1" ht="17.25" customHeight="1">
      <c r="C224" s="59"/>
      <c r="D224" s="59"/>
      <c r="E224" s="59"/>
      <c r="F224" s="59"/>
      <c r="G224" s="59"/>
      <c r="AB224" s="1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 s="24"/>
    </row>
    <row r="225" spans="1:67" ht="17.25" customHeight="1" thickBot="1">
      <c r="A225" s="16"/>
      <c r="B225" s="16"/>
      <c r="C225" s="731" t="s">
        <v>249</v>
      </c>
      <c r="D225" s="731"/>
      <c r="E225" s="731"/>
      <c r="F225" s="731"/>
      <c r="G225" s="114"/>
      <c r="H225" s="731" t="s">
        <v>250</v>
      </c>
      <c r="I225" s="731"/>
      <c r="J225" s="731"/>
      <c r="K225" s="16"/>
      <c r="L225" s="735" t="s">
        <v>239</v>
      </c>
      <c r="M225" s="735"/>
      <c r="N225" s="735"/>
      <c r="O225" s="16"/>
      <c r="P225" s="16"/>
      <c r="Q225" s="1025" t="s">
        <v>251</v>
      </c>
      <c r="R225" s="1025"/>
      <c r="S225" s="1025"/>
      <c r="T225" s="1025"/>
      <c r="U225" s="100"/>
      <c r="V225" s="16"/>
      <c r="W225" s="16"/>
      <c r="X225" s="16"/>
      <c r="Y225" s="16"/>
      <c r="Z225" s="16"/>
      <c r="AA225" s="16"/>
      <c r="AB225" s="161"/>
      <c r="AD225" s="103"/>
      <c r="BN225" s="24"/>
      <c r="BO225" s="16"/>
    </row>
    <row r="226" spans="1:67" ht="17.25" customHeight="1" thickTop="1" thickBot="1">
      <c r="A226" s="16"/>
      <c r="B226" s="16"/>
      <c r="C226" s="59"/>
      <c r="D226" s="146" t="s">
        <v>41</v>
      </c>
      <c r="E226" s="736">
        <f>M219</f>
        <v>45.986507427646757</v>
      </c>
      <c r="F226" s="736"/>
      <c r="G226" s="59"/>
      <c r="H226" s="16"/>
      <c r="I226" s="736">
        <f>V213</f>
        <v>0</v>
      </c>
      <c r="J226" s="736"/>
      <c r="K226" s="16" t="s">
        <v>112</v>
      </c>
      <c r="L226" s="16"/>
      <c r="M226" s="736">
        <v>180</v>
      </c>
      <c r="N226" s="736"/>
      <c r="O226" s="16"/>
      <c r="P226" s="16"/>
      <c r="Q226" s="16"/>
      <c r="R226" s="147" t="s">
        <v>41</v>
      </c>
      <c r="S226" s="578">
        <f>E226</f>
        <v>45.986507427646757</v>
      </c>
      <c r="T226" s="578"/>
      <c r="U226" s="959" t="str" cm="1">
        <f t="array" ref="U226">latitudeDecimal2Txt(S226)</f>
        <v>N 45°59.19 (N 45.9865) [N 45°59'11.42]</v>
      </c>
      <c r="V226" s="960"/>
      <c r="W226" s="960"/>
      <c r="X226" s="960"/>
      <c r="Y226" s="960"/>
      <c r="Z226" s="961"/>
      <c r="AA226" s="16"/>
      <c r="AB226" s="161"/>
      <c r="AD226" s="103"/>
      <c r="BN226" s="24"/>
      <c r="BO226" s="16"/>
    </row>
    <row r="227" spans="1:67" ht="17.25" customHeight="1" thickTop="1">
      <c r="A227" s="16"/>
      <c r="B227" s="16"/>
      <c r="C227" s="59"/>
      <c r="D227" s="146" t="s">
        <v>42</v>
      </c>
      <c r="E227" s="736">
        <f>M220</f>
        <v>-0.54888888888888765</v>
      </c>
      <c r="F227" s="736"/>
      <c r="G227" s="59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1"/>
      <c r="BN227" s="24"/>
      <c r="BO227" s="16"/>
    </row>
    <row r="228" spans="1:67" ht="17.25" customHeight="1">
      <c r="A228" s="16"/>
      <c r="B228" s="16"/>
      <c r="F228" s="59"/>
      <c r="G228" s="59"/>
      <c r="H228" s="16"/>
      <c r="I228" s="16"/>
      <c r="J228" s="16"/>
      <c r="K228" s="16"/>
      <c r="L228" s="16"/>
      <c r="M228" s="16"/>
      <c r="N228" s="16"/>
      <c r="O228" s="16"/>
      <c r="P228" s="16"/>
      <c r="Q228" s="1025" t="s">
        <v>252</v>
      </c>
      <c r="R228" s="1025"/>
      <c r="S228" s="1025"/>
      <c r="T228" s="16"/>
      <c r="U228" s="16"/>
      <c r="V228" s="16"/>
      <c r="W228" s="16"/>
      <c r="X228" s="16"/>
      <c r="Y228" s="16"/>
      <c r="Z228" s="16"/>
      <c r="AA228" s="16"/>
      <c r="AB228" s="161"/>
      <c r="BN228" s="24"/>
      <c r="BO228" s="16"/>
    </row>
    <row r="229" spans="1:67" ht="17.25" customHeight="1">
      <c r="A229" s="16"/>
      <c r="B229" s="16"/>
      <c r="C229" s="59"/>
      <c r="D229" s="59"/>
      <c r="E229" s="59"/>
      <c r="F229" s="59"/>
      <c r="G229" s="59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578">
        <f>M226-90</f>
        <v>90</v>
      </c>
      <c r="S229" s="578"/>
      <c r="T229" s="50" t="s">
        <v>28</v>
      </c>
      <c r="U229" s="16"/>
      <c r="V229" s="16"/>
      <c r="W229" s="16"/>
      <c r="X229" s="16"/>
      <c r="Y229" s="16"/>
      <c r="Z229" s="16"/>
      <c r="AA229" s="16"/>
      <c r="AB229" s="161"/>
      <c r="BN229" s="24"/>
      <c r="BO229" s="16"/>
    </row>
    <row r="230" spans="1:67" ht="17.25" customHeight="1"/>
    <row r="231" spans="1:67" ht="17.25" customHeight="1" thickBot="1"/>
    <row r="232" spans="1:67" ht="17.25" customHeight="1" thickBot="1">
      <c r="B232" s="120" t="s">
        <v>256</v>
      </c>
      <c r="C232" s="121"/>
      <c r="D232" s="121"/>
      <c r="E232" s="121"/>
      <c r="F232" s="121"/>
      <c r="G232" s="121"/>
      <c r="H232" s="121"/>
      <c r="I232" s="121"/>
      <c r="J232" s="121"/>
      <c r="K232" s="121"/>
      <c r="L232" s="121"/>
      <c r="M232" s="121"/>
      <c r="N232" s="121"/>
      <c r="O232" s="121"/>
      <c r="P232" s="121"/>
      <c r="Q232" s="121"/>
      <c r="R232" s="121"/>
      <c r="S232" s="121"/>
      <c r="T232" s="121"/>
      <c r="U232" s="121"/>
      <c r="V232" s="121"/>
      <c r="W232" s="121"/>
      <c r="X232" s="121"/>
      <c r="Y232" s="121"/>
      <c r="Z232" s="121"/>
      <c r="AA232" s="121"/>
    </row>
    <row r="233" spans="1:67" ht="17.25" customHeight="1">
      <c r="AD233" s="103"/>
    </row>
    <row r="234" spans="1:67" ht="17.25" customHeight="1" thickBot="1">
      <c r="C234" s="729" t="s">
        <v>251</v>
      </c>
      <c r="D234" s="729"/>
      <c r="E234" s="729"/>
      <c r="F234" s="729"/>
      <c r="G234" s="100"/>
      <c r="H234" s="16"/>
      <c r="I234" s="16"/>
      <c r="J234" s="16"/>
      <c r="K234" s="16"/>
      <c r="L234" s="16"/>
      <c r="Q234" s="115" t="s">
        <v>257</v>
      </c>
      <c r="R234" s="115"/>
      <c r="S234" s="115"/>
      <c r="T234" s="115"/>
      <c r="U234" s="115"/>
      <c r="V234" s="115"/>
      <c r="W234" s="115"/>
    </row>
    <row r="235" spans="1:67" ht="17.25" customHeight="1" thickTop="1" thickBot="1">
      <c r="D235" s="148" t="s">
        <v>41</v>
      </c>
      <c r="E235" s="730">
        <f>I244</f>
        <v>0</v>
      </c>
      <c r="F235" s="730"/>
      <c r="G235" s="737" t="str" cm="1">
        <f t="array" ref="G235">latitudeDecimal2Txt(E235)</f>
        <v>N 00°00.00 (N 00.0000) [N 00°00'00.00]</v>
      </c>
      <c r="H235" s="737"/>
      <c r="I235" s="737"/>
      <c r="J235" s="737"/>
      <c r="K235" s="737"/>
      <c r="L235" s="737"/>
      <c r="R235" s="147" t="s">
        <v>41</v>
      </c>
      <c r="S235" s="578">
        <f>AG238</f>
        <v>45.986507427646757</v>
      </c>
      <c r="T235" s="578"/>
      <c r="U235" s="737" t="str" cm="1">
        <f t="array" ref="U235">latitudeDecimal2Txt(S235)</f>
        <v>N 45°59.19 (N 45.9865) [N 45°59'11.42]</v>
      </c>
      <c r="V235" s="737"/>
      <c r="W235" s="737"/>
      <c r="X235" s="737"/>
      <c r="Y235" s="737"/>
      <c r="Z235" s="737"/>
      <c r="AC235" s="137" t="s">
        <v>303</v>
      </c>
      <c r="AD235" s="138">
        <f>D239</f>
        <v>30</v>
      </c>
    </row>
    <row r="236" spans="1:67" ht="17.25" customHeight="1" thickTop="1" thickBot="1">
      <c r="D236" s="148" t="s">
        <v>42</v>
      </c>
      <c r="E236" s="730">
        <v>-7</v>
      </c>
      <c r="F236" s="730"/>
      <c r="G236" s="737" t="str" cm="1">
        <f t="array" ref="G236">longitudeDecimal2Txt(E236)</f>
        <v>W 07°00.00 (W 07.0000) [W 07°00'00.00]</v>
      </c>
      <c r="H236" s="737"/>
      <c r="I236" s="737"/>
      <c r="J236" s="737"/>
      <c r="K236" s="737"/>
      <c r="L236" s="737"/>
      <c r="R236" s="147" t="s">
        <v>42</v>
      </c>
      <c r="S236" s="578">
        <f>AG239</f>
        <v>19.550322442442578</v>
      </c>
      <c r="T236" s="578"/>
      <c r="U236" s="737" t="str" cm="1">
        <f t="array" ref="U236">longitudeDecimal2Txt(S236)</f>
        <v>E 19°33.01 (E 19.5503) [E 19°33'01.16]</v>
      </c>
      <c r="V236" s="737"/>
      <c r="W236" s="737"/>
      <c r="X236" s="737"/>
      <c r="Y236" s="737"/>
      <c r="Z236" s="737"/>
      <c r="AC236" s="139" t="s">
        <v>305</v>
      </c>
      <c r="AD236" s="138">
        <f>E235</f>
        <v>0</v>
      </c>
    </row>
    <row r="237" spans="1:67" ht="17.25" customHeight="1" thickTop="1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AC237" s="137" t="s">
        <v>306</v>
      </c>
      <c r="AD237" s="138">
        <f>E236</f>
        <v>-7</v>
      </c>
    </row>
    <row r="238" spans="1:67" ht="17.25" customHeight="1">
      <c r="C238" s="729" t="s">
        <v>252</v>
      </c>
      <c r="D238" s="729"/>
      <c r="E238" s="729"/>
      <c r="F238" s="119"/>
      <c r="G238" s="16"/>
      <c r="H238" s="16"/>
      <c r="I238" s="16"/>
      <c r="J238" s="16"/>
      <c r="K238" s="16"/>
      <c r="L238" s="16"/>
      <c r="AC238" s="137" t="s">
        <v>258</v>
      </c>
      <c r="AD238" s="137">
        <f>TAN(AD235*Outils!F37) * (1 / COS(AD236*Outils!F37))</f>
        <v>0</v>
      </c>
      <c r="AE238" s="1022" t="s">
        <v>309</v>
      </c>
      <c r="AF238" s="1022"/>
      <c r="AG238" s="141">
        <f>S226</f>
        <v>45.986507427646757</v>
      </c>
    </row>
    <row r="239" spans="1:67" ht="17.25" customHeight="1">
      <c r="D239" s="730">
        <v>30</v>
      </c>
      <c r="E239" s="730"/>
      <c r="F239" s="149" t="s">
        <v>28</v>
      </c>
      <c r="G239" s="16"/>
      <c r="H239" s="16"/>
      <c r="I239" s="16"/>
      <c r="J239" s="16"/>
      <c r="K239" s="16"/>
      <c r="L239" s="16"/>
      <c r="AC239" s="137" t="s">
        <v>259</v>
      </c>
      <c r="AD239" s="137">
        <f>AD237-AD236*AD238</f>
        <v>-7</v>
      </c>
      <c r="AE239" s="1022"/>
      <c r="AF239" s="1022"/>
      <c r="AG239" s="140">
        <f>E236+(S226-E235)*TAN(D239*Outils!F4)/COS(Outils!F4*E235)</f>
        <v>19.550322442442578</v>
      </c>
    </row>
    <row r="241" spans="2:65">
      <c r="S241" s="16"/>
      <c r="T241" s="16"/>
    </row>
    <row r="243" spans="2:65" ht="17.25" customHeight="1">
      <c r="G243" s="11"/>
      <c r="P243" s="16"/>
      <c r="Q243" s="16"/>
    </row>
    <row r="244" spans="2:65" ht="17.25" customHeight="1" thickBot="1">
      <c r="G244" s="11"/>
    </row>
    <row r="245" spans="2:65" s="301" customFormat="1" ht="15.75" thickBot="1">
      <c r="B245" s="348" t="s">
        <v>606</v>
      </c>
      <c r="C245" s="349"/>
      <c r="D245" s="349"/>
      <c r="E245" s="349"/>
      <c r="F245" s="349"/>
      <c r="G245" s="349"/>
      <c r="H245" s="349"/>
      <c r="I245" s="349"/>
      <c r="J245" s="349"/>
      <c r="K245" s="349"/>
      <c r="L245" s="349"/>
      <c r="M245" s="349"/>
      <c r="N245" s="349"/>
      <c r="O245" s="349"/>
      <c r="P245" s="349"/>
      <c r="Q245" s="349"/>
      <c r="R245" s="349"/>
      <c r="S245" s="349"/>
      <c r="T245" s="349"/>
      <c r="U245" s="349"/>
      <c r="V245" s="349"/>
      <c r="W245" s="349"/>
      <c r="X245" s="349"/>
      <c r="Y245" s="349"/>
      <c r="Z245" s="349"/>
      <c r="AA245" s="350"/>
    </row>
    <row r="246" spans="2:65" s="301" customFormat="1">
      <c r="K246" s="347"/>
      <c r="L246" s="347"/>
    </row>
    <row r="247" spans="2:65" s="301" customFormat="1">
      <c r="B247" s="455" t="s">
        <v>1</v>
      </c>
      <c r="C247" s="455"/>
      <c r="D247" s="455" t="str">
        <f>E115</f>
        <v>UTC</v>
      </c>
      <c r="E247" s="455"/>
      <c r="F247" s="455"/>
      <c r="G247" s="455"/>
      <c r="H247" s="360" t="s">
        <v>2</v>
      </c>
      <c r="I247" s="455">
        <f>I115</f>
        <v>0</v>
      </c>
      <c r="J247" s="455"/>
      <c r="K247" s="455"/>
      <c r="L247" s="455"/>
    </row>
    <row r="248" spans="2:65" s="301" customFormat="1">
      <c r="B248" s="467" t="s">
        <v>30</v>
      </c>
      <c r="C248" s="467"/>
      <c r="D248" s="798" t="s">
        <v>474</v>
      </c>
      <c r="E248" s="798"/>
      <c r="F248" s="798"/>
      <c r="G248" s="798"/>
      <c r="H248" s="361"/>
      <c r="I248" s="361"/>
      <c r="J248" s="361"/>
      <c r="K248" s="361"/>
      <c r="L248" s="361"/>
      <c r="AA248" s="362"/>
    </row>
    <row r="249" spans="2:65" s="301" customFormat="1">
      <c r="B249" s="363"/>
      <c r="C249" s="363"/>
      <c r="D249" s="364"/>
      <c r="E249" s="363"/>
      <c r="AA249" s="362"/>
    </row>
    <row r="250" spans="2:65" s="347" customFormat="1" ht="17.25" customHeight="1" thickBot="1">
      <c r="B250" s="365" t="s">
        <v>442</v>
      </c>
      <c r="C250" s="365"/>
      <c r="D250" s="365"/>
      <c r="E250" s="365"/>
      <c r="F250" s="366"/>
      <c r="G250" s="366"/>
      <c r="H250" s="367"/>
      <c r="I250" s="367"/>
      <c r="J250" s="367"/>
      <c r="K250" s="367"/>
      <c r="L250" s="367"/>
      <c r="M250" s="367"/>
      <c r="N250" s="367"/>
      <c r="O250" s="367"/>
      <c r="P250" s="367"/>
      <c r="Q250" s="367"/>
      <c r="AB250" s="61"/>
      <c r="AC250" s="301"/>
      <c r="AD250" s="301"/>
      <c r="AE250" s="301"/>
      <c r="AF250" s="301"/>
      <c r="AG250" s="301"/>
      <c r="AH250" s="301"/>
      <c r="AI250" s="301"/>
      <c r="AJ250" s="301"/>
      <c r="AK250" s="301"/>
      <c r="AL250" s="301"/>
      <c r="AM250" s="301"/>
      <c r="AN250" s="301"/>
      <c r="AO250" s="301"/>
      <c r="AP250" s="301"/>
      <c r="AQ250" s="301"/>
      <c r="AR250" s="301"/>
      <c r="AS250" s="301"/>
      <c r="AT250" s="301"/>
      <c r="AU250" s="301"/>
      <c r="AV250" s="301"/>
      <c r="AW250" s="301"/>
      <c r="AX250" s="301"/>
      <c r="AY250" s="301"/>
      <c r="AZ250" s="301"/>
      <c r="BA250" s="301"/>
      <c r="BB250" s="301"/>
      <c r="BC250" s="301"/>
      <c r="BD250" s="301"/>
      <c r="BE250" s="301"/>
      <c r="BF250" s="301"/>
      <c r="BG250" s="301"/>
      <c r="BH250" s="301"/>
      <c r="BI250" s="301"/>
      <c r="BJ250" s="301"/>
      <c r="BK250" s="301"/>
      <c r="BL250" s="301"/>
      <c r="BM250" s="301"/>
    </row>
    <row r="251" spans="2:65" s="347" customFormat="1" ht="17.25" customHeight="1" thickTop="1">
      <c r="C251" s="466" t="s">
        <v>526</v>
      </c>
      <c r="D251" s="466"/>
      <c r="E251" s="466" t="str" cm="1">
        <f t="array" ref="E251">angleDecimal2Txt(angleConvert2Decimal(M129))</f>
        <v>+00°00.00 (+00.0000) [+00°00'00.00]</v>
      </c>
      <c r="F251" s="466"/>
      <c r="G251" s="466"/>
      <c r="H251" s="466"/>
      <c r="I251" s="466"/>
      <c r="AB251" s="61"/>
      <c r="AC251" s="301"/>
      <c r="AD251" s="301"/>
      <c r="AE251" s="301"/>
      <c r="AF251" s="301"/>
      <c r="AG251" s="301"/>
      <c r="AH251" s="301"/>
      <c r="AI251" s="301"/>
      <c r="AJ251" s="301"/>
      <c r="AK251" s="301"/>
      <c r="AL251" s="301"/>
      <c r="AM251" s="301"/>
      <c r="AN251" s="301"/>
      <c r="AO251" s="301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/>
      <c r="BF251" s="301"/>
      <c r="BG251" s="301"/>
      <c r="BH251" s="301"/>
      <c r="BI251" s="301"/>
      <c r="BJ251" s="301"/>
      <c r="BK251" s="301"/>
      <c r="BL251" s="301"/>
      <c r="BM251" s="301"/>
    </row>
    <row r="252" spans="2:65" s="347" customFormat="1" ht="17.25" customHeight="1">
      <c r="C252" s="448" t="s">
        <v>70</v>
      </c>
      <c r="D252" s="448"/>
      <c r="E252" s="448">
        <f>J131</f>
        <v>0</v>
      </c>
      <c r="F252" s="448"/>
      <c r="G252" s="448"/>
      <c r="H252" s="448"/>
      <c r="I252" s="448"/>
      <c r="AB252" s="61"/>
      <c r="AC252" s="301"/>
      <c r="AD252" s="301"/>
      <c r="AE252" s="301"/>
      <c r="AF252" s="301"/>
      <c r="AG252" s="301"/>
      <c r="AH252" s="301"/>
      <c r="AI252" s="301"/>
      <c r="AJ252" s="301"/>
      <c r="AK252" s="301"/>
      <c r="AL252" s="301"/>
      <c r="AM252" s="301"/>
      <c r="AN252" s="301"/>
      <c r="AO252" s="301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1"/>
      <c r="BH252" s="301"/>
      <c r="BI252" s="301"/>
      <c r="BJ252" s="301"/>
      <c r="BK252" s="301"/>
      <c r="BL252" s="301"/>
      <c r="BM252" s="301"/>
    </row>
    <row r="253" spans="2:65" s="347" customFormat="1" ht="17.25" customHeight="1">
      <c r="C253" s="454" t="s">
        <v>444</v>
      </c>
      <c r="D253" s="454"/>
      <c r="E253" s="469" t="str" cm="1">
        <f t="array" ref="E253">angleDecimal2Txt(angleConvert2Decimal(M128))</f>
        <v>+00°00.00 (+00.0000) [+00°00'00.00]</v>
      </c>
      <c r="F253" s="469"/>
      <c r="G253" s="469"/>
      <c r="H253" s="469"/>
      <c r="I253" s="469"/>
      <c r="AB253" s="61"/>
      <c r="AC253" s="301"/>
      <c r="AD253" s="301"/>
      <c r="AE253" s="301"/>
      <c r="AF253" s="301"/>
      <c r="AG253" s="301"/>
      <c r="AH253" s="301"/>
      <c r="AI253" s="301"/>
      <c r="AJ253" s="301"/>
      <c r="AK253" s="301"/>
      <c r="AL253" s="301"/>
      <c r="AM253" s="301"/>
      <c r="AN253" s="301"/>
      <c r="AO253" s="301"/>
      <c r="AP253" s="301"/>
      <c r="AQ253" s="301"/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/>
      <c r="BF253" s="301"/>
      <c r="BG253" s="301"/>
      <c r="BH253" s="301"/>
      <c r="BI253" s="301"/>
      <c r="BJ253" s="301"/>
      <c r="BK253" s="301"/>
      <c r="BL253" s="301"/>
      <c r="BM253" s="301"/>
    </row>
    <row r="254" spans="2:65" s="347" customFormat="1" ht="17.25" customHeight="1">
      <c r="C254" s="455" t="s">
        <v>445</v>
      </c>
      <c r="D254" s="455"/>
      <c r="E254" s="470" t="str">
        <f>CONCATENATE(M127, " m")</f>
        <v>66°57 m</v>
      </c>
      <c r="F254" s="470"/>
      <c r="G254" s="470"/>
      <c r="H254" s="470"/>
      <c r="I254" s="470"/>
      <c r="AB254" s="61"/>
      <c r="AC254" s="301"/>
      <c r="AD254" s="301"/>
      <c r="AE254" s="301"/>
      <c r="AF254" s="301"/>
      <c r="AG254" s="301"/>
      <c r="AH254" s="301"/>
      <c r="AI254" s="301"/>
      <c r="AJ254" s="301"/>
      <c r="AK254" s="301"/>
      <c r="AL254" s="301"/>
      <c r="AM254" s="301"/>
      <c r="AN254" s="301"/>
      <c r="AO254" s="301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1"/>
      <c r="BH254" s="301"/>
      <c r="BI254" s="301"/>
      <c r="BJ254" s="301"/>
      <c r="BK254" s="301"/>
      <c r="BL254" s="301"/>
      <c r="BM254" s="301"/>
    </row>
    <row r="255" spans="2:65" s="347" customFormat="1" ht="17.25" customHeight="1">
      <c r="E255" s="436" t="str" cm="1">
        <f t="array" ref="E255">angleDecimal2Txt(O173)</f>
        <v>+00°00.00 (+00.0000) [+00°00'00.00]</v>
      </c>
      <c r="F255" s="436"/>
      <c r="G255" s="436"/>
      <c r="H255" s="436"/>
      <c r="I255" s="436"/>
      <c r="J255" s="436" t="s">
        <v>527</v>
      </c>
      <c r="K255" s="436"/>
      <c r="L255" s="436"/>
      <c r="AB255" s="61"/>
      <c r="AC255" s="301"/>
      <c r="AD255" s="301"/>
      <c r="AE255" s="301"/>
      <c r="AF255" s="301"/>
      <c r="AG255" s="301"/>
      <c r="AH255" s="301"/>
      <c r="AI255" s="301"/>
      <c r="AJ255" s="301"/>
      <c r="AK255" s="301"/>
      <c r="AL255" s="301"/>
      <c r="AM255" s="301"/>
      <c r="AN255" s="301"/>
      <c r="AO255" s="301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/>
      <c r="BF255" s="301"/>
      <c r="BG255" s="301"/>
      <c r="BH255" s="301"/>
      <c r="BI255" s="301"/>
      <c r="BJ255" s="301"/>
      <c r="BK255" s="301"/>
      <c r="BL255" s="301"/>
      <c r="BM255" s="301"/>
    </row>
    <row r="256" spans="2:65" s="347" customFormat="1" ht="17.25" customHeight="1">
      <c r="E256" s="368"/>
      <c r="F256" s="452" t="s">
        <v>445</v>
      </c>
      <c r="G256" s="453"/>
      <c r="H256" s="451" t="str" cm="1">
        <f t="array" ref="H256">angleDecimal2Txt(O171)</f>
        <v>+66°53.21 (+66.8868) [+66°53'12.82]</v>
      </c>
      <c r="I256" s="451"/>
      <c r="J256" s="451"/>
      <c r="K256" s="451"/>
      <c r="L256" s="451"/>
      <c r="AB256" s="61"/>
      <c r="AC256" s="301"/>
      <c r="AD256" s="301"/>
      <c r="AE256" s="301"/>
      <c r="AF256" s="301"/>
      <c r="AG256" s="301"/>
      <c r="AH256" s="301"/>
      <c r="AI256" s="301"/>
      <c r="AJ256" s="301"/>
      <c r="AK256" s="301"/>
      <c r="AL256" s="301"/>
      <c r="AM256" s="301"/>
      <c r="AN256" s="301"/>
      <c r="AO256" s="301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1"/>
      <c r="BH256" s="301"/>
      <c r="BI256" s="301"/>
      <c r="BJ256" s="301"/>
      <c r="BK256" s="301"/>
      <c r="BL256" s="301"/>
      <c r="BM256" s="301"/>
    </row>
    <row r="257" spans="2:65" s="347" customFormat="1" ht="17.25" customHeight="1">
      <c r="F257" s="437" t="s">
        <v>452</v>
      </c>
      <c r="G257" s="437"/>
      <c r="H257" s="451" t="str" cm="1">
        <f t="array" ref="H257">angleDecimal2Txt(O183)</f>
        <v>+00°32.00 (+00.5333) [+00°32'00.00]</v>
      </c>
      <c r="I257" s="451"/>
      <c r="J257" s="451"/>
      <c r="K257" s="451"/>
      <c r="L257" s="451"/>
      <c r="AB257" s="61"/>
      <c r="AC257" s="301"/>
      <c r="AD257" s="301"/>
      <c r="AE257" s="301"/>
      <c r="AF257" s="301"/>
      <c r="AG257" s="301"/>
      <c r="AH257" s="301"/>
      <c r="AI257" s="301"/>
      <c r="AJ257" s="301"/>
      <c r="AK257" s="301"/>
      <c r="AL257" s="301"/>
      <c r="AM257" s="301"/>
      <c r="AN257" s="301"/>
      <c r="AO257" s="301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1"/>
      <c r="BH257" s="301"/>
      <c r="BI257" s="301"/>
      <c r="BJ257" s="301"/>
      <c r="BK257" s="301"/>
      <c r="BL257" s="301"/>
      <c r="BM257" s="301"/>
    </row>
    <row r="258" spans="2:65" s="347" customFormat="1" ht="17.25" customHeight="1">
      <c r="F258" s="437" t="s">
        <v>453</v>
      </c>
      <c r="G258" s="437"/>
      <c r="H258" s="437" t="str" cm="1">
        <f t="array" ref="H258">angleDecimal2Txt(O178)</f>
        <v>+00°00.00 (+00.0000) [+00°00'00.00]</v>
      </c>
      <c r="I258" s="437"/>
      <c r="J258" s="437"/>
      <c r="K258" s="437"/>
      <c r="L258" s="437"/>
      <c r="AB258" s="61"/>
      <c r="AC258" s="301"/>
      <c r="AD258" s="301"/>
      <c r="AE258" s="301"/>
      <c r="AF258" s="301"/>
      <c r="AG258" s="301"/>
      <c r="AH258" s="301"/>
      <c r="AI258" s="301"/>
      <c r="AJ258" s="301"/>
      <c r="AK258" s="301"/>
      <c r="AL258" s="301"/>
      <c r="AM258" s="301"/>
      <c r="AN258" s="301"/>
      <c r="AO258" s="301"/>
      <c r="AP258" s="301"/>
      <c r="AQ258" s="301"/>
      <c r="AR258" s="301"/>
      <c r="AS258" s="301"/>
      <c r="AT258" s="301"/>
      <c r="AU258" s="301"/>
      <c r="AV258" s="301"/>
      <c r="AW258" s="301"/>
      <c r="AX258" s="301"/>
      <c r="AY258" s="301"/>
      <c r="AZ258" s="301"/>
      <c r="BA258" s="301"/>
      <c r="BB258" s="301"/>
      <c r="BC258" s="301"/>
      <c r="BD258" s="301"/>
      <c r="BE258" s="301"/>
      <c r="BF258" s="301"/>
      <c r="BG258" s="301"/>
      <c r="BH258" s="301"/>
      <c r="BI258" s="301"/>
      <c r="BJ258" s="301"/>
      <c r="BK258" s="301"/>
      <c r="BL258" s="301"/>
      <c r="BM258" s="301"/>
    </row>
    <row r="259" spans="2:65" s="347" customFormat="1" ht="17.25" customHeight="1">
      <c r="F259" s="437" t="s">
        <v>106</v>
      </c>
      <c r="G259" s="437"/>
      <c r="H259" s="437" t="str" cm="1">
        <f t="array" ref="H259">angleDecimal2Txt(O185)</f>
        <v>+00°16.00 (+00.2666) [+00°16'00.00]</v>
      </c>
      <c r="I259" s="437"/>
      <c r="J259" s="437"/>
      <c r="K259" s="437"/>
      <c r="L259" s="437"/>
      <c r="AB259" s="61"/>
      <c r="AC259" s="301"/>
      <c r="AD259" s="301"/>
      <c r="AE259" s="301"/>
      <c r="AF259" s="301"/>
      <c r="AG259" s="301"/>
      <c r="AH259" s="301"/>
      <c r="AI259" s="301"/>
      <c r="AJ259" s="301"/>
      <c r="AK259" s="301"/>
      <c r="AL259" s="301"/>
      <c r="AM259" s="301"/>
      <c r="AN259" s="301"/>
      <c r="AO259" s="301"/>
      <c r="AP259" s="301"/>
      <c r="AQ259" s="301"/>
      <c r="AR259" s="301"/>
      <c r="AS259" s="301"/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1"/>
      <c r="BH259" s="301"/>
      <c r="BI259" s="301"/>
      <c r="BJ259" s="301"/>
      <c r="BK259" s="301"/>
      <c r="BL259" s="301"/>
      <c r="BM259" s="301"/>
    </row>
    <row r="260" spans="2:65" s="347" customFormat="1" ht="17.25" customHeight="1">
      <c r="F260" s="437" t="s">
        <v>71</v>
      </c>
      <c r="G260" s="437"/>
      <c r="H260" s="437" t="str" cm="1">
        <f t="array" ref="H260">angleDecimal2Txt(O187)</f>
        <v>+00°00.00 (+00.0000) [+00°00'00.00]</v>
      </c>
      <c r="I260" s="437"/>
      <c r="J260" s="437"/>
      <c r="K260" s="437"/>
      <c r="L260" s="437"/>
      <c r="AB260" s="61"/>
      <c r="AC260" s="301"/>
      <c r="AD260" s="301"/>
      <c r="AE260" s="301"/>
      <c r="AF260" s="301"/>
      <c r="AG260" s="301"/>
      <c r="AH260" s="301"/>
      <c r="AI260" s="301"/>
      <c r="AJ260" s="301"/>
      <c r="AK260" s="301"/>
      <c r="AL260" s="301"/>
      <c r="AM260" s="301"/>
      <c r="AN260" s="301"/>
      <c r="AO260" s="301"/>
      <c r="AP260" s="301"/>
      <c r="AQ260" s="301"/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1"/>
      <c r="BH260" s="301"/>
      <c r="BI260" s="301"/>
      <c r="BJ260" s="301"/>
      <c r="BK260" s="301"/>
      <c r="BL260" s="301"/>
      <c r="BM260" s="301"/>
    </row>
    <row r="261" spans="2:65" s="347" customFormat="1" ht="17.25" customHeight="1">
      <c r="D261" s="369"/>
      <c r="E261" s="436" t="e" cm="1">
        <f t="array" ref="E261">angleDecimal2Txt(F166)</f>
        <v>#VALUE!</v>
      </c>
      <c r="F261" s="436"/>
      <c r="G261" s="436"/>
      <c r="H261" s="436"/>
      <c r="I261" s="436"/>
      <c r="J261" s="436" t="s">
        <v>528</v>
      </c>
      <c r="K261" s="436"/>
      <c r="L261" s="436"/>
      <c r="AB261" s="61"/>
      <c r="AC261" s="301"/>
      <c r="AD261" s="301"/>
      <c r="AE261" s="301"/>
      <c r="AF261" s="301"/>
      <c r="AG261" s="301"/>
      <c r="AH261" s="301"/>
      <c r="AI261" s="301"/>
      <c r="AJ261" s="301"/>
      <c r="AK261" s="301"/>
      <c r="AL261" s="301"/>
      <c r="AM261" s="301"/>
      <c r="AN261" s="301"/>
      <c r="AO261" s="301"/>
      <c r="AP261" s="301"/>
      <c r="AQ261" s="301"/>
      <c r="AR261" s="301"/>
      <c r="AS261" s="301"/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/>
      <c r="BF261" s="301"/>
      <c r="BG261" s="301"/>
      <c r="BH261" s="301"/>
      <c r="BI261" s="301"/>
      <c r="BJ261" s="301"/>
      <c r="BK261" s="301"/>
      <c r="BL261" s="301"/>
      <c r="BM261" s="301"/>
    </row>
    <row r="262" spans="2:65" s="347" customFormat="1" ht="17.25" customHeight="1">
      <c r="D262" s="369"/>
      <c r="F262" s="437" t="str" cm="1">
        <f t="array" ref="F262">angleDecimal2Txt(O178-O183-O171)</f>
        <v>-67°25.21 (-67.4202) [-67°25'12.82]</v>
      </c>
      <c r="G262" s="437"/>
      <c r="H262" s="437"/>
      <c r="I262" s="437"/>
      <c r="J262" s="437"/>
      <c r="K262" s="437" t="s">
        <v>454</v>
      </c>
      <c r="L262" s="437"/>
      <c r="M262" s="437"/>
      <c r="N262" s="450" t="s">
        <v>470</v>
      </c>
      <c r="O262" s="450"/>
      <c r="P262" s="450"/>
      <c r="AB262" s="61"/>
      <c r="AC262" s="301"/>
      <c r="AD262" s="301"/>
      <c r="AE262" s="301"/>
      <c r="AF262" s="301"/>
      <c r="AG262" s="301"/>
      <c r="AH262" s="301"/>
      <c r="AI262" s="301"/>
      <c r="AJ262" s="301"/>
      <c r="AK262" s="301"/>
      <c r="AL262" s="301"/>
      <c r="AM262" s="301"/>
      <c r="AN262" s="301"/>
      <c r="AO262" s="301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1"/>
      <c r="BH262" s="301"/>
      <c r="BI262" s="301"/>
      <c r="BJ262" s="301"/>
      <c r="BK262" s="301"/>
      <c r="BL262" s="301"/>
      <c r="BM262" s="301"/>
    </row>
    <row r="263" spans="2:65" s="347" customFormat="1" ht="17.25" customHeight="1">
      <c r="D263" s="369"/>
      <c r="F263" s="437" t="str" cm="1">
        <f t="array" ref="F263">angleDecimal2Txt(O178-O183-O171+O187)</f>
        <v>-67°25.21 (-67.4202) [-67°25'12.82]</v>
      </c>
      <c r="G263" s="437"/>
      <c r="H263" s="437"/>
      <c r="I263" s="437"/>
      <c r="J263" s="437"/>
      <c r="K263" s="437" t="s">
        <v>450</v>
      </c>
      <c r="L263" s="437"/>
      <c r="M263" s="437"/>
      <c r="N263" s="450"/>
      <c r="O263" s="450"/>
      <c r="P263" s="450"/>
      <c r="AB263" s="61"/>
      <c r="AC263" s="301"/>
      <c r="AD263" s="301"/>
      <c r="AE263" s="301"/>
      <c r="AF263" s="301"/>
      <c r="AG263" s="301"/>
      <c r="AH263" s="301"/>
      <c r="AI263" s="301"/>
      <c r="AJ263" s="301"/>
      <c r="AK263" s="301"/>
      <c r="AL263" s="301"/>
      <c r="AM263" s="301"/>
      <c r="AN263" s="301"/>
      <c r="AO263" s="301"/>
      <c r="AP263" s="301"/>
      <c r="AQ263" s="301"/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1"/>
      <c r="BH263" s="301"/>
      <c r="BI263" s="301"/>
      <c r="BJ263" s="301"/>
      <c r="BK263" s="301"/>
      <c r="BL263" s="301"/>
      <c r="BM263" s="301"/>
    </row>
    <row r="264" spans="2:65" s="347" customFormat="1" ht="17.25" customHeight="1">
      <c r="D264" s="369"/>
      <c r="F264" s="437" t="str" cm="1">
        <f t="array" ref="F264">angleDecimal2Txt(O178-O183+O187)</f>
        <v>-00°32.00 (-00.5333) [-00°32'00.00]</v>
      </c>
      <c r="G264" s="437"/>
      <c r="H264" s="437"/>
      <c r="I264" s="437"/>
      <c r="J264" s="437"/>
      <c r="K264" s="437" t="s">
        <v>451</v>
      </c>
      <c r="L264" s="437"/>
      <c r="M264" s="437"/>
      <c r="N264" s="450"/>
      <c r="O264" s="450"/>
      <c r="P264" s="450"/>
      <c r="AB264" s="61"/>
      <c r="AC264" s="301"/>
      <c r="AD264" s="301"/>
      <c r="AE264" s="301"/>
      <c r="AF264" s="301"/>
      <c r="AG264" s="301"/>
      <c r="AH264" s="301"/>
      <c r="AI264" s="301"/>
      <c r="AJ264" s="301"/>
      <c r="AK264" s="301"/>
      <c r="AL264" s="301"/>
      <c r="AM264" s="301"/>
      <c r="AN264" s="301"/>
      <c r="AO264" s="301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/>
      <c r="BD264" s="301"/>
      <c r="BE264" s="301"/>
      <c r="BF264" s="301"/>
      <c r="BG264" s="301"/>
      <c r="BH264" s="301"/>
      <c r="BI264" s="301"/>
      <c r="BJ264" s="301"/>
      <c r="BK264" s="301"/>
      <c r="BL264" s="301"/>
      <c r="BM264" s="301"/>
    </row>
    <row r="265" spans="2:65" s="347" customFormat="1" ht="17.25" customHeight="1">
      <c r="AB265" s="61"/>
      <c r="AC265" s="301"/>
      <c r="AD265" s="301"/>
      <c r="AE265" s="301"/>
      <c r="AF265" s="301"/>
      <c r="AG265" s="301"/>
      <c r="AH265" s="301"/>
      <c r="AI265" s="301"/>
      <c r="AJ265" s="301"/>
      <c r="AK265" s="301"/>
      <c r="AL265" s="301"/>
      <c r="AM265" s="301"/>
      <c r="AN265" s="301"/>
      <c r="AO265" s="301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1"/>
      <c r="BH265" s="301"/>
      <c r="BI265" s="301"/>
      <c r="BJ265" s="301"/>
      <c r="BK265" s="301"/>
      <c r="BL265" s="301"/>
      <c r="BM265" s="301"/>
    </row>
    <row r="266" spans="2:65" s="347" customFormat="1" ht="17.25" customHeight="1">
      <c r="C266" s="369"/>
      <c r="AB266" s="61"/>
      <c r="AC266" s="301"/>
      <c r="AD266" s="301"/>
      <c r="AE266" s="301"/>
      <c r="AF266" s="301"/>
      <c r="AG266" s="301"/>
      <c r="AH266" s="301"/>
      <c r="AI266" s="301"/>
      <c r="AJ266" s="301"/>
      <c r="AK266" s="301"/>
      <c r="AL266" s="301"/>
      <c r="AM266" s="301"/>
      <c r="AN266" s="301"/>
      <c r="AO266" s="301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/>
      <c r="BD266" s="301"/>
      <c r="BE266" s="301"/>
      <c r="BF266" s="301"/>
      <c r="BG266" s="301"/>
      <c r="BH266" s="301"/>
      <c r="BI266" s="301"/>
      <c r="BJ266" s="301"/>
      <c r="BK266" s="301"/>
      <c r="BL266" s="301"/>
      <c r="BM266" s="301"/>
    </row>
    <row r="267" spans="2:65" s="347" customFormat="1" ht="17.25" customHeight="1" thickBot="1">
      <c r="B267" s="367" t="s">
        <v>62</v>
      </c>
      <c r="C267" s="366"/>
      <c r="D267" s="366"/>
      <c r="E267" s="366"/>
      <c r="F267" s="366"/>
      <c r="G267" s="366"/>
      <c r="H267" s="367"/>
      <c r="I267" s="367"/>
      <c r="J267" s="367"/>
      <c r="K267" s="367"/>
      <c r="L267" s="367"/>
      <c r="M267" s="367"/>
      <c r="N267" s="367"/>
      <c r="O267" s="367"/>
      <c r="P267" s="367"/>
      <c r="Q267" s="367"/>
      <c r="AB267" s="61"/>
      <c r="AC267" s="301"/>
      <c r="AD267" s="301"/>
      <c r="AE267" s="301"/>
      <c r="AF267" s="301"/>
      <c r="AG267" s="301"/>
      <c r="AH267" s="301"/>
      <c r="AI267" s="301"/>
      <c r="AJ267" s="301"/>
      <c r="AK267" s="301"/>
      <c r="AL267" s="301"/>
      <c r="AM267" s="301"/>
      <c r="AN267" s="301"/>
      <c r="AO267" s="301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/>
      <c r="AZ267" s="301"/>
      <c r="BA267" s="301"/>
      <c r="BB267" s="301"/>
      <c r="BC267" s="301"/>
      <c r="BD267" s="301"/>
      <c r="BE267" s="301"/>
      <c r="BF267" s="301"/>
      <c r="BG267" s="301"/>
      <c r="BH267" s="301"/>
      <c r="BI267" s="301"/>
      <c r="BJ267" s="301"/>
      <c r="BK267" s="301"/>
      <c r="BL267" s="301"/>
      <c r="BM267" s="301"/>
    </row>
    <row r="268" spans="2:65" s="347" customFormat="1" ht="17.25" customHeight="1" thickTop="1">
      <c r="C268" s="447" t="s">
        <v>455</v>
      </c>
      <c r="D268" s="447"/>
      <c r="E268" s="447" t="str" cm="1">
        <f t="array" ref="E268">latitudeDecimal2Txt(F144)</f>
        <v>N 00°00.00 (N 00.0000) [N 00°00'00.00]</v>
      </c>
      <c r="F268" s="447"/>
      <c r="G268" s="447"/>
      <c r="H268" s="447"/>
      <c r="I268" s="447"/>
      <c r="J268" s="447"/>
      <c r="AB268" s="61"/>
      <c r="AC268" s="301"/>
      <c r="AD268" s="301"/>
      <c r="AE268" s="301"/>
      <c r="AF268" s="301"/>
      <c r="AG268" s="301"/>
      <c r="AH268" s="301"/>
      <c r="AI268" s="301"/>
      <c r="AJ268" s="301"/>
      <c r="AK268" s="301"/>
      <c r="AL268" s="301"/>
      <c r="AM268" s="301"/>
      <c r="AN268" s="301"/>
      <c r="AO268" s="301"/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1"/>
      <c r="BH268" s="301"/>
      <c r="BI268" s="301"/>
      <c r="BJ268" s="301"/>
      <c r="BK268" s="301"/>
      <c r="BL268" s="301"/>
      <c r="BM268" s="301"/>
    </row>
    <row r="269" spans="2:65" s="347" customFormat="1" ht="17.25" customHeight="1">
      <c r="F269" s="450" t="str">
        <f>CONCATENATE("Déc. - ", G104)</f>
        <v>Déc. - 0</v>
      </c>
      <c r="G269" s="450"/>
      <c r="H269" s="437">
        <f>IF($G$118=$AD$118,M153,CONCATENATE("T0:",M161))</f>
        <v>13</v>
      </c>
      <c r="I269" s="437"/>
      <c r="J269" s="437" t="str" cm="1">
        <f t="array" ref="J269">IF($G$118=$AD$118,angleDecimal2Txt(AE152,0),CONCATENATE("Pos. à T0:",angleDecimal2Txt(AD160,0)))</f>
        <v>+00°00.00</v>
      </c>
      <c r="K269" s="437"/>
      <c r="L269" s="437"/>
      <c r="M269" s="437"/>
      <c r="AB269" s="61"/>
      <c r="AC269" s="301"/>
      <c r="AD269" s="301"/>
      <c r="AE269" s="301"/>
      <c r="AF269" s="301"/>
      <c r="AG269" s="301"/>
      <c r="AH269" s="301"/>
      <c r="AI269" s="301"/>
      <c r="AJ269" s="301"/>
      <c r="AK269" s="301"/>
      <c r="AL269" s="301"/>
      <c r="AM269" s="301"/>
      <c r="AN269" s="301"/>
      <c r="AO269" s="301"/>
      <c r="AP269" s="301"/>
      <c r="AQ269" s="301"/>
      <c r="AR269" s="301"/>
      <c r="AS269" s="301"/>
      <c r="AT269" s="301"/>
      <c r="AU269" s="301"/>
      <c r="AV269" s="301"/>
      <c r="AW269" s="301"/>
      <c r="AX269" s="301"/>
      <c r="AY269" s="301"/>
      <c r="AZ269" s="301"/>
      <c r="BA269" s="301"/>
      <c r="BB269" s="301"/>
      <c r="BC269" s="301"/>
      <c r="BD269" s="301"/>
      <c r="BE269" s="301"/>
      <c r="BF269" s="301"/>
      <c r="BG269" s="301"/>
      <c r="BH269" s="301"/>
      <c r="BI269" s="301"/>
      <c r="BJ269" s="301"/>
      <c r="BK269" s="301"/>
      <c r="BL269" s="301"/>
      <c r="BM269" s="301"/>
    </row>
    <row r="270" spans="2:65" s="347" customFormat="1" ht="17.25" customHeight="1">
      <c r="F270" s="450"/>
      <c r="G270" s="450"/>
      <c r="H270" s="437" cm="1">
        <f t="array" ref="H270">IF($G$118=$AD$118,M155,CONCATENATE("V:",angleDecimal2Txt(AD162,0)))</f>
        <v>0</v>
      </c>
      <c r="I270" s="437"/>
      <c r="J270" s="437" t="str" cm="1">
        <f t="array" ref="J270">IF($G$118=$AD$118,angleDecimal2Txt(AE153,0),CONCATENATE("dt:",TEXT((I161-M161),"0.000")," h"))</f>
        <v>+00°00.00</v>
      </c>
      <c r="K270" s="437"/>
      <c r="L270" s="437"/>
      <c r="M270" s="437"/>
      <c r="AB270" s="61"/>
      <c r="AC270" s="301"/>
      <c r="AD270" s="301"/>
      <c r="AE270" s="301"/>
      <c r="AF270" s="301"/>
      <c r="AG270" s="301"/>
      <c r="AH270" s="301"/>
      <c r="AI270" s="301"/>
      <c r="AJ270" s="301"/>
      <c r="AK270" s="301"/>
      <c r="AL270" s="301"/>
      <c r="AM270" s="301"/>
      <c r="AN270" s="301"/>
      <c r="AO270" s="301"/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1"/>
      <c r="BH270" s="301"/>
      <c r="BI270" s="301"/>
      <c r="BJ270" s="301"/>
      <c r="BK270" s="301"/>
      <c r="BL270" s="301"/>
      <c r="BM270" s="301"/>
    </row>
    <row r="271" spans="2:65" s="347" customFormat="1" ht="17.25" customHeight="1">
      <c r="C271" s="449" t="s">
        <v>9</v>
      </c>
      <c r="D271" s="449"/>
      <c r="E271" s="449" t="str" cm="1">
        <f t="array" ref="E271">latitudeDecimal2Txt(F148)</f>
        <v>N 00°00.00 (N 00.0000) [N 00°00'00.00]</v>
      </c>
      <c r="F271" s="449"/>
      <c r="G271" s="449"/>
      <c r="H271" s="449"/>
      <c r="I271" s="449"/>
      <c r="J271" s="449"/>
      <c r="AB271" s="61"/>
      <c r="AC271" s="301"/>
      <c r="AD271" s="301"/>
      <c r="AE271" s="301"/>
      <c r="AF271" s="301"/>
      <c r="AG271" s="301"/>
      <c r="AH271" s="301"/>
      <c r="AI271" s="301"/>
      <c r="AJ271" s="301"/>
      <c r="AK271" s="301"/>
      <c r="AL271" s="301"/>
      <c r="AM271" s="301"/>
      <c r="AN271" s="301"/>
      <c r="AO271" s="301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/>
      <c r="BF271" s="301"/>
      <c r="BG271" s="301"/>
      <c r="BH271" s="301"/>
      <c r="BI271" s="301"/>
      <c r="BJ271" s="301"/>
      <c r="BK271" s="301"/>
      <c r="BL271" s="301"/>
      <c r="BM271" s="301"/>
    </row>
    <row r="272" spans="2:65" s="347" customFormat="1" ht="17.25" customHeight="1">
      <c r="F272" s="452" t="s">
        <v>475</v>
      </c>
      <c r="G272" s="797"/>
      <c r="H272" s="797"/>
      <c r="I272" s="797"/>
      <c r="J272" s="797"/>
      <c r="K272" s="797"/>
      <c r="L272" s="797"/>
      <c r="M272" s="453"/>
      <c r="AB272" s="61"/>
      <c r="AC272" s="301"/>
      <c r="AD272" s="301"/>
      <c r="AE272" s="301"/>
      <c r="AF272" s="301"/>
      <c r="AG272" s="301"/>
      <c r="AH272" s="301"/>
      <c r="AI272" s="301"/>
      <c r="AJ272" s="301"/>
      <c r="AK272" s="301"/>
      <c r="AL272" s="301"/>
      <c r="AM272" s="301"/>
      <c r="AN272" s="301"/>
      <c r="AO272" s="301"/>
      <c r="AP272" s="301"/>
      <c r="AQ272" s="301"/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1"/>
      <c r="BH272" s="301"/>
      <c r="BI272" s="301"/>
      <c r="BJ272" s="301"/>
      <c r="BK272" s="301"/>
      <c r="BL272" s="301"/>
      <c r="BM272" s="301"/>
    </row>
    <row r="273" spans="2:66" s="347" customFormat="1" ht="17.25" customHeight="1">
      <c r="F273" s="437" t="s">
        <v>72</v>
      </c>
      <c r="G273" s="437"/>
      <c r="H273" s="452" t="str" cm="1">
        <f t="array" ref="H273">angleDecimal2Txt(Q211,0)</f>
        <v>+00°00.00</v>
      </c>
      <c r="I273" s="797"/>
      <c r="J273" s="797"/>
      <c r="K273" s="797"/>
      <c r="L273" s="797"/>
      <c r="M273" s="453"/>
      <c r="AB273" s="61"/>
      <c r="AC273" s="301"/>
      <c r="AD273" s="301"/>
      <c r="AE273" s="301"/>
      <c r="AF273" s="301"/>
      <c r="AG273" s="301"/>
      <c r="AH273" s="301"/>
      <c r="AI273" s="301"/>
      <c r="AJ273" s="301"/>
      <c r="AK273" s="301"/>
      <c r="AL273" s="301"/>
      <c r="AM273" s="301"/>
      <c r="AN273" s="301"/>
      <c r="AO273" s="301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/>
      <c r="BB273" s="301"/>
      <c r="BC273" s="301"/>
      <c r="BD273" s="301"/>
      <c r="BE273" s="301"/>
      <c r="BF273" s="301"/>
      <c r="BG273" s="301"/>
      <c r="BH273" s="301"/>
      <c r="BI273" s="301"/>
      <c r="BJ273" s="301"/>
      <c r="BK273" s="301"/>
      <c r="BL273" s="301"/>
      <c r="BM273" s="301"/>
    </row>
    <row r="274" spans="2:66" s="347" customFormat="1" ht="17.25" customHeight="1">
      <c r="C274" s="436" t="s">
        <v>476</v>
      </c>
      <c r="D274" s="436"/>
      <c r="E274" s="436" t="e">
        <f>angleDecimal2Txt(I210,1)</f>
        <v>#VALUE!</v>
      </c>
      <c r="F274" s="436"/>
      <c r="G274" s="436"/>
      <c r="H274" s="436"/>
      <c r="I274" s="436"/>
      <c r="J274" s="436"/>
      <c r="AB274" s="61"/>
      <c r="AC274" s="301"/>
      <c r="AD274" s="301"/>
      <c r="AE274" s="301"/>
      <c r="AF274" s="301"/>
      <c r="AG274" s="301"/>
      <c r="AH274" s="301"/>
      <c r="AI274" s="301"/>
      <c r="AJ274" s="301"/>
      <c r="AK274" s="301"/>
      <c r="AL274" s="301"/>
      <c r="AM274" s="301"/>
      <c r="AN274" s="301"/>
      <c r="AO274" s="301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/>
      <c r="BF274" s="301"/>
      <c r="BG274" s="301"/>
      <c r="BH274" s="301"/>
      <c r="BI274" s="301"/>
      <c r="BJ274" s="301"/>
      <c r="BK274" s="301"/>
      <c r="BL274" s="301"/>
      <c r="BM274" s="301"/>
    </row>
    <row r="275" spans="2:66" s="300" customFormat="1" ht="17.25" customHeight="1">
      <c r="C275" s="380"/>
      <c r="D275" s="380"/>
      <c r="E275" s="380"/>
      <c r="F275" s="799" t="s">
        <v>228</v>
      </c>
      <c r="G275" s="800"/>
      <c r="H275" s="800"/>
      <c r="I275" s="800"/>
      <c r="J275" s="800"/>
      <c r="K275" s="800"/>
      <c r="L275" s="800"/>
      <c r="M275" s="800"/>
      <c r="N275" s="800"/>
      <c r="O275" s="800"/>
      <c r="P275" s="801"/>
      <c r="Q275" s="301"/>
      <c r="AB275" s="61"/>
      <c r="AC275" s="301"/>
      <c r="AD275" s="301"/>
      <c r="AE275" s="301"/>
      <c r="AF275" s="301"/>
      <c r="AG275" s="301"/>
      <c r="AH275" s="301"/>
      <c r="AI275" s="301"/>
      <c r="AJ275" s="301"/>
      <c r="AK275" s="301"/>
      <c r="AL275" s="301"/>
      <c r="AM275" s="301"/>
      <c r="AN275" s="301"/>
      <c r="AO275" s="301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1"/>
      <c r="BH275" s="301"/>
      <c r="BI275" s="301"/>
      <c r="BJ275" s="301"/>
      <c r="BK275" s="301"/>
      <c r="BL275" s="301"/>
      <c r="BM275" s="301"/>
      <c r="BN275" s="302"/>
    </row>
    <row r="276" spans="2:66" s="300" customFormat="1" ht="17.25" customHeight="1">
      <c r="C276" s="380"/>
      <c r="D276" s="380"/>
      <c r="E276" s="380"/>
      <c r="F276" s="804"/>
      <c r="G276" s="802" t="s">
        <v>230</v>
      </c>
      <c r="H276" s="802"/>
      <c r="I276" s="802"/>
      <c r="J276" s="802"/>
      <c r="K276" s="802"/>
      <c r="L276" s="794" t="s">
        <v>232</v>
      </c>
      <c r="M276" s="795"/>
      <c r="N276" s="795"/>
      <c r="O276" s="795"/>
      <c r="P276" s="796"/>
      <c r="Q276" s="301"/>
      <c r="AB276" s="61"/>
      <c r="AC276" s="301"/>
      <c r="AD276" s="301"/>
      <c r="AE276" s="301"/>
      <c r="AF276" s="301"/>
      <c r="AG276" s="301"/>
      <c r="AH276" s="301"/>
      <c r="AI276" s="301"/>
      <c r="AJ276" s="301"/>
      <c r="AK276" s="301"/>
      <c r="AL276" s="301"/>
      <c r="AM276" s="301"/>
      <c r="AN276" s="301"/>
      <c r="AO276" s="301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1"/>
      <c r="BH276" s="301"/>
      <c r="BI276" s="301"/>
      <c r="BJ276" s="301"/>
      <c r="BK276" s="301"/>
      <c r="BL276" s="301"/>
      <c r="BM276" s="301"/>
      <c r="BN276" s="302"/>
    </row>
    <row r="277" spans="2:66" s="300" customFormat="1" ht="17.25" customHeight="1">
      <c r="C277" s="380"/>
      <c r="D277" s="380"/>
      <c r="E277" s="380"/>
      <c r="F277" s="804"/>
      <c r="G277" s="802" t="s">
        <v>231</v>
      </c>
      <c r="H277" s="802"/>
      <c r="I277" s="802"/>
      <c r="J277" s="802"/>
      <c r="K277" s="802"/>
      <c r="L277" s="794" t="s">
        <v>233</v>
      </c>
      <c r="M277" s="795"/>
      <c r="N277" s="795"/>
      <c r="O277" s="795"/>
      <c r="P277" s="796"/>
      <c r="Q277" s="301"/>
      <c r="AB277" s="61"/>
      <c r="AC277" s="301"/>
      <c r="AD277" s="301"/>
      <c r="AE277" s="301"/>
      <c r="AF277" s="301"/>
      <c r="AG277" s="301"/>
      <c r="AH277" s="301"/>
      <c r="AI277" s="301"/>
      <c r="AJ277" s="301"/>
      <c r="AK277" s="301"/>
      <c r="AL277" s="301"/>
      <c r="AM277" s="301"/>
      <c r="AN277" s="301"/>
      <c r="AO277" s="301"/>
      <c r="AP277" s="301"/>
      <c r="AQ277" s="301"/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1"/>
      <c r="BH277" s="301"/>
      <c r="BI277" s="301"/>
      <c r="BJ277" s="301"/>
      <c r="BK277" s="301"/>
      <c r="BL277" s="301"/>
      <c r="BM277" s="301"/>
      <c r="BN277" s="302"/>
    </row>
    <row r="278" spans="2:66" s="300" customFormat="1" ht="17.25" customHeight="1">
      <c r="C278" s="380"/>
      <c r="D278" s="380"/>
      <c r="E278" s="380"/>
      <c r="F278" s="803" t="s">
        <v>229</v>
      </c>
      <c r="G278" s="803"/>
      <c r="H278" s="803"/>
      <c r="I278" s="803"/>
      <c r="J278" s="803"/>
      <c r="K278" s="803"/>
      <c r="L278" s="794" t="s">
        <v>234</v>
      </c>
      <c r="M278" s="795"/>
      <c r="N278" s="795"/>
      <c r="O278" s="795"/>
      <c r="P278" s="796"/>
      <c r="Q278" s="301"/>
      <c r="AB278" s="61"/>
      <c r="AC278" s="301"/>
      <c r="AD278" s="301"/>
      <c r="AE278" s="301"/>
      <c r="AF278" s="301"/>
      <c r="AG278" s="301"/>
      <c r="AH278" s="301"/>
      <c r="AI278" s="301"/>
      <c r="AJ278" s="301"/>
      <c r="AK278" s="301"/>
      <c r="AL278" s="301"/>
      <c r="AM278" s="301"/>
      <c r="AN278" s="301"/>
      <c r="AO278" s="301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/>
      <c r="BD278" s="301"/>
      <c r="BE278" s="301"/>
      <c r="BF278" s="301"/>
      <c r="BG278" s="301"/>
      <c r="BH278" s="301"/>
      <c r="BI278" s="301"/>
      <c r="BJ278" s="301"/>
      <c r="BK278" s="301"/>
      <c r="BL278" s="301"/>
      <c r="BM278" s="301"/>
      <c r="BN278" s="302"/>
    </row>
    <row r="279" spans="2:66" s="300" customFormat="1" ht="17.25" customHeight="1">
      <c r="C279" s="380"/>
      <c r="D279" s="380"/>
      <c r="E279" s="380"/>
      <c r="F279" s="437" t="s">
        <v>477</v>
      </c>
      <c r="G279" s="437"/>
      <c r="H279" s="452" t="b">
        <f>((F144*F148)&gt;0)</f>
        <v>0</v>
      </c>
      <c r="I279" s="797"/>
      <c r="J279" s="797"/>
      <c r="K279" s="797"/>
      <c r="L279" s="797"/>
      <c r="M279" s="453"/>
      <c r="Q279" s="301"/>
      <c r="AB279" s="61"/>
      <c r="AC279" s="301"/>
      <c r="AD279" s="301"/>
      <c r="AE279" s="301"/>
      <c r="AF279" s="301"/>
      <c r="AG279" s="301"/>
      <c r="AH279" s="301"/>
      <c r="AI279" s="301"/>
      <c r="AJ279" s="301"/>
      <c r="AK279" s="301"/>
      <c r="AL279" s="301"/>
      <c r="AM279" s="301"/>
      <c r="AN279" s="301"/>
      <c r="AO279" s="301"/>
      <c r="AP279" s="301"/>
      <c r="AQ279" s="301"/>
      <c r="AR279" s="301"/>
      <c r="AS279" s="301"/>
      <c r="AT279" s="301"/>
      <c r="AU279" s="301"/>
      <c r="AV279" s="301"/>
      <c r="AW279" s="301"/>
      <c r="AX279" s="301"/>
      <c r="AY279" s="301"/>
      <c r="AZ279" s="301"/>
      <c r="BA279" s="301"/>
      <c r="BB279" s="301"/>
      <c r="BC279" s="301"/>
      <c r="BD279" s="301"/>
      <c r="BE279" s="301"/>
      <c r="BF279" s="301"/>
      <c r="BG279" s="301"/>
      <c r="BH279" s="301"/>
      <c r="BI279" s="301"/>
      <c r="BJ279" s="301"/>
      <c r="BK279" s="301"/>
      <c r="BL279" s="301"/>
      <c r="BM279" s="301"/>
      <c r="BN279" s="302"/>
    </row>
    <row r="280" spans="2:66" s="300" customFormat="1" ht="17.25" customHeight="1">
      <c r="C280" s="380"/>
      <c r="D280" s="380"/>
      <c r="E280" s="380"/>
      <c r="F280" s="437" t="s">
        <v>478</v>
      </c>
      <c r="G280" s="437"/>
      <c r="H280" s="452" t="b">
        <f>(F144&gt;F148)</f>
        <v>0</v>
      </c>
      <c r="I280" s="797"/>
      <c r="J280" s="797"/>
      <c r="K280" s="797"/>
      <c r="L280" s="797"/>
      <c r="M280" s="453"/>
      <c r="P280" s="370"/>
      <c r="Q280" s="370"/>
      <c r="AB280" s="61"/>
      <c r="AC280" s="301"/>
      <c r="AD280" s="301"/>
      <c r="AE280" s="301"/>
      <c r="AF280" s="301"/>
      <c r="AG280" s="301"/>
      <c r="AH280" s="301"/>
      <c r="AI280" s="301"/>
      <c r="AJ280" s="301"/>
      <c r="AK280" s="301"/>
      <c r="AL280" s="301"/>
      <c r="AM280" s="301"/>
      <c r="AN280" s="301"/>
      <c r="AO280" s="301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1"/>
      <c r="BH280" s="301"/>
      <c r="BI280" s="301"/>
      <c r="BJ280" s="301"/>
      <c r="BK280" s="301"/>
      <c r="BL280" s="301"/>
      <c r="BM280" s="301"/>
      <c r="BN280" s="302"/>
    </row>
    <row r="281" spans="2:66" s="300" customFormat="1" ht="17.25" customHeight="1">
      <c r="B281" s="962" t="s">
        <v>227</v>
      </c>
      <c r="C281" s="963"/>
      <c r="D281" s="964"/>
      <c r="E281" s="438" t="str" cm="1">
        <f t="array" ref="E281">latitudeDecimal2Txt(M221)</f>
        <v>N 00°00.00 (N 00.0000) [N 00°00'00.00]</v>
      </c>
      <c r="F281" s="438"/>
      <c r="G281" s="438"/>
      <c r="H281" s="438"/>
      <c r="I281" s="438"/>
      <c r="J281" s="438"/>
      <c r="N281" s="370"/>
      <c r="O281" s="370"/>
      <c r="P281" s="370"/>
      <c r="Q281" s="370"/>
      <c r="AB281" s="61"/>
      <c r="AC281" s="301"/>
      <c r="AD281" s="301"/>
      <c r="AE281" s="301"/>
      <c r="AF281" s="301"/>
      <c r="AG281" s="301"/>
      <c r="AH281" s="301"/>
      <c r="AI281" s="301"/>
      <c r="AJ281" s="301"/>
      <c r="AK281" s="301"/>
      <c r="AL281" s="301"/>
      <c r="AM281" s="301"/>
      <c r="AN281" s="301"/>
      <c r="AO281" s="301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/>
      <c r="BF281" s="301"/>
      <c r="BG281" s="301"/>
      <c r="BH281" s="301"/>
      <c r="BI281" s="301"/>
      <c r="BJ281" s="301"/>
      <c r="BK281" s="301"/>
      <c r="BL281" s="301"/>
      <c r="BM281" s="301"/>
      <c r="BN281" s="302"/>
    </row>
    <row r="282" spans="2:66" s="300" customFormat="1" ht="17.25" customHeight="1">
      <c r="B282" s="438" t="s">
        <v>529</v>
      </c>
      <c r="C282" s="438"/>
      <c r="D282" s="438"/>
      <c r="E282" s="438" t="str">
        <f>longitudeDecimal2Txt(V109)</f>
        <v>E 00°00.00 (E 00.0000) [E 00°00'00.00]</v>
      </c>
      <c r="F282" s="438"/>
      <c r="G282" s="438"/>
      <c r="H282" s="438"/>
      <c r="I282" s="438"/>
      <c r="J282" s="438"/>
      <c r="AB282" s="61"/>
      <c r="AC282" s="301"/>
      <c r="AD282" s="301"/>
      <c r="AE282" s="301"/>
      <c r="AF282" s="301"/>
      <c r="AG282" s="301"/>
      <c r="AH282" s="301"/>
      <c r="AI282" s="301"/>
      <c r="AJ282" s="301"/>
      <c r="AK282" s="301"/>
      <c r="AL282" s="301"/>
      <c r="AM282" s="301"/>
      <c r="AN282" s="301"/>
      <c r="AO282" s="301"/>
      <c r="AP282" s="301"/>
      <c r="AQ282" s="301"/>
      <c r="AR282" s="301"/>
      <c r="AS282" s="301"/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1"/>
      <c r="BH282" s="301"/>
      <c r="BI282" s="301"/>
      <c r="BJ282" s="301"/>
      <c r="BK282" s="301"/>
      <c r="BL282" s="301"/>
      <c r="BM282" s="301"/>
      <c r="BN282" s="302"/>
    </row>
  </sheetData>
  <protectedRanges>
    <protectedRange sqref="M117:Y117 M103:Y103" name="Heure visee" securityDescriptor="O:WDG:WDD:(A;;CC;;;WD)"/>
  </protectedRanges>
  <dataConsolidate link="1"/>
  <mergeCells count="484">
    <mergeCell ref="F278:K278"/>
    <mergeCell ref="L278:P278"/>
    <mergeCell ref="F279:G279"/>
    <mergeCell ref="H279:M279"/>
    <mergeCell ref="F280:G280"/>
    <mergeCell ref="H280:M280"/>
    <mergeCell ref="B281:D281"/>
    <mergeCell ref="E281:J281"/>
    <mergeCell ref="B282:D282"/>
    <mergeCell ref="E282:J282"/>
    <mergeCell ref="C271:D271"/>
    <mergeCell ref="E271:J271"/>
    <mergeCell ref="F272:M272"/>
    <mergeCell ref="F273:G273"/>
    <mergeCell ref="H273:M273"/>
    <mergeCell ref="C274:D274"/>
    <mergeCell ref="E274:J274"/>
    <mergeCell ref="F275:P275"/>
    <mergeCell ref="F276:F277"/>
    <mergeCell ref="G276:K276"/>
    <mergeCell ref="L276:P276"/>
    <mergeCell ref="G277:K277"/>
    <mergeCell ref="L277:P277"/>
    <mergeCell ref="N262:P264"/>
    <mergeCell ref="F263:J263"/>
    <mergeCell ref="K263:M263"/>
    <mergeCell ref="F264:J264"/>
    <mergeCell ref="K264:M264"/>
    <mergeCell ref="C268:D268"/>
    <mergeCell ref="E268:J268"/>
    <mergeCell ref="F269:G270"/>
    <mergeCell ref="H269:I269"/>
    <mergeCell ref="J269:M269"/>
    <mergeCell ref="H270:I270"/>
    <mergeCell ref="J270:M270"/>
    <mergeCell ref="F258:G258"/>
    <mergeCell ref="H258:L258"/>
    <mergeCell ref="F259:G259"/>
    <mergeCell ref="H259:L259"/>
    <mergeCell ref="F260:G260"/>
    <mergeCell ref="H260:L260"/>
    <mergeCell ref="E261:I261"/>
    <mergeCell ref="J261:L261"/>
    <mergeCell ref="F262:J262"/>
    <mergeCell ref="K262:M262"/>
    <mergeCell ref="C253:D253"/>
    <mergeCell ref="E253:I253"/>
    <mergeCell ref="C254:D254"/>
    <mergeCell ref="E254:I254"/>
    <mergeCell ref="E255:I255"/>
    <mergeCell ref="J255:L255"/>
    <mergeCell ref="F256:G256"/>
    <mergeCell ref="H256:L256"/>
    <mergeCell ref="F257:G257"/>
    <mergeCell ref="H257:L257"/>
    <mergeCell ref="B247:C247"/>
    <mergeCell ref="D247:G247"/>
    <mergeCell ref="I247:L247"/>
    <mergeCell ref="B248:C248"/>
    <mergeCell ref="D248:G248"/>
    <mergeCell ref="C251:D251"/>
    <mergeCell ref="E251:I251"/>
    <mergeCell ref="C252:D252"/>
    <mergeCell ref="E252:I252"/>
    <mergeCell ref="Q109:R110"/>
    <mergeCell ref="S107:Y108"/>
    <mergeCell ref="S109:Y110"/>
    <mergeCell ref="E227:F227"/>
    <mergeCell ref="E104:F104"/>
    <mergeCell ref="G104:H104"/>
    <mergeCell ref="E105:F105"/>
    <mergeCell ref="G105:H105"/>
    <mergeCell ref="G107:H107"/>
    <mergeCell ref="N107:P108"/>
    <mergeCell ref="Q107:R108"/>
    <mergeCell ref="M219:N219"/>
    <mergeCell ref="P219:U219"/>
    <mergeCell ref="C225:F225"/>
    <mergeCell ref="H225:J225"/>
    <mergeCell ref="L225:N225"/>
    <mergeCell ref="Q225:T225"/>
    <mergeCell ref="H220:L220"/>
    <mergeCell ref="M220:N220"/>
    <mergeCell ref="P220:U220"/>
    <mergeCell ref="E213:O213"/>
    <mergeCell ref="E214:E215"/>
    <mergeCell ref="F214:J214"/>
    <mergeCell ref="K214:O214"/>
    <mergeCell ref="E100:F100"/>
    <mergeCell ref="E101:F101"/>
    <mergeCell ref="G101:H101"/>
    <mergeCell ref="G100:K100"/>
    <mergeCell ref="E102:F102"/>
    <mergeCell ref="G102:H102"/>
    <mergeCell ref="E103:F103"/>
    <mergeCell ref="G103:H103"/>
    <mergeCell ref="N109:P110"/>
    <mergeCell ref="M81:P82"/>
    <mergeCell ref="G83:I83"/>
    <mergeCell ref="J83:L83"/>
    <mergeCell ref="Q81:T82"/>
    <mergeCell ref="U81:W82"/>
    <mergeCell ref="M83:P83"/>
    <mergeCell ref="Q83:T83"/>
    <mergeCell ref="U83:W83"/>
    <mergeCell ref="X83:AA83"/>
    <mergeCell ref="X81:AA82"/>
    <mergeCell ref="G81:I82"/>
    <mergeCell ref="J81:L82"/>
    <mergeCell ref="C96:D96"/>
    <mergeCell ref="E96:F96"/>
    <mergeCell ref="G95:I95"/>
    <mergeCell ref="J95:L95"/>
    <mergeCell ref="M95:O95"/>
    <mergeCell ref="P95:S95"/>
    <mergeCell ref="T95:W95"/>
    <mergeCell ref="X95:Z95"/>
    <mergeCell ref="G96:I96"/>
    <mergeCell ref="J96:L96"/>
    <mergeCell ref="M96:O96"/>
    <mergeCell ref="P96:S96"/>
    <mergeCell ref="T96:W96"/>
    <mergeCell ref="X96:Z96"/>
    <mergeCell ref="C95:D95"/>
    <mergeCell ref="E95:F95"/>
    <mergeCell ref="C94:D94"/>
    <mergeCell ref="E94:F94"/>
    <mergeCell ref="G93:I93"/>
    <mergeCell ref="G94:I94"/>
    <mergeCell ref="M94:O94"/>
    <mergeCell ref="P94:S94"/>
    <mergeCell ref="T94:W94"/>
    <mergeCell ref="X94:Z94"/>
    <mergeCell ref="C93:D93"/>
    <mergeCell ref="E93:F93"/>
    <mergeCell ref="J93:L93"/>
    <mergeCell ref="M93:O93"/>
    <mergeCell ref="P93:S93"/>
    <mergeCell ref="T93:W93"/>
    <mergeCell ref="X93:Z93"/>
    <mergeCell ref="J94:L94"/>
    <mergeCell ref="X85:AA85"/>
    <mergeCell ref="C92:D92"/>
    <mergeCell ref="E92:F92"/>
    <mergeCell ref="G92:I92"/>
    <mergeCell ref="G90:I91"/>
    <mergeCell ref="E87:F87"/>
    <mergeCell ref="G86:I86"/>
    <mergeCell ref="J86:L86"/>
    <mergeCell ref="M86:P86"/>
    <mergeCell ref="Q86:T86"/>
    <mergeCell ref="G87:I87"/>
    <mergeCell ref="J87:L87"/>
    <mergeCell ref="M87:P87"/>
    <mergeCell ref="Q87:T87"/>
    <mergeCell ref="AA90:AA91"/>
    <mergeCell ref="U86:W86"/>
    <mergeCell ref="X86:AA86"/>
    <mergeCell ref="U87:W87"/>
    <mergeCell ref="X87:AA87"/>
    <mergeCell ref="J92:L92"/>
    <mergeCell ref="M92:O92"/>
    <mergeCell ref="P92:S92"/>
    <mergeCell ref="T92:W92"/>
    <mergeCell ref="X92:Z92"/>
    <mergeCell ref="E236:F236"/>
    <mergeCell ref="G236:L236"/>
    <mergeCell ref="S236:T236"/>
    <mergeCell ref="U236:Z236"/>
    <mergeCell ref="C238:E238"/>
    <mergeCell ref="AE238:AF239"/>
    <mergeCell ref="D239:E239"/>
    <mergeCell ref="E81:F82"/>
    <mergeCell ref="E83:F83"/>
    <mergeCell ref="E226:F226"/>
    <mergeCell ref="I226:J226"/>
    <mergeCell ref="M226:N226"/>
    <mergeCell ref="S226:T226"/>
    <mergeCell ref="U226:Z226"/>
    <mergeCell ref="Q228:S228"/>
    <mergeCell ref="R229:S229"/>
    <mergeCell ref="C234:F234"/>
    <mergeCell ref="E235:F235"/>
    <mergeCell ref="G235:L235"/>
    <mergeCell ref="S235:T235"/>
    <mergeCell ref="U235:Z235"/>
    <mergeCell ref="E216:J216"/>
    <mergeCell ref="K216:O216"/>
    <mergeCell ref="H219:L219"/>
    <mergeCell ref="Q214:R214"/>
    <mergeCell ref="S214:T214"/>
    <mergeCell ref="U214:X214"/>
    <mergeCell ref="F215:J215"/>
    <mergeCell ref="K215:O215"/>
    <mergeCell ref="Q215:R215"/>
    <mergeCell ref="S215:T215"/>
    <mergeCell ref="U215:X215"/>
    <mergeCell ref="H204:N204"/>
    <mergeCell ref="O204:R204"/>
    <mergeCell ref="U204:Z204"/>
    <mergeCell ref="B206:AA206"/>
    <mergeCell ref="E208:H210"/>
    <mergeCell ref="I208:M209"/>
    <mergeCell ref="O208:T208"/>
    <mergeCell ref="O209:P209"/>
    <mergeCell ref="Q209:S209"/>
    <mergeCell ref="I210:M210"/>
    <mergeCell ref="O210:P210"/>
    <mergeCell ref="Q210:S210"/>
    <mergeCell ref="K200:K201"/>
    <mergeCell ref="N200:N201"/>
    <mergeCell ref="Q200:Q201"/>
    <mergeCell ref="U200:V200"/>
    <mergeCell ref="L201:M201"/>
    <mergeCell ref="O201:P201"/>
    <mergeCell ref="L202:M202"/>
    <mergeCell ref="O202:P202"/>
    <mergeCell ref="W202:AA202"/>
    <mergeCell ref="I192:N192"/>
    <mergeCell ref="O192:R192"/>
    <mergeCell ref="H194:N194"/>
    <mergeCell ref="O194:R194"/>
    <mergeCell ref="U194:Z194"/>
    <mergeCell ref="F196:I196"/>
    <mergeCell ref="J196:L196"/>
    <mergeCell ref="U198:V198"/>
    <mergeCell ref="U199:V199"/>
    <mergeCell ref="AD186:AE186"/>
    <mergeCell ref="G187:S187"/>
    <mergeCell ref="G188:H189"/>
    <mergeCell ref="I188:N188"/>
    <mergeCell ref="O188:R189"/>
    <mergeCell ref="S188:S189"/>
    <mergeCell ref="AD188:AE188"/>
    <mergeCell ref="I189:N189"/>
    <mergeCell ref="I190:N190"/>
    <mergeCell ref="O190:R191"/>
    <mergeCell ref="S190:S191"/>
    <mergeCell ref="I191:N191"/>
    <mergeCell ref="H181:N181"/>
    <mergeCell ref="O181:R181"/>
    <mergeCell ref="U181:Z181"/>
    <mergeCell ref="H183:N183"/>
    <mergeCell ref="O183:R183"/>
    <mergeCell ref="H184:N184"/>
    <mergeCell ref="O184:R184"/>
    <mergeCell ref="AD184:AE184"/>
    <mergeCell ref="H185:N185"/>
    <mergeCell ref="O185:R185"/>
    <mergeCell ref="U185:Z185"/>
    <mergeCell ref="AD185:AE185"/>
    <mergeCell ref="H176:N176"/>
    <mergeCell ref="O176:R176"/>
    <mergeCell ref="U176:Z176"/>
    <mergeCell ref="S178:U178"/>
    <mergeCell ref="H179:N179"/>
    <mergeCell ref="O179:R179"/>
    <mergeCell ref="S179:U179"/>
    <mergeCell ref="H180:N180"/>
    <mergeCell ref="O180:R180"/>
    <mergeCell ref="S180:U180"/>
    <mergeCell ref="M170:P170"/>
    <mergeCell ref="H171:N171"/>
    <mergeCell ref="O171:P171"/>
    <mergeCell ref="R171:S171"/>
    <mergeCell ref="U171:Z171"/>
    <mergeCell ref="M173:P173"/>
    <mergeCell ref="M174:P174"/>
    <mergeCell ref="H175:N175"/>
    <mergeCell ref="O175:R175"/>
    <mergeCell ref="U175:Z175"/>
    <mergeCell ref="H167:N167"/>
    <mergeCell ref="O167:R167"/>
    <mergeCell ref="U167:Z167"/>
    <mergeCell ref="H168:N168"/>
    <mergeCell ref="O168:R168"/>
    <mergeCell ref="U168:Z168"/>
    <mergeCell ref="H169:N169"/>
    <mergeCell ref="O169:R169"/>
    <mergeCell ref="U169:Z169"/>
    <mergeCell ref="D164:E164"/>
    <mergeCell ref="F164:H164"/>
    <mergeCell ref="M164:N164"/>
    <mergeCell ref="S164:U164"/>
    <mergeCell ref="V164:Z164"/>
    <mergeCell ref="C165:F165"/>
    <mergeCell ref="G165:I165"/>
    <mergeCell ref="AC165:AC166"/>
    <mergeCell ref="F166:I166"/>
    <mergeCell ref="J166:L166"/>
    <mergeCell ref="F159:H160"/>
    <mergeCell ref="I159:L160"/>
    <mergeCell ref="M159:O160"/>
    <mergeCell ref="P159:P160"/>
    <mergeCell ref="Q159:T160"/>
    <mergeCell ref="U159:U160"/>
    <mergeCell ref="V159:Y160"/>
    <mergeCell ref="F161:K161"/>
    <mergeCell ref="P161:T161"/>
    <mergeCell ref="U161:Y161"/>
    <mergeCell ref="M153:O154"/>
    <mergeCell ref="P153:P154"/>
    <mergeCell ref="Q153:T154"/>
    <mergeCell ref="U153:Y154"/>
    <mergeCell ref="F155:K155"/>
    <mergeCell ref="F157:H158"/>
    <mergeCell ref="I157:L158"/>
    <mergeCell ref="M157:O158"/>
    <mergeCell ref="P157:T158"/>
    <mergeCell ref="U157:Y158"/>
    <mergeCell ref="AC147:AC148"/>
    <mergeCell ref="F149:H150"/>
    <mergeCell ref="I149:L150"/>
    <mergeCell ref="M149:O150"/>
    <mergeCell ref="P149:T150"/>
    <mergeCell ref="M151:O152"/>
    <mergeCell ref="P151:P152"/>
    <mergeCell ref="Q151:T152"/>
    <mergeCell ref="U151:Y152"/>
    <mergeCell ref="P134:R135"/>
    <mergeCell ref="P136:R136"/>
    <mergeCell ref="S136:X136"/>
    <mergeCell ref="P137:X137"/>
    <mergeCell ref="E140:H141"/>
    <mergeCell ref="F142:H143"/>
    <mergeCell ref="F146:H146"/>
    <mergeCell ref="C147:F147"/>
    <mergeCell ref="G147:I147"/>
    <mergeCell ref="C122:I122"/>
    <mergeCell ref="J122:L122"/>
    <mergeCell ref="M122:O122"/>
    <mergeCell ref="P122:X122"/>
    <mergeCell ref="C123:I123"/>
    <mergeCell ref="J123:L123"/>
    <mergeCell ref="M123:O123"/>
    <mergeCell ref="P123:X123"/>
    <mergeCell ref="C124:I124"/>
    <mergeCell ref="M124:O124"/>
    <mergeCell ref="P124:X124"/>
    <mergeCell ref="X76:X77"/>
    <mergeCell ref="C114:D114"/>
    <mergeCell ref="E114:G114"/>
    <mergeCell ref="C115:D117"/>
    <mergeCell ref="E115:H116"/>
    <mergeCell ref="E117:H117"/>
    <mergeCell ref="I117:L117"/>
    <mergeCell ref="C121:I121"/>
    <mergeCell ref="J121:O121"/>
    <mergeCell ref="E84:F84"/>
    <mergeCell ref="E86:F86"/>
    <mergeCell ref="E90:F91"/>
    <mergeCell ref="E85:F85"/>
    <mergeCell ref="G84:I84"/>
    <mergeCell ref="J84:L84"/>
    <mergeCell ref="M84:P84"/>
    <mergeCell ref="Q84:T84"/>
    <mergeCell ref="U84:W84"/>
    <mergeCell ref="X84:AA84"/>
    <mergeCell ref="G85:I85"/>
    <mergeCell ref="J85:L85"/>
    <mergeCell ref="M85:P85"/>
    <mergeCell ref="Q85:T85"/>
    <mergeCell ref="U85:W85"/>
    <mergeCell ref="C63:O63"/>
    <mergeCell ref="C64:O66"/>
    <mergeCell ref="Q64:U64"/>
    <mergeCell ref="H70:U71"/>
    <mergeCell ref="V70:W71"/>
    <mergeCell ref="X70:X71"/>
    <mergeCell ref="H72:U73"/>
    <mergeCell ref="V72:W73"/>
    <mergeCell ref="X72:AC73"/>
    <mergeCell ref="X55:Z56"/>
    <mergeCell ref="AA55:AA56"/>
    <mergeCell ref="C56:D56"/>
    <mergeCell ref="E56:G56"/>
    <mergeCell ref="C59:O59"/>
    <mergeCell ref="C60:D60"/>
    <mergeCell ref="E60:G60"/>
    <mergeCell ref="I60:J60"/>
    <mergeCell ref="K60:N60"/>
    <mergeCell ref="C54:O54"/>
    <mergeCell ref="C55:D55"/>
    <mergeCell ref="E55:G55"/>
    <mergeCell ref="I55:J56"/>
    <mergeCell ref="K55:K56"/>
    <mergeCell ref="L55:N56"/>
    <mergeCell ref="O55:O56"/>
    <mergeCell ref="P55:R56"/>
    <mergeCell ref="U55:W56"/>
    <mergeCell ref="F32:H33"/>
    <mergeCell ref="I32:N33"/>
    <mergeCell ref="O32:X33"/>
    <mergeCell ref="C49:R49"/>
    <mergeCell ref="C50:D50"/>
    <mergeCell ref="E50:G50"/>
    <mergeCell ref="I50:J51"/>
    <mergeCell ref="K50:L51"/>
    <mergeCell ref="N50:O51"/>
    <mergeCell ref="P50:Q51"/>
    <mergeCell ref="R50:R51"/>
    <mergeCell ref="C51:D51"/>
    <mergeCell ref="E51:G51"/>
    <mergeCell ref="E19:H20"/>
    <mergeCell ref="F21:H22"/>
    <mergeCell ref="I21:N22"/>
    <mergeCell ref="O21:X22"/>
    <mergeCell ref="E26:K27"/>
    <mergeCell ref="F28:H29"/>
    <mergeCell ref="I28:N29"/>
    <mergeCell ref="O28:X29"/>
    <mergeCell ref="E30:K31"/>
    <mergeCell ref="P91:S91"/>
    <mergeCell ref="T91:W91"/>
    <mergeCell ref="X91:Z91"/>
    <mergeCell ref="J90:Z90"/>
    <mergeCell ref="J91:L91"/>
    <mergeCell ref="B88:AJ89"/>
    <mergeCell ref="C1:F4"/>
    <mergeCell ref="G1:Y2"/>
    <mergeCell ref="G3:I4"/>
    <mergeCell ref="J3:L4"/>
    <mergeCell ref="N3:P4"/>
    <mergeCell ref="Q3:S4"/>
    <mergeCell ref="C8:D8"/>
    <mergeCell ref="E8:G8"/>
    <mergeCell ref="E9:H10"/>
    <mergeCell ref="H74:U75"/>
    <mergeCell ref="V74:W75"/>
    <mergeCell ref="X74:X75"/>
    <mergeCell ref="H76:U77"/>
    <mergeCell ref="V76:W77"/>
    <mergeCell ref="E34:M35"/>
    <mergeCell ref="F36:H37"/>
    <mergeCell ref="I36:I37"/>
    <mergeCell ref="J36:N37"/>
    <mergeCell ref="A11:C11"/>
    <mergeCell ref="F11:H12"/>
    <mergeCell ref="J124:L124"/>
    <mergeCell ref="C125:I125"/>
    <mergeCell ref="J125:L125"/>
    <mergeCell ref="M125:O125"/>
    <mergeCell ref="C126:I126"/>
    <mergeCell ref="J126:L126"/>
    <mergeCell ref="M126:O126"/>
    <mergeCell ref="M91:O91"/>
    <mergeCell ref="I43:N44"/>
    <mergeCell ref="O43:X44"/>
    <mergeCell ref="B47:AA47"/>
    <mergeCell ref="E41:K42"/>
    <mergeCell ref="F43:H44"/>
    <mergeCell ref="O36:X37"/>
    <mergeCell ref="I11:I12"/>
    <mergeCell ref="J11:N12"/>
    <mergeCell ref="O11:X12"/>
    <mergeCell ref="E14:H15"/>
    <mergeCell ref="F16:H17"/>
    <mergeCell ref="I16:I17"/>
    <mergeCell ref="J16:N17"/>
    <mergeCell ref="O16:X17"/>
    <mergeCell ref="P126:X126"/>
    <mergeCell ref="C127:I127"/>
    <mergeCell ref="J127:L127"/>
    <mergeCell ref="M127:O127"/>
    <mergeCell ref="P127:X127"/>
    <mergeCell ref="C128:I128"/>
    <mergeCell ref="J128:L128"/>
    <mergeCell ref="M128:O128"/>
    <mergeCell ref="F151:H154"/>
    <mergeCell ref="I151:L154"/>
    <mergeCell ref="C129:I129"/>
    <mergeCell ref="J129:L129"/>
    <mergeCell ref="M129:O129"/>
    <mergeCell ref="C130:D130"/>
    <mergeCell ref="J130:L133"/>
    <mergeCell ref="M130:O133"/>
    <mergeCell ref="P130:R131"/>
    <mergeCell ref="D131:I133"/>
    <mergeCell ref="P132:R132"/>
    <mergeCell ref="S132:X132"/>
    <mergeCell ref="P133:X133"/>
    <mergeCell ref="C134:I137"/>
    <mergeCell ref="J134:L137"/>
    <mergeCell ref="M134:O137"/>
  </mergeCells>
  <conditionalFormatting sqref="C92:Z92">
    <cfRule type="expression" dxfId="3" priority="8">
      <formula>$AA92="N"</formula>
    </cfRule>
  </conditionalFormatting>
  <conditionalFormatting sqref="E93:Z96">
    <cfRule type="expression" dxfId="2" priority="6">
      <formula>$AA93="N"</formula>
    </cfRule>
  </conditionalFormatting>
  <conditionalFormatting sqref="E101:K101">
    <cfRule type="expression" dxfId="1" priority="2">
      <formula>($E101)</formula>
    </cfRule>
  </conditionalFormatting>
  <conditionalFormatting sqref="E102:K105">
    <cfRule type="expression" dxfId="0" priority="1">
      <formula>($E102)</formula>
    </cfRule>
  </conditionalFormatting>
  <dataValidations count="8">
    <dataValidation type="list" allowBlank="1" showInputMessage="1" showErrorMessage="1" sqref="M129:O129" xr:uid="{FF1E45B1-01A8-48AB-AA67-4E9925AC7569}">
      <formula1>$AD$27:$AF$27</formula1>
    </dataValidation>
    <dataValidation type="list" allowBlank="1" showInputMessage="1" showErrorMessage="1" sqref="M128:O128" xr:uid="{361C1CBB-5AB7-4684-B1B9-BA437F9A6D6F}">
      <formula1>$AD$23:$AF$23</formula1>
    </dataValidation>
    <dataValidation type="list" allowBlank="1" showInputMessage="1" showErrorMessage="1" sqref="G165:I165" xr:uid="{6389785C-30B3-47B5-A50C-DCC1BA66DAC3}">
      <formula1>$AD$64:$AD$65</formula1>
    </dataValidation>
    <dataValidation type="list" allowBlank="1" showInputMessage="1" showErrorMessage="1" sqref="G147:I147" xr:uid="{80BCAEC5-C64E-48F2-9540-25D7A2F6F807}">
      <formula1>$AD$147:$AD$148</formula1>
    </dataValidation>
    <dataValidation type="list" allowBlank="1" showInputMessage="1" showErrorMessage="1" sqref="J121:O121" xr:uid="{9ED55182-8C21-4AA3-9155-794DA508D35C}">
      <formula1>$AC$15:$AD$15</formula1>
    </dataValidation>
    <dataValidation type="list" allowBlank="1" showInputMessage="1" showErrorMessage="1" sqref="I16:I17" xr:uid="{DB381C16-6148-4F55-AEB1-B0002E755393}">
      <formula1>$B$13:$B$14</formula1>
    </dataValidation>
    <dataValidation type="list" allowBlank="1" showInputMessage="1" showErrorMessage="1" sqref="I11:I12 I36:I37" xr:uid="{E3013ECF-FD4E-4B95-AE02-01146355E8DA}">
      <formula1>$A$13:$A$14</formula1>
    </dataValidation>
    <dataValidation type="list" allowBlank="1" showInputMessage="1" showErrorMessage="1" sqref="AA92:AA96" xr:uid="{D06DD7F5-BD7D-4BE3-B506-97872570B381}">
      <formula1>$AC$90:$AE$90</formula1>
    </dataValidation>
  </dataValidations>
  <printOptions horizontalCentered="1" verticalCentered="1"/>
  <pageMargins left="0.25" right="0.25" top="0.1" bottom="0.1" header="0.3" footer="0.3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Button1_Click" altText="Reset Realisation">
                <anchor moveWithCells="1" sizeWithCells="1">
                  <from>
                    <xdr:col>22</xdr:col>
                    <xdr:colOff>314325</xdr:colOff>
                    <xdr:row>88</xdr:row>
                    <xdr:rowOff>142875</xdr:rowOff>
                  </from>
                  <to>
                    <xdr:col>26</xdr:col>
                    <xdr:colOff>361950</xdr:colOff>
                    <xdr:row>89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243</xdr:row>
                    <xdr:rowOff>38100</xdr:rowOff>
                  </from>
                  <to>
                    <xdr:col>10</xdr:col>
                    <xdr:colOff>9525</xdr:colOff>
                    <xdr:row>244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6C21C-A9FB-4852-B3A9-61268582FE35}">
          <x14:formula1>
            <xm:f>Outils!$C$9:$C$10</xm:f>
          </x14:formula1>
          <xm:sqref>P151:P154 P159:P160 U159:U160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32"/>
  <sheetViews>
    <sheetView topLeftCell="B177" zoomScaleNormal="100" workbookViewId="0">
      <selection activeCell="B183" sqref="B183"/>
    </sheetView>
  </sheetViews>
  <sheetFormatPr defaultColWidth="5.140625" defaultRowHeight="17.25" customHeight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974" t="s">
        <v>143</v>
      </c>
      <c r="D1" s="974"/>
      <c r="E1" s="974"/>
      <c r="F1" s="974"/>
      <c r="G1" s="975" t="s">
        <v>144</v>
      </c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975"/>
      <c r="X1" s="975"/>
      <c r="Y1" s="975"/>
    </row>
    <row r="2" spans="2:66" ht="17.25" customHeight="1">
      <c r="C2" s="974"/>
      <c r="D2" s="974"/>
      <c r="E2" s="974"/>
      <c r="F2" s="974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5"/>
      <c r="U2" s="975"/>
      <c r="V2" s="975"/>
      <c r="W2" s="975"/>
      <c r="X2" s="975"/>
      <c r="Y2" s="975"/>
    </row>
    <row r="3" spans="2:66" ht="17.25" customHeight="1">
      <c r="C3" s="974"/>
      <c r="D3" s="974"/>
      <c r="E3" s="974"/>
      <c r="F3" s="974"/>
      <c r="G3" s="718" t="s">
        <v>148</v>
      </c>
      <c r="H3" s="718"/>
      <c r="I3" s="718"/>
      <c r="J3" s="719" t="s">
        <v>147</v>
      </c>
      <c r="K3" s="719"/>
      <c r="L3" s="719"/>
      <c r="N3" s="976" t="s">
        <v>242</v>
      </c>
      <c r="O3" s="976"/>
      <c r="P3" s="976"/>
      <c r="Q3" s="977" t="s">
        <v>207</v>
      </c>
      <c r="R3" s="977"/>
      <c r="S3" s="977"/>
    </row>
    <row r="4" spans="2:66" ht="17.25" customHeight="1">
      <c r="C4" s="974"/>
      <c r="D4" s="974"/>
      <c r="E4" s="974"/>
      <c r="F4" s="974"/>
      <c r="G4" s="613"/>
      <c r="H4" s="613"/>
      <c r="I4" s="613"/>
      <c r="J4" s="720"/>
      <c r="K4" s="720"/>
      <c r="L4" s="720"/>
      <c r="N4" s="976"/>
      <c r="O4" s="976"/>
      <c r="P4" s="976"/>
      <c r="Q4" s="977"/>
      <c r="R4" s="977"/>
      <c r="S4" s="977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105" t="str" cm="1">
        <f t="array" ref="E7">dateDecimale2txt(dateConvert2Decimal(E8),0)</f>
        <v>2010/05/05</v>
      </c>
      <c r="F7" s="105"/>
      <c r="G7" s="106"/>
      <c r="H7" s="107"/>
      <c r="I7" s="105" t="str" cm="1">
        <f t="array" ref="I7">heureDecimal2Txt(E11)</f>
        <v>08:18:53.00(08.3147)</v>
      </c>
      <c r="J7" s="105"/>
      <c r="K7" s="105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95"/>
      <c r="AB7" s="62"/>
    </row>
    <row r="8" spans="2:66" ht="17.25" customHeight="1">
      <c r="C8" s="714" t="s">
        <v>1</v>
      </c>
      <c r="D8" s="715"/>
      <c r="E8" s="596" t="s">
        <v>342</v>
      </c>
      <c r="F8" s="597"/>
      <c r="G8" s="597"/>
      <c r="H8" s="59"/>
      <c r="I8" s="1129"/>
      <c r="J8" s="1129"/>
      <c r="K8" s="1129"/>
      <c r="L8" s="1129"/>
      <c r="M8" s="1129"/>
      <c r="N8" s="1129"/>
      <c r="O8" s="1129"/>
      <c r="AC8" s="3" t="s">
        <v>173</v>
      </c>
      <c r="AD8" s="3" cm="1">
        <f t="array" ref="AD8">heureConvert2Decimal(I11)</f>
        <v>8.3147222222222226</v>
      </c>
    </row>
    <row r="9" spans="2:66" ht="17.25" customHeight="1" thickBot="1">
      <c r="C9" s="495" t="s">
        <v>11</v>
      </c>
      <c r="D9" s="497"/>
      <c r="E9" s="495" t="s">
        <v>2</v>
      </c>
      <c r="F9" s="496"/>
      <c r="G9" s="496"/>
      <c r="H9" s="497"/>
      <c r="I9" s="636" t="s">
        <v>244</v>
      </c>
      <c r="J9" s="636"/>
      <c r="K9" s="636"/>
      <c r="L9" s="636" t="s">
        <v>240</v>
      </c>
      <c r="M9" s="636"/>
      <c r="N9" s="636"/>
      <c r="O9" s="636"/>
      <c r="P9" s="636"/>
      <c r="Q9" s="636" t="s">
        <v>241</v>
      </c>
      <c r="R9" s="636"/>
      <c r="S9" s="636"/>
      <c r="T9" s="636"/>
      <c r="U9" s="636"/>
      <c r="V9" s="629" t="s">
        <v>131</v>
      </c>
      <c r="W9" s="630"/>
      <c r="X9" s="630"/>
      <c r="Y9" s="631"/>
      <c r="AB9" s="63"/>
      <c r="AC9" s="3" t="s">
        <v>174</v>
      </c>
      <c r="AD9" s="67">
        <f>L11</f>
        <v>0</v>
      </c>
    </row>
    <row r="10" spans="2:66" ht="17.25" customHeight="1">
      <c r="C10" s="716"/>
      <c r="D10" s="717"/>
      <c r="E10" s="498"/>
      <c r="F10" s="499"/>
      <c r="G10" s="499"/>
      <c r="H10" s="500"/>
      <c r="I10" s="636"/>
      <c r="J10" s="636"/>
      <c r="K10" s="636"/>
      <c r="L10" s="636"/>
      <c r="M10" s="636"/>
      <c r="N10" s="636"/>
      <c r="O10" s="636"/>
      <c r="P10" s="636"/>
      <c r="Q10" s="636"/>
      <c r="R10" s="636"/>
      <c r="S10" s="636"/>
      <c r="T10" s="636"/>
      <c r="U10" s="636"/>
      <c r="V10" s="632"/>
      <c r="W10" s="633"/>
      <c r="X10" s="633"/>
      <c r="Y10" s="634"/>
      <c r="AC10" s="3" t="s">
        <v>175</v>
      </c>
      <c r="AD10" s="3">
        <f>Q11/3600</f>
        <v>0</v>
      </c>
    </row>
    <row r="11" spans="2:66" ht="17.25" customHeight="1" thickBot="1">
      <c r="C11" s="498"/>
      <c r="D11" s="500"/>
      <c r="E11" s="763">
        <f>AD8+AD9+AD10+AD11</f>
        <v>8.3147222222222226</v>
      </c>
      <c r="F11" s="764"/>
      <c r="G11" s="764"/>
      <c r="H11" s="765"/>
      <c r="I11" s="635" t="s">
        <v>343</v>
      </c>
      <c r="J11" s="635"/>
      <c r="K11" s="635"/>
      <c r="L11" s="626">
        <v>0</v>
      </c>
      <c r="M11" s="626"/>
      <c r="N11" s="626"/>
      <c r="O11" s="626"/>
      <c r="P11" s="626"/>
      <c r="Q11" s="626">
        <v>0</v>
      </c>
      <c r="R11" s="626"/>
      <c r="S11" s="626"/>
      <c r="T11" s="626"/>
      <c r="U11" s="627"/>
      <c r="V11" s="625" t="s">
        <v>130</v>
      </c>
      <c r="W11" s="625"/>
      <c r="X11" s="625"/>
      <c r="Y11" s="625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37" t="str" cm="1">
        <f t="array" ref="E12">heureDecimal2Txt(E11)</f>
        <v>08:18:53.00(08.3147)</v>
      </c>
      <c r="F12" s="638"/>
      <c r="G12" s="638"/>
      <c r="H12" s="639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 thickBot="1">
      <c r="B15"/>
      <c r="C15" s="651" t="s">
        <v>176</v>
      </c>
      <c r="D15" s="652"/>
      <c r="E15" s="652"/>
      <c r="F15" s="652"/>
      <c r="G15" s="652"/>
      <c r="H15" s="652"/>
      <c r="I15" s="653"/>
      <c r="J15" s="1128" t="s">
        <v>178</v>
      </c>
      <c r="K15" s="1128"/>
      <c r="L15" s="1128"/>
      <c r="M15" s="1128"/>
      <c r="N15" s="1128"/>
      <c r="O15" s="1128"/>
      <c r="P15"/>
      <c r="Q15"/>
      <c r="R15"/>
      <c r="S15"/>
      <c r="T15"/>
      <c r="U15"/>
      <c r="V15"/>
      <c r="W15"/>
      <c r="X15"/>
      <c r="Y15"/>
      <c r="Z15"/>
      <c r="AA15"/>
      <c r="AC15" s="68" t="s">
        <v>177</v>
      </c>
      <c r="AD15" s="68" t="s">
        <v>178</v>
      </c>
    </row>
    <row r="16" spans="2:66" ht="18" customHeight="1" thickTop="1" thickBot="1">
      <c r="B16" s="14"/>
      <c r="C16" s="651" t="s">
        <v>139</v>
      </c>
      <c r="D16" s="652"/>
      <c r="E16" s="652"/>
      <c r="F16" s="652"/>
      <c r="G16" s="652"/>
      <c r="H16" s="652"/>
      <c r="I16" s="653"/>
      <c r="J16" s="807" cm="1">
        <f t="array" ref="J16">angleConvert2Decimal(M16)</f>
        <v>0.9</v>
      </c>
      <c r="K16" s="808"/>
      <c r="L16" s="809"/>
      <c r="M16" s="810" t="s">
        <v>105</v>
      </c>
      <c r="N16" s="811"/>
      <c r="O16" s="812"/>
      <c r="P16" s="696" t="str" cm="1">
        <f t="array" ref="P16">angleDecimal2Txt(J16)</f>
        <v>+00°54.00 (+00.9000) [+00°54'00.00]</v>
      </c>
      <c r="Q16" s="697"/>
      <c r="R16" s="697"/>
      <c r="S16" s="697"/>
      <c r="T16" s="697"/>
      <c r="U16" s="697"/>
      <c r="V16" s="697"/>
      <c r="W16" s="697"/>
      <c r="X16" s="640"/>
      <c r="Y16" s="14"/>
    </row>
    <row r="17" spans="2:46" ht="18" customHeight="1" thickTop="1" thickBot="1">
      <c r="C17" s="641" t="s">
        <v>138</v>
      </c>
      <c r="D17" s="641"/>
      <c r="E17" s="641"/>
      <c r="F17" s="641"/>
      <c r="G17" s="641"/>
      <c r="H17" s="641"/>
      <c r="I17" s="641"/>
      <c r="J17" s="649" cm="1">
        <f t="array" ref="J17">angleConvert2Decimal(M17)</f>
        <v>33.4</v>
      </c>
      <c r="K17" s="650"/>
      <c r="L17" s="686"/>
      <c r="M17" s="816" t="s">
        <v>226</v>
      </c>
      <c r="N17" s="817"/>
      <c r="O17" s="818"/>
      <c r="P17" s="474" t="str" cm="1">
        <f t="array" ref="P17">angleDecimal2Txt(J17)</f>
        <v>+33°24.00 (+33.3999) [+33°24'00.00]</v>
      </c>
      <c r="Q17" s="474"/>
      <c r="R17" s="474"/>
      <c r="S17" s="474"/>
      <c r="T17" s="474"/>
      <c r="U17" s="474"/>
      <c r="V17" s="474"/>
      <c r="W17" s="474"/>
      <c r="X17" s="474"/>
      <c r="Y17" s="14"/>
    </row>
    <row r="18" spans="2:46" ht="18" customHeight="1" thickTop="1" thickBot="1">
      <c r="C18" s="641" t="s">
        <v>146</v>
      </c>
      <c r="D18" s="641"/>
      <c r="E18" s="641"/>
      <c r="F18" s="641"/>
      <c r="G18" s="641"/>
      <c r="H18" s="641"/>
      <c r="I18" s="641"/>
      <c r="J18" s="649" cm="1">
        <f t="array" ref="J18">angleConvert2Decimal(M18)</f>
        <v>16.25</v>
      </c>
      <c r="K18" s="650"/>
      <c r="L18" s="686"/>
      <c r="M18" s="816">
        <f>(J17-J16)/2</f>
        <v>16.25</v>
      </c>
      <c r="N18" s="817"/>
      <c r="O18" s="818"/>
      <c r="P18" s="474" t="str" cm="1">
        <f t="array" ref="P18">angleDecimal2Txt(J18)</f>
        <v>+16°15.00 (+16.2500) [+16°15'00.00]</v>
      </c>
      <c r="Q18" s="474"/>
      <c r="R18" s="474"/>
      <c r="S18" s="474"/>
      <c r="T18" s="474"/>
      <c r="U18" s="474"/>
      <c r="V18" s="474"/>
      <c r="W18" s="474"/>
      <c r="X18" s="474"/>
      <c r="Y18" s="14"/>
    </row>
    <row r="19" spans="2:46" ht="18" customHeight="1" thickTop="1" thickBot="1">
      <c r="C19" s="658" t="s">
        <v>19</v>
      </c>
      <c r="D19" s="658"/>
      <c r="E19" s="658"/>
      <c r="F19" s="658"/>
      <c r="G19" s="658"/>
      <c r="H19" s="658"/>
      <c r="I19" s="658"/>
      <c r="J19" s="644">
        <f>M19</f>
        <v>2</v>
      </c>
      <c r="K19" s="645"/>
      <c r="L19" s="646"/>
      <c r="M19" s="538">
        <v>2</v>
      </c>
      <c r="N19" s="538"/>
      <c r="O19" s="538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545" t="s">
        <v>20</v>
      </c>
      <c r="D20" s="546"/>
      <c r="E20" s="546"/>
      <c r="F20" s="546"/>
      <c r="G20" s="546"/>
      <c r="H20" s="546"/>
      <c r="I20" s="547"/>
      <c r="J20" s="642" cm="1">
        <f t="array" ref="J20">angleConvert2Decimal(M20)</f>
        <v>0.05</v>
      </c>
      <c r="K20" s="643"/>
      <c r="L20" s="643"/>
      <c r="M20" s="537" t="s">
        <v>440</v>
      </c>
      <c r="N20" s="538"/>
      <c r="O20" s="538"/>
      <c r="P20" s="474" t="str" cm="1">
        <f t="array" ref="P20">angleDecimal2Txt(J20)</f>
        <v>+00°03.00 (+00.0500) [+00°03'00.00]</v>
      </c>
      <c r="Q20" s="474"/>
      <c r="R20" s="474"/>
      <c r="S20" s="474"/>
      <c r="T20" s="474"/>
      <c r="U20" s="474"/>
      <c r="V20" s="474"/>
      <c r="W20" s="474"/>
      <c r="X20" s="474"/>
      <c r="Y20" s="14"/>
    </row>
    <row r="21" spans="2:46" ht="18" customHeight="1" thickTop="1" thickBot="1">
      <c r="C21" s="558" t="s">
        <v>26</v>
      </c>
      <c r="D21" s="558"/>
      <c r="E21" s="558"/>
      <c r="F21" s="558"/>
      <c r="G21" s="558"/>
      <c r="H21" s="558"/>
      <c r="I21" s="558"/>
      <c r="J21" s="642" cm="1">
        <f t="array" ref="J21">IF(J15=AC15,J18,angleConvert2Decimal(M21))</f>
        <v>18.916666666666668</v>
      </c>
      <c r="K21" s="643"/>
      <c r="L21" s="643"/>
      <c r="M21" s="537" t="s">
        <v>441</v>
      </c>
      <c r="N21" s="538"/>
      <c r="O21" s="538"/>
      <c r="P21" s="474" t="str" cm="1">
        <f t="array" ref="P21">angleDecimal2Txt(J21)</f>
        <v>+18°55.00 (+18.9166) [+18°55'00.00]</v>
      </c>
      <c r="Q21" s="474"/>
      <c r="R21" s="474"/>
      <c r="S21" s="474"/>
      <c r="T21" s="474"/>
      <c r="U21" s="474"/>
      <c r="V21" s="474"/>
      <c r="W21" s="474"/>
      <c r="X21" s="474"/>
      <c r="Y21" s="14"/>
    </row>
    <row r="22" spans="2:46" ht="18" customHeight="1" thickTop="1">
      <c r="C22" s="548" t="s">
        <v>30</v>
      </c>
      <c r="D22" s="548"/>
      <c r="E22" s="548"/>
      <c r="F22" s="548"/>
      <c r="G22" s="548"/>
      <c r="H22" s="548"/>
      <c r="I22" s="548"/>
      <c r="J22" s="549" t="str">
        <f>M22</f>
        <v>Lune</v>
      </c>
      <c r="K22" s="550"/>
      <c r="L22" s="551"/>
      <c r="M22" s="1123" t="s">
        <v>33</v>
      </c>
      <c r="N22" s="1124"/>
      <c r="O22" s="1125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>
      <c r="C23" s="548" t="s">
        <v>56</v>
      </c>
      <c r="D23" s="548"/>
      <c r="E23" s="548"/>
      <c r="F23" s="548"/>
      <c r="G23" s="548"/>
      <c r="H23" s="548"/>
      <c r="I23" s="548"/>
      <c r="J23" s="569" t="str">
        <f>M23</f>
        <v>BordSup</v>
      </c>
      <c r="K23" s="569"/>
      <c r="L23" s="569"/>
      <c r="M23" s="568" t="s">
        <v>199</v>
      </c>
      <c r="N23" s="568"/>
      <c r="O23" s="568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>
      <c r="C24" s="559" t="s">
        <v>162</v>
      </c>
      <c r="D24" s="560"/>
      <c r="E24" s="27"/>
      <c r="F24" s="27"/>
      <c r="G24" s="27"/>
      <c r="H24" s="27"/>
      <c r="I24" s="28"/>
      <c r="J24" s="609" cm="1">
        <f t="array" ref="J24">angleConvert2Decimal(M24)</f>
        <v>0.90666666666666662</v>
      </c>
      <c r="K24" s="610"/>
      <c r="L24" s="611"/>
      <c r="M24" s="618" t="s">
        <v>548</v>
      </c>
      <c r="N24" s="619"/>
      <c r="O24" s="619"/>
      <c r="P24"/>
      <c r="Q24"/>
      <c r="R24"/>
      <c r="S24"/>
      <c r="T24"/>
      <c r="U24"/>
      <c r="V24"/>
      <c r="Y24" s="14"/>
      <c r="AH24" s="16"/>
    </row>
    <row r="25" spans="2:46" ht="17.25" customHeight="1">
      <c r="C25" s="29"/>
      <c r="D25" s="787" t="s">
        <v>163</v>
      </c>
      <c r="E25" s="787"/>
      <c r="F25" s="787"/>
      <c r="G25" s="787"/>
      <c r="H25" s="787"/>
      <c r="I25" s="788"/>
      <c r="J25" s="612"/>
      <c r="K25" s="613"/>
      <c r="L25" s="614"/>
      <c r="M25" s="620"/>
      <c r="N25" s="621"/>
      <c r="O25" s="621"/>
      <c r="P25"/>
      <c r="Q25"/>
      <c r="R25"/>
      <c r="S25"/>
      <c r="T25"/>
      <c r="U25"/>
      <c r="V25"/>
      <c r="W25"/>
      <c r="X25"/>
      <c r="Y25" s="14"/>
      <c r="AH25" s="16"/>
    </row>
    <row r="26" spans="2:46" ht="17.25" customHeight="1" thickBot="1">
      <c r="C26" s="29"/>
      <c r="D26" s="787"/>
      <c r="E26" s="787"/>
      <c r="F26" s="787"/>
      <c r="G26" s="787"/>
      <c r="H26" s="787"/>
      <c r="I26" s="788"/>
      <c r="J26" s="612"/>
      <c r="K26" s="613"/>
      <c r="L26" s="614"/>
      <c r="M26" s="620"/>
      <c r="N26" s="621"/>
      <c r="O26" s="621"/>
      <c r="P26"/>
      <c r="Q26"/>
      <c r="R26"/>
      <c r="S26"/>
      <c r="T26"/>
      <c r="U26"/>
      <c r="V26"/>
      <c r="W26"/>
      <c r="X26"/>
      <c r="Y26" s="14"/>
    </row>
    <row r="27" spans="2:46" ht="17.25" customHeight="1" thickTop="1" thickBot="1">
      <c r="C27" s="30"/>
      <c r="D27" s="789"/>
      <c r="E27" s="789"/>
      <c r="F27" s="789"/>
      <c r="G27" s="789"/>
      <c r="H27" s="789"/>
      <c r="I27" s="790"/>
      <c r="J27" s="615"/>
      <c r="K27" s="616"/>
      <c r="L27" s="617"/>
      <c r="M27" s="622"/>
      <c r="N27" s="623"/>
      <c r="O27" s="623"/>
      <c r="P27" s="480" t="str" cm="1">
        <f t="array" ref="P27">angleDecimal2Txt(J24)</f>
        <v>+00°54.39 (+00.9066) [+00°54'24.00]</v>
      </c>
      <c r="Q27" s="480"/>
      <c r="R27" s="480"/>
      <c r="S27" s="474"/>
      <c r="T27" s="474"/>
      <c r="U27" s="474"/>
      <c r="V27" s="474"/>
      <c r="W27" s="474"/>
      <c r="X27" s="474"/>
      <c r="Y27" s="14"/>
      <c r="AC27" s="69" t="s">
        <v>102</v>
      </c>
      <c r="AD27" s="70" t="s">
        <v>57</v>
      </c>
      <c r="AE27" s="70" t="s">
        <v>199</v>
      </c>
      <c r="AF27" s="70" t="s">
        <v>58</v>
      </c>
      <c r="AL27">
        <f>MATCH(AJ28,$AD$30:$AP$30,1)</f>
        <v>1</v>
      </c>
      <c r="AM27">
        <f>INDEX($AD$30:$AP$32,1,$AL$27)</f>
        <v>54</v>
      </c>
      <c r="AN27">
        <f>INDEX($AD$30:$AP$32,1,1+$AL$27)</f>
        <v>55</v>
      </c>
    </row>
    <row r="28" spans="2:46" ht="17.25" customHeight="1" thickTop="1" thickBot="1">
      <c r="C28" s="601" t="s">
        <v>106</v>
      </c>
      <c r="D28" s="602"/>
      <c r="E28" s="602"/>
      <c r="F28" s="602"/>
      <c r="G28" s="602"/>
      <c r="H28" s="602"/>
      <c r="I28" s="603"/>
      <c r="J28" s="609" cm="1">
        <f t="array" ref="J28">angleConvert2Decimal(M28)</f>
        <v>0.49399999999999999</v>
      </c>
      <c r="K28" s="610"/>
      <c r="L28" s="611"/>
      <c r="M28" s="618">
        <f>P30</f>
        <v>0.49399999999999999</v>
      </c>
      <c r="N28" s="619"/>
      <c r="O28" s="619"/>
      <c r="P28" s="624" t="s">
        <v>101</v>
      </c>
      <c r="Q28" s="624"/>
      <c r="R28" s="624"/>
      <c r="S28" s="14"/>
      <c r="U28" s="14"/>
      <c r="V28" s="14"/>
      <c r="W28" s="14"/>
      <c r="X28" s="14"/>
      <c r="Y28" s="14"/>
      <c r="AC28" s="183" t="s">
        <v>200</v>
      </c>
      <c r="AD28" s="184">
        <v>0.5</v>
      </c>
      <c r="AE28" s="184">
        <v>-0.5</v>
      </c>
      <c r="AF28" s="184">
        <v>0</v>
      </c>
      <c r="AI28" t="s">
        <v>346</v>
      </c>
      <c r="AJ28">
        <f>J24*60</f>
        <v>54.4</v>
      </c>
      <c r="AK28" t="s">
        <v>371</v>
      </c>
      <c r="AM28">
        <f>INDEX($AD$30:$AP$32,3,$AL$27)</f>
        <v>0.49</v>
      </c>
      <c r="AN28">
        <f>INDEX($AD$30:$AP$32,3,1+$AL$27)</f>
        <v>0.5</v>
      </c>
      <c r="AQ28" s="387" t="s">
        <v>372</v>
      </c>
      <c r="AR28" s="387">
        <f>AJ28-AM27</f>
        <v>0.39999999999999858</v>
      </c>
    </row>
    <row r="29" spans="2:46" ht="17.25" customHeight="1" thickBot="1">
      <c r="C29" s="604"/>
      <c r="D29" s="531"/>
      <c r="E29" s="531"/>
      <c r="F29" s="531"/>
      <c r="G29" s="531"/>
      <c r="H29" s="531"/>
      <c r="I29" s="605"/>
      <c r="J29" s="612"/>
      <c r="K29" s="613"/>
      <c r="L29" s="614"/>
      <c r="M29" s="620"/>
      <c r="N29" s="621"/>
      <c r="O29" s="621"/>
      <c r="P29" s="624"/>
      <c r="Q29" s="624"/>
      <c r="R29" s="624"/>
      <c r="S29" s="14"/>
      <c r="T29" s="1142" t="s">
        <v>553</v>
      </c>
      <c r="U29" s="1143"/>
      <c r="V29" s="1143"/>
      <c r="W29" s="1143"/>
      <c r="X29" s="1143"/>
      <c r="Y29" s="1140" t="str" cm="1">
        <f t="array" ref="Y29">angleDecimal2Txt(J28/2,0)</f>
        <v>+00°14.82</v>
      </c>
      <c r="Z29" s="1141"/>
      <c r="AD29" s="1144" t="s">
        <v>360</v>
      </c>
      <c r="AE29" s="1144"/>
      <c r="AF29" s="1144"/>
      <c r="AG29" s="1144"/>
      <c r="AH29" s="1144"/>
      <c r="AI29" s="1144"/>
      <c r="AJ29" s="1144"/>
      <c r="AK29" s="1144"/>
      <c r="AL29" s="1144"/>
      <c r="AM29" s="1144"/>
      <c r="AN29" s="1144"/>
      <c r="AO29" s="1144"/>
      <c r="AP29" s="1144"/>
      <c r="AQ29" s="387" t="s">
        <v>373</v>
      </c>
      <c r="AR29" s="387">
        <f>AN27-AM27</f>
        <v>1</v>
      </c>
    </row>
    <row r="30" spans="2:46" ht="17.25" customHeight="1" thickTop="1" thickBot="1">
      <c r="C30" s="604"/>
      <c r="D30" s="531"/>
      <c r="E30" s="531"/>
      <c r="F30" s="531"/>
      <c r="G30" s="531"/>
      <c r="H30" s="531"/>
      <c r="I30" s="605"/>
      <c r="J30" s="612"/>
      <c r="K30" s="613"/>
      <c r="L30" s="614"/>
      <c r="M30" s="620"/>
      <c r="N30" s="621"/>
      <c r="O30" s="621"/>
      <c r="P30" s="542">
        <f>AR31</f>
        <v>0.49399999999999999</v>
      </c>
      <c r="Q30" s="542"/>
      <c r="R30" s="542"/>
      <c r="S30" s="540" t="str">
        <f>angleDecimal2Txt(AR31)</f>
        <v>+00°29.64 (+00.4940) [+00°29'38.40]</v>
      </c>
      <c r="T30" s="1126"/>
      <c r="U30" s="1126"/>
      <c r="V30" s="1126"/>
      <c r="W30" s="1126"/>
      <c r="X30" s="1127"/>
      <c r="Y30" s="14"/>
      <c r="AC30" s="383" t="s">
        <v>346</v>
      </c>
      <c r="AD30" s="181">
        <v>54</v>
      </c>
      <c r="AE30" s="181">
        <v>55</v>
      </c>
      <c r="AF30" s="181">
        <v>55.5</v>
      </c>
      <c r="AG30" s="181">
        <v>56</v>
      </c>
      <c r="AH30" s="181">
        <v>56.5</v>
      </c>
      <c r="AI30" s="181">
        <v>57</v>
      </c>
      <c r="AJ30" s="181">
        <v>57.5</v>
      </c>
      <c r="AK30" s="181">
        <v>58</v>
      </c>
      <c r="AL30" s="181">
        <v>58.5</v>
      </c>
      <c r="AM30" s="181">
        <v>59</v>
      </c>
      <c r="AN30" s="181">
        <v>59.5</v>
      </c>
      <c r="AO30" s="181">
        <v>60</v>
      </c>
      <c r="AP30" s="181">
        <v>61</v>
      </c>
      <c r="AQ30" s="387" t="s">
        <v>374</v>
      </c>
      <c r="AR30" s="387">
        <f>AR28/AR29</f>
        <v>0.39999999999999858</v>
      </c>
    </row>
    <row r="31" spans="2:46" ht="17.25" customHeight="1" thickTop="1" thickBot="1">
      <c r="C31" s="606"/>
      <c r="D31" s="607"/>
      <c r="E31" s="607"/>
      <c r="F31" s="607"/>
      <c r="G31" s="607"/>
      <c r="H31" s="607"/>
      <c r="I31" s="608"/>
      <c r="J31" s="615"/>
      <c r="K31" s="616"/>
      <c r="L31" s="617"/>
      <c r="M31" s="622"/>
      <c r="N31" s="623"/>
      <c r="O31" s="623"/>
      <c r="P31" s="480" t="str" cm="1">
        <f t="array" ref="P31">angleDecimal2Txt(J28)</f>
        <v>+00°29.64 (+00.4940) [+00°29'38.40]</v>
      </c>
      <c r="Q31" s="480"/>
      <c r="R31" s="480"/>
      <c r="S31" s="474"/>
      <c r="T31" s="474"/>
      <c r="U31" s="474"/>
      <c r="V31" s="474"/>
      <c r="W31" s="474"/>
      <c r="X31" s="474"/>
      <c r="Y31" s="14"/>
      <c r="AC31" s="383" t="s">
        <v>549</v>
      </c>
      <c r="AD31" s="185" t="s">
        <v>347</v>
      </c>
      <c r="AE31" s="185" t="s">
        <v>361</v>
      </c>
      <c r="AF31" s="185" t="s">
        <v>362</v>
      </c>
      <c r="AG31" s="185" t="s">
        <v>363</v>
      </c>
      <c r="AH31" s="185" t="s">
        <v>364</v>
      </c>
      <c r="AI31" s="185" t="s">
        <v>365</v>
      </c>
      <c r="AJ31" s="185" t="s">
        <v>366</v>
      </c>
      <c r="AK31" s="185" t="s">
        <v>367</v>
      </c>
      <c r="AL31" s="185" t="s">
        <v>368</v>
      </c>
      <c r="AM31" s="185" t="s">
        <v>355</v>
      </c>
      <c r="AN31" s="185" t="s">
        <v>369</v>
      </c>
      <c r="AO31" s="185" t="s">
        <v>370</v>
      </c>
      <c r="AP31" s="185" t="s">
        <v>348</v>
      </c>
      <c r="AQ31" s="388" t="s">
        <v>551</v>
      </c>
      <c r="AR31" s="387">
        <f>AM28+AR30*(AN28-AM28)</f>
        <v>0.49399999999999999</v>
      </c>
    </row>
    <row r="32" spans="2:46" ht="17.25" customHeight="1" thickTop="1" thickBot="1"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AC32" s="383" t="s">
        <v>550</v>
      </c>
      <c r="AD32" s="181">
        <f>angleConvert2Decimal(AD31)</f>
        <v>0.49</v>
      </c>
      <c r="AE32" s="181">
        <f>angleConvert2Decimal(AE31)</f>
        <v>0.5</v>
      </c>
      <c r="AF32" s="181">
        <f>angleConvert2Decimal(AF31)</f>
        <v>0.505</v>
      </c>
      <c r="AG32" s="181">
        <f>angleConvert2Decimal(AG31)</f>
        <v>0.51</v>
      </c>
      <c r="AH32" s="181">
        <f>angleConvert2Decimal(AH31)</f>
        <v>0.51333333333333331</v>
      </c>
      <c r="AI32" s="181">
        <f t="shared" ref="AI32:AP32" si="0">angleConvert2Decimal(AI31)</f>
        <v>0.51833333333333331</v>
      </c>
      <c r="AJ32" s="181">
        <f t="shared" si="0"/>
        <v>0.52333333333333332</v>
      </c>
      <c r="AK32" s="181">
        <f t="shared" si="0"/>
        <v>0.52833333333333332</v>
      </c>
      <c r="AL32" s="181">
        <f t="shared" si="0"/>
        <v>0.53333333333333333</v>
      </c>
      <c r="AM32" s="181">
        <f t="shared" si="0"/>
        <v>0.53666666666666674</v>
      </c>
      <c r="AN32" s="181">
        <f t="shared" si="0"/>
        <v>0.54166666666666663</v>
      </c>
      <c r="AO32" s="181">
        <f t="shared" si="0"/>
        <v>0.54666666666666663</v>
      </c>
      <c r="AP32" s="181">
        <f t="shared" si="0"/>
        <v>0.55499999999999994</v>
      </c>
      <c r="AQ32" s="387" t="s">
        <v>552</v>
      </c>
      <c r="AR32" s="386">
        <f>AR31/2</f>
        <v>0.247</v>
      </c>
      <c r="AS32" s="1138" t="str" cm="1">
        <f t="array" ref="AS32">angleDecimal2Txt(AR32)</f>
        <v>+00°14.82 (+00.2470) [+00°14'49.20]</v>
      </c>
      <c r="AT32" s="1139"/>
    </row>
    <row r="33" spans="1:66" ht="17.25" customHeight="1" thickBot="1">
      <c r="B33" s="25" t="s">
        <v>214</v>
      </c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2"/>
      <c r="AC33" s="383" t="s">
        <v>71</v>
      </c>
      <c r="AD33" s="384" t="str" cm="1">
        <f t="array" ref="AD33">angleDecimal2Txt(AD32/2,0)</f>
        <v>+00°14.69</v>
      </c>
      <c r="AE33" s="384" t="str" cm="1">
        <f t="array" ref="AE33">angleDecimal2Txt(AE32/2,0)</f>
        <v>+00°15.00</v>
      </c>
      <c r="AF33" s="384" t="str" cm="1">
        <f t="array" ref="AF33">angleDecimal2Txt(AF32/2,0)</f>
        <v>+00°15.15</v>
      </c>
      <c r="AG33" s="384" t="str" cm="1">
        <f t="array" ref="AG33">angleDecimal2Txt(AG32/2,0)</f>
        <v>+00°15.30</v>
      </c>
      <c r="AH33" s="384" t="str" cm="1">
        <f t="array" ref="AH33">angleDecimal2Txt(AH32/2,0)</f>
        <v>+00°15.40</v>
      </c>
      <c r="AI33" s="384" t="str" cm="1">
        <f t="array" ref="AI33">angleDecimal2Txt(AI32/2,0)</f>
        <v>+00°15.55</v>
      </c>
      <c r="AJ33" s="384" t="str" cm="1">
        <f t="array" ref="AJ33">angleDecimal2Txt(AJ32/2,0)</f>
        <v>+00°15.69</v>
      </c>
      <c r="AK33" s="384" t="str" cm="1">
        <f t="array" ref="AK33">angleDecimal2Txt(AK32/2,0)</f>
        <v>+00°15.84</v>
      </c>
      <c r="AL33" s="384" t="str" cm="1">
        <f t="array" ref="AL33">angleDecimal2Txt(AL32/2,0)</f>
        <v>+00°16.00</v>
      </c>
      <c r="AM33" s="384" t="str" cm="1">
        <f t="array" ref="AM33">angleDecimal2Txt(AM32/2,0)</f>
        <v>+00°16.10</v>
      </c>
      <c r="AN33" s="384" t="str" cm="1">
        <f t="array" ref="AN33">angleDecimal2Txt(AN32/2,0)</f>
        <v>+00°16.24</v>
      </c>
      <c r="AO33" s="384" t="str" cm="1">
        <f t="array" ref="AO33">angleDecimal2Txt(AO32/2,0)</f>
        <v>+00°16.39</v>
      </c>
      <c r="AP33" s="384" t="str" cm="1">
        <f t="array" ref="AP33">angleDecimal2Txt(AP32/2,0)</f>
        <v>+00°16.64</v>
      </c>
    </row>
    <row r="34" spans="1:66" ht="17.25" customHeight="1">
      <c r="C34" s="14"/>
      <c r="D34" s="14"/>
      <c r="E34" s="561" t="s">
        <v>7</v>
      </c>
      <c r="F34" s="561"/>
      <c r="G34" s="561"/>
      <c r="H34" s="561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</row>
    <row r="35" spans="1:66" ht="17.25" customHeight="1" thickBot="1">
      <c r="C35" s="14"/>
      <c r="D35" s="14"/>
      <c r="E35" s="561"/>
      <c r="F35" s="561"/>
      <c r="G35" s="561"/>
      <c r="H35" s="561"/>
      <c r="I35" s="14"/>
      <c r="J35" s="14" t="s">
        <v>140</v>
      </c>
      <c r="K35" s="14"/>
      <c r="L35" s="14" t="s">
        <v>141</v>
      </c>
      <c r="M35" s="14"/>
      <c r="N35" s="14"/>
      <c r="O35" s="14"/>
      <c r="P35" s="14"/>
      <c r="Q35" s="14"/>
      <c r="R35" s="14"/>
      <c r="S35" s="14"/>
      <c r="T35" s="14"/>
      <c r="U35" s="14"/>
      <c r="V35" s="14"/>
    </row>
    <row r="36" spans="1:66" ht="17.25" customHeight="1" thickTop="1" thickBot="1">
      <c r="A36" s="555" t="s">
        <v>34</v>
      </c>
      <c r="B36" s="556"/>
      <c r="C36" s="557"/>
      <c r="D36" s="14"/>
      <c r="E36" s="14"/>
      <c r="F36" s="544">
        <f>AD37</f>
        <v>40.5</v>
      </c>
      <c r="G36" s="570"/>
      <c r="H36" s="570"/>
      <c r="I36" s="514" t="s">
        <v>3</v>
      </c>
      <c r="J36" s="539" t="s">
        <v>554</v>
      </c>
      <c r="K36" s="514"/>
      <c r="L36" s="514"/>
      <c r="M36" s="514"/>
      <c r="N36" s="514"/>
      <c r="O36" s="472" t="str" cm="1">
        <f t="array" ref="O36">angleDecimal2Txt(F36)</f>
        <v>+40°30.00 (+40.5000) [+40°30'00.00]</v>
      </c>
      <c r="P36" s="472"/>
      <c r="Q36" s="472"/>
      <c r="R36" s="472"/>
      <c r="S36" s="472"/>
      <c r="T36" s="472"/>
      <c r="U36" s="472"/>
      <c r="V36" s="472"/>
      <c r="W36" s="472"/>
      <c r="X36" s="472"/>
      <c r="Y36" s="14"/>
      <c r="Z36" s="14"/>
      <c r="AC36" s="3" t="s">
        <v>179</v>
      </c>
      <c r="AD36" s="3">
        <f>VLOOKUP(I36,A38:C39,3)</f>
        <v>1</v>
      </c>
      <c r="BN36" s="31"/>
    </row>
    <row r="37" spans="1:66" ht="17.25" customHeight="1" thickTop="1" thickBot="1">
      <c r="A37" s="17" t="s">
        <v>41</v>
      </c>
      <c r="B37" s="32" t="s">
        <v>42</v>
      </c>
      <c r="C37" s="18"/>
      <c r="D37" s="14"/>
      <c r="E37" s="14"/>
      <c r="F37" s="570"/>
      <c r="G37" s="570"/>
      <c r="H37" s="570"/>
      <c r="I37" s="514"/>
      <c r="J37" s="514"/>
      <c r="K37" s="514"/>
      <c r="L37" s="514"/>
      <c r="M37" s="514"/>
      <c r="N37" s="514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14"/>
      <c r="Z37" s="14"/>
      <c r="AC37" s="3" t="s">
        <v>180</v>
      </c>
      <c r="AD37" s="3" cm="1">
        <f t="array" ref="AD37">angleConvert2Decimal(J36)*AD36</f>
        <v>40.5</v>
      </c>
      <c r="BN37" s="31"/>
    </row>
    <row r="38" spans="1:66" ht="17.25" customHeight="1" thickTop="1">
      <c r="A38" s="17" t="s">
        <v>3</v>
      </c>
      <c r="B38" s="32" t="s">
        <v>5</v>
      </c>
      <c r="C38" s="18">
        <v>1</v>
      </c>
      <c r="D38" s="14"/>
      <c r="E38" s="14"/>
      <c r="F38" s="14"/>
      <c r="G38" s="14"/>
      <c r="H38" s="14"/>
      <c r="BN38" s="31"/>
    </row>
    <row r="39" spans="1:66" ht="17.25" customHeight="1" thickBot="1">
      <c r="A39" s="19" t="s">
        <v>4</v>
      </c>
      <c r="B39" s="20" t="s">
        <v>6</v>
      </c>
      <c r="C39" s="21">
        <v>-1</v>
      </c>
      <c r="D39" s="14"/>
      <c r="E39" s="577" t="s">
        <v>8</v>
      </c>
      <c r="F39" s="577"/>
      <c r="G39" s="577"/>
      <c r="H39" s="577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BN39" s="31"/>
    </row>
    <row r="40" spans="1:66" ht="17.25" customHeight="1" thickBot="1">
      <c r="C40" s="14"/>
      <c r="D40" s="14"/>
      <c r="E40" s="577"/>
      <c r="F40" s="577"/>
      <c r="G40" s="577"/>
      <c r="H40" s="577"/>
      <c r="I40" s="14"/>
      <c r="J40" s="14" t="s">
        <v>140</v>
      </c>
      <c r="K40" s="14"/>
      <c r="L40" s="14" t="s">
        <v>149</v>
      </c>
      <c r="M40" s="14"/>
      <c r="N40" s="14"/>
      <c r="O40" s="14"/>
      <c r="P40" s="14"/>
      <c r="Q40" s="14"/>
      <c r="R40" s="14"/>
      <c r="S40" s="14"/>
      <c r="T40" s="14"/>
      <c r="U40" s="14"/>
      <c r="V40" s="14"/>
      <c r="BN40" s="31"/>
    </row>
    <row r="41" spans="1:66" ht="17.25" customHeight="1" thickTop="1" thickBot="1">
      <c r="B41" s="14"/>
      <c r="C41" s="14"/>
      <c r="D41" s="14"/>
      <c r="E41" s="14"/>
      <c r="F41" s="544">
        <f>AD42</f>
        <v>3.5</v>
      </c>
      <c r="G41" s="570"/>
      <c r="H41" s="570"/>
      <c r="I41" s="514" t="s">
        <v>5</v>
      </c>
      <c r="J41" s="539" t="s">
        <v>555</v>
      </c>
      <c r="K41" s="514"/>
      <c r="L41" s="514"/>
      <c r="M41" s="514"/>
      <c r="N41" s="514"/>
      <c r="O41" s="472" t="str" cm="1">
        <f t="array" ref="O41">angleDecimal2Txt(F41)</f>
        <v>+03°30.00 (+03.5000) [+03°30'00.00]</v>
      </c>
      <c r="P41" s="472"/>
      <c r="Q41" s="472"/>
      <c r="R41" s="472"/>
      <c r="S41" s="472"/>
      <c r="T41" s="472"/>
      <c r="U41" s="472"/>
      <c r="V41" s="472"/>
      <c r="W41" s="472"/>
      <c r="X41" s="472"/>
      <c r="Y41" s="14"/>
      <c r="Z41" s="14"/>
      <c r="AC41" s="3" t="s">
        <v>181</v>
      </c>
      <c r="AD41" s="3">
        <f>VLOOKUP(I41,B38:C39,2)</f>
        <v>1</v>
      </c>
    </row>
    <row r="42" spans="1:66" ht="17.25" customHeight="1" thickTop="1" thickBot="1">
      <c r="C42" s="14"/>
      <c r="D42" s="14"/>
      <c r="E42" s="14"/>
      <c r="F42" s="570"/>
      <c r="G42" s="570"/>
      <c r="H42" s="570"/>
      <c r="I42" s="514"/>
      <c r="J42" s="514"/>
      <c r="K42" s="514"/>
      <c r="L42" s="514"/>
      <c r="M42" s="514"/>
      <c r="N42" s="514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14"/>
      <c r="Z42" s="14"/>
      <c r="AC42" s="3" t="s">
        <v>182</v>
      </c>
      <c r="AD42" s="3" cm="1">
        <f t="array" ref="AD42">angleConvert2Decimal(J41)*AD41</f>
        <v>3.5</v>
      </c>
    </row>
    <row r="43" spans="1:66" ht="17.25" customHeight="1" thickTop="1"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66" ht="17.25" customHeight="1" thickBot="1"/>
    <row r="45" spans="1:66" ht="17.25" customHeight="1" thickBot="1">
      <c r="B45" s="25" t="s">
        <v>9</v>
      </c>
      <c r="C45" s="26"/>
      <c r="D45" s="26"/>
      <c r="E45" s="26"/>
      <c r="F45" s="532">
        <f>IF(G46=AD46,F50,F58)</f>
        <v>-16.991311111111113</v>
      </c>
      <c r="G45" s="532"/>
      <c r="H45" s="532"/>
      <c r="I45" s="26"/>
      <c r="J45" s="26"/>
      <c r="K45" s="26" t="str" cm="1">
        <f t="array" ref="K45">angleDecimal2Txt(F45)</f>
        <v>-16°59.47 (-16.9913) [-16°59'28.72]</v>
      </c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64"/>
    </row>
    <row r="46" spans="1:66" s="33" customFormat="1" ht="17.25" customHeight="1">
      <c r="C46" s="531" t="s">
        <v>35</v>
      </c>
      <c r="D46" s="531"/>
      <c r="E46" s="531"/>
      <c r="F46" s="531"/>
      <c r="G46" s="724" t="s">
        <v>10</v>
      </c>
      <c r="H46" s="724"/>
      <c r="I46" s="724"/>
      <c r="AB46" s="65"/>
      <c r="AC46" s="1121" t="s">
        <v>36</v>
      </c>
      <c r="AD46" s="68" t="s">
        <v>10</v>
      </c>
      <c r="AE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6" ht="17.25" customHeight="1">
      <c r="C47" s="34" t="s">
        <v>10</v>
      </c>
      <c r="D47" s="34"/>
      <c r="E47" s="35"/>
      <c r="F47" s="35"/>
      <c r="G47" s="14"/>
      <c r="H47" s="14"/>
      <c r="I47" s="14"/>
      <c r="AC47" s="1121"/>
      <c r="AD47" s="68" t="s">
        <v>14</v>
      </c>
      <c r="AF47" s="16"/>
      <c r="AG47" s="16"/>
    </row>
    <row r="48" spans="1:66" ht="17.25" customHeight="1">
      <c r="F48" s="515" t="s">
        <v>9</v>
      </c>
      <c r="G48" s="515"/>
      <c r="H48" s="515"/>
      <c r="I48" s="515" t="s">
        <v>12</v>
      </c>
      <c r="J48" s="515"/>
      <c r="K48" s="515"/>
      <c r="L48" s="515"/>
      <c r="M48" s="516" t="s">
        <v>13</v>
      </c>
      <c r="N48" s="516"/>
      <c r="O48" s="516"/>
      <c r="P48" s="520" t="s">
        <v>15</v>
      </c>
      <c r="Q48" s="520"/>
      <c r="R48" s="520"/>
      <c r="S48" s="520"/>
      <c r="T48" s="520"/>
      <c r="U48" s="14"/>
      <c r="AD48" s="73" t="s">
        <v>73</v>
      </c>
      <c r="AE48" s="3" t="s">
        <v>191</v>
      </c>
    </row>
    <row r="49" spans="1:35" ht="17.25" customHeight="1" thickBot="1">
      <c r="F49" s="515"/>
      <c r="G49" s="515"/>
      <c r="H49" s="515"/>
      <c r="I49" s="515"/>
      <c r="J49" s="515"/>
      <c r="K49" s="515"/>
      <c r="L49" s="515"/>
      <c r="M49" s="516"/>
      <c r="N49" s="516"/>
      <c r="O49" s="516"/>
      <c r="P49" s="520"/>
      <c r="Q49" s="520"/>
      <c r="R49" s="520"/>
      <c r="S49" s="520"/>
      <c r="T49" s="520"/>
      <c r="U49" s="14"/>
      <c r="AC49" s="3" t="s">
        <v>183</v>
      </c>
      <c r="AD49" s="3">
        <f>VLOOKUP(P50,$A$38:$C$39,3)</f>
        <v>-1</v>
      </c>
      <c r="AE49" s="3" cm="1">
        <f t="array" ref="AE49">AD49*angleConvert2Decimal(Q50)</f>
        <v>-17.041666666666668</v>
      </c>
    </row>
    <row r="50" spans="1:35" ht="17.25" customHeight="1" thickTop="1" thickBot="1">
      <c r="E50" s="16"/>
      <c r="F50" s="543">
        <f>IF(G46=AD47,"---",AD54)</f>
        <v>-16.991311111111113</v>
      </c>
      <c r="G50" s="543"/>
      <c r="H50" s="543"/>
      <c r="I50" s="486">
        <f>E11</f>
        <v>8.3147222222222226</v>
      </c>
      <c r="J50" s="486"/>
      <c r="K50" s="486"/>
      <c r="L50" s="486"/>
      <c r="M50" s="511">
        <v>8</v>
      </c>
      <c r="N50" s="512"/>
      <c r="O50" s="512"/>
      <c r="P50" s="512" t="s">
        <v>4</v>
      </c>
      <c r="Q50" s="635" t="s">
        <v>556</v>
      </c>
      <c r="R50" s="791"/>
      <c r="S50" s="791"/>
      <c r="T50" s="791"/>
      <c r="U50" s="472" t="str" cm="1">
        <f t="array" ref="U50">angleDecimal2Txt(AE49)</f>
        <v>-17°02.50 (-17.0416) [-17°02'30.00]</v>
      </c>
      <c r="V50" s="576"/>
      <c r="W50" s="576"/>
      <c r="X50" s="576"/>
      <c r="Y50" s="576"/>
      <c r="AC50" s="3" t="s">
        <v>184</v>
      </c>
      <c r="AD50" s="3">
        <f>VLOOKUP(P52,$A$38:$C$39,3)</f>
        <v>-1</v>
      </c>
      <c r="AE50" s="3" cm="1">
        <f t="array" ref="AE50">AD50*angleConvert2Decimal(Q52)</f>
        <v>-16.881666666666668</v>
      </c>
    </row>
    <row r="51" spans="1:35" ht="17.25" customHeight="1" thickTop="1" thickBot="1">
      <c r="F51" s="544"/>
      <c r="G51" s="544"/>
      <c r="H51" s="544"/>
      <c r="I51" s="486"/>
      <c r="J51" s="486"/>
      <c r="K51" s="486"/>
      <c r="L51" s="486"/>
      <c r="M51" s="513"/>
      <c r="N51" s="514"/>
      <c r="O51" s="514"/>
      <c r="P51" s="514"/>
      <c r="Q51" s="554"/>
      <c r="R51" s="554"/>
      <c r="S51" s="554"/>
      <c r="T51" s="554"/>
      <c r="U51" s="576"/>
      <c r="V51" s="576"/>
      <c r="W51" s="576"/>
      <c r="X51" s="576"/>
      <c r="Y51" s="576"/>
      <c r="AC51" s="3" t="s">
        <v>38</v>
      </c>
      <c r="AD51" s="5">
        <f>AE50-AE49</f>
        <v>0.16000000000000014</v>
      </c>
    </row>
    <row r="52" spans="1:35" ht="17.25" customHeight="1" thickTop="1" thickBot="1">
      <c r="F52" s="544"/>
      <c r="G52" s="544"/>
      <c r="H52" s="544"/>
      <c r="I52" s="486"/>
      <c r="J52" s="486"/>
      <c r="K52" s="486"/>
      <c r="L52" s="486"/>
      <c r="M52" s="513">
        <v>9</v>
      </c>
      <c r="N52" s="514"/>
      <c r="O52" s="514"/>
      <c r="P52" s="514" t="s">
        <v>4</v>
      </c>
      <c r="Q52" s="553" t="s">
        <v>557</v>
      </c>
      <c r="R52" s="554"/>
      <c r="S52" s="554"/>
      <c r="T52" s="554"/>
      <c r="U52" s="472" t="str" cm="1">
        <f t="array" ref="U52">angleDecimal2Txt((AE50))</f>
        <v>-16°52.90 (-16.8816) [-16°52'54.00]</v>
      </c>
      <c r="V52" s="576"/>
      <c r="W52" s="576"/>
      <c r="X52" s="576"/>
      <c r="Y52" s="576"/>
      <c r="AC52" s="3" t="s">
        <v>185</v>
      </c>
      <c r="AD52" s="5">
        <f>M52-M50</f>
        <v>1</v>
      </c>
      <c r="AE52" s="16"/>
      <c r="AF52" s="16"/>
      <c r="AG52" s="16"/>
      <c r="AH52" s="16"/>
    </row>
    <row r="53" spans="1:35" ht="17.25" customHeight="1" thickTop="1" thickBot="1">
      <c r="F53" s="544"/>
      <c r="G53" s="544"/>
      <c r="H53" s="544"/>
      <c r="I53" s="486"/>
      <c r="J53" s="486"/>
      <c r="K53" s="486"/>
      <c r="L53" s="486"/>
      <c r="M53" s="513"/>
      <c r="N53" s="514"/>
      <c r="O53" s="514"/>
      <c r="P53" s="514"/>
      <c r="Q53" s="554"/>
      <c r="R53" s="554"/>
      <c r="S53" s="554"/>
      <c r="T53" s="554"/>
      <c r="U53" s="576"/>
      <c r="V53" s="576"/>
      <c r="W53" s="576"/>
      <c r="X53" s="576"/>
      <c r="Y53" s="576"/>
      <c r="AC53" s="3" t="s">
        <v>39</v>
      </c>
      <c r="AD53" s="5">
        <f>I50-M50</f>
        <v>0.31472222222222257</v>
      </c>
      <c r="AI53" s="11"/>
    </row>
    <row r="54" spans="1:35" ht="17.25" customHeight="1" thickTop="1" thickBot="1">
      <c r="F54" s="474" t="str" cm="1">
        <f t="array" ref="F54">angleDecimal2Txt(F50)</f>
        <v>-16°59.47 (-16.9913) [-16°59'28.72]</v>
      </c>
      <c r="G54" s="474"/>
      <c r="H54" s="474"/>
      <c r="I54" s="480"/>
      <c r="J54" s="480"/>
      <c r="K54" s="480"/>
      <c r="AA54" s="14"/>
      <c r="AC54" s="3" t="s">
        <v>37</v>
      </c>
      <c r="AD54" s="3">
        <f>AE49+(AD51/AD52)*AD53</f>
        <v>-16.991311111111113</v>
      </c>
    </row>
    <row r="55" spans="1:35" ht="17.25" customHeight="1" thickTop="1">
      <c r="C55" s="34" t="s">
        <v>14</v>
      </c>
      <c r="D55" s="34"/>
      <c r="E55" s="35"/>
      <c r="F55" s="35"/>
      <c r="G55" s="14"/>
      <c r="H55" s="14"/>
      <c r="I55" s="14"/>
      <c r="AA55" s="14"/>
    </row>
    <row r="56" spans="1:35" ht="17.25" customHeight="1">
      <c r="C56" s="14"/>
      <c r="D56" s="14"/>
      <c r="E56" s="14"/>
      <c r="F56" s="515" t="s">
        <v>9</v>
      </c>
      <c r="G56" s="515"/>
      <c r="H56" s="515"/>
      <c r="I56" s="515" t="s">
        <v>12</v>
      </c>
      <c r="J56" s="515"/>
      <c r="K56" s="515"/>
      <c r="L56" s="515"/>
      <c r="M56" s="516" t="s">
        <v>13</v>
      </c>
      <c r="N56" s="516"/>
      <c r="O56" s="516"/>
      <c r="P56" s="520" t="s">
        <v>16</v>
      </c>
      <c r="Q56" s="520"/>
      <c r="R56" s="520"/>
      <c r="S56" s="520"/>
      <c r="T56" s="520"/>
      <c r="U56" s="520" t="s">
        <v>142</v>
      </c>
      <c r="V56" s="520"/>
      <c r="W56" s="520"/>
      <c r="X56" s="520"/>
      <c r="Y56" s="520"/>
      <c r="AA56" s="14"/>
      <c r="AC56" s="3" t="s">
        <v>186</v>
      </c>
      <c r="AD56" s="3">
        <f>VLOOKUP(P58,$A$38:$C$39,3)</f>
        <v>-1</v>
      </c>
    </row>
    <row r="57" spans="1:35" ht="17.25" customHeight="1">
      <c r="F57" s="515"/>
      <c r="G57" s="515"/>
      <c r="H57" s="515"/>
      <c r="I57" s="515"/>
      <c r="J57" s="515"/>
      <c r="K57" s="515"/>
      <c r="L57" s="515"/>
      <c r="M57" s="516"/>
      <c r="N57" s="516"/>
      <c r="O57" s="516"/>
      <c r="P57" s="520"/>
      <c r="Q57" s="520"/>
      <c r="R57" s="520"/>
      <c r="S57" s="520"/>
      <c r="T57" s="520"/>
      <c r="U57" s="520"/>
      <c r="V57" s="520"/>
      <c r="W57" s="520"/>
      <c r="X57" s="520"/>
      <c r="Y57" s="520"/>
      <c r="Z57" s="14"/>
      <c r="AA57" s="14"/>
      <c r="AC57" s="3" t="s">
        <v>187</v>
      </c>
      <c r="AD57" s="3" cm="1">
        <f t="array" ref="AD57">angleConvert2Decimal(Q58)*AD56</f>
        <v>-12.24</v>
      </c>
    </row>
    <row r="58" spans="1:35" ht="17.25" customHeight="1">
      <c r="E58" s="16"/>
      <c r="F58" s="543" t="str">
        <f>IF(G46=AD47,AD60,"---")</f>
        <v>---</v>
      </c>
      <c r="G58" s="543"/>
      <c r="H58" s="543"/>
      <c r="I58" s="486">
        <f>E11</f>
        <v>8.3147222222222226</v>
      </c>
      <c r="J58" s="486"/>
      <c r="K58" s="486"/>
      <c r="L58" s="486"/>
      <c r="M58" s="511">
        <v>0</v>
      </c>
      <c r="N58" s="512"/>
      <c r="O58" s="512"/>
      <c r="P58" s="512" t="s">
        <v>4</v>
      </c>
      <c r="Q58" s="519" t="s">
        <v>136</v>
      </c>
      <c r="R58" s="512"/>
      <c r="S58" s="512"/>
      <c r="T58" s="512"/>
      <c r="U58" s="512" t="s">
        <v>3</v>
      </c>
      <c r="V58" s="519" t="s">
        <v>117</v>
      </c>
      <c r="W58" s="512"/>
      <c r="X58" s="512"/>
      <c r="Y58" s="512"/>
      <c r="Z58" s="14"/>
      <c r="AC58" s="3" t="s">
        <v>188</v>
      </c>
      <c r="AD58" s="3">
        <f>VLOOKUP(U58,$A$38:$C$39,3)</f>
        <v>1</v>
      </c>
    </row>
    <row r="59" spans="1:35" ht="17.25" customHeight="1" collapsed="1" thickBot="1">
      <c r="F59" s="544"/>
      <c r="G59" s="544"/>
      <c r="H59" s="544"/>
      <c r="I59" s="486"/>
      <c r="J59" s="486"/>
      <c r="K59" s="486"/>
      <c r="L59" s="486"/>
      <c r="M59" s="513"/>
      <c r="N59" s="514"/>
      <c r="O59" s="514"/>
      <c r="P59" s="514"/>
      <c r="Q59" s="514"/>
      <c r="R59" s="514"/>
      <c r="S59" s="514"/>
      <c r="T59" s="514"/>
      <c r="U59" s="514"/>
      <c r="V59" s="514"/>
      <c r="W59" s="514"/>
      <c r="X59" s="514"/>
      <c r="Y59" s="514"/>
      <c r="Z59" s="14"/>
      <c r="AC59" s="3" t="s">
        <v>189</v>
      </c>
      <c r="AD59" s="3" cm="1">
        <f t="array" ref="AD59">angleConvert2Decimal(V58)*AD58</f>
        <v>1.6E-2</v>
      </c>
    </row>
    <row r="60" spans="1:35" ht="17.25" customHeight="1" thickTop="1" thickBot="1">
      <c r="F60" s="474" t="e" cm="1">
        <f t="array" ref="F60">angleDecimal2Txt(F58)</f>
        <v>#VALUE!</v>
      </c>
      <c r="G60" s="474"/>
      <c r="H60" s="474"/>
      <c r="I60" s="480"/>
      <c r="J60" s="480"/>
      <c r="K60" s="480"/>
      <c r="P60" s="474" t="str" cm="1">
        <f t="array" ref="P60">angleDecimal2Txt(AD57)</f>
        <v>-12°14.40 (-12.2400) [-12°14'24.00]</v>
      </c>
      <c r="Q60" s="474"/>
      <c r="R60" s="474"/>
      <c r="S60" s="474"/>
      <c r="T60" s="474"/>
      <c r="U60" s="474" t="str" cm="1">
        <f t="array" ref="U60">angleDecimal2Txt(AD59)</f>
        <v>+00°00.96 (+00.0160) [+00°00'57.60]</v>
      </c>
      <c r="V60" s="457"/>
      <c r="W60" s="457"/>
      <c r="X60" s="457"/>
      <c r="Y60" s="457"/>
      <c r="AC60" s="3" t="s">
        <v>190</v>
      </c>
      <c r="AD60" s="3">
        <f>AD57+AD59*(I58-M58)</f>
        <v>-12.106964444444445</v>
      </c>
    </row>
    <row r="61" spans="1:35" ht="17.25" customHeight="1" thickTop="1">
      <c r="S61" s="14"/>
      <c r="T61" s="14"/>
      <c r="U61" s="14"/>
      <c r="V61" s="14"/>
      <c r="W61" s="14"/>
      <c r="X61" s="14"/>
    </row>
    <row r="62" spans="1:35" ht="17.25" customHeight="1" thickBot="1">
      <c r="S62" s="14"/>
      <c r="T62" s="14"/>
      <c r="U62" s="14"/>
      <c r="V62" s="14"/>
      <c r="W62" s="14"/>
      <c r="X62" s="14"/>
    </row>
    <row r="63" spans="1:35" ht="17.25" customHeight="1" thickBot="1">
      <c r="A63" s="33"/>
      <c r="B63" s="25" t="s">
        <v>425</v>
      </c>
      <c r="C63" s="26"/>
      <c r="D63" s="26"/>
      <c r="E63" s="26"/>
      <c r="F63" s="532">
        <f>IF(G64=AD64,F68,F76)</f>
        <v>40.253683796296301</v>
      </c>
      <c r="G63" s="532"/>
      <c r="H63" s="532"/>
      <c r="I63" s="26"/>
      <c r="J63" s="26"/>
      <c r="K63" s="26"/>
      <c r="L63" s="1122">
        <f>IF(F63&gt;360,F63-360,F63)</f>
        <v>40.253683796296301</v>
      </c>
      <c r="M63" s="1122"/>
      <c r="N63" s="26" t="s">
        <v>28</v>
      </c>
      <c r="O63" s="26"/>
      <c r="P63" s="26"/>
      <c r="Q63" s="26" t="str">
        <f>angleDecimal2Txt(L63)</f>
        <v>+40°15.22 (+40.2536) [+40°15'13.26]</v>
      </c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64"/>
    </row>
    <row r="64" spans="1:35" ht="17.25" customHeight="1">
      <c r="B64" s="33"/>
      <c r="C64" s="531" t="s">
        <v>35</v>
      </c>
      <c r="D64" s="531"/>
      <c r="E64" s="531"/>
      <c r="F64" s="723"/>
      <c r="G64" s="573" t="s">
        <v>10</v>
      </c>
      <c r="H64" s="574"/>
      <c r="I64" s="575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65"/>
      <c r="AC64" s="1121" t="s">
        <v>36</v>
      </c>
      <c r="AD64" s="68" t="s">
        <v>10</v>
      </c>
    </row>
    <row r="65" spans="3:32" ht="17.25" customHeight="1">
      <c r="C65" s="34" t="s">
        <v>10</v>
      </c>
      <c r="D65" s="34"/>
      <c r="E65" s="35"/>
      <c r="F65" s="35"/>
      <c r="G65" s="14"/>
      <c r="H65" s="14"/>
      <c r="I65" s="14"/>
      <c r="AC65" s="1121"/>
      <c r="AD65" s="68" t="s">
        <v>14</v>
      </c>
    </row>
    <row r="66" spans="3:32" ht="17.25" customHeight="1">
      <c r="F66" s="495" t="s">
        <v>9</v>
      </c>
      <c r="G66" s="496"/>
      <c r="H66" s="497"/>
      <c r="I66" s="495" t="s">
        <v>12</v>
      </c>
      <c r="J66" s="496"/>
      <c r="K66" s="496"/>
      <c r="L66" s="497"/>
      <c r="M66" s="501" t="s">
        <v>13</v>
      </c>
      <c r="N66" s="502"/>
      <c r="O66" s="503"/>
      <c r="P66" s="487" t="s">
        <v>15</v>
      </c>
      <c r="Q66" s="488"/>
      <c r="R66" s="488"/>
      <c r="S66" s="488"/>
      <c r="T66" s="489"/>
      <c r="U66" s="14"/>
      <c r="AD66" s="73" t="s">
        <v>73</v>
      </c>
      <c r="AE66" s="3" t="s">
        <v>191</v>
      </c>
    </row>
    <row r="67" spans="3:32" ht="17.25" customHeight="1" thickBot="1">
      <c r="F67" s="498"/>
      <c r="G67" s="499"/>
      <c r="H67" s="500"/>
      <c r="I67" s="498"/>
      <c r="J67" s="499"/>
      <c r="K67" s="499"/>
      <c r="L67" s="500"/>
      <c r="M67" s="504"/>
      <c r="N67" s="505"/>
      <c r="O67" s="506"/>
      <c r="P67" s="490"/>
      <c r="Q67" s="491"/>
      <c r="R67" s="491"/>
      <c r="S67" s="491"/>
      <c r="T67" s="492"/>
      <c r="U67" s="14"/>
      <c r="Z67"/>
      <c r="AC67" s="3" t="s">
        <v>183</v>
      </c>
      <c r="AD67" s="3">
        <f>VLOOKUP(P68,$B$38:$C$39,2)</f>
        <v>1</v>
      </c>
      <c r="AE67" s="3" cm="1">
        <f t="array" ref="AE67">AD67*angleConvert2Decimal(Q68)</f>
        <v>35.674999999999997</v>
      </c>
    </row>
    <row r="68" spans="3:32" ht="17.25" customHeight="1" thickTop="1" thickBot="1">
      <c r="E68" s="16"/>
      <c r="F68" s="543">
        <f>IF(G64=AD65,"---",AF72)</f>
        <v>40.253683796296301</v>
      </c>
      <c r="G68" s="543"/>
      <c r="H68" s="543"/>
      <c r="I68" s="486">
        <f>E11</f>
        <v>8.3147222222222226</v>
      </c>
      <c r="J68" s="486"/>
      <c r="K68" s="486"/>
      <c r="L68" s="486"/>
      <c r="M68" s="571">
        <v>8</v>
      </c>
      <c r="N68" s="572"/>
      <c r="O68" s="572"/>
      <c r="P68" s="486" t="s">
        <v>5</v>
      </c>
      <c r="Q68" s="562" t="s">
        <v>558</v>
      </c>
      <c r="R68" s="562"/>
      <c r="S68" s="562"/>
      <c r="T68" s="563"/>
      <c r="U68" s="472" t="str" cm="1">
        <f t="array" ref="U68">angleDecimal2Txt(AE67)</f>
        <v>+35°40.49 (+35.6749) [+35°40'29.99]</v>
      </c>
      <c r="V68" s="576"/>
      <c r="W68" s="576"/>
      <c r="X68" s="576"/>
      <c r="Y68" s="576"/>
      <c r="Z68"/>
      <c r="AC68" s="3" t="s">
        <v>184</v>
      </c>
      <c r="AD68" s="3">
        <f>VLOOKUP(P70,$B$38:$C$39,2)</f>
        <v>1</v>
      </c>
      <c r="AE68" s="3" cm="1">
        <f t="array" ref="AE68">AD68*angleConvert2Decimal(Q70)</f>
        <v>50.223333333333336</v>
      </c>
    </row>
    <row r="69" spans="3:32" ht="17.25" customHeight="1" thickTop="1" thickBot="1">
      <c r="F69" s="544"/>
      <c r="G69" s="544"/>
      <c r="H69" s="544"/>
      <c r="I69" s="486"/>
      <c r="J69" s="486"/>
      <c r="K69" s="486"/>
      <c r="L69" s="486"/>
      <c r="M69" s="529"/>
      <c r="N69" s="530"/>
      <c r="O69" s="530"/>
      <c r="P69" s="486"/>
      <c r="Q69" s="564"/>
      <c r="R69" s="564"/>
      <c r="S69" s="564"/>
      <c r="T69" s="565"/>
      <c r="U69" s="576"/>
      <c r="V69" s="576"/>
      <c r="W69" s="576"/>
      <c r="X69" s="576"/>
      <c r="Y69" s="576"/>
      <c r="Z69"/>
      <c r="AC69" s="3" t="s">
        <v>38</v>
      </c>
      <c r="AD69" s="5">
        <f>AE68-AE67</f>
        <v>14.548333333333339</v>
      </c>
    </row>
    <row r="70" spans="3:32" ht="17.25" customHeight="1" thickTop="1" thickBot="1">
      <c r="F70" s="544"/>
      <c r="G70" s="544"/>
      <c r="H70" s="544"/>
      <c r="I70" s="486"/>
      <c r="J70" s="486"/>
      <c r="K70" s="486"/>
      <c r="L70" s="486"/>
      <c r="M70" s="527">
        <v>9</v>
      </c>
      <c r="N70" s="528"/>
      <c r="O70" s="528"/>
      <c r="P70" s="486" t="s">
        <v>5</v>
      </c>
      <c r="Q70" s="566" t="s">
        <v>344</v>
      </c>
      <c r="R70" s="566"/>
      <c r="S70" s="566"/>
      <c r="T70" s="567"/>
      <c r="U70" s="472" t="str" cm="1">
        <f t="array" ref="U70">angleDecimal2Txt((AE68))</f>
        <v>+50°13.40 (+50.2233) [+50°13'24.00]</v>
      </c>
      <c r="V70" s="576"/>
      <c r="W70" s="576"/>
      <c r="X70" s="576"/>
      <c r="Y70" s="576"/>
      <c r="Z70"/>
      <c r="AC70" s="3" t="s">
        <v>185</v>
      </c>
      <c r="AD70" s="5">
        <f>M70-M68</f>
        <v>1</v>
      </c>
      <c r="AE70" s="16"/>
    </row>
    <row r="71" spans="3:32" ht="17.25" customHeight="1" thickTop="1" thickBot="1">
      <c r="F71" s="544"/>
      <c r="G71" s="544"/>
      <c r="H71" s="544"/>
      <c r="I71" s="486"/>
      <c r="J71" s="486"/>
      <c r="K71" s="486"/>
      <c r="L71" s="486"/>
      <c r="M71" s="529"/>
      <c r="N71" s="530"/>
      <c r="O71" s="530"/>
      <c r="P71" s="486"/>
      <c r="Q71" s="564"/>
      <c r="R71" s="564"/>
      <c r="S71" s="564"/>
      <c r="T71" s="565"/>
      <c r="U71" s="576"/>
      <c r="V71" s="576"/>
      <c r="W71" s="576"/>
      <c r="X71" s="576"/>
      <c r="Y71" s="576"/>
      <c r="Z71"/>
      <c r="AC71" s="3" t="s">
        <v>39</v>
      </c>
      <c r="AD71" s="5">
        <f>I68-M68</f>
        <v>0.31472222222222257</v>
      </c>
    </row>
    <row r="72" spans="3:32" ht="17.25" customHeight="1" thickTop="1" thickBot="1">
      <c r="F72" s="696">
        <f>AC73</f>
        <v>0</v>
      </c>
      <c r="G72" s="697"/>
      <c r="H72" s="697"/>
      <c r="I72" s="785"/>
      <c r="J72" s="785"/>
      <c r="K72" s="786"/>
      <c r="Q72" s="101"/>
      <c r="Z72"/>
      <c r="AA72" s="14"/>
      <c r="AC72" s="3" t="s">
        <v>298</v>
      </c>
      <c r="AD72" s="3">
        <f>IF(AF72&gt;360,AF72-360,AF72)</f>
        <v>40.253683796296301</v>
      </c>
      <c r="AE72" s="3" t="s">
        <v>37</v>
      </c>
      <c r="AF72" s="3">
        <f>(AE67+(AD69/AD70)*AD71)</f>
        <v>40.253683796296301</v>
      </c>
    </row>
    <row r="73" spans="3:32" ht="17.25" customHeight="1" thickTop="1">
      <c r="C73" s="34" t="s">
        <v>14</v>
      </c>
      <c r="D73" s="34"/>
      <c r="E73" s="35"/>
      <c r="F73" s="35"/>
      <c r="G73" s="14"/>
      <c r="H73" s="14"/>
      <c r="I73" s="14"/>
      <c r="Z73"/>
      <c r="AA73" s="14"/>
    </row>
    <row r="74" spans="3:32" ht="17.25" customHeight="1">
      <c r="C74" s="14"/>
      <c r="D74" s="14"/>
      <c r="E74" s="14"/>
      <c r="F74" s="495" t="s">
        <v>9</v>
      </c>
      <c r="G74" s="496"/>
      <c r="H74" s="497"/>
      <c r="I74" s="495" t="s">
        <v>12</v>
      </c>
      <c r="J74" s="496"/>
      <c r="K74" s="496"/>
      <c r="L74" s="497"/>
      <c r="M74" s="501" t="s">
        <v>13</v>
      </c>
      <c r="N74" s="502"/>
      <c r="O74" s="503"/>
      <c r="P74" s="487" t="s">
        <v>16</v>
      </c>
      <c r="Q74" s="488"/>
      <c r="R74" s="488"/>
      <c r="S74" s="488"/>
      <c r="T74" s="489"/>
      <c r="U74" s="487" t="s">
        <v>98</v>
      </c>
      <c r="V74" s="488"/>
      <c r="W74" s="488"/>
      <c r="X74" s="488"/>
      <c r="Y74" s="489"/>
      <c r="AA74" s="14"/>
      <c r="AC74" s="3" t="s">
        <v>186</v>
      </c>
      <c r="AD74" s="3">
        <f>VLOOKUP(P76,$B$38:$C$39,2)</f>
        <v>-1</v>
      </c>
    </row>
    <row r="75" spans="3:32" ht="17.25" customHeight="1" collapsed="1">
      <c r="F75" s="498"/>
      <c r="G75" s="499"/>
      <c r="H75" s="500"/>
      <c r="I75" s="498"/>
      <c r="J75" s="499"/>
      <c r="K75" s="499"/>
      <c r="L75" s="500"/>
      <c r="M75" s="504"/>
      <c r="N75" s="505"/>
      <c r="O75" s="506"/>
      <c r="P75" s="490"/>
      <c r="Q75" s="491"/>
      <c r="R75" s="491"/>
      <c r="S75" s="491"/>
      <c r="T75" s="492"/>
      <c r="U75" s="490"/>
      <c r="V75" s="493"/>
      <c r="W75" s="493"/>
      <c r="X75" s="493"/>
      <c r="Y75" s="494"/>
      <c r="Z75" s="14"/>
      <c r="AA75" s="14"/>
      <c r="AC75" s="3" t="s">
        <v>187</v>
      </c>
      <c r="AD75" s="3" cm="1">
        <f t="array" ref="AD75">angleConvert2Decimal(Q76)*AD74</f>
        <v>-176.49</v>
      </c>
    </row>
    <row r="76" spans="3:32" ht="17.25" customHeight="1">
      <c r="E76" s="16"/>
      <c r="F76" s="543" t="str">
        <f>IF(G64=AD65,AF78,"---")</f>
        <v>---</v>
      </c>
      <c r="G76" s="543"/>
      <c r="H76" s="543"/>
      <c r="I76" s="665">
        <f>E11</f>
        <v>8.3147222222222226</v>
      </c>
      <c r="J76" s="781"/>
      <c r="K76" s="781"/>
      <c r="L76" s="666"/>
      <c r="M76" s="571">
        <v>0</v>
      </c>
      <c r="N76" s="572"/>
      <c r="O76" s="572"/>
      <c r="P76" s="486" t="s">
        <v>6</v>
      </c>
      <c r="Q76" s="517" t="s">
        <v>137</v>
      </c>
      <c r="R76" s="517"/>
      <c r="S76" s="517"/>
      <c r="T76" s="517"/>
      <c r="U76" s="486" t="s">
        <v>6</v>
      </c>
      <c r="V76" s="486" t="s">
        <v>118</v>
      </c>
      <c r="W76" s="486"/>
      <c r="X76" s="486"/>
      <c r="Y76" s="486"/>
      <c r="Z76" s="14"/>
      <c r="AC76" s="3" t="s">
        <v>188</v>
      </c>
      <c r="AD76" s="3">
        <f>VLOOKUP(U76,$B$38:$C$39,2)</f>
        <v>-1</v>
      </c>
    </row>
    <row r="77" spans="3:32" ht="17.25" customHeight="1" thickBot="1">
      <c r="F77" s="544"/>
      <c r="G77" s="544"/>
      <c r="H77" s="544"/>
      <c r="I77" s="698"/>
      <c r="J77" s="782"/>
      <c r="K77" s="782"/>
      <c r="L77" s="783"/>
      <c r="M77" s="529"/>
      <c r="N77" s="530"/>
      <c r="O77" s="530"/>
      <c r="P77" s="486"/>
      <c r="Q77" s="518"/>
      <c r="R77" s="518"/>
      <c r="S77" s="518"/>
      <c r="T77" s="518"/>
      <c r="U77" s="486"/>
      <c r="V77" s="486"/>
      <c r="W77" s="486"/>
      <c r="X77" s="486"/>
      <c r="Y77" s="486"/>
      <c r="Z77" s="14"/>
      <c r="AC77" s="3" t="s">
        <v>189</v>
      </c>
      <c r="AD77" s="3" cm="1">
        <f t="array" ref="AD77">angleConvert2Decimal(V76)*AD76</f>
        <v>-15.002000000000001</v>
      </c>
    </row>
    <row r="78" spans="3:32" ht="17.25" customHeight="1" thickTop="1" thickBot="1">
      <c r="F78" s="474" t="e" cm="1">
        <f t="array" ref="F78">angleDecimal2Txt(F76)</f>
        <v>#VALUE!</v>
      </c>
      <c r="G78" s="474"/>
      <c r="H78" s="474"/>
      <c r="I78" s="474"/>
      <c r="J78" s="474"/>
      <c r="K78" s="474"/>
      <c r="P78" s="480" t="str" cm="1">
        <f t="array" ref="P78">angleDecimal2Txt(AD75)</f>
        <v>-176°29.39 (-176.4900) [-176°29'24.00]</v>
      </c>
      <c r="Q78" s="474"/>
      <c r="R78" s="474"/>
      <c r="S78" s="474"/>
      <c r="T78" s="474"/>
      <c r="U78" s="480" t="str" cm="1">
        <f t="array" ref="U78">angleDecimal2Txt(AD77)</f>
        <v>-15°00.12 (-15.0020) [-15°00'07.20]</v>
      </c>
      <c r="V78" s="521"/>
      <c r="W78" s="521"/>
      <c r="X78" s="521"/>
      <c r="Y78" s="521"/>
      <c r="AC78" s="3" t="s">
        <v>298</v>
      </c>
      <c r="AD78" s="3">
        <f>IF(AF78&gt;360,AF78-360,AF78)</f>
        <v>58.772537222222184</v>
      </c>
      <c r="AE78" s="3" t="s">
        <v>37</v>
      </c>
      <c r="AF78" s="3">
        <f>MOD(AD75+AD77*(I76-M76),360)</f>
        <v>58.772537222222184</v>
      </c>
    </row>
    <row r="79" spans="3:32" ht="17.25" customHeight="1" thickTop="1">
      <c r="S79" s="14"/>
      <c r="T79" s="14"/>
      <c r="U79" s="14"/>
      <c r="V79" s="14"/>
      <c r="W79" s="14"/>
      <c r="X79" s="14"/>
    </row>
    <row r="80" spans="3:32" ht="17.25" customHeight="1">
      <c r="S80" s="14"/>
      <c r="T80" s="14"/>
      <c r="U80" s="14"/>
      <c r="V80" s="14"/>
      <c r="W80" s="14"/>
    </row>
    <row r="81" spans="1:66" ht="17.25" customHeight="1" thickBot="1"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I81" s="11"/>
    </row>
    <row r="82" spans="1:66" s="14" customFormat="1" ht="17.25" customHeight="1" thickBot="1">
      <c r="A82" s="16"/>
      <c r="B82" s="25" t="s">
        <v>43</v>
      </c>
      <c r="C82" s="26"/>
      <c r="D82" s="26"/>
      <c r="E82" s="26"/>
      <c r="F82" s="532">
        <f>I83</f>
        <v>43.753683796296301</v>
      </c>
      <c r="G82" s="532"/>
      <c r="H82" s="532"/>
      <c r="I82" s="26"/>
      <c r="J82" s="536" t="s">
        <v>55</v>
      </c>
      <c r="K82" s="536"/>
      <c r="L82" s="536"/>
      <c r="M82" s="784" t="str">
        <f>J22</f>
        <v>Lune</v>
      </c>
      <c r="N82" s="784"/>
      <c r="O82" s="784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64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31"/>
    </row>
    <row r="83" spans="1:66" ht="17.25" customHeight="1" thickBot="1">
      <c r="C83" s="509" t="s">
        <v>21</v>
      </c>
      <c r="D83" s="509"/>
      <c r="E83" s="509"/>
      <c r="F83" s="509"/>
      <c r="G83" s="509"/>
      <c r="H83" s="510"/>
      <c r="I83" s="533">
        <f>AD84</f>
        <v>43.753683796296301</v>
      </c>
      <c r="J83" s="534"/>
      <c r="K83" s="534"/>
      <c r="L83" s="535"/>
      <c r="M83" s="36" t="s">
        <v>45</v>
      </c>
      <c r="N83" s="682">
        <f>AD83</f>
        <v>43.753683796296301</v>
      </c>
      <c r="O83" s="682"/>
      <c r="P83" s="682"/>
      <c r="Q83" s="682"/>
      <c r="AC83" s="3" t="s">
        <v>192</v>
      </c>
      <c r="AD83" s="5">
        <f>F63+F41</f>
        <v>43.753683796296301</v>
      </c>
    </row>
    <row r="84" spans="1:66" ht="17.25" customHeight="1" thickTop="1" thickBot="1">
      <c r="A84" s="14"/>
      <c r="C84" s="14"/>
      <c r="D84" s="14"/>
      <c r="E84" s="14"/>
      <c r="F84" s="14"/>
      <c r="G84" s="14"/>
      <c r="H84" s="14"/>
      <c r="I84" s="457">
        <f>AC85</f>
        <v>0</v>
      </c>
      <c r="J84" s="457"/>
      <c r="K84" s="457"/>
      <c r="L84" s="457"/>
      <c r="M84" s="457"/>
      <c r="N84" s="457"/>
      <c r="AB84" s="66"/>
      <c r="AC84" s="3" t="s">
        <v>193</v>
      </c>
      <c r="AD84" s="5">
        <f>IF(AD83&gt;360,AD83-360,AD83)</f>
        <v>43.753683796296301</v>
      </c>
    </row>
    <row r="85" spans="1:66" ht="17.25" customHeight="1" thickTop="1" thickBot="1">
      <c r="B85" s="14"/>
      <c r="C85" s="16"/>
      <c r="D85" s="16"/>
      <c r="E85" s="16"/>
      <c r="F85" s="16"/>
      <c r="G85" s="16"/>
      <c r="AA85" s="14"/>
    </row>
    <row r="86" spans="1:66" ht="17.25" customHeight="1" thickBot="1">
      <c r="B86" s="25" t="s">
        <v>23</v>
      </c>
      <c r="C86" s="26"/>
      <c r="D86" s="1010" t="s">
        <v>72</v>
      </c>
      <c r="E86" s="1011"/>
      <c r="F86" s="532">
        <f>IF(G87=AD87,O126,O116)</f>
        <v>19.388404918986957</v>
      </c>
      <c r="G86" s="532"/>
      <c r="H86" s="532"/>
      <c r="I86" s="26" t="str">
        <f>angleDecimal2Txt(F86,0)</f>
        <v>+19°23.30</v>
      </c>
      <c r="J86" s="26"/>
      <c r="K86" s="26"/>
      <c r="L86" s="26" t="s">
        <v>60</v>
      </c>
      <c r="M86" s="1010">
        <f>O89</f>
        <v>18.916666666666668</v>
      </c>
      <c r="N86" s="1010"/>
      <c r="O86" s="26"/>
      <c r="P86" s="60"/>
      <c r="Q86" s="26" t="s">
        <v>99</v>
      </c>
      <c r="R86" s="26"/>
      <c r="S86" s="523">
        <f>-O103+O98+O107</f>
        <v>0.56317470969782202</v>
      </c>
      <c r="T86" s="524"/>
      <c r="U86" s="525"/>
      <c r="V86" s="526" t="str" cm="1">
        <f t="array" ref="V86">angleDecimal2Txt(S86)</f>
        <v>+00°33.79 (+00.5631) [+00°33'47.42]</v>
      </c>
      <c r="W86" s="526"/>
      <c r="X86" s="526"/>
      <c r="Y86" s="526"/>
      <c r="Z86" s="526"/>
      <c r="AA86" s="26"/>
      <c r="AB86" s="64"/>
    </row>
    <row r="87" spans="1:66" ht="17.25" customHeight="1">
      <c r="C87" s="531" t="s">
        <v>35</v>
      </c>
      <c r="D87" s="531"/>
      <c r="E87" s="531"/>
      <c r="F87" s="531"/>
      <c r="G87" s="456" t="s">
        <v>51</v>
      </c>
      <c r="H87" s="456"/>
      <c r="I87" s="456"/>
      <c r="P87" s="16" t="s">
        <v>69</v>
      </c>
      <c r="V87" s="14"/>
      <c r="W87" s="14"/>
      <c r="X87" s="14"/>
      <c r="Y87" s="14"/>
      <c r="Z87" s="14"/>
      <c r="AC87" s="1121" t="s">
        <v>36</v>
      </c>
      <c r="AD87" s="68" t="s">
        <v>50</v>
      </c>
    </row>
    <row r="88" spans="1:66" ht="17.25" customHeight="1" thickBot="1">
      <c r="C88" s="33"/>
      <c r="D88" s="33"/>
      <c r="E88" s="33"/>
      <c r="F88" s="1012" t="s">
        <v>62</v>
      </c>
      <c r="G88" s="1012"/>
      <c r="H88" s="1013"/>
      <c r="I88" s="1013"/>
      <c r="J88" s="522">
        <f>IF(G87=AD87,"---",O116)</f>
        <v>19.388404918986957</v>
      </c>
      <c r="K88" s="522"/>
      <c r="L88" s="522"/>
      <c r="M88" s="108"/>
      <c r="N88" s="108"/>
      <c r="O88" s="108"/>
      <c r="P88" s="108"/>
      <c r="Q88" s="108"/>
      <c r="R88" s="108"/>
      <c r="S88" s="108"/>
      <c r="T88" s="108"/>
      <c r="U88" s="108"/>
      <c r="V88" s="109"/>
      <c r="W88" s="109"/>
      <c r="X88" s="109"/>
      <c r="Y88" s="109"/>
      <c r="Z88" s="109"/>
      <c r="AC88" s="1121"/>
      <c r="AD88" s="68" t="s">
        <v>51</v>
      </c>
    </row>
    <row r="89" spans="1:66" ht="17.25" customHeight="1" thickTop="1" thickBot="1">
      <c r="C89" s="16"/>
      <c r="D89" s="16"/>
      <c r="E89" s="16"/>
      <c r="F89" s="16"/>
      <c r="G89" s="16"/>
      <c r="H89" s="590" t="s">
        <v>47</v>
      </c>
      <c r="I89" s="590"/>
      <c r="J89" s="590"/>
      <c r="K89" s="590"/>
      <c r="L89" s="590"/>
      <c r="M89" s="590"/>
      <c r="N89" s="590"/>
      <c r="O89" s="586">
        <f>J21</f>
        <v>18.916666666666668</v>
      </c>
      <c r="P89" s="586"/>
      <c r="Q89" s="586"/>
      <c r="R89" s="586"/>
      <c r="S89" s="16" t="s">
        <v>54</v>
      </c>
      <c r="U89" s="474" t="str" cm="1">
        <f t="array" ref="U89">angleDecimal2Txt(O89)</f>
        <v>+18°55.00 (+18.9166) [+18°55'00.00]</v>
      </c>
      <c r="V89" s="474"/>
      <c r="W89" s="474"/>
      <c r="X89" s="474"/>
      <c r="Y89" s="474"/>
      <c r="Z89" s="474"/>
    </row>
    <row r="90" spans="1:66" ht="17.25" customHeight="1" thickTop="1" thickBot="1">
      <c r="C90" s="16"/>
      <c r="D90" s="16"/>
      <c r="E90" s="16"/>
      <c r="F90" s="16"/>
      <c r="G90" s="16"/>
      <c r="H90" s="590" t="s">
        <v>24</v>
      </c>
      <c r="I90" s="590"/>
      <c r="J90" s="590"/>
      <c r="K90" s="590"/>
      <c r="L90" s="590"/>
      <c r="M90" s="590"/>
      <c r="N90" s="590"/>
      <c r="O90" s="586">
        <f>J20</f>
        <v>0.05</v>
      </c>
      <c r="P90" s="586"/>
      <c r="Q90" s="586"/>
      <c r="R90" s="586"/>
      <c r="S90" s="16" t="s">
        <v>54</v>
      </c>
      <c r="U90" s="474" t="str" cm="1">
        <f t="array" ref="U90">angleDecimal2Txt(O90)</f>
        <v>+00°03.00 (+00.0500) [+00°03'00.00]</v>
      </c>
      <c r="V90" s="474"/>
      <c r="W90" s="474"/>
      <c r="X90" s="474"/>
      <c r="Y90" s="474"/>
      <c r="Z90" s="474"/>
      <c r="AC90" s="3" t="s">
        <v>59</v>
      </c>
      <c r="AD90" s="5">
        <f>O90</f>
        <v>0.05</v>
      </c>
    </row>
    <row r="91" spans="1:66" ht="17.25" customHeight="1" thickTop="1" thickBot="1">
      <c r="G91" s="16"/>
      <c r="H91" s="484" t="s">
        <v>68</v>
      </c>
      <c r="I91" s="484"/>
      <c r="J91" s="484"/>
      <c r="K91" s="484"/>
      <c r="L91" s="484"/>
      <c r="M91" s="484"/>
      <c r="N91" s="484"/>
      <c r="O91" s="569">
        <f>AD92</f>
        <v>4.1436457377531689E-2</v>
      </c>
      <c r="P91" s="569"/>
      <c r="Q91" s="569"/>
      <c r="R91" s="569"/>
      <c r="S91" s="16" t="s">
        <v>54</v>
      </c>
      <c r="U91" s="474" t="str" cm="1">
        <f t="array" ref="U91">angleDecimal2Txt(O91)</f>
        <v>+00°02.48 (+00.0414) [+00°02'29.17]</v>
      </c>
      <c r="V91" s="474"/>
      <c r="W91" s="474"/>
      <c r="X91" s="474"/>
      <c r="Y91" s="474"/>
      <c r="Z91" s="474"/>
      <c r="AC91" s="3" t="s">
        <v>46</v>
      </c>
      <c r="AD91" s="3">
        <f>J19</f>
        <v>2</v>
      </c>
    </row>
    <row r="92" spans="1:66" ht="17.25" customHeight="1" thickTop="1" thickBot="1">
      <c r="K92" s="14"/>
      <c r="L92" s="14"/>
      <c r="M92" s="589" t="s">
        <v>122</v>
      </c>
      <c r="N92" s="589"/>
      <c r="O92" s="589"/>
      <c r="P92" s="589"/>
      <c r="Q92" s="14"/>
      <c r="R92" s="14"/>
      <c r="U92" s="14"/>
      <c r="V92" s="14"/>
      <c r="W92" s="14"/>
      <c r="X92" s="14"/>
      <c r="Y92" s="14"/>
      <c r="Z92" s="14"/>
      <c r="AC92" s="74" t="s">
        <v>67</v>
      </c>
      <c r="AD92" s="3">
        <f>0.0293 * SQRT(AD91)</f>
        <v>4.1436457377531689E-2</v>
      </c>
    </row>
    <row r="93" spans="1:66" ht="17.25" customHeight="1" thickTop="1" thickBot="1">
      <c r="G93" s="16"/>
      <c r="H93" s="761" t="s">
        <v>48</v>
      </c>
      <c r="I93" s="761"/>
      <c r="J93" s="761"/>
      <c r="K93" s="761"/>
      <c r="L93" s="761"/>
      <c r="M93" s="761"/>
      <c r="N93" s="761"/>
      <c r="O93" s="649">
        <f>O89-O90-O91</f>
        <v>18.825230209289135</v>
      </c>
      <c r="P93" s="686"/>
      <c r="Q93" s="16" t="s">
        <v>54</v>
      </c>
      <c r="R93" s="507">
        <f>O93*Outils!F4</f>
        <v>0.32856224959799663</v>
      </c>
      <c r="S93" s="507"/>
      <c r="T93" s="37" t="s">
        <v>64</v>
      </c>
      <c r="U93" s="474" t="str" cm="1">
        <f t="array" ref="U93">angleDecimal2Txt(O93)</f>
        <v>+18°49.51 (+18.8252) [+18°49'30.82]</v>
      </c>
      <c r="V93" s="474"/>
      <c r="W93" s="474"/>
      <c r="X93" s="474"/>
      <c r="Y93" s="474"/>
      <c r="Z93" s="474"/>
    </row>
    <row r="94" spans="1:66" ht="17.25" customHeight="1" thickTop="1">
      <c r="C94" s="16"/>
      <c r="D94" s="16"/>
      <c r="E94" s="16"/>
      <c r="F94" s="16"/>
      <c r="G94" s="16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U94" s="14"/>
      <c r="V94" s="14"/>
      <c r="W94" s="14"/>
      <c r="X94" s="14"/>
      <c r="Y94" s="14"/>
      <c r="Z94" s="14"/>
    </row>
    <row r="95" spans="1:66" ht="17.25" customHeight="1">
      <c r="G95" s="16"/>
      <c r="H95" s="14"/>
      <c r="I95" s="14"/>
      <c r="J95" s="14"/>
      <c r="K95" s="14"/>
      <c r="L95" s="14"/>
      <c r="M95" s="767" t="s">
        <v>61</v>
      </c>
      <c r="N95" s="767"/>
      <c r="O95" s="767"/>
      <c r="P95" s="767"/>
      <c r="Q95" s="14"/>
      <c r="R95" s="14"/>
      <c r="U95" s="14"/>
      <c r="V95" s="14"/>
      <c r="W95" s="14"/>
      <c r="X95" s="14"/>
      <c r="Y95" s="14"/>
      <c r="Z95" s="14"/>
    </row>
    <row r="96" spans="1:66" ht="17.25" customHeight="1" thickBot="1">
      <c r="C96" s="16"/>
      <c r="D96" s="16"/>
      <c r="E96" s="16"/>
      <c r="F96" s="16"/>
      <c r="G96" s="16"/>
      <c r="M96" s="768" t="s">
        <v>150</v>
      </c>
      <c r="N96" s="768"/>
      <c r="O96" s="767"/>
      <c r="P96" s="767"/>
    </row>
    <row r="97" spans="1:32" ht="17.25" customHeight="1" thickTop="1" thickBot="1">
      <c r="A97" s="14"/>
      <c r="B97" s="14"/>
      <c r="C97" s="14"/>
      <c r="D97" s="14"/>
      <c r="E97" s="14"/>
      <c r="F97" s="16"/>
      <c r="G97" s="16"/>
      <c r="H97" s="569" t="s">
        <v>52</v>
      </c>
      <c r="I97" s="569"/>
      <c r="J97" s="569"/>
      <c r="K97" s="569"/>
      <c r="L97" s="569"/>
      <c r="M97" s="569"/>
      <c r="N97" s="569"/>
      <c r="O97" s="769">
        <f>J24</f>
        <v>0.90666666666666662</v>
      </c>
      <c r="P97" s="770"/>
      <c r="Q97" s="770"/>
      <c r="R97" s="770"/>
      <c r="S97" s="16" t="s">
        <v>54</v>
      </c>
      <c r="U97" s="474" t="str" cm="1">
        <f t="array" ref="U97">angleDecimal2Txt(O97)</f>
        <v>+00°54.39 (+00.9066) [+00°54'24.00]</v>
      </c>
      <c r="V97" s="474"/>
      <c r="W97" s="474"/>
      <c r="X97" s="474"/>
      <c r="Y97" s="474"/>
      <c r="Z97" s="474"/>
      <c r="AC97" s="3" t="s">
        <v>345</v>
      </c>
      <c r="AD97" s="3">
        <f>ASIN(SIN(O97*Outils!F4)*COS(R93))*Outils!F5</f>
        <v>0.85816285152378158</v>
      </c>
      <c r="AF97">
        <f>ASIN(SIN(O97*Outils!F4)*COS(R93))*Outils!F5</f>
        <v>0.85816285152378158</v>
      </c>
    </row>
    <row r="98" spans="1:32" ht="17.25" customHeight="1" thickTop="1" thickBot="1">
      <c r="A98" s="14"/>
      <c r="B98" s="14"/>
      <c r="C98" s="14"/>
      <c r="D98" s="14"/>
      <c r="E98" s="14"/>
      <c r="F98" s="16"/>
      <c r="G98" s="16"/>
      <c r="H98" s="676" t="s">
        <v>151</v>
      </c>
      <c r="I98" s="677"/>
      <c r="J98" s="677"/>
      <c r="K98" s="677"/>
      <c r="L98" s="677"/>
      <c r="M98" s="677"/>
      <c r="N98" s="678"/>
      <c r="O98" s="642">
        <f>AF97</f>
        <v>0.85816285152378158</v>
      </c>
      <c r="P98" s="642"/>
      <c r="Q98" s="642"/>
      <c r="R98" s="642"/>
      <c r="S98" s="16" t="s">
        <v>54</v>
      </c>
      <c r="U98" s="474" t="str" cm="1">
        <f t="array" ref="U98">angleDecimal2Txt(O98)</f>
        <v>+00°51.48 (+00.8581) [+00°51'29.38]</v>
      </c>
      <c r="V98" s="474"/>
      <c r="W98" s="474"/>
      <c r="X98" s="474"/>
      <c r="Y98" s="474"/>
      <c r="Z98" s="474"/>
    </row>
    <row r="99" spans="1:32" ht="17.25" customHeight="1" thickTop="1">
      <c r="A99" s="14"/>
      <c r="B99" s="14"/>
      <c r="C99" s="14"/>
      <c r="D99" s="14"/>
      <c r="E99" s="14"/>
      <c r="F99" s="16"/>
      <c r="G99" s="16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32" ht="17.25" customHeight="1">
      <c r="A100" s="14"/>
      <c r="B100" s="14"/>
      <c r="C100" s="14"/>
      <c r="D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S100" s="772" t="s">
        <v>135</v>
      </c>
      <c r="T100" s="773"/>
      <c r="U100" s="774"/>
      <c r="Y100" s="14"/>
      <c r="Z100" s="14"/>
      <c r="AC100" s="3" t="s">
        <v>49</v>
      </c>
      <c r="AD100" s="3" t="s">
        <v>196</v>
      </c>
    </row>
    <row r="101" spans="1:32" ht="17.25" customHeight="1">
      <c r="A101" s="14"/>
      <c r="B101" s="14"/>
      <c r="C101" s="14"/>
      <c r="D101" s="14"/>
      <c r="F101" s="16"/>
      <c r="G101" s="16"/>
      <c r="H101" s="569" t="s">
        <v>65</v>
      </c>
      <c r="I101" s="569"/>
      <c r="J101" s="569"/>
      <c r="K101" s="569"/>
      <c r="L101" s="569"/>
      <c r="M101" s="569"/>
      <c r="N101" s="569"/>
      <c r="O101" s="663">
        <f>S101</f>
        <v>10</v>
      </c>
      <c r="P101" s="664"/>
      <c r="Q101" s="664"/>
      <c r="R101" s="664"/>
      <c r="S101" s="583">
        <v>10</v>
      </c>
      <c r="T101" s="584"/>
      <c r="U101" s="585"/>
      <c r="Y101" s="14"/>
      <c r="Z101" s="14"/>
      <c r="AC101" s="3" t="s">
        <v>197</v>
      </c>
      <c r="AD101" s="3">
        <f>1/TAN((O93 + 7.31 / (O93 + 4.4)) * Outils!F4)</f>
        <v>2.8813247814879501</v>
      </c>
    </row>
    <row r="102" spans="1:32" ht="17.25" customHeight="1" thickBot="1">
      <c r="A102" s="14"/>
      <c r="B102" s="14"/>
      <c r="C102" s="14"/>
      <c r="D102" s="14"/>
      <c r="E102" s="14"/>
      <c r="F102" s="16"/>
      <c r="G102" s="16"/>
      <c r="H102" s="569" t="s">
        <v>66</v>
      </c>
      <c r="I102" s="569"/>
      <c r="J102" s="569"/>
      <c r="K102" s="569"/>
      <c r="L102" s="569"/>
      <c r="M102" s="569"/>
      <c r="N102" s="569"/>
      <c r="O102" s="663">
        <f>S102</f>
        <v>1010</v>
      </c>
      <c r="P102" s="664"/>
      <c r="Q102" s="664"/>
      <c r="R102" s="664"/>
      <c r="S102" s="583">
        <v>1010</v>
      </c>
      <c r="T102" s="584"/>
      <c r="U102" s="585"/>
      <c r="Y102" s="14"/>
      <c r="Z102" s="14"/>
      <c r="AC102" s="3" t="s">
        <v>198</v>
      </c>
      <c r="AD102" s="3">
        <f>AD101/60</f>
        <v>4.8022079691465838E-2</v>
      </c>
    </row>
    <row r="103" spans="1:32" ht="17.25" customHeight="1" thickTop="1" thickBot="1">
      <c r="A103" s="14"/>
      <c r="B103" s="14"/>
      <c r="C103" s="14"/>
      <c r="D103" s="14"/>
      <c r="E103" s="14"/>
      <c r="F103" s="16"/>
      <c r="G103" s="16"/>
      <c r="H103" s="676" t="s">
        <v>152</v>
      </c>
      <c r="I103" s="677"/>
      <c r="J103" s="677"/>
      <c r="K103" s="677"/>
      <c r="L103" s="677"/>
      <c r="M103" s="677"/>
      <c r="N103" s="678"/>
      <c r="O103" s="642">
        <f>AD104</f>
        <v>4.7988141825959507E-2</v>
      </c>
      <c r="P103" s="642"/>
      <c r="Q103" s="642"/>
      <c r="R103" s="642"/>
      <c r="S103" s="16" t="s">
        <v>54</v>
      </c>
      <c r="U103" s="474" t="str" cm="1">
        <f t="array" ref="U103">angleDecimal2Txt(O103)</f>
        <v>+00°02.87 (+00.0479) [+00°02'52.75]</v>
      </c>
      <c r="V103" s="474"/>
      <c r="W103" s="474"/>
      <c r="X103" s="474"/>
      <c r="Y103" s="474"/>
      <c r="Z103" s="474"/>
      <c r="AC103" s="3" t="s">
        <v>100</v>
      </c>
      <c r="AD103" s="3">
        <f xml:space="preserve"> 0.28 * O102 / (273 + O101)</f>
        <v>0.99929328621908131</v>
      </c>
    </row>
    <row r="104" spans="1:32" ht="17.25" customHeight="1" thickTop="1">
      <c r="A104" s="14"/>
      <c r="B104" s="14"/>
      <c r="C104" s="14"/>
      <c r="D104" s="14"/>
      <c r="E104" s="14"/>
      <c r="F104" s="16"/>
      <c r="G104" s="16"/>
      <c r="H104" s="14"/>
      <c r="I104" s="14"/>
      <c r="J104" s="14"/>
      <c r="K104" s="14"/>
      <c r="L104" s="14"/>
      <c r="M104" s="14"/>
      <c r="N104" s="14"/>
      <c r="O104" s="14"/>
      <c r="Y104" s="14"/>
      <c r="Z104" s="14"/>
      <c r="AC104" s="3" t="s">
        <v>195</v>
      </c>
      <c r="AD104" s="3">
        <f>AD103*AD102</f>
        <v>4.7988141825959507E-2</v>
      </c>
    </row>
    <row r="105" spans="1:32" ht="17.25" customHeight="1">
      <c r="A105" s="14"/>
      <c r="B105" s="14"/>
      <c r="C105" s="14"/>
      <c r="D105" s="14"/>
      <c r="E105" s="14"/>
      <c r="F105" s="16"/>
      <c r="G105" s="16"/>
      <c r="H105" s="569" t="s">
        <v>106</v>
      </c>
      <c r="I105" s="569"/>
      <c r="J105" s="569"/>
      <c r="K105" s="569"/>
      <c r="L105" s="569"/>
      <c r="M105" s="569"/>
      <c r="N105" s="569"/>
      <c r="O105" s="662">
        <f>J28</f>
        <v>0.49399999999999999</v>
      </c>
      <c r="P105" s="662"/>
      <c r="Q105" s="662"/>
      <c r="R105" s="662"/>
    </row>
    <row r="106" spans="1:32" ht="17.25" customHeight="1" thickBot="1">
      <c r="B106" s="14"/>
      <c r="C106" s="14"/>
      <c r="D106" s="14"/>
      <c r="H106" s="569" t="s">
        <v>70</v>
      </c>
      <c r="I106" s="569"/>
      <c r="J106" s="569"/>
      <c r="K106" s="569"/>
      <c r="L106" s="569"/>
      <c r="M106" s="569"/>
      <c r="N106" s="569"/>
      <c r="O106" s="662" t="str">
        <f>J23</f>
        <v>BordSup</v>
      </c>
      <c r="P106" s="662"/>
      <c r="Q106" s="662"/>
      <c r="R106" s="662"/>
      <c r="AC106" s="3" t="s">
        <v>30</v>
      </c>
      <c r="AD106" s="578" t="str">
        <f>J22</f>
        <v>Lune</v>
      </c>
      <c r="AE106" s="578"/>
    </row>
    <row r="107" spans="1:32" ht="17.25" customHeight="1" thickTop="1" thickBot="1">
      <c r="H107" s="679" t="s">
        <v>71</v>
      </c>
      <c r="I107" s="680"/>
      <c r="J107" s="680"/>
      <c r="K107" s="680"/>
      <c r="L107" s="680"/>
      <c r="M107" s="680"/>
      <c r="N107" s="681"/>
      <c r="O107" s="682">
        <f>AD110</f>
        <v>-0.247</v>
      </c>
      <c r="P107" s="682"/>
      <c r="Q107" s="682"/>
      <c r="R107" s="682"/>
      <c r="S107" s="16" t="s">
        <v>54</v>
      </c>
      <c r="U107" s="474" t="str" cm="1">
        <f t="array" ref="U107">angleDecimal2Txt(O107)</f>
        <v>-00°14.82 (-00.2470) [-00°14'49.20]</v>
      </c>
      <c r="V107" s="474"/>
      <c r="W107" s="474"/>
      <c r="X107" s="474"/>
      <c r="Y107" s="474"/>
      <c r="Z107" s="474"/>
      <c r="AC107" s="3" t="s">
        <v>202</v>
      </c>
      <c r="AD107" s="578" t="str">
        <f>O106</f>
        <v>BordSup</v>
      </c>
      <c r="AE107" s="578"/>
    </row>
    <row r="108" spans="1:32" ht="17.25" customHeight="1" thickTop="1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C108" s="3" t="s">
        <v>203</v>
      </c>
      <c r="AD108" s="579">
        <f>HLOOKUP(AD107,AD27:AF28,2)</f>
        <v>-0.5</v>
      </c>
      <c r="AE108" s="579"/>
    </row>
    <row r="109" spans="1:32" ht="17.25" customHeight="1">
      <c r="G109" s="591" t="s">
        <v>115</v>
      </c>
      <c r="H109" s="592"/>
      <c r="I109" s="592"/>
      <c r="J109" s="592"/>
      <c r="K109" s="592"/>
      <c r="L109" s="592"/>
      <c r="M109" s="592"/>
      <c r="N109" s="592"/>
      <c r="O109" s="592"/>
      <c r="P109" s="592"/>
      <c r="Q109" s="592"/>
      <c r="R109" s="592"/>
      <c r="S109" s="593"/>
      <c r="T109" s="14"/>
      <c r="U109" s="14"/>
      <c r="V109" s="14"/>
      <c r="W109" s="14"/>
      <c r="X109" s="14"/>
      <c r="Y109" s="14"/>
      <c r="Z109" s="14"/>
      <c r="AC109" s="3" t="s">
        <v>106</v>
      </c>
      <c r="AD109" s="5">
        <f>J28</f>
        <v>0.49399999999999999</v>
      </c>
      <c r="AE109" s="3" cm="1">
        <f t="array" ref="AE109">angleConvert2Decimal(AD109)</f>
        <v>0.49399999999999999</v>
      </c>
    </row>
    <row r="110" spans="1:32" ht="17.25" customHeight="1">
      <c r="G110" s="665" t="s">
        <v>124</v>
      </c>
      <c r="H110" s="666"/>
      <c r="I110" s="460" t="s">
        <v>119</v>
      </c>
      <c r="J110" s="461"/>
      <c r="K110" s="461"/>
      <c r="L110" s="461"/>
      <c r="M110" s="461"/>
      <c r="N110" s="462"/>
      <c r="O110" s="775">
        <f>(O98-O103-O91+O105/2) * 60</f>
        <v>60.944295139217417</v>
      </c>
      <c r="P110" s="587"/>
      <c r="Q110" s="587"/>
      <c r="R110" s="587"/>
      <c r="S110" s="594" t="s">
        <v>116</v>
      </c>
      <c r="T110" s="14"/>
      <c r="U110" s="14"/>
      <c r="V110" s="14"/>
      <c r="W110" s="14"/>
      <c r="X110" s="14"/>
      <c r="Y110" s="14"/>
      <c r="Z110" s="14"/>
      <c r="AC110" s="3" t="s">
        <v>203</v>
      </c>
      <c r="AD110" s="579">
        <f>AE109*AD108</f>
        <v>-0.247</v>
      </c>
      <c r="AE110" s="579"/>
    </row>
    <row r="111" spans="1:32" ht="17.25" customHeight="1">
      <c r="G111" s="667"/>
      <c r="H111" s="668"/>
      <c r="I111" s="463" t="s">
        <v>123</v>
      </c>
      <c r="J111" s="464"/>
      <c r="K111" s="464"/>
      <c r="L111" s="464"/>
      <c r="M111" s="464"/>
      <c r="N111" s="465"/>
      <c r="O111" s="776"/>
      <c r="P111" s="588"/>
      <c r="Q111" s="588"/>
      <c r="R111" s="588"/>
      <c r="S111" s="595"/>
      <c r="T111" s="14"/>
      <c r="U111" s="14"/>
      <c r="V111" s="14"/>
      <c r="W111" s="14"/>
      <c r="X111" s="14"/>
      <c r="Y111" s="14"/>
      <c r="Z111" s="14"/>
    </row>
    <row r="112" spans="1:32" ht="17.25" customHeight="1">
      <c r="H112" s="14"/>
      <c r="I112" s="460" t="s">
        <v>120</v>
      </c>
      <c r="J112" s="461"/>
      <c r="K112" s="461"/>
      <c r="L112" s="461"/>
      <c r="M112" s="461"/>
      <c r="N112" s="462"/>
      <c r="O112" s="587">
        <f>(O98-O103+O105/2)*60</f>
        <v>63.430482581869327</v>
      </c>
      <c r="P112" s="587"/>
      <c r="Q112" s="587"/>
      <c r="R112" s="587"/>
      <c r="S112" s="594" t="s">
        <v>116</v>
      </c>
      <c r="T112" s="14"/>
      <c r="U112" s="14"/>
      <c r="V112" s="14"/>
      <c r="W112" s="14"/>
      <c r="X112" s="14"/>
      <c r="Y112" s="14"/>
      <c r="Z112" s="14"/>
    </row>
    <row r="113" spans="2:28" ht="17.25" customHeight="1">
      <c r="H113" s="14"/>
      <c r="I113" s="659" t="s">
        <v>121</v>
      </c>
      <c r="J113" s="660"/>
      <c r="K113" s="660"/>
      <c r="L113" s="660"/>
      <c r="M113" s="660"/>
      <c r="N113" s="661"/>
      <c r="O113" s="588"/>
      <c r="P113" s="588"/>
      <c r="Q113" s="588"/>
      <c r="R113" s="588"/>
      <c r="S113" s="595"/>
      <c r="T113" s="14"/>
      <c r="U113" s="14"/>
      <c r="V113" s="14"/>
      <c r="W113" s="14"/>
      <c r="X113" s="14"/>
      <c r="Y113" s="14"/>
      <c r="Z113" s="14"/>
    </row>
    <row r="114" spans="2:28" ht="17.25" customHeight="1">
      <c r="H114" s="14"/>
      <c r="I114" s="762" t="s">
        <v>71</v>
      </c>
      <c r="J114" s="762"/>
      <c r="K114" s="762"/>
      <c r="L114" s="762"/>
      <c r="M114" s="762"/>
      <c r="N114" s="762"/>
      <c r="O114" s="687">
        <f>O107*60</f>
        <v>-14.82</v>
      </c>
      <c r="P114" s="688"/>
      <c r="Q114" s="688"/>
      <c r="R114" s="688"/>
      <c r="S114" s="75" t="s">
        <v>116</v>
      </c>
      <c r="T114" s="14"/>
      <c r="U114" s="14"/>
      <c r="V114" s="14"/>
      <c r="W114" s="14"/>
      <c r="X114" s="14"/>
      <c r="Y114" s="14"/>
      <c r="Z114" s="14"/>
    </row>
    <row r="115" spans="2:28" ht="17.25" customHeight="1" thickBot="1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</row>
    <row r="116" spans="2:28" ht="17.25" customHeight="1" thickTop="1" thickBot="1">
      <c r="H116" s="1014" t="s">
        <v>153</v>
      </c>
      <c r="I116" s="1015"/>
      <c r="J116" s="1015"/>
      <c r="K116" s="1015"/>
      <c r="L116" s="1015"/>
      <c r="M116" s="1015"/>
      <c r="N116" s="1016"/>
      <c r="O116" s="686">
        <f>O93-O103+O98+O107</f>
        <v>19.388404918986957</v>
      </c>
      <c r="P116" s="642"/>
      <c r="Q116" s="642"/>
      <c r="R116" s="642"/>
      <c r="S116" s="16" t="s">
        <v>54</v>
      </c>
      <c r="U116" s="474" t="str" cm="1">
        <f t="array" ref="U116">angleDecimal2Txt(O116)</f>
        <v>+19°23.30 (+19.3884) [+19°23'18.25]</v>
      </c>
      <c r="V116" s="474"/>
      <c r="W116" s="474"/>
      <c r="X116" s="474"/>
      <c r="Y116" s="474"/>
      <c r="Z116" s="474"/>
    </row>
    <row r="117" spans="2:28" ht="17.25" customHeight="1" thickTop="1"/>
    <row r="118" spans="2:28" ht="17.25" customHeight="1">
      <c r="F118" s="1012" t="s">
        <v>63</v>
      </c>
      <c r="G118" s="1012"/>
      <c r="H118" s="1012"/>
      <c r="I118" s="1012"/>
      <c r="J118" s="642" t="str">
        <f>IF(G87=AD87,O126,"---")</f>
        <v>---</v>
      </c>
      <c r="K118" s="642"/>
      <c r="L118" s="642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</row>
    <row r="119" spans="2:28" ht="17.25" customHeight="1">
      <c r="F119"/>
      <c r="G119"/>
      <c r="H119"/>
      <c r="I119"/>
      <c r="J119"/>
      <c r="K119"/>
      <c r="L119"/>
    </row>
    <row r="120" spans="2:28" ht="17.25" customHeight="1">
      <c r="F120"/>
      <c r="G120"/>
      <c r="H120"/>
      <c r="I120"/>
      <c r="J120"/>
      <c r="K120"/>
      <c r="L120"/>
      <c r="T120" s="111" t="s">
        <v>84</v>
      </c>
      <c r="U120" s="1017" t="s">
        <v>33</v>
      </c>
      <c r="V120" s="1017"/>
    </row>
    <row r="121" spans="2:28" ht="17.25" customHeight="1">
      <c r="T121" s="112" t="s">
        <v>80</v>
      </c>
      <c r="U121" s="1017" t="s">
        <v>82</v>
      </c>
      <c r="V121" s="1017"/>
    </row>
    <row r="122" spans="2:28" ht="17.25" customHeight="1">
      <c r="H122" s="16" t="s">
        <v>72</v>
      </c>
      <c r="I122" s="40" t="s">
        <v>74</v>
      </c>
      <c r="J122" s="16" t="s">
        <v>60</v>
      </c>
      <c r="K122" s="1018" t="s">
        <v>77</v>
      </c>
      <c r="L122" s="16" t="s">
        <v>59</v>
      </c>
      <c r="N122" s="1018" t="s">
        <v>79</v>
      </c>
      <c r="O122" s="40" t="s">
        <v>246</v>
      </c>
      <c r="Q122" s="1018" t="s">
        <v>79</v>
      </c>
      <c r="R122" s="16" t="s">
        <v>247</v>
      </c>
      <c r="T122" s="110" t="s">
        <v>81</v>
      </c>
      <c r="U122" s="1019" t="s">
        <v>83</v>
      </c>
      <c r="V122" s="1019"/>
      <c r="Z122"/>
      <c r="AA122"/>
    </row>
    <row r="123" spans="2:28" ht="17.25" customHeight="1" thickBot="1">
      <c r="I123" s="40"/>
      <c r="J123" s="42">
        <f>O89</f>
        <v>18.916666666666668</v>
      </c>
      <c r="K123" s="1018"/>
      <c r="L123" s="689">
        <f>O90</f>
        <v>0.05</v>
      </c>
      <c r="M123" s="690"/>
      <c r="N123" s="1018"/>
      <c r="O123" s="693" t="s">
        <v>157</v>
      </c>
      <c r="P123" s="694"/>
      <c r="Q123" s="1018"/>
      <c r="R123" s="113" t="s">
        <v>81</v>
      </c>
      <c r="V123"/>
      <c r="W123"/>
      <c r="X123"/>
      <c r="Y123"/>
      <c r="Z123"/>
      <c r="AA123"/>
    </row>
    <row r="124" spans="2:28" ht="17.25" customHeight="1" thickTop="1" thickBot="1">
      <c r="I124" s="40"/>
      <c r="J124"/>
      <c r="K124" s="40" t="s">
        <v>245</v>
      </c>
      <c r="L124" s="691" cm="1">
        <f t="array" ref="L124">angleConvert2Decimal(L123)</f>
        <v>0.05</v>
      </c>
      <c r="M124" s="692"/>
      <c r="O124" s="482" cm="1">
        <f t="array" ref="O124">angleConvert2Decimal(O123)</f>
        <v>0.17166666666666669</v>
      </c>
      <c r="P124" s="483"/>
      <c r="Q124" s="11"/>
      <c r="R124" s="104" cm="1">
        <f t="array" ref="R124">angleConvert2Decimal(R123)</f>
        <v>-0.53333333333333333</v>
      </c>
      <c r="S124"/>
      <c r="T124" s="7" t="s">
        <v>111</v>
      </c>
      <c r="U124" s="7"/>
      <c r="V124" s="7">
        <f>R124+O124</f>
        <v>-0.36166666666666664</v>
      </c>
      <c r="W124" s="696" t="str" cm="1">
        <f t="array" ref="W124">angleDecimal2Txt(V124)</f>
        <v>-00°21.69 (-00.3616) [-00°21'42.00]</v>
      </c>
      <c r="X124" s="697"/>
      <c r="Y124" s="697"/>
      <c r="Z124" s="697"/>
      <c r="AA124" s="640"/>
    </row>
    <row r="125" spans="2:28" ht="17.25" customHeight="1" thickTop="1" thickBot="1">
      <c r="I125" s="40"/>
      <c r="K125" s="40"/>
      <c r="N125" s="40"/>
      <c r="Q125" s="40"/>
      <c r="R125" s="45"/>
    </row>
    <row r="126" spans="2:28" ht="17.25" customHeight="1" thickTop="1" thickBot="1">
      <c r="H126" s="1014" t="s">
        <v>156</v>
      </c>
      <c r="I126" s="1015"/>
      <c r="J126" s="1015"/>
      <c r="K126" s="1015"/>
      <c r="L126" s="1015"/>
      <c r="M126" s="1015"/>
      <c r="N126" s="1016"/>
      <c r="O126" s="686">
        <f>J123-L124+O124+R124</f>
        <v>18.504999999999999</v>
      </c>
      <c r="P126" s="642"/>
      <c r="Q126" s="642"/>
      <c r="R126" s="642"/>
      <c r="S126" s="16" t="s">
        <v>54</v>
      </c>
      <c r="U126" s="474" t="str" cm="1">
        <f t="array" ref="U126">angleDecimal2Txt(O126)</f>
        <v>+18°30.30 (+18.5049) [+18°30'18.00]</v>
      </c>
      <c r="V126" s="474"/>
      <c r="W126" s="474"/>
      <c r="X126" s="474"/>
      <c r="Y126" s="474"/>
      <c r="Z126" s="474"/>
    </row>
    <row r="127" spans="2:28" ht="17.25" customHeight="1" thickTop="1" thickBot="1">
      <c r="D127" s="46"/>
    </row>
    <row r="128" spans="2:28" ht="17.25" customHeight="1" thickBot="1">
      <c r="B128" s="25" t="s">
        <v>44</v>
      </c>
      <c r="C128" s="26"/>
      <c r="D128" s="47"/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62"/>
    </row>
    <row r="129" spans="1:31" ht="17.25" customHeight="1">
      <c r="C129" s="16"/>
      <c r="D129" s="16"/>
      <c r="E129" s="16"/>
      <c r="F129" s="16"/>
      <c r="G129" s="16"/>
      <c r="O129" s="695" t="s">
        <v>85</v>
      </c>
      <c r="P129" s="695"/>
      <c r="Q129" s="695"/>
      <c r="R129" s="695"/>
      <c r="S129" s="695"/>
      <c r="T129" s="695"/>
      <c r="U129" s="695"/>
      <c r="V129" s="695"/>
      <c r="W129" s="695"/>
      <c r="X129" s="695"/>
      <c r="Y129" s="695"/>
      <c r="Z129" s="695"/>
      <c r="AA129" s="695"/>
    </row>
    <row r="130" spans="1:31" ht="17.25" customHeight="1">
      <c r="C130" s="14"/>
      <c r="D130" s="14"/>
      <c r="E130" s="670" t="s">
        <v>22</v>
      </c>
      <c r="F130" s="671"/>
      <c r="G130" s="671"/>
      <c r="H130" s="671"/>
      <c r="I130" s="473">
        <f>AD132</f>
        <v>19.602609861999142</v>
      </c>
      <c r="J130" s="473"/>
      <c r="K130" s="473"/>
      <c r="L130" s="473"/>
      <c r="M130" s="473"/>
      <c r="O130" s="586" t="s">
        <v>86</v>
      </c>
      <c r="P130" s="586"/>
      <c r="Q130" s="586">
        <f>F45</f>
        <v>-16.991311111111113</v>
      </c>
      <c r="R130" s="586"/>
      <c r="S130" s="586"/>
      <c r="T130" s="698" t="s">
        <v>54</v>
      </c>
      <c r="U130" s="732">
        <f>Q130*Outils!$F$4</f>
        <v>-0.29655432311958502</v>
      </c>
      <c r="V130" s="733"/>
      <c r="W130" s="739"/>
      <c r="X130" s="698" t="s">
        <v>64</v>
      </c>
      <c r="AC130" s="3" t="s">
        <v>204</v>
      </c>
      <c r="AD130" s="3">
        <f>SIN(U130)*SIN(U131)+COS(U130)*COS(U131)*COS(U132)</f>
        <v>0.33549448076442867</v>
      </c>
      <c r="AE130" s="3"/>
    </row>
    <row r="131" spans="1:31" ht="17.25" customHeight="1" thickBot="1">
      <c r="C131" s="14"/>
      <c r="D131" s="14"/>
      <c r="E131" s="672"/>
      <c r="F131" s="673"/>
      <c r="G131" s="673"/>
      <c r="H131" s="673"/>
      <c r="I131" s="473"/>
      <c r="J131" s="473"/>
      <c r="K131" s="473"/>
      <c r="L131" s="473"/>
      <c r="M131" s="473"/>
      <c r="N131" s="48" t="s">
        <v>125</v>
      </c>
      <c r="O131" s="586" t="s">
        <v>87</v>
      </c>
      <c r="P131" s="586"/>
      <c r="Q131" s="586">
        <f>F36</f>
        <v>40.5</v>
      </c>
      <c r="R131" s="586"/>
      <c r="S131" s="586"/>
      <c r="T131" s="698"/>
      <c r="U131" s="732">
        <f>Q131*Outils!$F$4</f>
        <v>0.70685834705770345</v>
      </c>
      <c r="V131" s="733"/>
      <c r="W131" s="739"/>
      <c r="X131" s="698"/>
      <c r="AC131" s="3" t="s">
        <v>205</v>
      </c>
      <c r="AD131" s="3">
        <f>ASIN(AD130)</f>
        <v>0.34213008407579626</v>
      </c>
      <c r="AE131" s="3" t="s">
        <v>64</v>
      </c>
    </row>
    <row r="132" spans="1:31" ht="17.25" customHeight="1" thickTop="1" thickBot="1">
      <c r="C132" s="14"/>
      <c r="D132" s="14"/>
      <c r="E132" s="674"/>
      <c r="F132" s="675"/>
      <c r="G132" s="675"/>
      <c r="H132" s="675"/>
      <c r="I132" s="474" t="str" cm="1">
        <f t="array" ref="I132">angleDecimal2Txt(I130)</f>
        <v>+19°36.15 (+19.6026) [+19°36'09.39]</v>
      </c>
      <c r="J132" s="474"/>
      <c r="K132" s="474"/>
      <c r="L132" s="474"/>
      <c r="M132" s="474"/>
      <c r="O132" s="586" t="s">
        <v>43</v>
      </c>
      <c r="P132" s="586"/>
      <c r="Q132" s="586">
        <f>F82</f>
        <v>43.753683796296301</v>
      </c>
      <c r="R132" s="586"/>
      <c r="S132" s="586"/>
      <c r="T132" s="698"/>
      <c r="U132" s="732">
        <f>Q132*Outils!$F$4</f>
        <v>0.76364584212186237</v>
      </c>
      <c r="V132" s="733"/>
      <c r="W132" s="739"/>
      <c r="X132" s="698"/>
      <c r="AC132" s="3"/>
      <c r="AD132" s="3">
        <f>AD131*Outils!F5</f>
        <v>19.602609861999142</v>
      </c>
      <c r="AE132" s="3" t="s">
        <v>54</v>
      </c>
    </row>
    <row r="133" spans="1:31" ht="17.25" customHeight="1" thickTop="1">
      <c r="C133" s="14"/>
      <c r="D133" s="14"/>
      <c r="E133" s="16"/>
      <c r="F133" s="16"/>
      <c r="G133" s="16"/>
    </row>
    <row r="134" spans="1:31" ht="17.25" customHeight="1">
      <c r="C134" s="14"/>
      <c r="D134" s="14"/>
      <c r="E134" s="670" t="s">
        <v>25</v>
      </c>
      <c r="F134" s="671"/>
      <c r="G134" s="671"/>
      <c r="H134" s="671"/>
      <c r="I134" s="473">
        <f>F86</f>
        <v>19.388404918986957</v>
      </c>
      <c r="J134" s="473"/>
      <c r="K134" s="473"/>
      <c r="L134" s="473"/>
      <c r="M134" s="473"/>
    </row>
    <row r="135" spans="1:31" ht="17.25" customHeight="1" thickBot="1">
      <c r="C135" s="14"/>
      <c r="D135" s="14"/>
      <c r="E135" s="672"/>
      <c r="F135" s="673"/>
      <c r="G135" s="673"/>
      <c r="H135" s="673"/>
      <c r="I135" s="473"/>
      <c r="J135" s="473"/>
      <c r="K135" s="473"/>
      <c r="L135" s="473"/>
      <c r="M135" s="473"/>
      <c r="O135" s="1026" t="s">
        <v>27</v>
      </c>
      <c r="P135" s="1027"/>
      <c r="Q135" s="1027"/>
      <c r="R135" s="1027"/>
      <c r="S135" s="1028"/>
      <c r="T135" s="49">
        <f>I134-I130</f>
        <v>-0.2142049430121844</v>
      </c>
      <c r="U135" s="50" t="s">
        <v>28</v>
      </c>
      <c r="V135" s="51">
        <f>T135*60</f>
        <v>-12.852296580731064</v>
      </c>
      <c r="W135" s="50" t="s">
        <v>112</v>
      </c>
      <c r="X135" s="14"/>
      <c r="Y135" s="643" t="str">
        <f>IF(T135&gt;0,"Vers Pg", "Oppose de Pg")</f>
        <v>Oppose de Pg</v>
      </c>
      <c r="Z135" s="643"/>
    </row>
    <row r="136" spans="1:31" ht="17.25" customHeight="1" thickTop="1" thickBot="1">
      <c r="C136" s="14"/>
      <c r="D136" s="14"/>
      <c r="E136" s="674"/>
      <c r="F136" s="675"/>
      <c r="G136" s="675"/>
      <c r="H136" s="675"/>
      <c r="I136" s="474" t="str" cm="1">
        <f t="array" ref="I136">angleDecimal2Txt(I134)</f>
        <v>+19°23.30 (+19.3884) [+19°23'18.25]</v>
      </c>
      <c r="J136" s="474"/>
      <c r="K136" s="474"/>
      <c r="L136" s="474"/>
      <c r="M136" s="474"/>
      <c r="S136" s="1133" t="s">
        <v>404</v>
      </c>
      <c r="T136" s="1134" t="s">
        <v>423</v>
      </c>
      <c r="U136" s="1134"/>
      <c r="V136" s="1134">
        <f>F45</f>
        <v>-16.991311111111113</v>
      </c>
      <c r="W136" s="1134"/>
      <c r="X136" s="1135" t="str">
        <f>latitudeDecimal2Txt(V136)</f>
        <v>S 16°59.47 (S 16.9913) [S 16°59'28.72]</v>
      </c>
      <c r="Y136" s="1135"/>
      <c r="Z136" s="1135"/>
      <c r="AA136" s="1135"/>
      <c r="AB136" s="1135"/>
      <c r="AC136" s="1135"/>
    </row>
    <row r="137" spans="1:31" ht="17.25" customHeight="1" thickTop="1">
      <c r="C137" s="14"/>
      <c r="D137" s="14"/>
      <c r="E137" s="16"/>
      <c r="F137" s="16"/>
      <c r="G137" s="16"/>
      <c r="S137" s="1133"/>
      <c r="T137" s="1136" t="s">
        <v>424</v>
      </c>
      <c r="U137" s="1136"/>
      <c r="V137" s="1134" cm="1">
        <f t="array" ref="V137">longitudeHoraire2longitude(F63)</f>
        <v>-40.253683796296301</v>
      </c>
      <c r="W137" s="1136"/>
      <c r="X137" s="1137" t="str">
        <f>longitudeDecimal2Txt(V137)</f>
        <v>W 40°15.22 (W 40.2536) [W 40°15'13.26]</v>
      </c>
      <c r="Y137" s="1137"/>
      <c r="Z137" s="1137"/>
      <c r="AA137" s="1137"/>
      <c r="AB137" s="1137"/>
      <c r="AC137" s="1137"/>
    </row>
    <row r="138" spans="1:31" ht="17.25" customHeight="1">
      <c r="C138" s="16"/>
      <c r="D138" s="16"/>
      <c r="E138" s="16"/>
      <c r="F138" s="16"/>
      <c r="T138" s="14"/>
      <c r="U138" s="14"/>
      <c r="V138" s="14"/>
      <c r="W138" s="14"/>
      <c r="X138" s="14"/>
      <c r="Y138" s="14"/>
    </row>
    <row r="139" spans="1:31" ht="17.25" customHeight="1">
      <c r="E139" s="16"/>
      <c r="F139" s="16"/>
      <c r="G139" s="16"/>
      <c r="T139" s="14"/>
      <c r="U139" s="14"/>
      <c r="V139" s="14"/>
      <c r="W139" s="14"/>
      <c r="X139" s="14"/>
      <c r="Y139" s="14"/>
    </row>
    <row r="140" spans="1:31" ht="17.25" customHeight="1">
      <c r="E140" s="16"/>
    </row>
    <row r="141" spans="1:31" ht="17.25" customHeight="1">
      <c r="E141" s="16"/>
      <c r="F141" s="16"/>
      <c r="G141" s="16"/>
      <c r="O141" s="711" t="s">
        <v>88</v>
      </c>
      <c r="P141" s="712"/>
      <c r="Q141" s="712"/>
      <c r="R141" s="712"/>
      <c r="S141" s="712"/>
      <c r="T141" s="712"/>
      <c r="U141" s="712"/>
      <c r="V141" s="712"/>
      <c r="W141" s="712"/>
      <c r="X141" s="712"/>
      <c r="Y141" s="712"/>
      <c r="Z141" s="712"/>
      <c r="AA141" s="712"/>
      <c r="AC141" s="3" t="s">
        <v>89</v>
      </c>
      <c r="AD141" s="3">
        <f>(SIN(U142)-SIN(U143)*SIN(AD131))/(COS(U143)*COS(AD131))</f>
        <v>-0.71211553100962055</v>
      </c>
      <c r="AE141" s="3"/>
    </row>
    <row r="142" spans="1:31" ht="17.25" customHeight="1">
      <c r="A142" s="14"/>
      <c r="B142" s="14"/>
      <c r="C142" s="14"/>
      <c r="D142" s="14"/>
      <c r="E142" s="670" t="s">
        <v>96</v>
      </c>
      <c r="F142" s="671"/>
      <c r="G142" s="671"/>
      <c r="H142" s="1130"/>
      <c r="I142" s="610">
        <f>AD143</f>
        <v>135.40730246095896</v>
      </c>
      <c r="J142" s="610"/>
      <c r="K142" s="610"/>
      <c r="L142" s="610"/>
      <c r="M142" s="611"/>
      <c r="O142" s="586" t="s">
        <v>86</v>
      </c>
      <c r="P142" s="586"/>
      <c r="Q142" s="586">
        <f>F45</f>
        <v>-16.991311111111113</v>
      </c>
      <c r="R142" s="586"/>
      <c r="S142" s="586"/>
      <c r="T142" s="698" t="s">
        <v>54</v>
      </c>
      <c r="U142" s="586">
        <f>Q142*Outils!$F$4</f>
        <v>-0.29655432311958502</v>
      </c>
      <c r="V142" s="586"/>
      <c r="W142" s="586"/>
      <c r="X142" s="698" t="s">
        <v>64</v>
      </c>
      <c r="AC142" s="3" t="s">
        <v>206</v>
      </c>
      <c r="AD142" s="3">
        <f>ACOS(AD141)</f>
        <v>2.3633032591875542</v>
      </c>
      <c r="AE142" s="3" t="s">
        <v>64</v>
      </c>
    </row>
    <row r="143" spans="1:31" ht="17.25" customHeight="1" thickBot="1">
      <c r="C143" s="14"/>
      <c r="D143" s="14"/>
      <c r="E143" s="672"/>
      <c r="F143" s="673"/>
      <c r="G143" s="673"/>
      <c r="H143" s="1131"/>
      <c r="I143" s="746"/>
      <c r="J143" s="746"/>
      <c r="K143" s="746"/>
      <c r="L143" s="746"/>
      <c r="M143" s="747"/>
      <c r="N143" s="48" t="s">
        <v>125</v>
      </c>
      <c r="O143" s="586" t="s">
        <v>87</v>
      </c>
      <c r="P143" s="586"/>
      <c r="Q143" s="586">
        <f>F36</f>
        <v>40.5</v>
      </c>
      <c r="R143" s="586"/>
      <c r="S143" s="586"/>
      <c r="T143" s="698"/>
      <c r="U143" s="586">
        <f>Q143*Outils!$F$4</f>
        <v>0.70685834705770345</v>
      </c>
      <c r="V143" s="586"/>
      <c r="W143" s="586"/>
      <c r="X143" s="698"/>
      <c r="AC143" s="3"/>
      <c r="AD143" s="3">
        <f>AD142*Outils!$F$5</f>
        <v>135.40730246095896</v>
      </c>
      <c r="AE143" s="3" t="s">
        <v>54</v>
      </c>
    </row>
    <row r="144" spans="1:31" ht="17.25" customHeight="1" thickTop="1" thickBot="1">
      <c r="C144" s="14"/>
      <c r="D144" s="14"/>
      <c r="E144" s="674"/>
      <c r="F144" s="675"/>
      <c r="G144" s="675"/>
      <c r="H144" s="1132"/>
      <c r="I144" s="471" t="str" cm="1">
        <f t="array" ref="I144">angleDecimal2Txt(I142)</f>
        <v>+135°24.43 (+135.4073) [+135°24'26.28]</v>
      </c>
      <c r="J144" s="472"/>
      <c r="K144" s="472"/>
      <c r="L144" s="472"/>
      <c r="M144" s="472"/>
      <c r="O144" s="586" t="s">
        <v>43</v>
      </c>
      <c r="P144" s="586"/>
      <c r="Q144" s="586">
        <f>F82</f>
        <v>43.753683796296301</v>
      </c>
      <c r="R144" s="586"/>
      <c r="S144" s="586"/>
      <c r="T144" s="698"/>
      <c r="U144" s="586">
        <f>Q144*Outils!$F$4</f>
        <v>0.76364584212186237</v>
      </c>
      <c r="V144" s="586"/>
      <c r="W144" s="586"/>
      <c r="X144" s="698"/>
    </row>
    <row r="145" spans="2:30" ht="17.25" customHeight="1" thickTop="1">
      <c r="C145" s="14"/>
      <c r="D145" s="14"/>
      <c r="E145" s="16"/>
      <c r="F145" s="16"/>
      <c r="G145" s="16"/>
    </row>
    <row r="146" spans="2:30" ht="17.25" customHeight="1">
      <c r="C146" s="16"/>
      <c r="D146" s="16"/>
      <c r="F146" s="16"/>
      <c r="G146" s="16"/>
      <c r="I146" s="743" t="s">
        <v>154</v>
      </c>
      <c r="J146" s="744"/>
      <c r="K146" s="744"/>
      <c r="L146" s="744"/>
      <c r="M146" s="744"/>
      <c r="N146" s="745"/>
      <c r="O146" s="743" t="s">
        <v>155</v>
      </c>
      <c r="P146" s="744"/>
      <c r="Q146" s="744"/>
      <c r="R146" s="744"/>
      <c r="S146" s="744"/>
      <c r="T146" s="745"/>
    </row>
    <row r="147" spans="2:30" ht="17.25" customHeight="1">
      <c r="F147" s="16"/>
      <c r="G147" s="16"/>
      <c r="I147" s="581"/>
      <c r="J147" s="701" t="s">
        <v>126</v>
      </c>
      <c r="K147" s="702"/>
      <c r="L147" s="703"/>
      <c r="M147" s="707" t="s">
        <v>127</v>
      </c>
      <c r="N147" s="708"/>
      <c r="O147" s="581"/>
      <c r="P147" s="701" t="s">
        <v>126</v>
      </c>
      <c r="Q147" s="702"/>
      <c r="R147" s="703"/>
      <c r="S147" s="707" t="s">
        <v>128</v>
      </c>
      <c r="T147" s="708"/>
    </row>
    <row r="148" spans="2:30" ht="17.25" customHeight="1">
      <c r="F148" s="16"/>
      <c r="G148" s="16"/>
      <c r="I148" s="582"/>
      <c r="J148" s="704" t="s">
        <v>90</v>
      </c>
      <c r="K148" s="705"/>
      <c r="L148" s="706"/>
      <c r="M148" s="709" t="s">
        <v>91</v>
      </c>
      <c r="N148" s="710"/>
      <c r="O148" s="582"/>
      <c r="P148" s="704" t="s">
        <v>90</v>
      </c>
      <c r="Q148" s="705"/>
      <c r="R148" s="706"/>
      <c r="S148" s="709" t="s">
        <v>92</v>
      </c>
      <c r="T148" s="710"/>
    </row>
    <row r="149" spans="2:30" ht="17.25" customHeight="1">
      <c r="F149" s="14"/>
      <c r="G149" s="14"/>
      <c r="H149" s="14"/>
      <c r="I149" s="14"/>
      <c r="J149" s="14"/>
      <c r="K149" s="14"/>
      <c r="Q149" s="14"/>
      <c r="R149" s="14"/>
      <c r="S149" s="14"/>
      <c r="T149" s="1145"/>
      <c r="U149" s="1145"/>
      <c r="V149" s="1145"/>
      <c r="W149" s="14"/>
      <c r="X149" s="1145"/>
      <c r="Y149" s="1145"/>
      <c r="Z149" s="1145"/>
    </row>
    <row r="150" spans="2:30" ht="17.25" customHeight="1">
      <c r="F150" s="14"/>
      <c r="N150" s="1146"/>
      <c r="O150" s="1146"/>
      <c r="Q150" s="1145"/>
      <c r="R150" s="1145"/>
      <c r="S150" s="1145"/>
      <c r="T150" s="1145"/>
      <c r="U150" s="1145"/>
      <c r="V150" s="1145"/>
      <c r="W150" s="14"/>
      <c r="X150" s="1145"/>
      <c r="Y150" s="1145"/>
      <c r="Z150" s="1145"/>
    </row>
    <row r="151" spans="2:30" ht="17.25" customHeight="1">
      <c r="I151" s="586" t="s">
        <v>87</v>
      </c>
      <c r="J151" s="586"/>
      <c r="K151" s="57">
        <f>F36</f>
        <v>40.5</v>
      </c>
      <c r="L151" s="642" t="str">
        <f>CONCATENATE("Sens: ",IF(Q143&gt;0,"Nord","Sud"))</f>
        <v>Sens: Nord</v>
      </c>
      <c r="M151" s="642"/>
    </row>
    <row r="152" spans="2:30" ht="17.25" customHeight="1" thickBot="1">
      <c r="I152" s="586" t="s">
        <v>43</v>
      </c>
      <c r="J152" s="586"/>
      <c r="K152" s="57">
        <f>Q144</f>
        <v>43.753683796296301</v>
      </c>
      <c r="L152" s="642" t="str">
        <f>CONCATENATE("Is &gt; 180? ", IF(Q144&gt;180,"Y", "N"))</f>
        <v>Is &gt; 180? N</v>
      </c>
      <c r="M152" s="642"/>
      <c r="O152" s="1026" t="s">
        <v>97</v>
      </c>
      <c r="P152" s="1027"/>
      <c r="Q152" s="1027"/>
      <c r="R152" s="1027"/>
      <c r="S152" s="1027"/>
      <c r="T152" s="758">
        <f>ABS(IF(Q131&gt;0,IF(Q132&gt;180,I142,360-I142),IF(Q132&gt;180,180-I142,180+I142)))</f>
        <v>224.59269753904104</v>
      </c>
      <c r="U152" s="759"/>
      <c r="V152" s="50" t="s">
        <v>28</v>
      </c>
      <c r="W152" s="14"/>
    </row>
    <row r="153" spans="2:30" ht="17.25" customHeight="1" thickTop="1" thickBot="1">
      <c r="I153" s="732" t="s">
        <v>129</v>
      </c>
      <c r="J153" s="733"/>
      <c r="K153" s="734"/>
      <c r="L153" s="642" t="str">
        <f>IF(K151&gt;0,IF(K152&gt;180,M147,M148),IF(K152&gt;180,S147,S148))</f>
        <v>Zn = 360 - Z</v>
      </c>
      <c r="M153" s="642"/>
      <c r="T153" s="474" t="str" cm="1">
        <f t="array" ref="T153">angleDecimal2Txt(T152)</f>
        <v>+224°35.56 (+224.5926) [+224°35'33.71]</v>
      </c>
      <c r="U153" s="474"/>
      <c r="V153" s="474"/>
      <c r="W153" s="474"/>
      <c r="X153" s="474"/>
      <c r="Y153" s="474"/>
    </row>
    <row r="154" spans="2:30" ht="17.25" customHeight="1" thickTop="1"/>
    <row r="155" spans="2:30" ht="17.25" customHeight="1" thickBot="1"/>
    <row r="156" spans="2:30" ht="17.25" customHeight="1" thickBot="1">
      <c r="B156" s="25" t="s">
        <v>248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95"/>
      <c r="AB156" s="62"/>
    </row>
    <row r="158" spans="2:30" ht="17.25" customHeight="1" thickBot="1">
      <c r="C158" s="731" t="s">
        <v>249</v>
      </c>
      <c r="D158" s="731"/>
      <c r="E158" s="731"/>
      <c r="F158" s="731"/>
      <c r="G158" s="114"/>
      <c r="H158" s="731" t="s">
        <v>250</v>
      </c>
      <c r="I158" s="731"/>
      <c r="J158" s="731"/>
      <c r="L158" s="735" t="s">
        <v>239</v>
      </c>
      <c r="M158" s="735"/>
      <c r="N158" s="735"/>
      <c r="Q158" s="1025" t="s">
        <v>251</v>
      </c>
      <c r="R158" s="1025"/>
      <c r="S158" s="1025"/>
      <c r="T158" s="1025"/>
      <c r="U158" s="100"/>
      <c r="AC158" t="s">
        <v>236</v>
      </c>
      <c r="AD158" s="103">
        <f>I159/60</f>
        <v>-0.2142049430121844</v>
      </c>
    </row>
    <row r="159" spans="2:30" ht="17.25" customHeight="1" thickTop="1" thickBot="1">
      <c r="D159" s="118" t="s">
        <v>41</v>
      </c>
      <c r="E159" s="736">
        <f>F36</f>
        <v>40.5</v>
      </c>
      <c r="F159" s="736"/>
      <c r="I159" s="736">
        <f>V135</f>
        <v>-12.852296580731064</v>
      </c>
      <c r="J159" s="736"/>
      <c r="K159" s="16" t="s">
        <v>112</v>
      </c>
      <c r="M159" s="736">
        <f>T152</f>
        <v>224.59269753904104</v>
      </c>
      <c r="N159" s="736"/>
      <c r="R159" s="116" t="s">
        <v>41</v>
      </c>
      <c r="S159" s="578">
        <f>AD161</f>
        <v>40.65253866673801</v>
      </c>
      <c r="T159" s="578"/>
      <c r="U159" s="737" t="str" cm="1">
        <f t="array" ref="U159">latitudeDecimal2Txt(S159)</f>
        <v>N 40°39.15 (N 40.6525) [N 40°39'09.13]</v>
      </c>
      <c r="V159" s="737"/>
      <c r="W159" s="737"/>
      <c r="X159" s="737"/>
      <c r="Y159" s="737"/>
      <c r="Z159" s="737"/>
      <c r="AC159" t="s">
        <v>237</v>
      </c>
      <c r="AD159" s="103">
        <f>M159</f>
        <v>224.59269753904104</v>
      </c>
    </row>
    <row r="160" spans="2:30" ht="17.25" customHeight="1" thickTop="1" thickBot="1">
      <c r="D160" s="118" t="s">
        <v>42</v>
      </c>
      <c r="E160" s="736">
        <f>F41</f>
        <v>3.5</v>
      </c>
      <c r="F160" s="736"/>
      <c r="R160" s="116" t="s">
        <v>42</v>
      </c>
      <c r="S160" s="578">
        <f>AD163</f>
        <v>3.6979949184787237</v>
      </c>
      <c r="T160" s="578"/>
      <c r="U160" s="737" t="str" cm="1">
        <f t="array" ref="U160">longitudeDecimal2Txt(S160)</f>
        <v>E 03°41.87 (E 03.6979) [E 03°41'52.78]</v>
      </c>
      <c r="V160" s="737"/>
      <c r="W160" s="737"/>
      <c r="X160" s="737"/>
      <c r="Y160" s="737"/>
      <c r="Z160" s="737"/>
      <c r="AC160" s="16"/>
      <c r="AD160" s="16"/>
    </row>
    <row r="161" spans="2:33" ht="17.25" customHeight="1" thickTop="1">
      <c r="D161" s="16"/>
      <c r="AC161" t="s">
        <v>253</v>
      </c>
      <c r="AD161">
        <f>E159+AD158*COS(AD159*Outils!$F$4)</f>
        <v>40.65253866673801</v>
      </c>
    </row>
    <row r="162" spans="2:33" ht="17.25" customHeight="1">
      <c r="C162"/>
      <c r="D162"/>
      <c r="E162"/>
      <c r="Q162" s="1025" t="s">
        <v>252</v>
      </c>
      <c r="R162" s="1025"/>
      <c r="S162" s="1025"/>
      <c r="AC162" t="s">
        <v>254</v>
      </c>
      <c r="AD162">
        <f>(E159+AD161)/2</f>
        <v>40.576269333369005</v>
      </c>
    </row>
    <row r="163" spans="2:33" ht="17.25" customHeight="1">
      <c r="R163" s="578">
        <f>M159-90</f>
        <v>134.59269753904104</v>
      </c>
      <c r="S163" s="578"/>
      <c r="T163" s="50" t="s">
        <v>28</v>
      </c>
      <c r="AC163" t="s">
        <v>255</v>
      </c>
      <c r="AD163">
        <f>E160+(AD158*SIN(M159*Outils!$F$4)/COS(AD162*Outils!$F$4))</f>
        <v>3.6979949184787237</v>
      </c>
    </row>
    <row r="164" spans="2:33" customFormat="1" ht="17.25" customHeight="1"/>
    <row r="165" spans="2:33" customFormat="1" ht="17.25" customHeight="1" thickBot="1"/>
    <row r="166" spans="2:33" customFormat="1" ht="17.25" customHeight="1" thickBot="1">
      <c r="B166" s="120" t="s">
        <v>256</v>
      </c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2"/>
    </row>
    <row r="167" spans="2:33" customFormat="1" ht="17.25" customHeight="1">
      <c r="AD167" s="103"/>
    </row>
    <row r="168" spans="2:33" customFormat="1" ht="17.25" customHeight="1" thickBot="1">
      <c r="C168" s="729" t="s">
        <v>251</v>
      </c>
      <c r="D168" s="729"/>
      <c r="E168" s="729"/>
      <c r="F168" s="729"/>
      <c r="G168" s="100"/>
      <c r="H168" s="16"/>
      <c r="I168" s="16"/>
      <c r="J168" s="16"/>
      <c r="K168" s="16"/>
      <c r="L168" s="16"/>
      <c r="Q168" s="115" t="s">
        <v>257</v>
      </c>
      <c r="R168" s="115"/>
      <c r="S168" s="115"/>
      <c r="T168" s="115"/>
      <c r="U168" s="115"/>
      <c r="V168" s="115"/>
      <c r="W168" s="115"/>
      <c r="AC168" t="s">
        <v>302</v>
      </c>
      <c r="AD168" s="103"/>
      <c r="AE168" t="b">
        <f>(ABS(D173-90)&lt;0.1)</f>
        <v>0</v>
      </c>
    </row>
    <row r="169" spans="2:33" customFormat="1" ht="17.25" customHeight="1" thickTop="1" thickBot="1">
      <c r="D169" s="117" t="s">
        <v>41</v>
      </c>
      <c r="E169" s="730">
        <v>46</v>
      </c>
      <c r="F169" s="730"/>
      <c r="G169" s="737" t="str" cm="1">
        <f t="array" ref="G169">latitudeDecimal2Txt(E169)</f>
        <v>N 46°00.00 (N 46.0000) [N 46°00'00.00]</v>
      </c>
      <c r="H169" s="737"/>
      <c r="I169" s="737"/>
      <c r="J169" s="737"/>
      <c r="K169" s="737"/>
      <c r="L169" s="737"/>
      <c r="R169" s="116" t="s">
        <v>41</v>
      </c>
      <c r="S169" s="578">
        <f>AG173</f>
        <v>48.654250788445275</v>
      </c>
      <c r="T169" s="578"/>
      <c r="U169" s="737" t="str" cm="1">
        <f t="array" ref="U169">latitudeDecimal2Txt(S169)</f>
        <v>N 48°39.25 (N 48.6542) [N 48°39'15.30]</v>
      </c>
      <c r="V169" s="737"/>
      <c r="W169" s="737"/>
      <c r="X169" s="737"/>
      <c r="Y169" s="737"/>
      <c r="Z169" s="737"/>
      <c r="AC169" s="137" t="s">
        <v>303</v>
      </c>
      <c r="AD169" s="138">
        <f>R163</f>
        <v>134.59269753904104</v>
      </c>
    </row>
    <row r="170" spans="2:33" customFormat="1" ht="17.25" customHeight="1" thickTop="1" thickBot="1">
      <c r="D170" s="117" t="s">
        <v>42</v>
      </c>
      <c r="E170" s="730">
        <v>-7</v>
      </c>
      <c r="F170" s="730"/>
      <c r="G170" s="737" t="str" cm="1">
        <f t="array" ref="G170">longitudeDecimal2Txt(E170)</f>
        <v>W 07°00.00 (W 07.0000) [W 07°00'00.00]</v>
      </c>
      <c r="H170" s="737"/>
      <c r="I170" s="737"/>
      <c r="J170" s="737"/>
      <c r="K170" s="737"/>
      <c r="L170" s="737"/>
      <c r="R170" s="116" t="s">
        <v>42</v>
      </c>
      <c r="S170" s="578">
        <f>AG174</f>
        <v>-7</v>
      </c>
      <c r="T170" s="578"/>
      <c r="U170" s="737" t="str" cm="1">
        <f t="array" ref="U170">longitudeDecimal2Txt(S170)</f>
        <v>W 07°00.00 (W 07.0000) [W 07°00'00.00]</v>
      </c>
      <c r="V170" s="737"/>
      <c r="W170" s="737"/>
      <c r="X170" s="737"/>
      <c r="Y170" s="737"/>
      <c r="Z170" s="737"/>
      <c r="AC170" s="139" t="s">
        <v>305</v>
      </c>
      <c r="AD170" s="138">
        <f>S159</f>
        <v>40.65253866673801</v>
      </c>
    </row>
    <row r="171" spans="2:33" customFormat="1" ht="17.25" customHeight="1" thickTop="1"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AC171" s="137" t="s">
        <v>306</v>
      </c>
      <c r="AD171" s="138">
        <f>S160</f>
        <v>3.6979949184787237</v>
      </c>
    </row>
    <row r="172" spans="2:33" customFormat="1" ht="17.25" customHeight="1">
      <c r="C172" s="729" t="s">
        <v>252</v>
      </c>
      <c r="D172" s="729"/>
      <c r="E172" s="729"/>
      <c r="F172" s="119"/>
      <c r="G172" s="16"/>
      <c r="H172" s="16"/>
      <c r="I172" s="16"/>
      <c r="J172" s="16"/>
      <c r="K172" s="16"/>
      <c r="L172" s="16"/>
      <c r="AC172" s="137" t="s">
        <v>258</v>
      </c>
      <c r="AD172" s="137">
        <f>TAN(AD169*Outils!F4) * (1 / COS(AD170*Outils!F4))</f>
        <v>-1.336963234337925</v>
      </c>
    </row>
    <row r="173" spans="2:33" customFormat="1" ht="17.25" customHeight="1">
      <c r="D173" s="730">
        <v>180</v>
      </c>
      <c r="E173" s="730"/>
      <c r="F173" s="123" t="s">
        <v>28</v>
      </c>
      <c r="G173" s="16"/>
      <c r="H173" s="16"/>
      <c r="I173" s="16"/>
      <c r="J173" s="16"/>
      <c r="K173" s="16"/>
      <c r="L173" s="16"/>
      <c r="AC173" s="137" t="s">
        <v>259</v>
      </c>
      <c r="AD173" s="137">
        <f>AD171-AD170*AD172</f>
        <v>58.048944498408332</v>
      </c>
      <c r="AE173" s="1022" t="s">
        <v>310</v>
      </c>
      <c r="AF173" s="1022"/>
      <c r="AG173" s="140">
        <f>(AD178-AD173)/(AD172-AD177)</f>
        <v>48.654250788445275</v>
      </c>
    </row>
    <row r="174" spans="2:33" customFormat="1" ht="15">
      <c r="AC174" s="134" t="s">
        <v>304</v>
      </c>
      <c r="AD174" s="135">
        <f>D173</f>
        <v>180</v>
      </c>
      <c r="AE174" s="1022"/>
      <c r="AF174" s="1022"/>
      <c r="AG174" s="140">
        <f>AD172*AG173+AD173</f>
        <v>-7</v>
      </c>
    </row>
    <row r="175" spans="2:33" customFormat="1" ht="18.75">
      <c r="S175" s="16"/>
      <c r="T175" s="16"/>
      <c r="AC175" s="136" t="s">
        <v>305</v>
      </c>
      <c r="AD175" s="135">
        <f>E169</f>
        <v>46</v>
      </c>
    </row>
    <row r="176" spans="2:33" customFormat="1" ht="18">
      <c r="AC176" s="134" t="s">
        <v>306</v>
      </c>
      <c r="AD176" s="135">
        <f>E170</f>
        <v>-7</v>
      </c>
      <c r="AE176" s="1022" t="s">
        <v>311</v>
      </c>
      <c r="AF176" s="1022"/>
      <c r="AG176" s="141">
        <f>E169</f>
        <v>46</v>
      </c>
    </row>
    <row r="177" spans="2:65" customFormat="1" ht="17.25" customHeight="1">
      <c r="P177" s="16"/>
      <c r="Q177" s="16"/>
      <c r="AC177" s="134" t="s">
        <v>307</v>
      </c>
      <c r="AD177" s="134">
        <f>TAN(AD174*Outils!F4) * (1 / COS(AD175*Outils!F4))</f>
        <v>-1.7636704702760584E-16</v>
      </c>
      <c r="AE177" s="1022"/>
      <c r="AF177" s="1022"/>
      <c r="AG177" s="140">
        <f>E170+(E169-S159)*TAN(R163*Outils!F4)/COS(Outils!F4*S159)</f>
        <v>-14.149359199614942</v>
      </c>
    </row>
    <row r="178" spans="2:65" customFormat="1" ht="17.25" customHeight="1">
      <c r="AC178" s="134" t="s">
        <v>308</v>
      </c>
      <c r="AD178" s="134">
        <f>AD176-AD175*AD177</f>
        <v>-6.999999999999992</v>
      </c>
    </row>
    <row r="179" spans="2:65" customFormat="1" ht="15">
      <c r="K179" s="16"/>
      <c r="L179" s="16"/>
      <c r="AE179" s="1022" t="s">
        <v>309</v>
      </c>
      <c r="AF179" s="1022"/>
      <c r="AG179" s="140">
        <f>IF($AE$168,AG176,AG173)</f>
        <v>48.654250788445275</v>
      </c>
    </row>
    <row r="180" spans="2:65" customFormat="1" ht="15">
      <c r="K180" s="16"/>
      <c r="L180" s="16"/>
      <c r="AC180" s="134"/>
      <c r="AE180" s="1022"/>
      <c r="AF180" s="1022"/>
      <c r="AG180" s="140">
        <f>IF($AE$168,AG177,AG174)</f>
        <v>-7</v>
      </c>
    </row>
    <row r="181" spans="2:65" customFormat="1" ht="15.75" thickBot="1">
      <c r="K181" s="16"/>
      <c r="L181" s="16"/>
    </row>
    <row r="182" spans="2:65" customFormat="1" ht="15.75" thickBot="1">
      <c r="B182" s="120" t="s">
        <v>606</v>
      </c>
      <c r="C182" s="121"/>
      <c r="D182" s="121"/>
      <c r="E182" s="121"/>
      <c r="F182" s="121"/>
      <c r="G182" s="121"/>
      <c r="H182" s="121"/>
      <c r="I182" s="121"/>
      <c r="J182" s="121"/>
      <c r="K182" s="121"/>
      <c r="L182" s="121"/>
      <c r="M182" s="121"/>
      <c r="N182" s="121"/>
      <c r="O182" s="121"/>
      <c r="P182" s="121"/>
      <c r="Q182" s="121"/>
      <c r="R182" s="121"/>
      <c r="S182" s="121"/>
      <c r="T182" s="121"/>
      <c r="U182" s="121"/>
      <c r="V182" s="121"/>
      <c r="W182" s="121"/>
      <c r="X182" s="121"/>
      <c r="Y182" s="121"/>
      <c r="Z182" s="121"/>
      <c r="AA182" s="122"/>
    </row>
    <row r="183" spans="2:65" customFormat="1" ht="15">
      <c r="K183" s="103"/>
      <c r="L183" s="103"/>
    </row>
    <row r="184" spans="2:65" customFormat="1" ht="15">
      <c r="B184" s="1115" t="s">
        <v>1</v>
      </c>
      <c r="C184" s="1115"/>
      <c r="D184" s="1115" t="str">
        <f>E7</f>
        <v>2010/05/05</v>
      </c>
      <c r="E184" s="1115"/>
      <c r="F184" s="1115"/>
      <c r="G184" s="1115"/>
      <c r="H184" s="285" t="s">
        <v>2</v>
      </c>
      <c r="I184" s="1115" t="str">
        <f>I7</f>
        <v>08:18:53.00(08.3147)</v>
      </c>
      <c r="J184" s="1115"/>
      <c r="K184" s="1115"/>
      <c r="L184" s="1115"/>
    </row>
    <row r="185" spans="2:65" customFormat="1" ht="15">
      <c r="B185" s="1118" t="s">
        <v>30</v>
      </c>
      <c r="C185" s="1118"/>
      <c r="D185" s="1119" t="s">
        <v>33</v>
      </c>
      <c r="E185" s="1118"/>
      <c r="F185" s="279"/>
      <c r="G185" s="279"/>
      <c r="H185" s="279"/>
      <c r="I185" s="279"/>
      <c r="J185" s="279"/>
      <c r="K185" s="279"/>
      <c r="L185" s="279"/>
      <c r="AA185" s="276"/>
    </row>
    <row r="186" spans="2:65" customFormat="1" ht="15">
      <c r="B186" s="275"/>
      <c r="C186" s="275"/>
      <c r="D186" s="278"/>
      <c r="E186" s="275"/>
      <c r="AA186" s="276"/>
    </row>
    <row r="187" spans="2:65" s="103" customFormat="1" ht="17.25" customHeight="1" thickBot="1">
      <c r="B187" s="282" t="s">
        <v>442</v>
      </c>
      <c r="C187" s="282"/>
      <c r="D187" s="282"/>
      <c r="E187" s="282"/>
      <c r="F187" s="281"/>
      <c r="G187" s="281"/>
      <c r="H187" s="280"/>
      <c r="I187" s="280"/>
      <c r="J187" s="280"/>
      <c r="K187" s="280"/>
      <c r="L187" s="280"/>
      <c r="M187" s="280"/>
      <c r="N187" s="280"/>
      <c r="O187" s="280"/>
      <c r="P187" s="280"/>
      <c r="Q187" s="280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103" customFormat="1" ht="17.25" customHeight="1" thickTop="1">
      <c r="C188" s="1120" t="s">
        <v>443</v>
      </c>
      <c r="D188" s="1120"/>
      <c r="E188" s="1120" t="str" cm="1">
        <f t="array" ref="E188">angleDecimal2Txt(angleConvert2Decimal(M21))</f>
        <v>+18°55.00 (+18.9166) [+18°55'00.00]</v>
      </c>
      <c r="F188" s="1120"/>
      <c r="G188" s="1120"/>
      <c r="H188" s="1120"/>
      <c r="I188" s="1120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103" customFormat="1" ht="17.25" customHeight="1">
      <c r="C189" s="1112" t="s">
        <v>70</v>
      </c>
      <c r="D189" s="1112"/>
      <c r="E189" s="1112" t="str">
        <f>J23</f>
        <v>BordSup</v>
      </c>
      <c r="F189" s="1112"/>
      <c r="G189" s="1112"/>
      <c r="H189" s="1112"/>
      <c r="I189" s="1112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103" customFormat="1" ht="17.25" customHeight="1">
      <c r="C190" s="1113" t="s">
        <v>444</v>
      </c>
      <c r="D190" s="1113"/>
      <c r="E190" s="1114" t="str" cm="1">
        <f t="array" ref="E190">angleDecimal2Txt(angleConvert2Decimal(M20))</f>
        <v>+00°03.00 (+00.0500) [+00°03'00.00]</v>
      </c>
      <c r="F190" s="1114"/>
      <c r="G190" s="1114"/>
      <c r="H190" s="1114"/>
      <c r="I190" s="1114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103" customFormat="1" ht="17.25" customHeight="1">
      <c r="C191" s="1115" t="s">
        <v>445</v>
      </c>
      <c r="D191" s="1115"/>
      <c r="E191" s="1116" t="str">
        <f>CONCATENATE(M19, " m")</f>
        <v>2 m</v>
      </c>
      <c r="F191" s="1116"/>
      <c r="G191" s="1116"/>
      <c r="H191" s="1116"/>
      <c r="I191" s="1116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103" customFormat="1" ht="17.25" customHeight="1">
      <c r="E192" s="1100" t="str" cm="1">
        <f t="array" ref="E192">angleDecimal2Txt(O93)</f>
        <v>+18°49.51 (+18.8252) [+18°49'30.82]</v>
      </c>
      <c r="F192" s="1100"/>
      <c r="G192" s="1100"/>
      <c r="H192" s="1100"/>
      <c r="I192" s="1100"/>
      <c r="J192" s="1100" t="s">
        <v>447</v>
      </c>
      <c r="K192" s="1100"/>
      <c r="L192" s="1100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103" customFormat="1" ht="17.25" customHeight="1">
      <c r="E193" s="283"/>
      <c r="F193" s="1076" t="s">
        <v>445</v>
      </c>
      <c r="G193" s="1077"/>
      <c r="H193" s="1117" t="str" cm="1">
        <f t="array" ref="H193">angleDecimal2Txt(O91)</f>
        <v>+00°02.48 (+00.0414) [+00°02'29.17]</v>
      </c>
      <c r="I193" s="1117"/>
      <c r="J193" s="1117"/>
      <c r="K193" s="1117"/>
      <c r="L193" s="1117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103" customFormat="1" ht="17.25" customHeight="1">
      <c r="F194" s="1074" t="s">
        <v>452</v>
      </c>
      <c r="G194" s="1074"/>
      <c r="H194" s="1117" t="str" cm="1">
        <f t="array" ref="H194">angleDecimal2Txt(O103)</f>
        <v>+00°02.87 (+00.0479) [+00°02'52.75]</v>
      </c>
      <c r="I194" s="1117"/>
      <c r="J194" s="1117"/>
      <c r="K194" s="1117"/>
      <c r="L194" s="1117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103" customFormat="1" ht="17.25" customHeight="1">
      <c r="F195" s="1076" t="s">
        <v>479</v>
      </c>
      <c r="G195" s="1077"/>
      <c r="H195" s="1078" t="str" cm="1">
        <f t="array" ref="H195">angleDecimal2Txt(O97)</f>
        <v>+00°54.39 (+00.9066) [+00°54'24.00]</v>
      </c>
      <c r="I195" s="1079"/>
      <c r="J195" s="1079"/>
      <c r="K195" s="1079"/>
      <c r="L195" s="1080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103" customFormat="1" ht="17.25" customHeight="1">
      <c r="F196" s="1074" t="s">
        <v>453</v>
      </c>
      <c r="G196" s="1074"/>
      <c r="H196" s="1074" t="str" cm="1">
        <f t="array" ref="H196">angleDecimal2Txt(O98)</f>
        <v>+00°51.48 (+00.8581) [+00°51'29.38]</v>
      </c>
      <c r="I196" s="1074"/>
      <c r="J196" s="1074"/>
      <c r="K196" s="1074"/>
      <c r="L196" s="1074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103" customFormat="1" ht="17.25" customHeight="1">
      <c r="F197" s="1074" t="s">
        <v>106</v>
      </c>
      <c r="G197" s="1074"/>
      <c r="H197" s="1074" t="str" cm="1">
        <f t="array" ref="H197">angleDecimal2Txt(O105)</f>
        <v>+00°29.64 (+00.4940) [+00°29'38.40]</v>
      </c>
      <c r="I197" s="1074"/>
      <c r="J197" s="1074"/>
      <c r="K197" s="1074"/>
      <c r="L197" s="1074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103" customFormat="1" ht="17.25" customHeight="1">
      <c r="F198" s="1074" t="s">
        <v>71</v>
      </c>
      <c r="G198" s="1074"/>
      <c r="H198" s="1074" t="str" cm="1">
        <f t="array" ref="H198">angleDecimal2Txt(O107)</f>
        <v>-00°14.82 (-00.2470) [-00°14'49.20]</v>
      </c>
      <c r="I198" s="1074"/>
      <c r="J198" s="1074"/>
      <c r="K198" s="1074"/>
      <c r="L198" s="1074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103" customFormat="1" ht="17.25" customHeight="1">
      <c r="D199" s="277"/>
      <c r="E199" s="1100" t="str" cm="1">
        <f t="array" ref="E199">angleDecimal2Txt(F86)</f>
        <v>+19°23.30 (+19.3884) [+19°23'18.25]</v>
      </c>
      <c r="F199" s="1100"/>
      <c r="G199" s="1100"/>
      <c r="H199" s="1100"/>
      <c r="I199" s="1100"/>
      <c r="J199" s="1100" t="s">
        <v>446</v>
      </c>
      <c r="K199" s="1100"/>
      <c r="L199" s="1100"/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103" customFormat="1" ht="17.25" customHeight="1">
      <c r="D200" s="277"/>
      <c r="F200" s="1074" t="str" cm="1">
        <f t="array" ref="F200">angleDecimal2Txt(O98-O103-O91)</f>
        <v>+00°46.12 (+00.7687) [+00°46'07.45]</v>
      </c>
      <c r="G200" s="1074"/>
      <c r="H200" s="1074"/>
      <c r="I200" s="1074"/>
      <c r="J200" s="1074"/>
      <c r="K200" s="1074" t="s">
        <v>454</v>
      </c>
      <c r="L200" s="1074"/>
      <c r="M200" s="1074"/>
      <c r="N200" s="1109" t="s">
        <v>470</v>
      </c>
      <c r="O200" s="1109"/>
      <c r="P200" s="1109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103" customFormat="1" ht="17.25" customHeight="1">
      <c r="D201" s="277"/>
      <c r="F201" s="1074" t="str" cm="1">
        <f t="array" ref="F201">angleDecimal2Txt(O98-O103-O91+O107)</f>
        <v>+00°31.30 (+00.5217) [+00°31'18.25]</v>
      </c>
      <c r="G201" s="1074"/>
      <c r="H201" s="1074"/>
      <c r="I201" s="1074"/>
      <c r="J201" s="1074"/>
      <c r="K201" s="1074" t="s">
        <v>450</v>
      </c>
      <c r="L201" s="1074"/>
      <c r="M201" s="1074"/>
      <c r="N201" s="1109"/>
      <c r="O201" s="1109"/>
      <c r="P201" s="110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103" customFormat="1" ht="17.25" customHeight="1">
      <c r="D202" s="277"/>
      <c r="F202" s="1074" t="str" cm="1">
        <f t="array" ref="F202">angleDecimal2Txt(O98-O103+O107)</f>
        <v>+00°33.79 (+00.5631) [+00°33'47.42]</v>
      </c>
      <c r="G202" s="1074"/>
      <c r="H202" s="1074"/>
      <c r="I202" s="1074"/>
      <c r="J202" s="1074"/>
      <c r="K202" s="1074" t="s">
        <v>451</v>
      </c>
      <c r="L202" s="1074"/>
      <c r="M202" s="1074"/>
      <c r="N202" s="1109"/>
      <c r="O202" s="1109"/>
      <c r="P202" s="1109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103" customFormat="1" ht="17.25" customHeight="1"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103" customFormat="1" ht="17.25" customHeight="1">
      <c r="C204" s="27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103" customFormat="1" ht="17.25" customHeight="1" thickBot="1">
      <c r="B205" s="280" t="s">
        <v>62</v>
      </c>
      <c r="C205" s="281"/>
      <c r="D205" s="281"/>
      <c r="E205" s="281"/>
      <c r="F205" s="281"/>
      <c r="G205" s="281"/>
      <c r="H205" s="280"/>
      <c r="I205" s="280"/>
      <c r="J205" s="280"/>
      <c r="K205" s="280"/>
      <c r="L205" s="280"/>
      <c r="M205" s="280"/>
      <c r="N205" s="280"/>
      <c r="O205" s="280"/>
      <c r="P205" s="280"/>
      <c r="Q205" s="280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103" customFormat="1" ht="17.25" customHeight="1" thickTop="1">
      <c r="C206" s="1111" t="s">
        <v>455</v>
      </c>
      <c r="D206" s="1111"/>
      <c r="E206" s="1111" t="str" cm="1">
        <f t="array" ref="E206">latitudeDecimal2Txt(F36)</f>
        <v>N 40°30.00 (N 40.5000) [N 40°30'00.00]</v>
      </c>
      <c r="F206" s="1111"/>
      <c r="G206" s="1111"/>
      <c r="H206" s="1111"/>
      <c r="I206" s="1111"/>
      <c r="J206" s="1111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103" customFormat="1" ht="17.25" customHeight="1">
      <c r="C207" s="1112" t="s">
        <v>456</v>
      </c>
      <c r="D207" s="1112"/>
      <c r="E207" s="1112" t="str" cm="1">
        <f t="array" ref="E207">longitudeDecimal2Txt(F41)</f>
        <v>E 03°30.00 (E 03.5000) [E 03°30'00.00]</v>
      </c>
      <c r="F207" s="1112"/>
      <c r="G207" s="1112"/>
      <c r="H207" s="1112"/>
      <c r="I207" s="1112"/>
      <c r="J207" s="1112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103" customFormat="1" ht="17.25" customHeight="1">
      <c r="F208" s="1109" t="str">
        <f>CONCATENATE("GHA - ", G64)</f>
        <v>GHA - Par interval</v>
      </c>
      <c r="G208" s="1109"/>
      <c r="H208" s="1074">
        <f>IF($G$64=$AD$64,M68,CONCATENATE("T0:",M76))</f>
        <v>8</v>
      </c>
      <c r="I208" s="1074"/>
      <c r="J208" s="1074"/>
      <c r="K208" s="1074" t="str" cm="1">
        <f t="array" ref="K208">IF($G$64=$AD$64,angleDecimal2Txt(AE67,0),CONCATENATE("Pos. à T0:",angleDecimal2Txt(AD75,0)))</f>
        <v>+35°40.49</v>
      </c>
      <c r="L208" s="1074"/>
      <c r="M208" s="1074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103" customFormat="1" ht="17.25" customHeight="1">
      <c r="F209" s="1109"/>
      <c r="G209" s="1109"/>
      <c r="H209" s="1074" cm="1">
        <f t="array" ref="H209">IF($G$64=$AD$64,M70,CONCATENATE("V:",angleDecimal2Txt(AD77,0)))</f>
        <v>9</v>
      </c>
      <c r="I209" s="1074"/>
      <c r="J209" s="1074"/>
      <c r="K209" s="1074" t="str" cm="1">
        <f t="array" ref="K209">IF($G$64=$AD$64,angleDecimal2Txt(AE68,0),CONCATENATE("dt:",TEXT((I76-M76),"0.000")," h"))</f>
        <v>+50°13.40</v>
      </c>
      <c r="L209" s="1074"/>
      <c r="M209" s="1074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103" customFormat="1" ht="17.25" customHeight="1">
      <c r="C210" s="1110" t="s">
        <v>457</v>
      </c>
      <c r="D210" s="1110"/>
      <c r="E210" s="1110" t="str" cm="1">
        <f t="array" ref="E210">angleDecimal2Txt(F63)</f>
        <v>+40°15.22 (+40.2536) [+40°15'13.26]</v>
      </c>
      <c r="F210" s="1110"/>
      <c r="G210" s="1110"/>
      <c r="H210" s="1110"/>
      <c r="I210" s="1110"/>
      <c r="J210" s="1110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103" customFormat="1" ht="17.25" customHeight="1">
      <c r="C211" s="1110" t="s">
        <v>43</v>
      </c>
      <c r="D211" s="1110"/>
      <c r="E211" s="1110" t="str" cm="1">
        <f t="array" ref="E211">angleDecimal2Txt(F82)</f>
        <v>+43°45.22 (+43.7536) [+43°45'13.26]</v>
      </c>
      <c r="F211" s="1110"/>
      <c r="G211" s="1110"/>
      <c r="H211" s="1110"/>
      <c r="I211" s="1110"/>
      <c r="J211" s="1110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103" customFormat="1" ht="17.25" customHeight="1">
      <c r="F212" s="1109" t="str">
        <f>CONCATENATE("Déc. - ", G46)</f>
        <v>Déc. - Par interval</v>
      </c>
      <c r="G212" s="1109"/>
      <c r="H212" s="1074">
        <f>IF($G$46=$AD$46,M50,CONCATENATE("T0:",M58))</f>
        <v>8</v>
      </c>
      <c r="I212" s="1074"/>
      <c r="J212" s="1074" t="str" cm="1">
        <f t="array" ref="J212">IF($G$46=$AD$46,angleDecimal2Txt(AE49,0),CONCATENATE("Pos. à T0:",angleDecimal2Txt(AD57,0)))</f>
        <v>-17°02.50</v>
      </c>
      <c r="K212" s="1074"/>
      <c r="L212" s="1074"/>
      <c r="M212" s="1074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103" customFormat="1" ht="17.25" customHeight="1">
      <c r="F213" s="1109"/>
      <c r="G213" s="1109"/>
      <c r="H213" s="1074" cm="1">
        <f t="array" ref="H213">IF($G$46=$AD$46,M52,CONCATENATE("V:",angleDecimal2Txt(AD59,0)))</f>
        <v>9</v>
      </c>
      <c r="I213" s="1074"/>
      <c r="J213" s="1074" t="str" cm="1">
        <f t="array" ref="J213">IF($G$46=$AD$46,angleDecimal2Txt(AE50,0),CONCATENATE("dt:",TEXT((I58-M58),"0.000")," h"))</f>
        <v>-16°52.90</v>
      </c>
      <c r="K213" s="1074"/>
      <c r="L213" s="1074"/>
      <c r="M213" s="1074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103" customFormat="1" ht="17.25" customHeight="1">
      <c r="C214" s="1110" t="s">
        <v>9</v>
      </c>
      <c r="D214" s="1110"/>
      <c r="E214" s="1110" t="str" cm="1">
        <f t="array" ref="E214">latitudeDecimal2Txt(F45)</f>
        <v>S 16°59.47 (S 16.9913) [S 16°59'28.72]</v>
      </c>
      <c r="F214" s="1110"/>
      <c r="G214" s="1110"/>
      <c r="H214" s="1110"/>
      <c r="I214" s="1110"/>
      <c r="J214" s="1110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103" customFormat="1" ht="17.25" customHeight="1">
      <c r="F215" s="1074" t="s">
        <v>459</v>
      </c>
      <c r="G215" s="1074"/>
      <c r="H215" s="1074">
        <f>SIN(U130)</f>
        <v>-0.2922266780134119</v>
      </c>
      <c r="I215" s="1074"/>
      <c r="J215" s="1074">
        <f>SIN(U131)</f>
        <v>0.64944804833018366</v>
      </c>
      <c r="K215" s="1074"/>
      <c r="L215" s="1074" t="s">
        <v>460</v>
      </c>
      <c r="M215" s="1074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103" customFormat="1" ht="17.25" customHeight="1">
      <c r="F216" s="1074" t="s">
        <v>458</v>
      </c>
      <c r="G216" s="1074"/>
      <c r="H216" s="1074">
        <f>COS(U130)</f>
        <v>0.9563490830534872</v>
      </c>
      <c r="I216" s="1074"/>
      <c r="J216" s="1074">
        <f>COS(U131)</f>
        <v>0.76040596560003093</v>
      </c>
      <c r="K216" s="1074"/>
      <c r="L216" s="1074" t="s">
        <v>461</v>
      </c>
      <c r="M216" s="1074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103" customFormat="1" ht="17.25" customHeight="1">
      <c r="F217" s="1108" t="s">
        <v>462</v>
      </c>
      <c r="G217" s="1108"/>
      <c r="H217" s="1108">
        <f>COS(U132)</f>
        <v>0.72231950016747259</v>
      </c>
      <c r="I217" s="1108"/>
      <c r="J217" s="284"/>
      <c r="K217" s="284"/>
      <c r="L217" s="284"/>
      <c r="M217" s="28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s="103" customFormat="1" ht="17.25" customHeight="1">
      <c r="F218" s="1074" t="s">
        <v>463</v>
      </c>
      <c r="G218" s="1074"/>
      <c r="H218" s="1074"/>
      <c r="I218" s="1074"/>
      <c r="J218" s="1074"/>
      <c r="K218" s="1074"/>
      <c r="L218" s="1074"/>
      <c r="M218" s="1074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3:65" s="103" customFormat="1" ht="17.25" customHeight="1">
      <c r="F219" s="1074" t="s">
        <v>471</v>
      </c>
      <c r="G219" s="1074"/>
      <c r="H219" s="1074">
        <f>AD130</f>
        <v>0.33549448076442867</v>
      </c>
      <c r="I219" s="1074"/>
      <c r="J219" s="1074"/>
      <c r="K219" s="1074"/>
      <c r="L219" s="1074"/>
      <c r="M219" s="1074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3:65" s="103" customFormat="1" ht="17.25" customHeight="1">
      <c r="C220" s="1100" t="s">
        <v>464</v>
      </c>
      <c r="D220" s="1100"/>
      <c r="E220" s="1100" t="str" cm="1">
        <f t="array" ref="E220">angleDecimal2Txt(I130,0)</f>
        <v>+19°36.15</v>
      </c>
      <c r="F220" s="1100"/>
      <c r="G220" s="1100"/>
      <c r="H220" s="1100"/>
      <c r="I220" s="1100"/>
      <c r="J220" s="1100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3:65" s="103" customFormat="1" ht="17.25" customHeight="1">
      <c r="C221" s="1101" t="s">
        <v>472</v>
      </c>
      <c r="D221" s="1102"/>
      <c r="E221" s="1100" t="str" cm="1">
        <f t="array" ref="E221">angleDecimal2Txt(T135,0)</f>
        <v>-00°12.85</v>
      </c>
      <c r="F221" s="1100"/>
      <c r="G221" s="1100"/>
      <c r="H221" s="1100"/>
      <c r="I221" s="1100"/>
      <c r="J221" s="1100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3:65" ht="17.25" customHeight="1">
      <c r="C222" s="1103"/>
      <c r="D222" s="1104"/>
      <c r="E222" s="1075" t="str">
        <f>CONCATENATE(TEXT(V135,"0.00"),"  Mn")</f>
        <v>-12.85  Mn</v>
      </c>
      <c r="F222" s="1075"/>
      <c r="G222" s="1075"/>
      <c r="H222" s="1075"/>
      <c r="I222" s="1075"/>
      <c r="J222" s="1075"/>
      <c r="O222" s="1081" t="s">
        <v>505</v>
      </c>
      <c r="P222" s="1082" t="str" cm="1">
        <f t="array" ref="P222">latitudeDecimal2Txt(V136,0)</f>
        <v>S 16°59.47</v>
      </c>
      <c r="Q222" s="1082"/>
    </row>
    <row r="223" spans="3:65" ht="17.25" customHeight="1">
      <c r="C223" s="1105"/>
      <c r="D223" s="1106"/>
      <c r="E223" s="1075" t="str">
        <f>Y135</f>
        <v>Oppose de Pg</v>
      </c>
      <c r="F223" s="1107"/>
      <c r="G223" s="1107"/>
      <c r="H223" s="1107"/>
      <c r="I223" s="1107"/>
      <c r="J223" s="1107"/>
      <c r="O223" s="1082"/>
      <c r="P223" s="1082" t="str" cm="1">
        <f t="array" ref="P223">longitudeDecimal2Txt(V137,0)</f>
        <v>W 40°15.22</v>
      </c>
      <c r="Q223" s="1082"/>
    </row>
    <row r="224" spans="3:65" ht="17.25" customHeight="1">
      <c r="F224" s="1074" t="s">
        <v>465</v>
      </c>
      <c r="G224" s="1074"/>
      <c r="H224" s="1074"/>
      <c r="I224" s="1074"/>
      <c r="J224" s="1074"/>
      <c r="K224" s="1074"/>
      <c r="L224" s="1074"/>
      <c r="M224" s="1074"/>
      <c r="N224" s="284"/>
      <c r="O224" s="284"/>
      <c r="P224" s="284"/>
      <c r="Q224" s="284"/>
    </row>
    <row r="225" spans="3:17" ht="17.25" customHeight="1">
      <c r="F225" s="1074" t="s">
        <v>466</v>
      </c>
      <c r="G225" s="1074"/>
      <c r="H225" s="1074">
        <f>AD141</f>
        <v>-0.71211553100962055</v>
      </c>
      <c r="I225" s="1074"/>
      <c r="J225" s="1074"/>
      <c r="K225" s="1074"/>
      <c r="L225" s="1074"/>
      <c r="M225" s="1074"/>
      <c r="N225" s="284"/>
      <c r="O225" s="284"/>
      <c r="P225" s="284"/>
      <c r="Q225" s="284"/>
    </row>
    <row r="226" spans="3:17" ht="17.25" customHeight="1">
      <c r="F226" s="1074" t="s">
        <v>96</v>
      </c>
      <c r="G226" s="1074"/>
      <c r="H226" s="1074" t="str" cm="1">
        <f t="array" ref="H226">angleDecimal2Txt(I142,0)</f>
        <v>+135°24.43</v>
      </c>
      <c r="I226" s="1074"/>
      <c r="J226" s="1074"/>
      <c r="K226" s="1074"/>
      <c r="L226" s="1074"/>
      <c r="M226" s="1074"/>
      <c r="N226" s="284"/>
      <c r="O226" s="284"/>
      <c r="P226" s="284"/>
      <c r="Q226" s="284"/>
    </row>
    <row r="227" spans="3:17" ht="17.25" customHeight="1">
      <c r="F227" s="1083" t="s">
        <v>154</v>
      </c>
      <c r="G227" s="1084"/>
      <c r="H227" s="1084"/>
      <c r="I227" s="1084"/>
      <c r="J227" s="1084"/>
      <c r="K227" s="1085"/>
      <c r="L227" s="1083" t="s">
        <v>155</v>
      </c>
      <c r="M227" s="1084"/>
      <c r="N227" s="1084"/>
      <c r="O227" s="1084"/>
      <c r="P227" s="1084"/>
      <c r="Q227" s="1085"/>
    </row>
    <row r="228" spans="3:17" ht="17.25" customHeight="1">
      <c r="F228" s="1086"/>
      <c r="G228" s="1088" t="s">
        <v>126</v>
      </c>
      <c r="H228" s="1089"/>
      <c r="I228" s="1090"/>
      <c r="J228" s="1091" t="s">
        <v>127</v>
      </c>
      <c r="K228" s="1092"/>
      <c r="L228" s="1093"/>
      <c r="M228" s="1088" t="s">
        <v>126</v>
      </c>
      <c r="N228" s="1089"/>
      <c r="O228" s="1090"/>
      <c r="P228" s="1091" t="s">
        <v>128</v>
      </c>
      <c r="Q228" s="1092"/>
    </row>
    <row r="229" spans="3:17" ht="17.25" customHeight="1">
      <c r="F229" s="1087"/>
      <c r="G229" s="1095" t="s">
        <v>90</v>
      </c>
      <c r="H229" s="1096"/>
      <c r="I229" s="1097"/>
      <c r="J229" s="1098" t="s">
        <v>91</v>
      </c>
      <c r="K229" s="1099"/>
      <c r="L229" s="1094"/>
      <c r="M229" s="1095" t="s">
        <v>90</v>
      </c>
      <c r="N229" s="1096"/>
      <c r="O229" s="1097"/>
      <c r="P229" s="1098" t="s">
        <v>92</v>
      </c>
      <c r="Q229" s="1099"/>
    </row>
    <row r="230" spans="3:17" ht="17.25" customHeight="1">
      <c r="F230" s="1074" t="s">
        <v>469</v>
      </c>
      <c r="G230" s="1074"/>
      <c r="H230" s="1074" t="str">
        <f>IF(F36&gt;0,"Nord","Sud")</f>
        <v>Nord</v>
      </c>
      <c r="I230" s="1074"/>
      <c r="J230" s="1074"/>
      <c r="K230" s="1074"/>
      <c r="L230" s="1074"/>
      <c r="M230" s="1074"/>
      <c r="N230" s="284"/>
      <c r="O230" s="284"/>
      <c r="P230" s="284"/>
      <c r="Q230" s="284"/>
    </row>
    <row r="231" spans="3:17" ht="17.25" customHeight="1">
      <c r="F231" s="1074" t="s">
        <v>468</v>
      </c>
      <c r="G231" s="1074"/>
      <c r="H231" s="1074" t="b">
        <f>(F82&gt;180)</f>
        <v>0</v>
      </c>
      <c r="I231" s="1074"/>
      <c r="J231" s="1074"/>
      <c r="K231" s="1074"/>
      <c r="L231" s="1074"/>
      <c r="M231" s="1074"/>
      <c r="N231" s="284"/>
      <c r="O231" s="284"/>
      <c r="P231" s="284"/>
      <c r="Q231" s="284"/>
    </row>
    <row r="232" spans="3:17" ht="17.25" customHeight="1">
      <c r="C232" s="1075" t="s">
        <v>467</v>
      </c>
      <c r="D232" s="1075"/>
      <c r="E232" s="1075" t="str" cm="1">
        <f t="array" ref="E232">angleDecimal2Txt(T152,0)</f>
        <v>+224°35.56</v>
      </c>
      <c r="F232" s="1075"/>
      <c r="G232" s="1075"/>
      <c r="H232" s="1075"/>
      <c r="I232" s="1075"/>
      <c r="J232" s="1075"/>
    </row>
  </sheetData>
  <protectedRanges>
    <protectedRange sqref="I11:Y11" name="Heure visee" securityDescriptor="O:WDG:WDD:(A;;CC;;;WD)"/>
  </protectedRanges>
  <dataConsolidate link="1"/>
  <mergeCells count="438">
    <mergeCell ref="AS32:AT32"/>
    <mergeCell ref="Y29:Z29"/>
    <mergeCell ref="T29:X29"/>
    <mergeCell ref="AD29:AP29"/>
    <mergeCell ref="E170:F170"/>
    <mergeCell ref="G170:L170"/>
    <mergeCell ref="S170:T170"/>
    <mergeCell ref="U170:Z170"/>
    <mergeCell ref="C172:E172"/>
    <mergeCell ref="T149:V149"/>
    <mergeCell ref="X149:Z149"/>
    <mergeCell ref="N150:O150"/>
    <mergeCell ref="Q150:S150"/>
    <mergeCell ref="T150:V150"/>
    <mergeCell ref="X150:Z150"/>
    <mergeCell ref="I151:J151"/>
    <mergeCell ref="I152:J152"/>
    <mergeCell ref="L152:M152"/>
    <mergeCell ref="O152:S152"/>
    <mergeCell ref="T152:U152"/>
    <mergeCell ref="I147:I148"/>
    <mergeCell ref="J147:L147"/>
    <mergeCell ref="M147:N147"/>
    <mergeCell ref="O147:O148"/>
    <mergeCell ref="I153:K153"/>
    <mergeCell ref="L153:M153"/>
    <mergeCell ref="T153:Y153"/>
    <mergeCell ref="C158:F158"/>
    <mergeCell ref="H158:J158"/>
    <mergeCell ref="L158:N158"/>
    <mergeCell ref="Q158:T158"/>
    <mergeCell ref="E159:F159"/>
    <mergeCell ref="I159:J159"/>
    <mergeCell ref="M159:N159"/>
    <mergeCell ref="S159:T159"/>
    <mergeCell ref="U159:Z159"/>
    <mergeCell ref="AE179:AF180"/>
    <mergeCell ref="E160:F160"/>
    <mergeCell ref="S160:T160"/>
    <mergeCell ref="U160:Z160"/>
    <mergeCell ref="Q162:S162"/>
    <mergeCell ref="R163:S163"/>
    <mergeCell ref="C168:F168"/>
    <mergeCell ref="E169:F169"/>
    <mergeCell ref="G169:L169"/>
    <mergeCell ref="S169:T169"/>
    <mergeCell ref="U169:Z169"/>
    <mergeCell ref="D173:E173"/>
    <mergeCell ref="AE173:AF174"/>
    <mergeCell ref="AE176:AF177"/>
    <mergeCell ref="P147:R147"/>
    <mergeCell ref="S147:T147"/>
    <mergeCell ref="J148:L148"/>
    <mergeCell ref="M148:N148"/>
    <mergeCell ref="P148:R148"/>
    <mergeCell ref="S148:T148"/>
    <mergeCell ref="L151:M151"/>
    <mergeCell ref="I136:M136"/>
    <mergeCell ref="O141:AA141"/>
    <mergeCell ref="S136:S137"/>
    <mergeCell ref="T136:U136"/>
    <mergeCell ref="V136:W136"/>
    <mergeCell ref="X136:AC136"/>
    <mergeCell ref="T137:U137"/>
    <mergeCell ref="V137:W137"/>
    <mergeCell ref="X137:AC137"/>
    <mergeCell ref="E142:H144"/>
    <mergeCell ref="I142:M143"/>
    <mergeCell ref="T142:T144"/>
    <mergeCell ref="X142:X144"/>
    <mergeCell ref="O143:P143"/>
    <mergeCell ref="Q143:S143"/>
    <mergeCell ref="U143:W143"/>
    <mergeCell ref="I144:M144"/>
    <mergeCell ref="O144:P144"/>
    <mergeCell ref="Q144:S144"/>
    <mergeCell ref="U144:W144"/>
    <mergeCell ref="N3:P4"/>
    <mergeCell ref="Q3:S4"/>
    <mergeCell ref="I8:K8"/>
    <mergeCell ref="L8:O8"/>
    <mergeCell ref="U120:V120"/>
    <mergeCell ref="U121:V121"/>
    <mergeCell ref="K122:K123"/>
    <mergeCell ref="N122:N123"/>
    <mergeCell ref="Q122:Q123"/>
    <mergeCell ref="U122:V122"/>
    <mergeCell ref="L123:M123"/>
    <mergeCell ref="O123:P123"/>
    <mergeCell ref="C23:I23"/>
    <mergeCell ref="J23:L23"/>
    <mergeCell ref="M23:O23"/>
    <mergeCell ref="C24:D24"/>
    <mergeCell ref="J24:L27"/>
    <mergeCell ref="M24:O27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M22:O22"/>
    <mergeCell ref="S30:X30"/>
    <mergeCell ref="P31:X31"/>
    <mergeCell ref="E34:H35"/>
    <mergeCell ref="A36:C36"/>
    <mergeCell ref="F36:H37"/>
    <mergeCell ref="I36:I37"/>
    <mergeCell ref="J36:N37"/>
    <mergeCell ref="O36:X37"/>
    <mergeCell ref="D25:I27"/>
    <mergeCell ref="P27:X27"/>
    <mergeCell ref="C28:I31"/>
    <mergeCell ref="J28:L31"/>
    <mergeCell ref="M28:O31"/>
    <mergeCell ref="P28:R29"/>
    <mergeCell ref="P30:R30"/>
    <mergeCell ref="C46:F46"/>
    <mergeCell ref="G46:I46"/>
    <mergeCell ref="AC46:AC47"/>
    <mergeCell ref="F48:H49"/>
    <mergeCell ref="I48:L49"/>
    <mergeCell ref="M48:O49"/>
    <mergeCell ref="P48:T49"/>
    <mergeCell ref="E39:H40"/>
    <mergeCell ref="F41:H42"/>
    <mergeCell ref="I41:I42"/>
    <mergeCell ref="J41:N42"/>
    <mergeCell ref="O41:X42"/>
    <mergeCell ref="F45:H45"/>
    <mergeCell ref="F54:K54"/>
    <mergeCell ref="F56:H57"/>
    <mergeCell ref="I56:L57"/>
    <mergeCell ref="M56:O57"/>
    <mergeCell ref="P56:T57"/>
    <mergeCell ref="U56:Y57"/>
    <mergeCell ref="F50:H53"/>
    <mergeCell ref="I50:L53"/>
    <mergeCell ref="M50:O51"/>
    <mergeCell ref="P50:P51"/>
    <mergeCell ref="Q50:T51"/>
    <mergeCell ref="U50:Y51"/>
    <mergeCell ref="M52:O53"/>
    <mergeCell ref="P52:P53"/>
    <mergeCell ref="Q52:T53"/>
    <mergeCell ref="U52:Y53"/>
    <mergeCell ref="C64:F64"/>
    <mergeCell ref="G64:I64"/>
    <mergeCell ref="AC64:AC65"/>
    <mergeCell ref="F66:H67"/>
    <mergeCell ref="I66:L67"/>
    <mergeCell ref="M66:O67"/>
    <mergeCell ref="P66:T67"/>
    <mergeCell ref="V58:Y59"/>
    <mergeCell ref="F60:K60"/>
    <mergeCell ref="P60:T60"/>
    <mergeCell ref="U60:Y60"/>
    <mergeCell ref="F63:H63"/>
    <mergeCell ref="L63:M63"/>
    <mergeCell ref="F58:H59"/>
    <mergeCell ref="I58:L59"/>
    <mergeCell ref="M58:O59"/>
    <mergeCell ref="P58:P59"/>
    <mergeCell ref="Q58:T59"/>
    <mergeCell ref="U58:U59"/>
    <mergeCell ref="F72:K72"/>
    <mergeCell ref="F74:H75"/>
    <mergeCell ref="I74:L75"/>
    <mergeCell ref="M74:O75"/>
    <mergeCell ref="P74:T75"/>
    <mergeCell ref="U74:Y75"/>
    <mergeCell ref="F68:H71"/>
    <mergeCell ref="I68:L71"/>
    <mergeCell ref="M68:O69"/>
    <mergeCell ref="P68:P69"/>
    <mergeCell ref="Q68:T69"/>
    <mergeCell ref="U68:Y69"/>
    <mergeCell ref="M70:O71"/>
    <mergeCell ref="P70:P71"/>
    <mergeCell ref="Q70:T71"/>
    <mergeCell ref="U70:Y71"/>
    <mergeCell ref="V76:Y77"/>
    <mergeCell ref="F78:K78"/>
    <mergeCell ref="P78:T78"/>
    <mergeCell ref="U78:Y78"/>
    <mergeCell ref="F82:H82"/>
    <mergeCell ref="J82:L82"/>
    <mergeCell ref="M82:O82"/>
    <mergeCell ref="F76:H77"/>
    <mergeCell ref="I76:L77"/>
    <mergeCell ref="M76:O77"/>
    <mergeCell ref="P76:P77"/>
    <mergeCell ref="Q76:T77"/>
    <mergeCell ref="U76:U77"/>
    <mergeCell ref="S86:U86"/>
    <mergeCell ref="V86:Z86"/>
    <mergeCell ref="C87:F87"/>
    <mergeCell ref="G87:I87"/>
    <mergeCell ref="AC87:AC88"/>
    <mergeCell ref="F88:I88"/>
    <mergeCell ref="J88:L88"/>
    <mergeCell ref="C83:H83"/>
    <mergeCell ref="I83:L83"/>
    <mergeCell ref="N83:Q83"/>
    <mergeCell ref="I84:N84"/>
    <mergeCell ref="D86:E86"/>
    <mergeCell ref="F86:H86"/>
    <mergeCell ref="M86:N86"/>
    <mergeCell ref="H91:N91"/>
    <mergeCell ref="O91:R91"/>
    <mergeCell ref="U91:Z91"/>
    <mergeCell ref="M92:P92"/>
    <mergeCell ref="H93:N93"/>
    <mergeCell ref="O93:P93"/>
    <mergeCell ref="R93:S93"/>
    <mergeCell ref="U93:Z93"/>
    <mergeCell ref="H89:N89"/>
    <mergeCell ref="O89:R89"/>
    <mergeCell ref="U89:Z89"/>
    <mergeCell ref="H90:N90"/>
    <mergeCell ref="O90:R90"/>
    <mergeCell ref="U90:Z90"/>
    <mergeCell ref="S100:U100"/>
    <mergeCell ref="H101:N101"/>
    <mergeCell ref="O101:R101"/>
    <mergeCell ref="S101:U101"/>
    <mergeCell ref="H102:N102"/>
    <mergeCell ref="O102:R102"/>
    <mergeCell ref="S102:U102"/>
    <mergeCell ref="M95:P95"/>
    <mergeCell ref="M96:P96"/>
    <mergeCell ref="H97:N97"/>
    <mergeCell ref="O97:R97"/>
    <mergeCell ref="U97:Z97"/>
    <mergeCell ref="H98:N98"/>
    <mergeCell ref="O98:R98"/>
    <mergeCell ref="U98:Z98"/>
    <mergeCell ref="AD110:AE110"/>
    <mergeCell ref="I111:N111"/>
    <mergeCell ref="AD106:AE106"/>
    <mergeCell ref="H107:N107"/>
    <mergeCell ref="O107:R107"/>
    <mergeCell ref="U107:Z107"/>
    <mergeCell ref="AD107:AE107"/>
    <mergeCell ref="AD108:AE108"/>
    <mergeCell ref="H103:N103"/>
    <mergeCell ref="O103:R103"/>
    <mergeCell ref="U103:Z103"/>
    <mergeCell ref="H105:N105"/>
    <mergeCell ref="O105:R105"/>
    <mergeCell ref="H106:N106"/>
    <mergeCell ref="O106:R106"/>
    <mergeCell ref="I112:N112"/>
    <mergeCell ref="O112:R113"/>
    <mergeCell ref="S112:S113"/>
    <mergeCell ref="I113:N113"/>
    <mergeCell ref="I114:N114"/>
    <mergeCell ref="O114:R114"/>
    <mergeCell ref="G109:S109"/>
    <mergeCell ref="G110:H111"/>
    <mergeCell ref="I110:N110"/>
    <mergeCell ref="O110:R111"/>
    <mergeCell ref="S110:S111"/>
    <mergeCell ref="H116:N116"/>
    <mergeCell ref="O116:R116"/>
    <mergeCell ref="U116:Z116"/>
    <mergeCell ref="F118:I118"/>
    <mergeCell ref="J118:L118"/>
    <mergeCell ref="L124:M124"/>
    <mergeCell ref="O124:P124"/>
    <mergeCell ref="W124:AA124"/>
    <mergeCell ref="H126:N126"/>
    <mergeCell ref="O126:R126"/>
    <mergeCell ref="U126:Z126"/>
    <mergeCell ref="O129:AA129"/>
    <mergeCell ref="E130:H132"/>
    <mergeCell ref="I130:M131"/>
    <mergeCell ref="T130:T132"/>
    <mergeCell ref="O142:P142"/>
    <mergeCell ref="Q142:S142"/>
    <mergeCell ref="U142:W142"/>
    <mergeCell ref="I146:N146"/>
    <mergeCell ref="O146:T146"/>
    <mergeCell ref="X130:X132"/>
    <mergeCell ref="O131:P131"/>
    <mergeCell ref="Q131:S131"/>
    <mergeCell ref="U131:W131"/>
    <mergeCell ref="I132:M132"/>
    <mergeCell ref="O132:P132"/>
    <mergeCell ref="Q132:S132"/>
    <mergeCell ref="U132:W132"/>
    <mergeCell ref="E134:H136"/>
    <mergeCell ref="I134:M135"/>
    <mergeCell ref="O135:S135"/>
    <mergeCell ref="O130:P130"/>
    <mergeCell ref="Q130:S130"/>
    <mergeCell ref="U130:W130"/>
    <mergeCell ref="Y135:Z135"/>
    <mergeCell ref="B184:C184"/>
    <mergeCell ref="D184:G184"/>
    <mergeCell ref="I184:L184"/>
    <mergeCell ref="B185:C185"/>
    <mergeCell ref="D185:E185"/>
    <mergeCell ref="C188:D188"/>
    <mergeCell ref="E188:I188"/>
    <mergeCell ref="C189:D189"/>
    <mergeCell ref="E189:I189"/>
    <mergeCell ref="C190:D190"/>
    <mergeCell ref="E190:I190"/>
    <mergeCell ref="C191:D191"/>
    <mergeCell ref="E191:I191"/>
    <mergeCell ref="E192:I192"/>
    <mergeCell ref="J192:L192"/>
    <mergeCell ref="F193:G193"/>
    <mergeCell ref="H193:L193"/>
    <mergeCell ref="F194:G194"/>
    <mergeCell ref="H194:L194"/>
    <mergeCell ref="F196:G196"/>
    <mergeCell ref="H196:L196"/>
    <mergeCell ref="F197:G197"/>
    <mergeCell ref="H197:L197"/>
    <mergeCell ref="F198:G198"/>
    <mergeCell ref="H198:L198"/>
    <mergeCell ref="E199:I199"/>
    <mergeCell ref="J199:L199"/>
    <mergeCell ref="F200:J200"/>
    <mergeCell ref="K200:M200"/>
    <mergeCell ref="N200:P202"/>
    <mergeCell ref="F201:J201"/>
    <mergeCell ref="K201:M201"/>
    <mergeCell ref="F202:J202"/>
    <mergeCell ref="K202:M202"/>
    <mergeCell ref="C206:D206"/>
    <mergeCell ref="E206:J206"/>
    <mergeCell ref="C207:D207"/>
    <mergeCell ref="E207:J207"/>
    <mergeCell ref="F208:G209"/>
    <mergeCell ref="H208:J208"/>
    <mergeCell ref="K208:M208"/>
    <mergeCell ref="H209:J209"/>
    <mergeCell ref="K209:M209"/>
    <mergeCell ref="C210:D210"/>
    <mergeCell ref="E210:J210"/>
    <mergeCell ref="C211:D211"/>
    <mergeCell ref="E211:J211"/>
    <mergeCell ref="F212:G213"/>
    <mergeCell ref="H212:I212"/>
    <mergeCell ref="J212:M212"/>
    <mergeCell ref="H213:I213"/>
    <mergeCell ref="J213:M213"/>
    <mergeCell ref="C214:D214"/>
    <mergeCell ref="E214:J214"/>
    <mergeCell ref="F215:G215"/>
    <mergeCell ref="H215:I215"/>
    <mergeCell ref="J215:K215"/>
    <mergeCell ref="L215:M215"/>
    <mergeCell ref="F216:G216"/>
    <mergeCell ref="H216:I216"/>
    <mergeCell ref="J216:K216"/>
    <mergeCell ref="L216:M216"/>
    <mergeCell ref="F217:G217"/>
    <mergeCell ref="H217:I217"/>
    <mergeCell ref="F218:M218"/>
    <mergeCell ref="F219:G219"/>
    <mergeCell ref="H219:M219"/>
    <mergeCell ref="E220:J220"/>
    <mergeCell ref="C221:D223"/>
    <mergeCell ref="E221:J221"/>
    <mergeCell ref="E222:J222"/>
    <mergeCell ref="E223:J223"/>
    <mergeCell ref="F224:M224"/>
    <mergeCell ref="F225:G225"/>
    <mergeCell ref="H225:M225"/>
    <mergeCell ref="P222:Q222"/>
    <mergeCell ref="P223:Q223"/>
    <mergeCell ref="F230:G230"/>
    <mergeCell ref="H230:M230"/>
    <mergeCell ref="F231:G231"/>
    <mergeCell ref="H231:M231"/>
    <mergeCell ref="C232:D232"/>
    <mergeCell ref="E232:J232"/>
    <mergeCell ref="F195:G195"/>
    <mergeCell ref="H195:L195"/>
    <mergeCell ref="O222:O223"/>
    <mergeCell ref="F226:G226"/>
    <mergeCell ref="H226:M226"/>
    <mergeCell ref="F227:K227"/>
    <mergeCell ref="L227:Q227"/>
    <mergeCell ref="F228:F229"/>
    <mergeCell ref="G228:I228"/>
    <mergeCell ref="J228:K228"/>
    <mergeCell ref="L228:L229"/>
    <mergeCell ref="M228:O228"/>
    <mergeCell ref="P228:Q228"/>
    <mergeCell ref="G229:I229"/>
    <mergeCell ref="J229:K229"/>
    <mergeCell ref="M229:O229"/>
    <mergeCell ref="P229:Q229"/>
    <mergeCell ref="C220:D220"/>
  </mergeCells>
  <dataValidations count="8">
    <dataValidation type="list" allowBlank="1" showInputMessage="1" showErrorMessage="1" sqref="M23:O23" xr:uid="{39EBD459-BF12-4A47-923A-D3915DF7A305}">
      <formula1>$AD$27:$AF$27</formula1>
    </dataValidation>
    <dataValidation type="list" allowBlank="1" showInputMessage="1" showErrorMessage="1" sqref="M22:O22" xr:uid="{CB93C1BB-E91A-46AC-A0FE-35FE6F88E479}">
      <formula1>$AD$23:$AF$23</formula1>
    </dataValidation>
    <dataValidation type="list" allowBlank="1" showInputMessage="1" showErrorMessage="1" sqref="G87:I87" xr:uid="{975EFC59-B6D8-4C9B-B275-10D8F8A0899E}">
      <formula1>$AD$87:$AD$88</formula1>
    </dataValidation>
    <dataValidation type="list" allowBlank="1" showInputMessage="1" showErrorMessage="1" sqref="G64:I64" xr:uid="{E286D32A-36A3-4A6E-AAF6-1D5A2F6FE303}">
      <formula1>$AD$64:$AD$65</formula1>
    </dataValidation>
    <dataValidation type="list" allowBlank="1" showInputMessage="1" showErrorMessage="1" sqref="G46:I46" xr:uid="{421B46A2-60D4-4FF6-907F-0C66AA7CE09C}">
      <formula1>$AD$46:$AD$47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M43 I43 I41 R43 P76 P70 P68 U76" xr:uid="{5F64D768-D42E-4C58-9BB3-9FD8C3E14FE3}">
      <formula1>$B$38:$B$39</formula1>
    </dataValidation>
    <dataValidation type="list" allowBlank="1" showInputMessage="1" showErrorMessage="1" sqref="I36:I37 U81 P58:P59 U58:U59 P50:P53 P81" xr:uid="{84E51EE9-DF19-47A4-A27D-BE04D7958004}">
      <formula1>$A$38:$A$39</formula1>
    </dataValidation>
  </dataValidations>
  <printOptions horizontalCentered="1" verticalCentered="1"/>
  <pageMargins left="0.25" right="0.25" top="0.1" bottom="0.1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180</xdr:row>
                    <xdr:rowOff>57150</xdr:rowOff>
                  </from>
                  <to>
                    <xdr:col>7</xdr:col>
                    <xdr:colOff>361950</xdr:colOff>
                    <xdr:row>181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8"/>
  <sheetViews>
    <sheetView topLeftCell="A35" zoomScaleNormal="100" workbookViewId="0">
      <selection activeCell="B54" sqref="B54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61" customWidth="1"/>
    <col min="6" max="6" width="7.140625" style="195" customWidth="1"/>
    <col min="7" max="7" width="7.140625" style="59" customWidth="1"/>
    <col min="8" max="9" width="8.140625" style="16" customWidth="1"/>
    <col min="10" max="11" width="7.140625" style="16" customWidth="1"/>
    <col min="12" max="12" width="9.85546875" style="16" customWidth="1"/>
    <col min="13" max="13" width="8.140625" style="197" customWidth="1"/>
    <col min="14" max="15" width="7.140625" style="16" customWidth="1"/>
    <col min="16" max="17" width="9.28515625" style="16" customWidth="1"/>
    <col min="18" max="19" width="7.140625" style="16" customWidth="1"/>
    <col min="20" max="20" width="11" style="16" customWidth="1"/>
    <col min="21" max="22" width="7.140625" style="16" customWidth="1"/>
    <col min="23" max="23" width="7.140625" style="188" customWidth="1"/>
    <col min="24" max="24" width="11.28515625" style="188" customWidth="1"/>
    <col min="25" max="25" width="11.7109375" style="188" customWidth="1"/>
    <col min="26" max="26" width="12.42578125" style="188" customWidth="1"/>
    <col min="27" max="27" width="13" style="197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9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7" customFormat="1" ht="11.25" customHeight="1">
      <c r="B1" s="16"/>
      <c r="C1" s="974" t="s">
        <v>143</v>
      </c>
      <c r="D1" s="974"/>
      <c r="E1" s="974"/>
      <c r="F1" s="974"/>
      <c r="G1" s="975" t="s">
        <v>144</v>
      </c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975"/>
      <c r="X1" s="975"/>
      <c r="Y1" s="975"/>
      <c r="Z1" s="188"/>
      <c r="AA1" s="197"/>
      <c r="AE1" s="93"/>
      <c r="BO1" s="24"/>
    </row>
    <row r="2" spans="1:67" customFormat="1" ht="11.25" customHeight="1">
      <c r="B2" s="16"/>
      <c r="C2" s="974"/>
      <c r="D2" s="974"/>
      <c r="E2" s="974"/>
      <c r="F2" s="974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5"/>
      <c r="U2" s="975"/>
      <c r="V2" s="975"/>
      <c r="W2" s="975"/>
      <c r="X2" s="975"/>
      <c r="Y2" s="975"/>
      <c r="Z2" s="188"/>
      <c r="AA2" s="197"/>
      <c r="AE2" s="93"/>
      <c r="BO2" s="24"/>
    </row>
    <row r="3" spans="1:67" customFormat="1" ht="11.25" customHeight="1">
      <c r="B3" s="16"/>
      <c r="C3" s="974"/>
      <c r="D3" s="974"/>
      <c r="E3" s="974"/>
      <c r="F3" s="974"/>
      <c r="G3" s="718" t="s">
        <v>148</v>
      </c>
      <c r="H3" s="718"/>
      <c r="I3" s="718"/>
      <c r="J3" s="719" t="s">
        <v>147</v>
      </c>
      <c r="K3" s="719"/>
      <c r="L3" s="719"/>
      <c r="M3" s="197"/>
      <c r="N3" s="16"/>
      <c r="O3" s="16"/>
      <c r="P3" s="16"/>
      <c r="Q3" s="16"/>
      <c r="R3" s="16"/>
      <c r="S3" s="16"/>
      <c r="T3" s="16"/>
      <c r="U3" s="16"/>
      <c r="V3" s="16"/>
      <c r="W3" s="188"/>
      <c r="X3" s="188"/>
      <c r="Y3" s="188"/>
      <c r="Z3" s="188"/>
      <c r="AA3" s="197"/>
      <c r="AE3" s="93"/>
      <c r="BO3" s="24"/>
    </row>
    <row r="4" spans="1:67" customFormat="1" ht="11.25" customHeight="1">
      <c r="B4" s="16"/>
      <c r="C4" s="974"/>
      <c r="D4" s="974"/>
      <c r="E4" s="974"/>
      <c r="F4" s="974"/>
      <c r="G4" s="613"/>
      <c r="H4" s="613"/>
      <c r="I4" s="613"/>
      <c r="J4" s="720"/>
      <c r="K4" s="720"/>
      <c r="L4" s="720"/>
      <c r="M4" s="197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88"/>
      <c r="X4" s="188"/>
      <c r="Y4" s="188"/>
      <c r="Z4" s="188"/>
      <c r="AA4" s="197"/>
      <c r="AE4" s="93"/>
      <c r="BO4" s="24"/>
    </row>
    <row r="5" spans="1:67" ht="17.25" customHeight="1" thickBot="1"/>
    <row r="6" spans="1:67" customFormat="1" ht="17.25" customHeight="1" thickBot="1">
      <c r="B6" s="25" t="s">
        <v>0</v>
      </c>
      <c r="C6" s="26"/>
      <c r="D6" s="26"/>
      <c r="E6" s="262" t="str">
        <f>dateDecimale2txt(dateConvert2Decimal(E7),0)</f>
        <v>2024/06/28</v>
      </c>
      <c r="F6" s="105"/>
      <c r="G6" s="106"/>
      <c r="H6" s="107"/>
      <c r="I6" s="105"/>
      <c r="J6" s="105"/>
      <c r="K6" s="105"/>
      <c r="L6" s="26"/>
      <c r="M6" s="207"/>
      <c r="N6" s="26" t="s">
        <v>349</v>
      </c>
      <c r="O6" s="26"/>
      <c r="P6" s="26"/>
      <c r="Q6" s="26"/>
      <c r="R6" s="26"/>
      <c r="S6" s="26" t="s">
        <v>350</v>
      </c>
      <c r="T6" s="1259">
        <f>dateConvert2Decimal(E7)</f>
        <v>1719532800</v>
      </c>
      <c r="U6" s="1259"/>
      <c r="V6" s="1259"/>
      <c r="W6" s="26" t="s">
        <v>351</v>
      </c>
      <c r="X6" s="1010">
        <f>(T6/86400)+DATE(1970,1,1)</f>
        <v>45471</v>
      </c>
      <c r="Y6" s="1010"/>
      <c r="Z6" s="26" t="s">
        <v>352</v>
      </c>
      <c r="AA6" s="228">
        <f>INT(MONTH(X6))</f>
        <v>6</v>
      </c>
      <c r="AB6" s="207"/>
      <c r="AC6" s="207"/>
      <c r="AE6" s="93"/>
      <c r="BO6" s="24"/>
    </row>
    <row r="7" spans="1:67" customFormat="1" ht="17.25" customHeight="1">
      <c r="B7" s="16"/>
      <c r="C7" s="714" t="s">
        <v>1</v>
      </c>
      <c r="D7" s="715"/>
      <c r="E7" s="596" t="s">
        <v>559</v>
      </c>
      <c r="F7" s="597"/>
      <c r="G7" s="597"/>
      <c r="H7" s="59"/>
      <c r="I7" s="16"/>
      <c r="J7" s="16"/>
      <c r="K7" s="16"/>
      <c r="L7" s="16"/>
      <c r="M7" s="197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93"/>
      <c r="BO7" s="24"/>
    </row>
    <row r="8" spans="1:67" customFormat="1" ht="17.25" customHeight="1" thickBot="1">
      <c r="B8" s="16"/>
      <c r="C8" s="14"/>
      <c r="D8" s="14"/>
      <c r="E8" s="263"/>
      <c r="F8" s="200"/>
      <c r="G8" s="14"/>
      <c r="H8" s="14"/>
      <c r="I8" s="14"/>
      <c r="J8" s="14"/>
      <c r="K8" s="14"/>
      <c r="L8" s="14"/>
      <c r="M8" s="209"/>
      <c r="N8" s="14"/>
      <c r="O8" s="14"/>
      <c r="P8" s="14"/>
      <c r="Q8" s="14"/>
      <c r="R8" s="14"/>
      <c r="S8" s="14"/>
      <c r="T8" s="14"/>
      <c r="U8" s="14"/>
      <c r="V8" s="14"/>
      <c r="W8" s="202"/>
      <c r="X8" s="202"/>
      <c r="Y8" s="202"/>
      <c r="Z8" s="188"/>
      <c r="AA8" s="197"/>
      <c r="AE8" s="93"/>
      <c r="BO8" s="24"/>
    </row>
    <row r="9" spans="1:67" customFormat="1" ht="17.25" customHeight="1" thickBot="1">
      <c r="B9" s="25" t="s">
        <v>17</v>
      </c>
      <c r="C9" s="26"/>
      <c r="D9" s="26"/>
      <c r="E9" s="264"/>
      <c r="F9" s="201"/>
      <c r="G9" s="26"/>
      <c r="H9" s="26"/>
      <c r="I9" s="26"/>
      <c r="J9" s="26"/>
      <c r="K9" s="26"/>
      <c r="L9" s="26"/>
      <c r="M9" s="207"/>
      <c r="N9" s="26"/>
      <c r="O9" s="26"/>
      <c r="P9" s="26"/>
      <c r="Q9" s="26"/>
      <c r="R9" s="26"/>
      <c r="S9" s="26"/>
      <c r="T9" s="26"/>
      <c r="U9" s="26"/>
      <c r="V9" s="26"/>
      <c r="W9" s="203"/>
      <c r="X9" s="203"/>
      <c r="Y9" s="203"/>
      <c r="Z9" s="203"/>
      <c r="AA9" s="207"/>
      <c r="AB9" s="207"/>
      <c r="AC9" s="207"/>
      <c r="AE9" s="93"/>
      <c r="BO9" s="24"/>
    </row>
    <row r="10" spans="1:67" ht="17.25" customHeight="1">
      <c r="C10" s="14"/>
      <c r="D10" s="14"/>
      <c r="E10" s="561" t="s">
        <v>7</v>
      </c>
      <c r="F10" s="561"/>
      <c r="G10" s="561"/>
      <c r="H10" s="561"/>
      <c r="I10" s="14"/>
      <c r="J10" s="14"/>
      <c r="K10" s="14"/>
      <c r="L10" s="14"/>
      <c r="M10" s="209"/>
      <c r="N10" s="14"/>
      <c r="O10" s="14"/>
      <c r="P10" s="14"/>
      <c r="Q10" s="14"/>
      <c r="R10" s="14"/>
      <c r="S10" s="14"/>
      <c r="T10" s="14"/>
      <c r="U10" s="14"/>
      <c r="V10" s="14"/>
    </row>
    <row r="11" spans="1:67" ht="17.25" customHeight="1" thickBot="1">
      <c r="C11" s="14"/>
      <c r="D11" s="14"/>
      <c r="E11" s="561"/>
      <c r="F11" s="561"/>
      <c r="G11" s="561"/>
      <c r="H11" s="561"/>
      <c r="I11" s="14"/>
      <c r="J11" s="14" t="s">
        <v>140</v>
      </c>
      <c r="K11" s="14"/>
      <c r="L11" s="14" t="s">
        <v>141</v>
      </c>
      <c r="M11" s="209"/>
      <c r="N11" s="14"/>
      <c r="O11" s="14"/>
      <c r="P11" s="14"/>
      <c r="Q11" s="14"/>
      <c r="R11" s="14"/>
      <c r="S11" s="14"/>
      <c r="T11" s="14"/>
      <c r="U11" s="14"/>
      <c r="V11" s="14"/>
    </row>
    <row r="12" spans="1:67" ht="17.25" customHeight="1" thickTop="1" thickBot="1">
      <c r="A12" s="555" t="s">
        <v>34</v>
      </c>
      <c r="B12" s="556"/>
      <c r="C12" s="557"/>
      <c r="D12" s="14"/>
      <c r="E12" s="263"/>
      <c r="F12" s="1232">
        <f>AH12*angleConvert2Decimal(I12)</f>
        <v>-50.05</v>
      </c>
      <c r="G12" s="1233"/>
      <c r="H12" s="206" t="s">
        <v>4</v>
      </c>
      <c r="I12" s="205" t="s">
        <v>560</v>
      </c>
      <c r="J12" s="1245" t="str">
        <f>angleDecimal2Txt(F12)</f>
        <v>-50°03.00 (-50.0499) [-50°03'00.00]</v>
      </c>
      <c r="K12" s="1246"/>
      <c r="L12" s="1246"/>
      <c r="M12" s="471"/>
      <c r="N12"/>
      <c r="O12"/>
      <c r="P12"/>
      <c r="Q12"/>
      <c r="R12"/>
      <c r="S12"/>
      <c r="T12"/>
      <c r="U12"/>
      <c r="V12"/>
      <c r="W12"/>
      <c r="X12"/>
      <c r="Y12" s="202"/>
      <c r="Z12" s="202"/>
      <c r="AG12" s="3" t="s">
        <v>179</v>
      </c>
      <c r="AH12" s="3">
        <f>VLOOKUP(H12,$A$13:$C$14,3)</f>
        <v>-1</v>
      </c>
      <c r="AI12" s="16"/>
      <c r="BO12" s="31"/>
    </row>
    <row r="13" spans="1:67" ht="17.25" customHeight="1">
      <c r="A13" s="17" t="s">
        <v>3</v>
      </c>
      <c r="B13" s="32" t="s">
        <v>5</v>
      </c>
      <c r="C13" s="18">
        <v>1</v>
      </c>
      <c r="D13" s="14"/>
      <c r="E13" s="263"/>
      <c r="F13" s="200"/>
      <c r="G13" s="14"/>
      <c r="H13" s="14"/>
      <c r="BO13" s="31"/>
    </row>
    <row r="14" spans="1:67" ht="17.25" customHeight="1" thickBot="1">
      <c r="A14" s="19" t="s">
        <v>4</v>
      </c>
      <c r="B14" s="20" t="s">
        <v>6</v>
      </c>
      <c r="C14" s="21">
        <v>-1</v>
      </c>
      <c r="D14" s="14"/>
      <c r="E14" s="577" t="s">
        <v>8</v>
      </c>
      <c r="F14" s="577"/>
      <c r="G14" s="577"/>
      <c r="H14" s="577"/>
      <c r="I14" s="14"/>
      <c r="J14" s="14"/>
      <c r="K14" s="14"/>
      <c r="L14" s="14"/>
      <c r="M14" s="209"/>
      <c r="N14" s="14"/>
      <c r="O14" s="14"/>
      <c r="P14" s="14"/>
      <c r="Q14" s="14"/>
      <c r="R14" s="14"/>
      <c r="S14" s="14"/>
      <c r="T14" s="14"/>
      <c r="U14" s="14"/>
      <c r="V14" s="14"/>
      <c r="BO14" s="31"/>
    </row>
    <row r="15" spans="1:67" ht="17.25" customHeight="1" thickBot="1">
      <c r="C15" s="14"/>
      <c r="D15" s="14"/>
      <c r="E15" s="577"/>
      <c r="F15" s="577"/>
      <c r="G15" s="577"/>
      <c r="H15" s="577"/>
      <c r="I15" s="14"/>
      <c r="J15" s="14" t="s">
        <v>140</v>
      </c>
      <c r="K15" s="14"/>
      <c r="L15" s="14" t="s">
        <v>149</v>
      </c>
      <c r="M15" s="209"/>
      <c r="N15" s="14"/>
      <c r="O15" s="14"/>
      <c r="P15" s="14"/>
      <c r="Q15" s="14"/>
      <c r="R15" s="14"/>
      <c r="S15" s="14"/>
      <c r="T15" s="14"/>
      <c r="U15" s="14"/>
      <c r="V15" s="14"/>
      <c r="BO15" s="31"/>
    </row>
    <row r="16" spans="1:67" ht="17.25" customHeight="1" thickTop="1" thickBot="1">
      <c r="B16" s="14"/>
      <c r="C16" s="14"/>
      <c r="D16" s="14"/>
      <c r="E16" s="263"/>
      <c r="F16" s="1232">
        <f>AH16*angleConvert2Decimal(I16)</f>
        <v>-9.0333333333333332</v>
      </c>
      <c r="G16" s="1233"/>
      <c r="H16" s="206" t="s">
        <v>6</v>
      </c>
      <c r="I16" s="205" t="s">
        <v>561</v>
      </c>
      <c r="J16" s="1245" t="str">
        <f>angleDecimal2Txt(F16)</f>
        <v>-09°02.00 (-09.0333) [-09°02'00.00]</v>
      </c>
      <c r="K16" s="1246"/>
      <c r="L16" s="1246"/>
      <c r="M16" s="471"/>
      <c r="N16"/>
      <c r="O16"/>
      <c r="P16"/>
      <c r="Q16"/>
      <c r="R16"/>
      <c r="S16"/>
      <c r="T16"/>
      <c r="U16"/>
      <c r="V16"/>
      <c r="W16"/>
      <c r="X16"/>
      <c r="Y16" s="202"/>
      <c r="Z16" s="202"/>
      <c r="AG16" s="3" t="s">
        <v>181</v>
      </c>
      <c r="AH16" s="3">
        <f>VLOOKUP(H16,B13:C14,2)</f>
        <v>-1</v>
      </c>
    </row>
    <row r="17" spans="1:68" ht="17.25" customHeight="1" thickTop="1" thickBot="1">
      <c r="C17" s="14"/>
      <c r="D17" s="14"/>
      <c r="E17" s="263"/>
      <c r="F17" s="200"/>
      <c r="G17" s="14"/>
      <c r="H17" s="14"/>
      <c r="I17" s="14"/>
      <c r="J17" s="14"/>
      <c r="K17" s="14"/>
      <c r="L17" s="14"/>
      <c r="M17" s="209"/>
      <c r="N17" s="14"/>
      <c r="O17" s="14"/>
      <c r="P17" s="14"/>
      <c r="Q17" s="14"/>
      <c r="R17" s="14"/>
      <c r="S17" s="14"/>
      <c r="T17" s="14"/>
      <c r="U17" s="14"/>
      <c r="V17" s="14"/>
      <c r="W17" s="202"/>
      <c r="X17" s="202"/>
      <c r="Y17" s="202"/>
      <c r="Z17" s="202"/>
    </row>
    <row r="18" spans="1:68" customFormat="1" ht="17.25" customHeight="1" thickBot="1">
      <c r="B18" s="25" t="s">
        <v>375</v>
      </c>
      <c r="C18" s="26"/>
      <c r="D18" s="26"/>
      <c r="E18" s="264"/>
      <c r="F18" s="201"/>
      <c r="G18" s="26"/>
      <c r="H18" s="26"/>
      <c r="I18" s="26"/>
      <c r="J18" s="26"/>
      <c r="K18" s="26"/>
      <c r="L18" s="26"/>
      <c r="M18" s="207"/>
      <c r="N18" s="26"/>
      <c r="O18" s="26"/>
      <c r="P18" s="26"/>
      <c r="Q18" s="26"/>
      <c r="R18" s="26"/>
      <c r="S18" s="26"/>
      <c r="T18" s="26"/>
      <c r="U18" s="26"/>
      <c r="V18" s="26"/>
      <c r="W18" s="203"/>
      <c r="X18" s="203"/>
      <c r="Y18" s="203"/>
      <c r="Z18" s="203"/>
      <c r="AA18" s="207"/>
      <c r="AB18" s="207"/>
      <c r="AC18" s="207"/>
      <c r="AE18" s="93"/>
      <c r="BO18" s="24"/>
    </row>
    <row r="19" spans="1:68" customFormat="1" ht="18" customHeight="1" thickBot="1">
      <c r="B19" s="16"/>
      <c r="C19" s="548" t="s">
        <v>19</v>
      </c>
      <c r="D19" s="548"/>
      <c r="E19" s="548"/>
      <c r="F19" s="548"/>
      <c r="G19" s="548"/>
      <c r="H19" s="548"/>
      <c r="I19" s="548"/>
      <c r="J19" s="191"/>
      <c r="K19" s="189">
        <f>0.0293 * SQRT(M19)</f>
        <v>0.14354009892709421</v>
      </c>
      <c r="L19" s="190" t="s">
        <v>28</v>
      </c>
      <c r="M19" s="538">
        <v>24</v>
      </c>
      <c r="N19" s="538"/>
      <c r="O19" s="538"/>
      <c r="P19" s="14"/>
      <c r="Q19" s="14"/>
      <c r="R19" s="14"/>
      <c r="S19" s="14"/>
      <c r="T19" s="14"/>
      <c r="U19" s="14"/>
      <c r="V19" s="14"/>
      <c r="W19" s="202"/>
      <c r="X19" s="202"/>
      <c r="Y19" s="202"/>
      <c r="Z19" s="188"/>
      <c r="AA19" s="197"/>
      <c r="AE19" s="93"/>
      <c r="BO19" s="24"/>
    </row>
    <row r="20" spans="1:68" customFormat="1" ht="18" customHeight="1" thickTop="1" thickBot="1">
      <c r="B20" s="14"/>
      <c r="C20" s="1249" t="s">
        <v>20</v>
      </c>
      <c r="D20" s="1250"/>
      <c r="E20" s="1250"/>
      <c r="F20" s="1250"/>
      <c r="G20" s="1250"/>
      <c r="H20" s="1250"/>
      <c r="I20" s="1251"/>
      <c r="J20" s="389" cm="1">
        <f t="array" ref="J20">angleConvert2Decimal(M20)</f>
        <v>2.5000000000000001E-2</v>
      </c>
      <c r="K20" s="192" t="s">
        <v>28</v>
      </c>
      <c r="L20" s="240" t="s">
        <v>418</v>
      </c>
      <c r="M20" s="537" t="s">
        <v>562</v>
      </c>
      <c r="N20" s="538"/>
      <c r="O20" s="538"/>
      <c r="P20" s="474" t="str" cm="1">
        <f t="array" ref="P20">angleDecimal2Txt(J20)</f>
        <v>+00°01.50 (+00.0250) [+00°01'30.00]</v>
      </c>
      <c r="Q20" s="474"/>
      <c r="R20" s="474"/>
      <c r="S20" s="474"/>
      <c r="T20" s="474"/>
      <c r="U20" s="474"/>
      <c r="V20" s="474"/>
      <c r="W20" s="474"/>
      <c r="X20" s="474"/>
      <c r="Y20" s="202"/>
      <c r="Z20" s="188"/>
      <c r="AA20" s="197"/>
      <c r="AE20" s="93"/>
      <c r="BO20" s="24"/>
    </row>
    <row r="21" spans="1:68" ht="17.25" customHeight="1" thickTop="1"/>
    <row r="22" spans="1:68" ht="17.25" customHeight="1" thickBot="1">
      <c r="A22" s="14"/>
      <c r="C22" s="14"/>
      <c r="D22"/>
      <c r="E22" s="265"/>
      <c r="F22" s="194"/>
      <c r="G22"/>
      <c r="H22"/>
      <c r="I22"/>
      <c r="J22"/>
      <c r="K22"/>
      <c r="L22"/>
      <c r="M22" s="198"/>
      <c r="N22"/>
      <c r="O22"/>
      <c r="P22"/>
      <c r="Q22"/>
    </row>
    <row r="23" spans="1:68" customFormat="1" ht="17.25" customHeight="1" thickBot="1">
      <c r="A23" s="33"/>
      <c r="B23" s="25" t="s">
        <v>376</v>
      </c>
      <c r="C23" s="26"/>
      <c r="D23" s="26"/>
      <c r="E23" s="264"/>
      <c r="F23" s="201"/>
      <c r="G23" s="26"/>
      <c r="H23" s="26"/>
      <c r="I23" s="26"/>
      <c r="J23" s="26"/>
      <c r="K23" s="26"/>
      <c r="L23" s="26"/>
      <c r="M23" s="207"/>
      <c r="N23" s="26"/>
      <c r="O23" s="26"/>
      <c r="P23" s="26"/>
      <c r="Q23" s="26"/>
      <c r="R23" s="26"/>
      <c r="S23" s="26"/>
      <c r="T23" s="26"/>
      <c r="U23" s="26"/>
      <c r="V23" s="26"/>
      <c r="W23" s="203"/>
      <c r="X23" s="203"/>
      <c r="Y23" s="203"/>
      <c r="Z23" s="203"/>
      <c r="AA23" s="207"/>
      <c r="AB23" s="207"/>
      <c r="AC23" s="207"/>
      <c r="AE23" s="93"/>
      <c r="BO23" s="24"/>
      <c r="BP23" s="16"/>
    </row>
    <row r="24" spans="1:68" customFormat="1" ht="17.25" customHeight="1">
      <c r="E24" s="265"/>
      <c r="F24" s="194"/>
      <c r="M24" s="198"/>
      <c r="W24" s="196"/>
      <c r="X24" s="196"/>
      <c r="Y24" s="196"/>
      <c r="Z24" s="196"/>
      <c r="AA24" s="198"/>
      <c r="AE24" s="93"/>
    </row>
    <row r="25" spans="1:68" customFormat="1" ht="13.5" customHeight="1">
      <c r="B25" s="1231"/>
      <c r="C25" s="1231"/>
      <c r="D25" s="1242" t="s">
        <v>158</v>
      </c>
      <c r="E25" s="1252" t="s">
        <v>605</v>
      </c>
      <c r="F25" s="1252"/>
      <c r="G25" s="1252"/>
      <c r="H25" s="1242" t="s">
        <v>60</v>
      </c>
      <c r="I25" s="1242"/>
      <c r="J25" s="1243" t="s">
        <v>382</v>
      </c>
      <c r="K25" s="1243"/>
      <c r="L25" s="1231" t="s">
        <v>208</v>
      </c>
      <c r="M25" s="1231"/>
      <c r="N25" s="1242" t="s">
        <v>86</v>
      </c>
      <c r="O25" s="1242"/>
      <c r="P25" s="16"/>
      <c r="Q25" s="1262" t="s">
        <v>421</v>
      </c>
      <c r="R25" s="1262"/>
      <c r="S25" s="1262"/>
      <c r="T25" s="1262"/>
      <c r="U25" s="16"/>
      <c r="V25" s="1242" t="s">
        <v>422</v>
      </c>
      <c r="W25" s="1242"/>
      <c r="X25" s="1242"/>
      <c r="Y25" s="188"/>
      <c r="Z25" s="188"/>
      <c r="AA25" s="197"/>
      <c r="AE25" s="93"/>
    </row>
    <row r="26" spans="1:68" customFormat="1" ht="15.75" customHeight="1">
      <c r="B26" s="1231"/>
      <c r="C26" s="1231"/>
      <c r="D26" s="1242"/>
      <c r="E26" s="1252"/>
      <c r="F26" s="1252"/>
      <c r="G26" s="1252"/>
      <c r="H26" s="1242"/>
      <c r="I26" s="1242"/>
      <c r="J26" s="1243" t="s">
        <v>392</v>
      </c>
      <c r="K26" s="1243"/>
      <c r="L26" s="1231"/>
      <c r="M26" s="1231"/>
      <c r="N26" s="1242"/>
      <c r="O26" s="1242"/>
      <c r="P26" s="16"/>
      <c r="Q26" s="390" t="s">
        <v>588</v>
      </c>
      <c r="R26" s="193" t="s">
        <v>159</v>
      </c>
      <c r="S26" s="193" t="s">
        <v>17</v>
      </c>
      <c r="T26" s="193"/>
      <c r="U26" s="16"/>
      <c r="V26" s="1242"/>
      <c r="W26" s="1242"/>
      <c r="X26" s="1242"/>
      <c r="Y26" s="188"/>
      <c r="Z26" s="188"/>
      <c r="AA26" s="197"/>
      <c r="AE26" s="93"/>
      <c r="AG26" s="403" t="s">
        <v>381</v>
      </c>
    </row>
    <row r="27" spans="1:68" customFormat="1" ht="26.25" customHeight="1">
      <c r="B27" s="256" t="s">
        <v>32</v>
      </c>
      <c r="C27" s="256" t="s">
        <v>563</v>
      </c>
      <c r="D27" s="257" t="str">
        <f>IF(B27=$AG$26,IF(ISNA(VLOOKUP(C27,$I$43:$I$44,1,FALSE)),"Mauvaise planete","OK"),"OK")</f>
        <v>OK</v>
      </c>
      <c r="E27" s="391" t="s">
        <v>590</v>
      </c>
      <c r="F27" s="1263" t="s">
        <v>595</v>
      </c>
      <c r="G27" s="392">
        <f>heureConvert2Decimal(E27)+$F$31</f>
        <v>3.3344444444444443</v>
      </c>
      <c r="H27" s="258" t="s">
        <v>564</v>
      </c>
      <c r="I27" s="289">
        <f>angleConvert2Decimal(H27)</f>
        <v>18.75</v>
      </c>
      <c r="J27" s="289">
        <f>I27-$J$20-$K$19</f>
        <v>18.581459901072908</v>
      </c>
      <c r="K27" s="259" t="str">
        <f>angleDecimal2Txt(J27,0)</f>
        <v>+18°34.88</v>
      </c>
      <c r="L27" s="258" t="s">
        <v>577</v>
      </c>
      <c r="M27" s="223">
        <f>angleConvert2Decimal(L27)</f>
        <v>280.38333333333333</v>
      </c>
      <c r="N27" s="258" t="s">
        <v>578</v>
      </c>
      <c r="O27" s="260">
        <f>angleConvert2Decimal(N27)</f>
        <v>46.021666666666668</v>
      </c>
      <c r="P27" s="16"/>
      <c r="Q27" s="1242" t="s">
        <v>377</v>
      </c>
      <c r="R27" s="247">
        <v>3</v>
      </c>
      <c r="S27" s="248" t="s">
        <v>573</v>
      </c>
      <c r="T27" s="249">
        <f>angleConvert2Decimal(S27)</f>
        <v>321.70666666666665</v>
      </c>
      <c r="U27" s="16"/>
      <c r="V27" s="1260" t="s">
        <v>65</v>
      </c>
      <c r="W27" s="1261"/>
      <c r="X27" s="253">
        <v>10</v>
      </c>
      <c r="Y27" s="188"/>
      <c r="Z27" s="188"/>
      <c r="AA27" s="197"/>
      <c r="AE27" s="93"/>
      <c r="AG27" s="404" t="s">
        <v>32</v>
      </c>
    </row>
    <row r="28" spans="1:68" customFormat="1" ht="26.25" customHeight="1">
      <c r="B28" s="13" t="s">
        <v>32</v>
      </c>
      <c r="C28" s="13" t="s">
        <v>565</v>
      </c>
      <c r="D28" s="257" t="str">
        <f>IF(B28=$AG$26,IF(ISNA(VLOOKUP(C28,$I$43:$I$44,1,FALSE)),"Mauvaise planete","OK"),"OK")</f>
        <v>OK</v>
      </c>
      <c r="E28" s="391" t="s">
        <v>591</v>
      </c>
      <c r="F28" s="1264"/>
      <c r="G28" s="393">
        <f>heureConvert2Decimal(E28)+$F$31</f>
        <v>3.3688888888888888</v>
      </c>
      <c r="H28" s="12" t="s">
        <v>566</v>
      </c>
      <c r="I28" s="290">
        <f>angleConvert2Decimal(H28)</f>
        <v>51.1</v>
      </c>
      <c r="J28" s="290">
        <f t="shared" ref="J28:J31" si="0">I28-$J$20-$K$19</f>
        <v>50.931459901072905</v>
      </c>
      <c r="K28" s="246" t="str">
        <f t="shared" ref="K28:K31" si="1">angleDecimal2Txt(J28,0)</f>
        <v>+50°55.88</v>
      </c>
      <c r="L28" s="12" t="s">
        <v>579</v>
      </c>
      <c r="M28" s="208">
        <f>angleConvert2Decimal(L28)</f>
        <v>357.58666666666664</v>
      </c>
      <c r="N28" s="12" t="s">
        <v>580</v>
      </c>
      <c r="O28" s="222">
        <f>angleConvert2Decimal(N28)</f>
        <v>29.223333333333333</v>
      </c>
      <c r="P28" s="16"/>
      <c r="Q28" s="1242"/>
      <c r="R28" s="250">
        <v>4</v>
      </c>
      <c r="S28" s="251" t="s">
        <v>574</v>
      </c>
      <c r="T28" s="252">
        <f>angleConvert2Decimal(S28)</f>
        <v>336.74666666666667</v>
      </c>
      <c r="U28" s="16"/>
      <c r="V28" s="255" t="s">
        <v>66</v>
      </c>
      <c r="W28" s="255"/>
      <c r="X28" s="254">
        <v>1010</v>
      </c>
      <c r="Y28" s="188"/>
      <c r="Z28" s="188"/>
      <c r="AA28" s="197"/>
      <c r="AE28" s="93"/>
    </row>
    <row r="29" spans="1:68" customFormat="1" ht="26.25" customHeight="1">
      <c r="B29" s="13" t="s">
        <v>32</v>
      </c>
      <c r="C29" s="13" t="s">
        <v>567</v>
      </c>
      <c r="D29" s="257" t="str">
        <f>IF(B29=$AG$26,IF(ISNA(VLOOKUP(C29,$I$43:$I$44,1,FALSE)),"Mauvaise planete","OK"),"OK")</f>
        <v>OK</v>
      </c>
      <c r="E29" s="391" t="s">
        <v>592</v>
      </c>
      <c r="F29" s="1264"/>
      <c r="G29" s="393">
        <f>heureConvert2Decimal(E29)+$F$31</f>
        <v>3.4166666666666665</v>
      </c>
      <c r="H29" s="12" t="s">
        <v>570</v>
      </c>
      <c r="I29" s="290">
        <f>angleConvert2Decimal(H29)</f>
        <v>45.39</v>
      </c>
      <c r="J29" s="290">
        <f t="shared" si="0"/>
        <v>45.221459901072905</v>
      </c>
      <c r="K29" s="246" t="str">
        <f t="shared" si="1"/>
        <v>+45°13.28</v>
      </c>
      <c r="L29" s="12" t="s">
        <v>581</v>
      </c>
      <c r="M29" s="208">
        <f>angleConvert2Decimal(L29)</f>
        <v>62.001666666666665</v>
      </c>
      <c r="N29" s="12" t="s">
        <v>582</v>
      </c>
      <c r="O29" s="222">
        <f>angleConvert2Decimal(N29)</f>
        <v>8.9316666666666666</v>
      </c>
      <c r="P29" s="16"/>
      <c r="Q29" s="1242"/>
      <c r="R29" s="250">
        <v>5</v>
      </c>
      <c r="S29" s="251" t="s">
        <v>575</v>
      </c>
      <c r="T29" s="252">
        <f>angleConvert2Decimal(S29)</f>
        <v>351.78833333333336</v>
      </c>
      <c r="U29" s="16"/>
      <c r="V29" s="16"/>
      <c r="W29" s="188"/>
      <c r="X29" s="188"/>
      <c r="Y29" s="188"/>
      <c r="Z29" s="188"/>
      <c r="AA29" s="197"/>
      <c r="AE29" s="93"/>
    </row>
    <row r="30" spans="1:68" customFormat="1" ht="26.25" customHeight="1">
      <c r="B30" s="13" t="s">
        <v>32</v>
      </c>
      <c r="C30" s="13" t="s">
        <v>568</v>
      </c>
      <c r="D30" s="257" t="str">
        <f>IF(B30=$AG$26,IF(ISNA(VLOOKUP(C30,$I$43:$I$44,1,FALSE)),"Mauvaise planete","OK"),"OK")</f>
        <v>OK</v>
      </c>
      <c r="E30" s="391" t="s">
        <v>593</v>
      </c>
      <c r="F30" s="1264"/>
      <c r="G30" s="393">
        <f>heureConvert2Decimal(E30)+$F$31</f>
        <v>3.4530555555555558</v>
      </c>
      <c r="H30" s="12" t="s">
        <v>571</v>
      </c>
      <c r="I30" s="290">
        <f>angleConvert2Decimal(H30)</f>
        <v>59.795000000000002</v>
      </c>
      <c r="J30" s="290">
        <f t="shared" si="0"/>
        <v>59.626459901072906</v>
      </c>
      <c r="K30" s="246" t="str">
        <f t="shared" si="1"/>
        <v>+59°37.58</v>
      </c>
      <c r="L30" s="12" t="s">
        <v>583</v>
      </c>
      <c r="M30" s="208">
        <f>angleConvert2Decimal(L30)</f>
        <v>80.551666666666662</v>
      </c>
      <c r="N30" s="12" t="s">
        <v>584</v>
      </c>
      <c r="O30" s="222">
        <f>angleConvert2Decimal(N30)</f>
        <v>38.805</v>
      </c>
      <c r="P30" s="16"/>
      <c r="Q30" s="390" t="s">
        <v>113</v>
      </c>
      <c r="R30" s="16" t="s">
        <v>159</v>
      </c>
      <c r="S30" s="16" t="s">
        <v>17</v>
      </c>
      <c r="T30" s="16" t="s">
        <v>113</v>
      </c>
      <c r="U30" s="16"/>
      <c r="V30" s="16"/>
      <c r="W30" s="188"/>
      <c r="X30" s="188"/>
      <c r="Y30" s="188"/>
      <c r="Z30" s="188"/>
      <c r="AA30" s="197"/>
      <c r="AE30" s="93"/>
      <c r="AK30" t="s">
        <v>419</v>
      </c>
      <c r="AL30" s="16"/>
      <c r="AM30" s="16"/>
      <c r="AN30" s="16"/>
      <c r="AO30" s="16"/>
      <c r="AP30" s="16"/>
      <c r="AQ30" s="16"/>
      <c r="AR30" s="16"/>
    </row>
    <row r="31" spans="1:68" customFormat="1" ht="26.25" customHeight="1">
      <c r="B31" s="13" t="s">
        <v>32</v>
      </c>
      <c r="C31" s="13" t="s">
        <v>569</v>
      </c>
      <c r="D31" s="257" t="str">
        <f>IF(B31=$AG$26,IF(ISNA(VLOOKUP(C31,$I$43:$I$44,1,FALSE)),"Mauvaise planete","OK"),"OK")</f>
        <v>OK</v>
      </c>
      <c r="E31" s="391" t="s">
        <v>594</v>
      </c>
      <c r="F31" s="394" cm="1">
        <f t="array" ref="F31">heureConvert2Decimal(F27)</f>
        <v>-1.1111111111111111E-3</v>
      </c>
      <c r="G31" s="393">
        <f>heureConvert2Decimal(E31)+$F$31</f>
        <v>3.5055555555555555</v>
      </c>
      <c r="H31" s="12" t="s">
        <v>572</v>
      </c>
      <c r="I31" s="290">
        <f>angleConvert2Decimal(H31)</f>
        <v>45.78</v>
      </c>
      <c r="J31" s="290">
        <f t="shared" si="0"/>
        <v>45.611459901072905</v>
      </c>
      <c r="K31" s="246" t="str">
        <f t="shared" si="1"/>
        <v>+45°36.68</v>
      </c>
      <c r="L31" s="12" t="s">
        <v>585</v>
      </c>
      <c r="M31" s="208">
        <f>angleConvert2Decimal(L31)</f>
        <v>137.31666666666666</v>
      </c>
      <c r="N31" s="12" t="s">
        <v>586</v>
      </c>
      <c r="O31" s="222">
        <f>angleConvert2Decimal(N31)</f>
        <v>74.058333333333337</v>
      </c>
      <c r="P31" s="16"/>
      <c r="Q31" s="193" t="s">
        <v>377</v>
      </c>
      <c r="R31" s="250">
        <v>0</v>
      </c>
      <c r="S31" s="251" t="s">
        <v>576</v>
      </c>
      <c r="T31" s="250" t="s">
        <v>406</v>
      </c>
      <c r="U31" s="16"/>
      <c r="V31" s="16"/>
      <c r="W31" s="188"/>
      <c r="X31" s="188"/>
      <c r="Y31" s="188"/>
      <c r="Z31" s="188"/>
      <c r="AA31" s="197"/>
      <c r="AE31" s="93"/>
      <c r="AR31" s="211" t="s">
        <v>154</v>
      </c>
      <c r="AS31" s="212"/>
      <c r="AT31" s="212"/>
      <c r="AU31" s="211" t="s">
        <v>155</v>
      </c>
      <c r="AV31" s="212"/>
      <c r="AW31" s="213"/>
    </row>
    <row r="32" spans="1:68" customFormat="1" ht="14.25" customHeight="1">
      <c r="E32" s="265"/>
      <c r="F32" s="194"/>
      <c r="I32" s="16"/>
      <c r="J32" s="16"/>
      <c r="K32" s="16"/>
      <c r="L32" s="16"/>
      <c r="M32" s="197"/>
      <c r="N32" s="16"/>
      <c r="O32" s="16"/>
      <c r="P32" s="16"/>
      <c r="U32" s="16"/>
      <c r="V32" s="16"/>
      <c r="W32" s="188"/>
      <c r="X32" s="188"/>
      <c r="Y32" s="188"/>
      <c r="Z32" s="188"/>
      <c r="AA32" s="197"/>
      <c r="AE32" s="93"/>
      <c r="AH32" s="1149" t="s">
        <v>603</v>
      </c>
      <c r="AI32" s="1149"/>
      <c r="AJ32" s="1149"/>
      <c r="AK32" s="1149"/>
      <c r="AL32" s="1149"/>
      <c r="AM32" s="1150"/>
      <c r="AR32" s="214"/>
      <c r="AS32" s="215" t="s">
        <v>126</v>
      </c>
      <c r="AT32" s="216" t="s">
        <v>127</v>
      </c>
      <c r="AU32" s="214"/>
      <c r="AV32" s="215" t="s">
        <v>126</v>
      </c>
      <c r="AW32" s="216" t="s">
        <v>128</v>
      </c>
    </row>
    <row r="33" spans="1:68" customFormat="1" ht="12.75" customHeight="1">
      <c r="C33" s="15"/>
      <c r="D33" s="15"/>
      <c r="E33" s="1248" t="s">
        <v>383</v>
      </c>
      <c r="F33" s="1248"/>
      <c r="G33" s="1244" t="s">
        <v>384</v>
      </c>
      <c r="H33" s="1244" t="s">
        <v>385</v>
      </c>
      <c r="I33" s="1244"/>
      <c r="J33" s="1244"/>
      <c r="K33" s="233" t="s">
        <v>99</v>
      </c>
      <c r="L33" s="233" t="s">
        <v>99</v>
      </c>
      <c r="M33" s="1255" t="s">
        <v>109</v>
      </c>
      <c r="N33" s="1255"/>
      <c r="O33" s="1257" t="s">
        <v>377</v>
      </c>
      <c r="P33" s="1257"/>
      <c r="Q33" s="1257"/>
      <c r="R33" s="1257"/>
      <c r="S33" s="1257"/>
      <c r="T33" s="1257"/>
      <c r="U33" s="1247" t="s">
        <v>378</v>
      </c>
      <c r="V33" s="1247" t="s">
        <v>457</v>
      </c>
      <c r="W33" s="1247" t="s">
        <v>43</v>
      </c>
      <c r="X33" s="1247" t="s">
        <v>238</v>
      </c>
      <c r="Y33" s="1247"/>
      <c r="Z33" s="1258" t="s">
        <v>379</v>
      </c>
      <c r="AA33" s="1258" t="s">
        <v>380</v>
      </c>
      <c r="AB33" t="s">
        <v>404</v>
      </c>
      <c r="AC33" s="1258" t="s">
        <v>97</v>
      </c>
      <c r="AE33" s="93"/>
      <c r="AH33" s="1151" t="s">
        <v>602</v>
      </c>
      <c r="AI33" s="1152"/>
      <c r="AJ33" s="1152"/>
      <c r="AK33" s="1152"/>
      <c r="AL33" s="1152"/>
      <c r="AM33" s="1152"/>
      <c r="AT33" s="217" t="s">
        <v>91</v>
      </c>
      <c r="AV33" s="217"/>
      <c r="AW33" s="217" t="s">
        <v>92</v>
      </c>
    </row>
    <row r="34" spans="1:68" customFormat="1" ht="22.5" customHeight="1">
      <c r="C34" s="15"/>
      <c r="D34" s="15"/>
      <c r="E34" s="1248"/>
      <c r="F34" s="1248"/>
      <c r="G34" s="1244"/>
      <c r="H34" s="286" t="s">
        <v>100</v>
      </c>
      <c r="I34" s="286" t="s">
        <v>393</v>
      </c>
      <c r="J34" s="286" t="s">
        <v>195</v>
      </c>
      <c r="K34" s="234" t="s">
        <v>409</v>
      </c>
      <c r="L34" s="236" t="s">
        <v>415</v>
      </c>
      <c r="M34" s="1255"/>
      <c r="N34" s="1255"/>
      <c r="O34" s="204" t="s">
        <v>394</v>
      </c>
      <c r="P34" s="204" t="s">
        <v>395</v>
      </c>
      <c r="Q34" s="204" t="s">
        <v>396</v>
      </c>
      <c r="R34" s="204" t="s">
        <v>408</v>
      </c>
      <c r="S34" s="287" t="s">
        <v>407</v>
      </c>
      <c r="T34" s="245" t="s">
        <v>587</v>
      </c>
      <c r="U34" s="1247"/>
      <c r="V34" s="1247"/>
      <c r="W34" s="1247"/>
      <c r="X34" s="1247"/>
      <c r="Y34" s="1247"/>
      <c r="Z34" s="1258"/>
      <c r="AA34" s="1258"/>
      <c r="AB34" t="s">
        <v>405</v>
      </c>
      <c r="AC34" s="1258"/>
      <c r="AE34" s="93"/>
      <c r="AG34" s="186" t="s">
        <v>397</v>
      </c>
      <c r="AH34" s="382" t="s">
        <v>597</v>
      </c>
      <c r="AI34" s="382" t="s">
        <v>598</v>
      </c>
      <c r="AJ34" s="186" t="s">
        <v>398</v>
      </c>
      <c r="AK34" s="382" t="s">
        <v>599</v>
      </c>
      <c r="AL34" s="382" t="s">
        <v>600</v>
      </c>
      <c r="AM34" s="187" t="s">
        <v>399</v>
      </c>
      <c r="AN34" s="381" t="s">
        <v>462</v>
      </c>
      <c r="AO34" s="405" t="s">
        <v>601</v>
      </c>
      <c r="AP34" s="405" t="s">
        <v>604</v>
      </c>
      <c r="AQ34" s="407" t="s">
        <v>238</v>
      </c>
      <c r="AR34" s="408" t="s">
        <v>466</v>
      </c>
      <c r="AS34" s="409" t="s">
        <v>96</v>
      </c>
      <c r="AT34" s="181" t="s">
        <v>402</v>
      </c>
      <c r="AU34" s="218" t="s">
        <v>403</v>
      </c>
      <c r="AV34" s="218" t="s">
        <v>97</v>
      </c>
      <c r="AZ34" s="16"/>
    </row>
    <row r="35" spans="1:68" customFormat="1" ht="17.25" customHeight="1">
      <c r="C35" s="193" t="str">
        <f t="shared" ref="C35:D39" si="2">B27</f>
        <v>Etoile</v>
      </c>
      <c r="D35" s="193" t="str">
        <f t="shared" si="2"/>
        <v>Capela</v>
      </c>
      <c r="E35" s="292">
        <f>IF(B27=$AG$26,IF(ISNA(VLOOKUP(C27,$I$43:$I$44,1,FALSE)),0,VLOOKUP(C27,$I$43:$J$44,2,FALSE)),0)</f>
        <v>0</v>
      </c>
      <c r="F35" s="293">
        <f>angleConvert2Decimal(E35)</f>
        <v>0</v>
      </c>
      <c r="G35" s="293">
        <f>ASIN(SIN(F35*Outils!$F$4)*COS(J27*Outils!$F$4))*Outils!$F$5</f>
        <v>0</v>
      </c>
      <c r="H35" s="1236">
        <f>0.28*$X$28/(273+$X$27)</f>
        <v>0.99929328621908131</v>
      </c>
      <c r="I35" s="294">
        <f>(1/TAN(Outils!$F$4*(J27+7.31/(J27+4.4))))/60</f>
        <v>4.8680618529665542E-2</v>
      </c>
      <c r="J35" s="294">
        <f>I35*$H$35</f>
        <v>4.8646215265686979E-2</v>
      </c>
      <c r="K35" s="235" t="str">
        <f>angleDecimal2Txt(G35-$K$19-J35,0)</f>
        <v>-00°11.53</v>
      </c>
      <c r="L35" s="237" t="str">
        <f>angleDecimal2Txt(AM45,0)</f>
        <v>+00°00.00</v>
      </c>
      <c r="M35" s="238">
        <f>J27-F35+G35-J35+angleConvert2Decimal(L35)</f>
        <v>18.53281368580722</v>
      </c>
      <c r="N35" s="239" t="str">
        <f>angleDecimal2Txt(M35,0)</f>
        <v>+18°31.96</v>
      </c>
      <c r="O35" s="222">
        <f>INT(G27)</f>
        <v>3</v>
      </c>
      <c r="P35" s="222">
        <f>VLOOKUP($O35,$R$27:$T$29,3,FALSE)</f>
        <v>321.70666666666665</v>
      </c>
      <c r="Q35" s="222">
        <f>VLOOKUP(1+$O35,$R$27:$T$29,3,FALSE)</f>
        <v>336.74666666666667</v>
      </c>
      <c r="R35" s="413">
        <f>P35+(Q35-P35)*(G27-O35)</f>
        <v>326.73671111111111</v>
      </c>
      <c r="S35" s="288">
        <f>angleConvert2Decimal($S$31)+angleConvert2Decimal($T$31)*(G27-$R$31)</f>
        <v>277.41705559259259</v>
      </c>
      <c r="T35" s="226">
        <f>R35</f>
        <v>326.73671111111111</v>
      </c>
      <c r="U35" s="223">
        <f>$F$16+R35</f>
        <v>317.70337777777775</v>
      </c>
      <c r="V35" s="223">
        <f>IF(T35+M27&gt;360,T35+M27-360,IF(T35+M27&lt;0,T35+M27+360,T35+M27))</f>
        <v>247.12004444444437</v>
      </c>
      <c r="W35" s="223">
        <f>IF(U35+M27&gt;360,U35+M27-360,U35+M27)</f>
        <v>238.08671111111107</v>
      </c>
      <c r="X35" s="208">
        <f>AQ35</f>
        <v>-51.939292970742905</v>
      </c>
      <c r="Y35" s="210" t="str">
        <f>angleDecimal2Txt(X35,0)</f>
        <v>-51°56.35</v>
      </c>
      <c r="Z35" s="224">
        <f>60*(M35-X35)</f>
        <v>4228.3263993930077</v>
      </c>
      <c r="AA35" s="220" t="str">
        <f>IF(Z35&gt;0,"Vers Pg", "Oppose de Pg")</f>
        <v>Vers Pg</v>
      </c>
      <c r="AB35" t="str" cm="1">
        <f t="array" ref="AB35">CONCATENATE(TEXT(O27,"#,00")," / ",TEXT(longitudeHoraire2longitude(V35),"#,00"))</f>
        <v>46 / 113</v>
      </c>
      <c r="AC35" s="225">
        <f>AV35</f>
        <v>107.04093421581346</v>
      </c>
      <c r="AE35" s="93"/>
      <c r="AG35" s="186">
        <f>Outils!$F$4 * O27</f>
        <v>0.80322961058865705</v>
      </c>
      <c r="AH35" s="382">
        <f>SIN(AG35)</f>
        <v>0.71960243720697437</v>
      </c>
      <c r="AI35" s="382">
        <f>COS(AG35)</f>
        <v>0.69438629909135052</v>
      </c>
      <c r="AJ35" s="1147">
        <f>Outils!$F$4 * $F$12</f>
        <v>-0.87353729062316188</v>
      </c>
      <c r="AK35" s="1147">
        <f>SIN(AJ35)</f>
        <v>-0.76660508936870064</v>
      </c>
      <c r="AL35" s="1147">
        <f>COS(AJ35)</f>
        <v>0.64211886512857297</v>
      </c>
      <c r="AM35" s="186">
        <f>Outils!$F$4 * W35</f>
        <v>4.1553970141334551</v>
      </c>
      <c r="AN35" s="382">
        <f>COS(AM35)</f>
        <v>-0.5286352266410298</v>
      </c>
      <c r="AO35" s="406">
        <f>AH35*$AK$35+AI35*$AL$35*AN35</f>
        <v>-0.78735799496575931</v>
      </c>
      <c r="AP35" s="406">
        <f>COS(AQ35*Outils!$F$4)</f>
        <v>0.61649605656767947</v>
      </c>
      <c r="AQ35" s="407">
        <f>ASIN(AO35)*Outils!$F$5</f>
        <v>-51.939292970742905</v>
      </c>
      <c r="AR35" s="408">
        <f>(AH35-$AK$35*AO35)/($AL$35*AP35)</f>
        <v>0.29305484939891285</v>
      </c>
      <c r="AS35" s="409">
        <f>Outils!$F$5*ACOS(AR35)</f>
        <v>72.959065784186535</v>
      </c>
      <c r="AT35" s="1256" t="b">
        <f>$F$12&gt;0</f>
        <v>0</v>
      </c>
      <c r="AU35" s="219" t="b">
        <f>AM35&gt;PI()</f>
        <v>1</v>
      </c>
      <c r="AV35" s="219">
        <f>IF($AT$35,IF(AU35,AS35,360-AS35),IF(AU35,180-AS35,180+AS35))</f>
        <v>107.04093421581346</v>
      </c>
    </row>
    <row r="36" spans="1:68" customFormat="1" ht="17.25" customHeight="1" collapsed="1">
      <c r="C36" s="193" t="str">
        <f t="shared" si="2"/>
        <v>Etoile</v>
      </c>
      <c r="D36" s="193" t="str">
        <f t="shared" si="2"/>
        <v>Alpheratz</v>
      </c>
      <c r="E36" s="295">
        <f>IF(B28=$AG$26,IF(ISNA(VLOOKUP(C28,$I$43:$I$44,1,FALSE)),0,VLOOKUP(C28,$I$43:$J$44,2,FALSE)),0)</f>
        <v>0</v>
      </c>
      <c r="F36" s="293">
        <f t="shared" ref="F36:F39" si="3">angleConvert2Decimal(E36)</f>
        <v>0</v>
      </c>
      <c r="G36" s="293">
        <f>ASIN(SIN(F36*Outils!$F$4)*COS(J28*Outils!$F$4))*Outils!$F$5</f>
        <v>0</v>
      </c>
      <c r="H36" s="1237"/>
      <c r="I36" s="294">
        <f>(1/TAN(Outils!$F$4*(J28+7.31/(J28+4.4))))/60</f>
        <v>1.3465808934296632E-2</v>
      </c>
      <c r="J36" s="294">
        <f>I36*$H$35</f>
        <v>1.3456292461551547E-2</v>
      </c>
      <c r="K36" s="235" t="str">
        <f>angleDecimal2Txt(G36-$K$19-J36,0)</f>
        <v>-00°09.41</v>
      </c>
      <c r="L36" s="237" t="str">
        <f>angleDecimal2Txt(AM46,0)</f>
        <v>+00°00.00</v>
      </c>
      <c r="M36" s="238">
        <f t="shared" ref="M36:M39" si="4">J28-F36+G36-J36+angleConvert2Decimal(L36)</f>
        <v>50.918003608611357</v>
      </c>
      <c r="N36" s="239" t="str">
        <f t="shared" ref="N36:N39" si="5">angleDecimal2Txt(M36,0)</f>
        <v>+50°55.08</v>
      </c>
      <c r="O36" s="222">
        <f>INT(G28)</f>
        <v>3</v>
      </c>
      <c r="P36" s="222">
        <f t="shared" ref="P36:P39" si="6">VLOOKUP($O36,$R$27:$T$29,3,FALSE)</f>
        <v>321.70666666666665</v>
      </c>
      <c r="Q36" s="222">
        <f t="shared" ref="Q36:Q39" si="7">VLOOKUP(1+$O36,$R$27:$T$29,3,FALSE)</f>
        <v>336.74666666666667</v>
      </c>
      <c r="R36" s="413">
        <f>P36+(Q36-P36)*(G28-O36)</f>
        <v>327.25475555555556</v>
      </c>
      <c r="S36" s="288">
        <f>angleConvert2Decimal($S$31)+angleConvert2Decimal($T$31)*(G28-$R$31)</f>
        <v>277.42566785185181</v>
      </c>
      <c r="T36" s="226">
        <f>R36</f>
        <v>327.25475555555556</v>
      </c>
      <c r="U36" s="208">
        <f>$F$16+R36</f>
        <v>318.2214222222222</v>
      </c>
      <c r="V36" s="223">
        <f t="shared" ref="V36:V39" si="8">IF(T36+M28&gt;360,T36+M28-360,IF(T36+M28&lt;0,T36+M28+360,T36+M28))</f>
        <v>324.84142222222226</v>
      </c>
      <c r="W36" s="223">
        <f>IF(U36+M28&gt;360,U36+M28-360,U36+M28)</f>
        <v>315.80808888888885</v>
      </c>
      <c r="X36" s="208">
        <f>AQ36</f>
        <v>1.5780114421503435</v>
      </c>
      <c r="Y36" s="210" t="str">
        <f t="shared" ref="Y36:Y39" si="9">angleDecimal2Txt(X36,0)</f>
        <v>+01°34.68</v>
      </c>
      <c r="Z36" s="224">
        <f>60*(M36-X36)</f>
        <v>2960.399529987661</v>
      </c>
      <c r="AA36" s="220" t="str">
        <f>IF(Z36&gt;0,"Vers Pg", "Oppose de Pg")</f>
        <v>Vers Pg</v>
      </c>
      <c r="AB36" t="str" cm="1">
        <f t="array" ref="AB36">CONCATENATE(TEXT(O28,"#,00")," / ",TEXT(longitudeHoraire2longitude(V36),"#,00"))</f>
        <v>29 / 35</v>
      </c>
      <c r="AC36" s="225">
        <f>AV36</f>
        <v>142.5134835895272</v>
      </c>
      <c r="AE36" s="93"/>
      <c r="AG36" s="186">
        <f>Outils!$F$4 * O28</f>
        <v>0.51004338507447622</v>
      </c>
      <c r="AH36" s="382">
        <f t="shared" ref="AH36:AH39" si="10">SIN(AG36)</f>
        <v>0.48821511050891914</v>
      </c>
      <c r="AI36" s="382">
        <f t="shared" ref="AI36:AI39" si="11">COS(AG36)</f>
        <v>0.87272332721817625</v>
      </c>
      <c r="AJ36" s="757"/>
      <c r="AK36" s="757"/>
      <c r="AL36" s="757"/>
      <c r="AM36" s="186">
        <f>Outils!$F$4 * W36</f>
        <v>5.5118909555420315</v>
      </c>
      <c r="AN36" s="382">
        <f t="shared" ref="AN36:AN39" si="12">COS(AM36)</f>
        <v>0.71700902470210126</v>
      </c>
      <c r="AO36" s="406">
        <f t="shared" ref="AO36:AO39" si="13">AH36*$AK$35+AI36*$AL$35*AN36</f>
        <v>2.7538013571789588E-2</v>
      </c>
      <c r="AP36" s="406">
        <f>COS(AQ36*Outils!$F$4)</f>
        <v>0.99962075699163022</v>
      </c>
      <c r="AQ36" s="407">
        <f>ASIN(AO36)*Outils!$F$5</f>
        <v>1.5780114421503435</v>
      </c>
      <c r="AR36" s="408">
        <f t="shared" ref="AR36:AR39" si="14">(AH36-$AK$35*AO36)/($AL$35*AP36)</f>
        <v>0.79349657999430734</v>
      </c>
      <c r="AS36" s="409">
        <f>Outils!$F$5*ACOS(AR36)</f>
        <v>37.486516410472817</v>
      </c>
      <c r="AT36" s="1256"/>
      <c r="AU36" s="219" t="b">
        <f t="shared" ref="AU36:AU39" si="15">AM36&gt;PI()</f>
        <v>1</v>
      </c>
      <c r="AV36" s="219">
        <f t="shared" ref="AV36:AV39" si="16">IF($AT$35,IF(AU36,AS36,360-AS36),IF(AU36,180-AS36,180+AS36))</f>
        <v>142.5134835895272</v>
      </c>
      <c r="BF36" s="16"/>
      <c r="BG36" s="16"/>
      <c r="BH36" s="16"/>
      <c r="BI36" s="16"/>
      <c r="BJ36" s="16"/>
    </row>
    <row r="37" spans="1:68" customFormat="1" ht="17.25" customHeight="1">
      <c r="C37" s="193" t="str">
        <f t="shared" si="2"/>
        <v>Etoile</v>
      </c>
      <c r="D37" s="193" t="str">
        <f t="shared" si="2"/>
        <v>Altair</v>
      </c>
      <c r="E37" s="295">
        <f>IF(B29=$AG$26,IF(ISNA(VLOOKUP(C29,$I$43:$I$44,1,FALSE)),0,VLOOKUP(C29,$I$43:$J$44,2,FALSE)),0)</f>
        <v>0</v>
      </c>
      <c r="F37" s="293">
        <f t="shared" si="3"/>
        <v>0</v>
      </c>
      <c r="G37" s="293">
        <f>ASIN(SIN(F37*Outils!$F$4)*COS(J29*Outils!$F$4))*Outils!$F$5</f>
        <v>0</v>
      </c>
      <c r="H37" s="1237"/>
      <c r="I37" s="294">
        <f>(1/TAN(Outils!$F$4*(J29+7.31/(J29+4.4))))/60</f>
        <v>1.6453491081462088E-2</v>
      </c>
      <c r="J37" s="294">
        <f>I37*$H$35</f>
        <v>1.6441863172570594E-2</v>
      </c>
      <c r="K37" s="235" t="str">
        <f>angleDecimal2Txt(G37-$K$19-J37,0)</f>
        <v>-00°09.59</v>
      </c>
      <c r="L37" s="237" t="str">
        <f>angleDecimal2Txt(AM47,0)</f>
        <v>+00°00.00</v>
      </c>
      <c r="M37" s="238">
        <f t="shared" si="4"/>
        <v>45.205018037900331</v>
      </c>
      <c r="N37" s="239" t="str">
        <f t="shared" si="5"/>
        <v>+45°12.30</v>
      </c>
      <c r="O37" s="222">
        <f>INT(G29)</f>
        <v>3</v>
      </c>
      <c r="P37" s="222">
        <f t="shared" si="6"/>
        <v>321.70666666666665</v>
      </c>
      <c r="Q37" s="222">
        <f t="shared" si="7"/>
        <v>336.74666666666667</v>
      </c>
      <c r="R37" s="413">
        <f>P37+(Q37-P37)*(G29-O37)</f>
        <v>327.9733333333333</v>
      </c>
      <c r="S37" s="288">
        <f>angleConvert2Decimal($S$31)+angleConvert2Decimal($T$31)*(G29-$R$31)</f>
        <v>277.43761388888885</v>
      </c>
      <c r="T37" s="226">
        <f>R37</f>
        <v>327.9733333333333</v>
      </c>
      <c r="U37" s="208">
        <f>$F$16+R37</f>
        <v>318.93999999999994</v>
      </c>
      <c r="V37" s="223">
        <f t="shared" si="8"/>
        <v>29.974999999999966</v>
      </c>
      <c r="W37" s="223">
        <f>IF(U37+M29&gt;360,U37+M29-360,U37+M29)</f>
        <v>20.941666666666606</v>
      </c>
      <c r="X37" s="208">
        <f>AQ37</f>
        <v>28.255963581780676</v>
      </c>
      <c r="Y37" s="210" t="str">
        <f t="shared" si="9"/>
        <v>+28°15.35</v>
      </c>
      <c r="Z37" s="224">
        <f>60*(M37-X37)</f>
        <v>1016.9432673671793</v>
      </c>
      <c r="AA37" s="220" t="str">
        <f>IF(Z37&gt;0,"Vers Pg", "Oppose de Pg")</f>
        <v>Vers Pg</v>
      </c>
      <c r="AB37" t="str" cm="1">
        <f t="array" ref="AB37">CONCATENATE(TEXT(O29,"#,00")," / ",TEXT(longitudeHoraire2longitude(V37),"#,00"))</f>
        <v>09 / -30</v>
      </c>
      <c r="AC37" s="225">
        <f>AV37</f>
        <v>203.63118537814242</v>
      </c>
      <c r="AE37" s="93"/>
      <c r="AG37" s="186">
        <f>Outils!$F$4 * O29</f>
        <v>0.1558869910239602</v>
      </c>
      <c r="AH37" s="382">
        <f t="shared" si="10"/>
        <v>0.15525639580609149</v>
      </c>
      <c r="AI37" s="382">
        <f t="shared" si="11"/>
        <v>0.98787420836931572</v>
      </c>
      <c r="AJ37" s="757"/>
      <c r="AK37" s="757"/>
      <c r="AL37" s="757"/>
      <c r="AM37" s="186">
        <f>Outils!$F$4 * W37</f>
        <v>0.36550103418847812</v>
      </c>
      <c r="AN37" s="382">
        <f t="shared" si="12"/>
        <v>0.93394480012307246</v>
      </c>
      <c r="AO37" s="406">
        <f t="shared" si="13"/>
        <v>0.47341135137334994</v>
      </c>
      <c r="AP37" s="406">
        <f>COS(AQ37*Outils!$F$4)</f>
        <v>0.88084146836468735</v>
      </c>
      <c r="AQ37" s="407">
        <f>ASIN(AO37)*Outils!$F$5</f>
        <v>28.255963581780676</v>
      </c>
      <c r="AR37" s="408">
        <f t="shared" si="14"/>
        <v>0.91614468885237799</v>
      </c>
      <c r="AS37" s="409">
        <f>Outils!$F$5*ACOS(AR37)</f>
        <v>23.631185378142415</v>
      </c>
      <c r="AT37" s="1256"/>
      <c r="AU37" s="219" t="b">
        <f t="shared" si="15"/>
        <v>0</v>
      </c>
      <c r="AV37" s="219">
        <f t="shared" si="16"/>
        <v>203.63118537814242</v>
      </c>
      <c r="BF37" s="16"/>
      <c r="BG37" s="16"/>
      <c r="BH37" s="16"/>
      <c r="BI37" s="16"/>
      <c r="BJ37" s="16"/>
    </row>
    <row r="38" spans="1:68" customFormat="1" ht="17.25" customHeight="1">
      <c r="C38" s="193" t="str">
        <f t="shared" si="2"/>
        <v>Etoile</v>
      </c>
      <c r="D38" s="193" t="str">
        <f t="shared" si="2"/>
        <v>Vega</v>
      </c>
      <c r="E38" s="295">
        <f>IF(B30=$AG$26,IF(ISNA(VLOOKUP(C30,$I$43:$I$44,1,FALSE)),0,VLOOKUP(C30,$I$43:$J$44,2,FALSE)),0)</f>
        <v>0</v>
      </c>
      <c r="F38" s="293">
        <f t="shared" si="3"/>
        <v>0</v>
      </c>
      <c r="G38" s="293">
        <f>ASIN(SIN(F38*Outils!$F$4)*COS(J30*Outils!$F$4))*Outils!$F$5</f>
        <v>0</v>
      </c>
      <c r="H38" s="1237"/>
      <c r="I38" s="294">
        <f>(1/TAN(Outils!$F$4*(J30+7.31/(J30+4.4))))/60</f>
        <v>9.7233651195171404E-3</v>
      </c>
      <c r="J38" s="294">
        <f>I38*$H$35</f>
        <v>9.7164934833902736E-3</v>
      </c>
      <c r="K38" s="235" t="str">
        <f>angleDecimal2Txt(G38-$K$19-J38,0)</f>
        <v>-00°09.19</v>
      </c>
      <c r="L38" s="237" t="str">
        <f>angleDecimal2Txt(AM48,0)</f>
        <v>+00°00.00</v>
      </c>
      <c r="M38" s="238">
        <f t="shared" si="4"/>
        <v>59.616743407589517</v>
      </c>
      <c r="N38" s="239" t="str">
        <f t="shared" si="5"/>
        <v>+59°37.00</v>
      </c>
      <c r="O38" s="222">
        <f>INT(G30)</f>
        <v>3</v>
      </c>
      <c r="P38" s="222">
        <f t="shared" si="6"/>
        <v>321.70666666666665</v>
      </c>
      <c r="Q38" s="222">
        <f t="shared" si="7"/>
        <v>336.74666666666667</v>
      </c>
      <c r="R38" s="413">
        <f>P38+(Q38-P38)*(G30-O38)</f>
        <v>328.52062222222224</v>
      </c>
      <c r="S38" s="288">
        <f>angleConvert2Decimal($S$31)+angleConvert2Decimal($T$31)*(G30-$R$31)</f>
        <v>277.44671232407404</v>
      </c>
      <c r="T38" s="226">
        <f>R38</f>
        <v>328.52062222222224</v>
      </c>
      <c r="U38" s="208">
        <f>$F$16+R38</f>
        <v>319.48728888888888</v>
      </c>
      <c r="V38" s="223">
        <f t="shared" si="8"/>
        <v>49.07228888888892</v>
      </c>
      <c r="W38" s="223">
        <f>IF(U38+M30&gt;360,U38+M30-360,U38+M30)</f>
        <v>40.03895555555556</v>
      </c>
      <c r="X38" s="208">
        <f>AQ38</f>
        <v>-5.5840412052844144</v>
      </c>
      <c r="Y38" s="210" t="str">
        <f t="shared" si="9"/>
        <v>-05°35.04</v>
      </c>
      <c r="Z38" s="224">
        <f>60*(M38-X38)</f>
        <v>3912.047076772436</v>
      </c>
      <c r="AA38" s="220" t="str">
        <f>IF(Z38&gt;0,"Vers Pg", "Oppose de Pg")</f>
        <v>Vers Pg</v>
      </c>
      <c r="AB38" t="str" cm="1">
        <f t="array" ref="AB38">CONCATENATE(TEXT(O30,"#,00")," / ",TEXT(longitudeHoraire2longitude(V38),"#,00"))</f>
        <v>39 / -49</v>
      </c>
      <c r="AC38" s="225">
        <f>AV38</f>
        <v>210.2457389986842</v>
      </c>
      <c r="AE38" s="93"/>
      <c r="AG38" s="186">
        <f>Outils!$F$4 * O30</f>
        <v>0.67727501623639963</v>
      </c>
      <c r="AH38" s="382">
        <f t="shared" si="10"/>
        <v>0.62667181904581304</v>
      </c>
      <c r="AI38" s="382">
        <f t="shared" si="11"/>
        <v>0.77928328046597528</v>
      </c>
      <c r="AJ38" s="757"/>
      <c r="AK38" s="757"/>
      <c r="AL38" s="757"/>
      <c r="AM38" s="186">
        <f>Outils!$F$4 * W38</f>
        <v>0.69881160350411986</v>
      </c>
      <c r="AN38" s="382">
        <f t="shared" si="12"/>
        <v>0.76560723305839973</v>
      </c>
      <c r="AO38" s="406">
        <f t="shared" si="13"/>
        <v>-9.7305691794058013E-2</v>
      </c>
      <c r="AP38" s="406">
        <f>COS(AQ38*Outils!$F$4)</f>
        <v>0.9952545414839763</v>
      </c>
      <c r="AQ38" s="407">
        <f>ASIN(AO38)*Outils!$F$5</f>
        <v>-5.5840412052844144</v>
      </c>
      <c r="AR38" s="408">
        <f t="shared" si="14"/>
        <v>0.86387296773178213</v>
      </c>
      <c r="AS38" s="409">
        <f>Outils!$F$5*ACOS(AR38)</f>
        <v>30.245738998684189</v>
      </c>
      <c r="AT38" s="1256"/>
      <c r="AU38" s="219" t="b">
        <f t="shared" si="15"/>
        <v>0</v>
      </c>
      <c r="AV38" s="219">
        <f t="shared" si="16"/>
        <v>210.2457389986842</v>
      </c>
      <c r="BF38" s="16"/>
      <c r="BG38" s="16"/>
      <c r="BH38" s="16"/>
      <c r="BI38" s="16"/>
      <c r="BJ38" s="16"/>
    </row>
    <row r="39" spans="1:68" customFormat="1" ht="17.25" customHeight="1">
      <c r="C39" s="193" t="str">
        <f t="shared" si="2"/>
        <v>Etoile</v>
      </c>
      <c r="D39" s="193" t="str">
        <f t="shared" si="2"/>
        <v>Kochab</v>
      </c>
      <c r="E39" s="295">
        <f>IF(B31=$AG$26,IF(ISNA(VLOOKUP(C31,$I$43:$I$44,1,FALSE)),0,VLOOKUP(C31,$I$43:$J$44,2,FALSE)),0)</f>
        <v>0</v>
      </c>
      <c r="F39" s="293">
        <f t="shared" si="3"/>
        <v>0</v>
      </c>
      <c r="G39" s="293">
        <f>ASIN(SIN(F39*Outils!$F$4)*COS(J31*Outils!$F$4))*Outils!$F$5</f>
        <v>0</v>
      </c>
      <c r="H39" s="1238"/>
      <c r="I39" s="294">
        <f>(1/TAN(Outils!$F$4*(J31+7.31/(J31+4.4))))/60</f>
        <v>1.6231624730281172E-2</v>
      </c>
      <c r="J39" s="294">
        <f>I39*$H$35</f>
        <v>1.6220153617397582E-2</v>
      </c>
      <c r="K39" s="235" t="str">
        <f>angleDecimal2Txt(G39-$K$19-J39,0)</f>
        <v>-00°09.58</v>
      </c>
      <c r="L39" s="237" t="str">
        <f>angleDecimal2Txt(AM49,0)</f>
        <v>+00°00.00</v>
      </c>
      <c r="M39" s="238">
        <f t="shared" si="4"/>
        <v>45.595239747455508</v>
      </c>
      <c r="N39" s="239" t="str">
        <f t="shared" si="5"/>
        <v>+45°35.71</v>
      </c>
      <c r="O39" s="222">
        <f>INT(G31)</f>
        <v>3</v>
      </c>
      <c r="P39" s="222">
        <f t="shared" si="6"/>
        <v>321.70666666666665</v>
      </c>
      <c r="Q39" s="222">
        <f t="shared" si="7"/>
        <v>336.74666666666667</v>
      </c>
      <c r="R39" s="413">
        <f>P39+(Q39-P39)*(G31-O39)</f>
        <v>329.31022222222219</v>
      </c>
      <c r="S39" s="288">
        <f>angleConvert2Decimal($S$31)+angleConvert2Decimal($T$31)*(G31-$R$31)</f>
        <v>277.45983907407407</v>
      </c>
      <c r="T39" s="226">
        <f>R39</f>
        <v>329.31022222222219</v>
      </c>
      <c r="U39" s="208">
        <f>$F$16+R39</f>
        <v>320.27688888888883</v>
      </c>
      <c r="V39" s="223">
        <f t="shared" si="8"/>
        <v>106.62688888888886</v>
      </c>
      <c r="W39" s="223">
        <f>IF(U39+M31&gt;360,U39+M31-360,U39+M31)</f>
        <v>97.593555555555497</v>
      </c>
      <c r="X39" s="208">
        <f>AQ39</f>
        <v>-49.501978030042523</v>
      </c>
      <c r="Y39" s="210" t="str">
        <f t="shared" si="9"/>
        <v>-49°30.11</v>
      </c>
      <c r="Z39" s="224">
        <f>60*(M39-X39)</f>
        <v>5705.8330666498823</v>
      </c>
      <c r="AA39" s="220" t="str">
        <f>IF(Z39&gt;0,"Vers Pg", "Oppose de Pg")</f>
        <v>Vers Pg</v>
      </c>
      <c r="AB39" t="str" cm="1">
        <f t="array" ref="AB39">CONCATENATE(TEXT(O31,"#,00")," / ",TEXT(longitudeHoraire2longitude(V39),"#,00"))</f>
        <v>74 / -107</v>
      </c>
      <c r="AC39" s="225">
        <f>AV39</f>
        <v>204.7852841952365</v>
      </c>
      <c r="AE39" s="93"/>
      <c r="AG39" s="186">
        <f>Outils!$F$4 * O31</f>
        <v>1.2925617552061339</v>
      </c>
      <c r="AH39" s="382">
        <f t="shared" si="10"/>
        <v>0.96154182649255537</v>
      </c>
      <c r="AI39" s="382">
        <f t="shared" si="11"/>
        <v>0.2746585442060025</v>
      </c>
      <c r="AJ39" s="1148"/>
      <c r="AK39" s="1148"/>
      <c r="AL39" s="1148"/>
      <c r="AM39" s="186">
        <f>Outils!$F$4 * W39</f>
        <v>1.7033288731724472</v>
      </c>
      <c r="AN39" s="382">
        <f t="shared" si="12"/>
        <v>-0.13214490069444362</v>
      </c>
      <c r="AO39" s="406">
        <f t="shared" si="13"/>
        <v>-0.76042838613079422</v>
      </c>
      <c r="AP39" s="406">
        <f>COS(AQ39*Outils!$F$4)</f>
        <v>0.64942179634388308</v>
      </c>
      <c r="AQ39" s="407">
        <f>ASIN(AO39)*Outils!$F$5</f>
        <v>-49.501978030042523</v>
      </c>
      <c r="AR39" s="408">
        <f t="shared" si="14"/>
        <v>0.90788518034657373</v>
      </c>
      <c r="AS39" s="409">
        <f>Outils!$F$5*ACOS(AR39)</f>
        <v>24.785284195236507</v>
      </c>
      <c r="AT39" s="1256"/>
      <c r="AU39" s="219" t="b">
        <f t="shared" si="15"/>
        <v>0</v>
      </c>
      <c r="AV39" s="219">
        <f t="shared" si="16"/>
        <v>204.7852841952365</v>
      </c>
      <c r="BF39" s="14"/>
      <c r="BG39" s="14"/>
      <c r="BH39" s="14"/>
      <c r="BI39" s="14"/>
      <c r="BJ39" s="14"/>
    </row>
    <row r="40" spans="1:68" customFormat="1" ht="17.25" customHeight="1">
      <c r="A40" s="16"/>
      <c r="B40" s="16"/>
      <c r="C40" s="59"/>
      <c r="D40" s="59"/>
      <c r="E40" s="261"/>
      <c r="F40" s="195"/>
      <c r="G40" s="59"/>
      <c r="H40" s="16"/>
      <c r="I40" s="16"/>
      <c r="J40" s="16"/>
      <c r="K40" s="16"/>
      <c r="L40" s="16"/>
      <c r="M40" s="197"/>
      <c r="N40" s="16"/>
      <c r="O40" s="16"/>
      <c r="P40" s="16"/>
      <c r="Q40" s="16"/>
      <c r="R40" s="16"/>
      <c r="S40" s="16"/>
      <c r="T40" s="16"/>
      <c r="U40" s="16"/>
      <c r="V40" s="16"/>
      <c r="W40" s="188"/>
      <c r="X40" s="202"/>
      <c r="Y40" s="188"/>
      <c r="Z40" s="188"/>
      <c r="AA40" s="197"/>
      <c r="AE40" s="93"/>
      <c r="AR40" s="16"/>
      <c r="AX40" s="14"/>
      <c r="AY40" s="14"/>
      <c r="AZ40" s="14"/>
      <c r="BA40" s="14"/>
      <c r="BB40" s="14"/>
      <c r="BN40" s="24"/>
      <c r="BO40" s="16"/>
    </row>
    <row r="41" spans="1:68" customFormat="1" ht="17.25" customHeight="1">
      <c r="A41" s="16"/>
      <c r="B41" s="16"/>
      <c r="C41" s="59"/>
      <c r="D41" s="59"/>
      <c r="E41" s="261"/>
      <c r="F41" s="195"/>
      <c r="G41" s="59"/>
      <c r="H41" s="16"/>
      <c r="I41" s="16"/>
      <c r="J41" s="16"/>
      <c r="K41" s="16"/>
      <c r="L41" s="16"/>
      <c r="M41" s="1146" t="s">
        <v>414</v>
      </c>
      <c r="N41" s="1146"/>
      <c r="O41" s="1146"/>
      <c r="P41" s="1146"/>
      <c r="Q41" s="1146"/>
      <c r="R41" s="1146"/>
      <c r="S41" s="1146"/>
      <c r="T41" s="1146"/>
      <c r="U41" s="1146"/>
      <c r="V41" s="1146"/>
      <c r="W41" s="1146"/>
      <c r="X41" s="1146"/>
      <c r="Y41" s="1146"/>
      <c r="Z41" s="188"/>
      <c r="AA41" s="197"/>
      <c r="AE41" s="93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N41" s="24"/>
      <c r="BO41" s="16"/>
    </row>
    <row r="42" spans="1:68" customFormat="1" ht="17.25" customHeight="1">
      <c r="A42" s="16"/>
      <c r="B42" s="16"/>
      <c r="C42" s="59"/>
      <c r="D42" s="59"/>
      <c r="E42" s="261"/>
      <c r="F42" s="195"/>
      <c r="G42" s="59"/>
      <c r="H42" s="16"/>
      <c r="I42" s="197"/>
      <c r="J42" s="198" t="s">
        <v>390</v>
      </c>
      <c r="K42" s="198" t="s">
        <v>391</v>
      </c>
      <c r="L42" s="16"/>
      <c r="M42" s="199" t="s">
        <v>109</v>
      </c>
      <c r="N42" s="227">
        <v>1</v>
      </c>
      <c r="O42" s="227">
        <f>N42+1</f>
        <v>2</v>
      </c>
      <c r="P42" s="227">
        <f t="shared" ref="P42:V42" si="17">O42+1</f>
        <v>3</v>
      </c>
      <c r="Q42" s="227">
        <f t="shared" si="17"/>
        <v>4</v>
      </c>
      <c r="R42" s="227">
        <f t="shared" si="17"/>
        <v>5</v>
      </c>
      <c r="S42" s="227">
        <f t="shared" si="17"/>
        <v>6</v>
      </c>
      <c r="T42" s="227">
        <f t="shared" si="17"/>
        <v>7</v>
      </c>
      <c r="U42" s="227">
        <f t="shared" si="17"/>
        <v>8</v>
      </c>
      <c r="V42" s="227">
        <f t="shared" si="17"/>
        <v>9</v>
      </c>
      <c r="W42" s="227">
        <f>V42+1</f>
        <v>10</v>
      </c>
      <c r="X42" s="227">
        <f>W42+1</f>
        <v>11</v>
      </c>
      <c r="Y42" s="227">
        <f>X42+1</f>
        <v>12</v>
      </c>
      <c r="Z42" s="188"/>
      <c r="AA42" s="197"/>
      <c r="AE42" s="93"/>
      <c r="AG42" s="399" t="s">
        <v>416</v>
      </c>
      <c r="AH42" s="399"/>
      <c r="AI42" s="399"/>
      <c r="AJ42" s="385"/>
      <c r="AK42" s="385"/>
      <c r="AL42" s="385"/>
      <c r="AM42" s="385"/>
      <c r="BC42" s="16"/>
      <c r="BO42" s="24"/>
      <c r="BP42" s="16"/>
    </row>
    <row r="43" spans="1:68" customFormat="1" ht="17.25" customHeight="1">
      <c r="A43" s="16"/>
      <c r="B43" s="16"/>
      <c r="C43" s="59"/>
      <c r="D43" s="59"/>
      <c r="E43" s="261"/>
      <c r="F43" s="195"/>
      <c r="G43" s="59"/>
      <c r="H43" s="16"/>
      <c r="I43" s="231" t="s">
        <v>386</v>
      </c>
      <c r="J43" s="232" t="s">
        <v>388</v>
      </c>
      <c r="K43" s="414">
        <f>angleConvert2Decimal(J43)</f>
        <v>5.0000000000000001E-3</v>
      </c>
      <c r="L43" s="1234" t="str">
        <f>I43</f>
        <v>Mars</v>
      </c>
      <c r="M43" s="395">
        <v>40</v>
      </c>
      <c r="N43" s="396" t="s">
        <v>410</v>
      </c>
      <c r="O43" s="396" t="s">
        <v>410</v>
      </c>
      <c r="P43" s="396" t="s">
        <v>410</v>
      </c>
      <c r="Q43" s="396" t="s">
        <v>410</v>
      </c>
      <c r="R43" s="396" t="s">
        <v>410</v>
      </c>
      <c r="S43" s="396" t="s">
        <v>410</v>
      </c>
      <c r="T43" s="396" t="s">
        <v>410</v>
      </c>
      <c r="U43" s="396" t="s">
        <v>410</v>
      </c>
      <c r="V43" s="396" t="s">
        <v>410</v>
      </c>
      <c r="W43" s="396" t="s">
        <v>411</v>
      </c>
      <c r="X43" s="396" t="s">
        <v>411</v>
      </c>
      <c r="Y43" s="396" t="s">
        <v>411</v>
      </c>
      <c r="Z43" s="188"/>
      <c r="AA43" s="197"/>
      <c r="AE43" s="93"/>
      <c r="AG43" s="385"/>
      <c r="AH43" s="399" t="s">
        <v>109</v>
      </c>
      <c r="AI43" s="400">
        <f>AA6</f>
        <v>6</v>
      </c>
      <c r="AJ43" s="385"/>
      <c r="AK43" s="385"/>
      <c r="AL43" s="385"/>
      <c r="AM43" s="385"/>
      <c r="BC43" s="16"/>
      <c r="BO43" s="24"/>
      <c r="BP43" s="16"/>
    </row>
    <row r="44" spans="1:68" customFormat="1" ht="17.25" customHeight="1">
      <c r="A44" s="16"/>
      <c r="B44" s="16"/>
      <c r="C44" s="59"/>
      <c r="D44" s="59"/>
      <c r="E44" s="261"/>
      <c r="F44" s="195"/>
      <c r="G44" s="59"/>
      <c r="H44" s="16"/>
      <c r="I44" s="229" t="s">
        <v>387</v>
      </c>
      <c r="J44" s="230" t="s">
        <v>389</v>
      </c>
      <c r="K44" s="415">
        <f>angleConvert2Decimal(J44)</f>
        <v>1.6666666666666668E-3</v>
      </c>
      <c r="L44" s="1234"/>
      <c r="M44" s="395">
        <v>60</v>
      </c>
      <c r="N44" s="396" t="s">
        <v>410</v>
      </c>
      <c r="O44" s="396" t="s">
        <v>410</v>
      </c>
      <c r="P44" s="396" t="s">
        <v>410</v>
      </c>
      <c r="Q44" s="396" t="s">
        <v>410</v>
      </c>
      <c r="R44" s="396" t="s">
        <v>410</v>
      </c>
      <c r="S44" s="396" t="s">
        <v>410</v>
      </c>
      <c r="T44" s="396" t="s">
        <v>410</v>
      </c>
      <c r="U44" s="396" t="s">
        <v>410</v>
      </c>
      <c r="V44" s="396" t="s">
        <v>410</v>
      </c>
      <c r="W44" s="396" t="s">
        <v>410</v>
      </c>
      <c r="X44" s="396" t="s">
        <v>410</v>
      </c>
      <c r="Y44" s="396" t="s">
        <v>410</v>
      </c>
      <c r="Z44" s="188"/>
      <c r="AA44" s="197"/>
      <c r="AE44" s="93"/>
      <c r="AG44" s="1253" t="str">
        <f>I43</f>
        <v>Mars</v>
      </c>
      <c r="AH44" s="399">
        <v>0</v>
      </c>
      <c r="AI44" s="401" t="str">
        <f>AI45</f>
        <v>0°0,1'</v>
      </c>
      <c r="AJ44" s="386" t="s">
        <v>382</v>
      </c>
      <c r="AK44" s="386" t="s">
        <v>386</v>
      </c>
      <c r="AL44" s="386" t="s">
        <v>387</v>
      </c>
      <c r="AM44" s="386" t="s">
        <v>417</v>
      </c>
      <c r="BO44" s="24"/>
      <c r="BP44" s="16"/>
    </row>
    <row r="45" spans="1:68" customFormat="1" ht="17.25" customHeight="1">
      <c r="A45" s="16"/>
      <c r="B45" s="16"/>
      <c r="C45" s="59"/>
      <c r="D45" s="59"/>
      <c r="E45" s="261"/>
      <c r="F45" s="195"/>
      <c r="G45" s="59"/>
      <c r="H45" s="16"/>
      <c r="L45" s="1234"/>
      <c r="M45" s="395">
        <v>90</v>
      </c>
      <c r="N45" s="396" t="s">
        <v>410</v>
      </c>
      <c r="O45" s="396" t="s">
        <v>410</v>
      </c>
      <c r="P45" s="396" t="s">
        <v>410</v>
      </c>
      <c r="Q45" s="396" t="s">
        <v>410</v>
      </c>
      <c r="R45" s="396" t="s">
        <v>410</v>
      </c>
      <c r="S45" s="396" t="s">
        <v>410</v>
      </c>
      <c r="T45" s="396" t="s">
        <v>410</v>
      </c>
      <c r="U45" s="396" t="s">
        <v>410</v>
      </c>
      <c r="V45" s="396" t="s">
        <v>410</v>
      </c>
      <c r="W45" s="396" t="s">
        <v>410</v>
      </c>
      <c r="X45" s="396" t="s">
        <v>410</v>
      </c>
      <c r="Y45" s="396" t="s">
        <v>410</v>
      </c>
      <c r="Z45" s="188"/>
      <c r="AA45" s="197"/>
      <c r="AE45" s="93"/>
      <c r="AG45" s="1253"/>
      <c r="AH45" s="399">
        <v>40</v>
      </c>
      <c r="AI45" s="401" t="str">
        <f>HLOOKUP($AI$43,$N$42:$Y$48,2,FALSE)</f>
        <v>0°0,1'</v>
      </c>
      <c r="AJ45" s="402">
        <f>J27</f>
        <v>18.581459901072908</v>
      </c>
      <c r="AK45" s="386">
        <f>IF(D35=$AG$44,VLOOKUP($AJ45,$AH$44:$AI$47,2,TRUE),0)</f>
        <v>0</v>
      </c>
      <c r="AL45" s="386">
        <f>IF(D35=$AG$48,VLOOKUP($AJ45,$AH$48:$AI$51,2,TRUE),0)</f>
        <v>0</v>
      </c>
      <c r="AM45" s="386">
        <f>angleConvert2Decimal(AK45)+angleConvert2Decimal(AL45)</f>
        <v>0</v>
      </c>
      <c r="BO45" s="24"/>
      <c r="BP45" s="16"/>
    </row>
    <row r="46" spans="1:68" customFormat="1" ht="17.25" customHeight="1">
      <c r="A46" s="16"/>
      <c r="B46" s="16"/>
      <c r="C46" s="59"/>
      <c r="D46" s="59"/>
      <c r="E46" s="261"/>
      <c r="F46" s="195"/>
      <c r="G46" s="59"/>
      <c r="H46" s="16"/>
      <c r="I46" s="16"/>
      <c r="J46" s="16"/>
      <c r="K46" s="16"/>
      <c r="L46" s="1235" t="str">
        <f>I44</f>
        <v>Venus</v>
      </c>
      <c r="M46" s="397">
        <v>40</v>
      </c>
      <c r="N46" s="398" t="s">
        <v>410</v>
      </c>
      <c r="O46" s="398" t="s">
        <v>410</v>
      </c>
      <c r="P46" s="398" t="s">
        <v>410</v>
      </c>
      <c r="Q46" s="398" t="s">
        <v>410</v>
      </c>
      <c r="R46" s="398" t="s">
        <v>411</v>
      </c>
      <c r="S46" s="398" t="s">
        <v>411</v>
      </c>
      <c r="T46" s="398" t="s">
        <v>412</v>
      </c>
      <c r="U46" s="398" t="s">
        <v>413</v>
      </c>
      <c r="V46" s="398" t="s">
        <v>412</v>
      </c>
      <c r="W46" s="398" t="s">
        <v>411</v>
      </c>
      <c r="X46" s="398" t="s">
        <v>411</v>
      </c>
      <c r="Y46" s="398" t="s">
        <v>410</v>
      </c>
      <c r="Z46" s="188"/>
      <c r="AA46" s="197"/>
      <c r="AE46" s="93"/>
      <c r="AG46" s="1253"/>
      <c r="AH46" s="399">
        <v>60</v>
      </c>
      <c r="AI46" s="401" t="str">
        <f>HLOOKUP($AI$43,$N$42:$Y$48,3,FALSE)</f>
        <v>0°0,1'</v>
      </c>
      <c r="AJ46" s="402">
        <f>J28</f>
        <v>50.931459901072905</v>
      </c>
      <c r="AK46" s="386">
        <f>IF(D36=$AG$44,VLOOKUP($AJ46,$AH$44:$AI$47,2,TRUE),0)</f>
        <v>0</v>
      </c>
      <c r="AL46" s="386">
        <f>IF(D36=$AG$48,VLOOKUP($AJ46,$AH$48:$AI$51,2,TRUE),0)</f>
        <v>0</v>
      </c>
      <c r="AM46" s="386">
        <f>angleConvert2Decimal(AK46)+angleConvert2Decimal(AL46)</f>
        <v>0</v>
      </c>
      <c r="BO46" s="24"/>
      <c r="BP46" s="16"/>
    </row>
    <row r="47" spans="1:68" customFormat="1" ht="17.25" customHeight="1">
      <c r="A47" s="16"/>
      <c r="B47" s="16"/>
      <c r="C47" s="59"/>
      <c r="D47" s="59"/>
      <c r="E47" s="261"/>
      <c r="F47" s="195"/>
      <c r="G47" s="59"/>
      <c r="H47" s="16"/>
      <c r="I47" s="16"/>
      <c r="J47" s="16"/>
      <c r="K47" s="16"/>
      <c r="L47" s="1235"/>
      <c r="M47" s="397">
        <v>60</v>
      </c>
      <c r="N47" s="398" t="s">
        <v>410</v>
      </c>
      <c r="O47" s="398" t="s">
        <v>410</v>
      </c>
      <c r="P47" s="398" t="s">
        <v>410</v>
      </c>
      <c r="Q47" s="398" t="s">
        <v>410</v>
      </c>
      <c r="R47" s="398" t="s">
        <v>410</v>
      </c>
      <c r="S47" s="398" t="s">
        <v>410</v>
      </c>
      <c r="T47" s="398" t="s">
        <v>411</v>
      </c>
      <c r="U47" s="398" t="s">
        <v>412</v>
      </c>
      <c r="V47" s="398" t="s">
        <v>411</v>
      </c>
      <c r="W47" s="398" t="s">
        <v>410</v>
      </c>
      <c r="X47" s="398" t="s">
        <v>410</v>
      </c>
      <c r="Y47" s="398" t="s">
        <v>410</v>
      </c>
      <c r="Z47" s="188"/>
      <c r="AA47" s="197"/>
      <c r="AE47" s="93"/>
      <c r="AG47" s="1253"/>
      <c r="AH47" s="399">
        <v>90</v>
      </c>
      <c r="AI47" s="401" t="str">
        <f>HLOOKUP($AI$43,$N$42:$Y$48,4,FALSE)</f>
        <v>0°0,1'</v>
      </c>
      <c r="AJ47" s="402">
        <f>J29</f>
        <v>45.221459901072905</v>
      </c>
      <c r="AK47" s="386">
        <f>IF(D37=$AG$44,VLOOKUP($AJ47,$AH$44:$AI$47,2,TRUE),0)</f>
        <v>0</v>
      </c>
      <c r="AL47" s="386">
        <f>IF(D37=$AG$48,VLOOKUP($AJ47,$AH$48:$AI$51,2,TRUE),0)</f>
        <v>0</v>
      </c>
      <c r="AM47" s="386">
        <f>angleConvert2Decimal(AK47)+angleConvert2Decimal(AL47)</f>
        <v>0</v>
      </c>
      <c r="BO47" s="24"/>
      <c r="BP47" s="16"/>
    </row>
    <row r="48" spans="1:68" customFormat="1" ht="17.25" customHeight="1">
      <c r="A48" s="16"/>
      <c r="B48" s="16"/>
      <c r="C48" s="59"/>
      <c r="D48" s="59"/>
      <c r="E48" s="261"/>
      <c r="F48" s="195"/>
      <c r="G48" s="59"/>
      <c r="H48" s="16"/>
      <c r="I48" s="16"/>
      <c r="J48" s="16"/>
      <c r="K48" s="16"/>
      <c r="L48" s="1235"/>
      <c r="M48" s="397">
        <v>90</v>
      </c>
      <c r="N48" s="398" t="s">
        <v>410</v>
      </c>
      <c r="O48" s="398" t="s">
        <v>410</v>
      </c>
      <c r="P48" s="398" t="s">
        <v>410</v>
      </c>
      <c r="Q48" s="398" t="s">
        <v>410</v>
      </c>
      <c r="R48" s="398" t="s">
        <v>410</v>
      </c>
      <c r="S48" s="398" t="s">
        <v>410</v>
      </c>
      <c r="T48" s="398" t="s">
        <v>410</v>
      </c>
      <c r="U48" s="398" t="s">
        <v>411</v>
      </c>
      <c r="V48" s="398" t="s">
        <v>410</v>
      </c>
      <c r="W48" s="398" t="s">
        <v>410</v>
      </c>
      <c r="X48" s="398" t="s">
        <v>410</v>
      </c>
      <c r="Y48" s="398" t="s">
        <v>410</v>
      </c>
      <c r="Z48" s="188"/>
      <c r="AA48" s="197"/>
      <c r="AE48" s="93"/>
      <c r="AG48" s="1254" t="str">
        <f>I44</f>
        <v>Venus</v>
      </c>
      <c r="AH48" s="399">
        <v>0</v>
      </c>
      <c r="AI48" s="399" t="str">
        <f>AI49</f>
        <v>0°0,2'</v>
      </c>
      <c r="AJ48" s="402">
        <f>J30</f>
        <v>59.626459901072906</v>
      </c>
      <c r="AK48" s="386">
        <f>IF(D38=$AG$44,VLOOKUP($AJ48,$AH$44:$AI$47,2,TRUE),0)</f>
        <v>0</v>
      </c>
      <c r="AL48" s="386">
        <f>IF(D38=$AG$48,VLOOKUP($AJ48,$AH$48:$AI$51,2,TRUE),0)</f>
        <v>0</v>
      </c>
      <c r="AM48" s="386">
        <f>angleConvert2Decimal(AK48)+angleConvert2Decimal(AL48)</f>
        <v>0</v>
      </c>
      <c r="BO48" s="24"/>
      <c r="BP48" s="16"/>
    </row>
    <row r="49" spans="1:68" customFormat="1" ht="17.25" customHeight="1">
      <c r="A49" s="16"/>
      <c r="B49" s="16"/>
      <c r="C49" s="59"/>
      <c r="D49" s="59"/>
      <c r="E49" s="261"/>
      <c r="F49" s="195"/>
      <c r="G49" s="59"/>
      <c r="H49" s="16"/>
      <c r="I49" s="16"/>
      <c r="J49" s="16"/>
      <c r="K49" s="16"/>
      <c r="L49" s="16"/>
      <c r="M49" s="197"/>
      <c r="N49" s="16"/>
      <c r="O49" s="16"/>
      <c r="P49" s="16"/>
      <c r="Q49" s="16"/>
      <c r="R49" s="16"/>
      <c r="S49" s="16"/>
      <c r="T49" s="16"/>
      <c r="U49" s="16"/>
      <c r="V49" s="16"/>
      <c r="W49" s="188"/>
      <c r="X49" s="188"/>
      <c r="Y49" s="188"/>
      <c r="Z49" s="188"/>
      <c r="AA49" s="197"/>
      <c r="AE49" s="93"/>
      <c r="AG49" s="1254"/>
      <c r="AH49" s="399">
        <v>40</v>
      </c>
      <c r="AI49" s="401" t="str">
        <f>HLOOKUP($AI$43,$N$42:$Y$48,5,FALSE)</f>
        <v>0°0,2'</v>
      </c>
      <c r="AJ49" s="402">
        <f>J31</f>
        <v>45.611459901072905</v>
      </c>
      <c r="AK49" s="386">
        <f>IF(D39=$AG$44,VLOOKUP($AJ49,$AH$44:$AI$47,2,TRUE),0)</f>
        <v>0</v>
      </c>
      <c r="AL49" s="386">
        <f>IF(D39=$AG$48,VLOOKUP($AJ49,$AH$48:$AI$51,2,TRUE),0)</f>
        <v>0</v>
      </c>
      <c r="AM49" s="386">
        <f>angleConvert2Decimal(AK49)+angleConvert2Decimal(AL49)</f>
        <v>0</v>
      </c>
      <c r="BO49" s="24"/>
      <c r="BP49" s="16"/>
    </row>
    <row r="50" spans="1:68" customFormat="1" ht="17.25" customHeight="1">
      <c r="E50" s="265"/>
      <c r="L50" s="16"/>
      <c r="M50" s="197"/>
      <c r="N50" s="16"/>
      <c r="O50" s="16"/>
      <c r="P50" s="16"/>
      <c r="Q50" s="16"/>
      <c r="R50" s="16"/>
      <c r="S50" s="16"/>
      <c r="T50" s="16"/>
      <c r="U50" s="16"/>
      <c r="V50" s="16"/>
      <c r="W50" s="188"/>
      <c r="X50" s="188"/>
      <c r="Y50" s="188"/>
      <c r="Z50" s="188"/>
      <c r="AE50" s="93"/>
      <c r="AG50" s="1254"/>
      <c r="AH50" s="399">
        <v>60</v>
      </c>
      <c r="AI50" s="401" t="str">
        <f>HLOOKUP($AI$43,$N$42:$Y$48,6,FALSE)</f>
        <v>0°0,1'</v>
      </c>
      <c r="AJ50" s="385"/>
      <c r="AK50" s="385"/>
      <c r="AL50" s="385"/>
      <c r="AM50" s="385"/>
    </row>
    <row r="51" spans="1:68" customFormat="1" ht="17.25" customHeight="1">
      <c r="E51" s="265"/>
      <c r="L51" s="16"/>
      <c r="M51" s="197"/>
      <c r="N51" s="16"/>
      <c r="O51" s="16"/>
      <c r="P51" s="16"/>
      <c r="Q51" s="16"/>
      <c r="R51" s="16"/>
      <c r="S51" s="16"/>
      <c r="T51" s="16"/>
      <c r="U51" s="16"/>
      <c r="V51" s="16"/>
      <c r="W51" s="188"/>
      <c r="X51" s="188"/>
      <c r="Y51" s="188"/>
      <c r="Z51" s="188"/>
      <c r="AE51" s="93"/>
      <c r="AF51" s="11"/>
      <c r="AG51" s="1254"/>
      <c r="AH51" s="399">
        <v>90</v>
      </c>
      <c r="AI51" s="401" t="str">
        <f>HLOOKUP($AI$43,$N$42:$Y$48,7,FALSE)</f>
        <v>0°0,1'</v>
      </c>
      <c r="AJ51" s="385"/>
      <c r="AK51" s="385"/>
      <c r="AL51" s="385"/>
      <c r="AM51" s="385"/>
    </row>
    <row r="52" spans="1:68" ht="17.25" customHeight="1" thickBot="1">
      <c r="D52" s="16"/>
      <c r="E52" s="16"/>
      <c r="F52" s="16"/>
      <c r="G52" s="16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/>
      <c r="AH52" s="16"/>
      <c r="AI52" s="16"/>
      <c r="AJ52" s="16"/>
      <c r="AK52" s="16"/>
      <c r="AL52" s="16"/>
      <c r="AM52" s="81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</row>
    <row r="53" spans="1:68" customFormat="1" ht="15.75" thickBot="1">
      <c r="B53" s="120" t="s">
        <v>606</v>
      </c>
      <c r="C53" s="121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2"/>
      <c r="AB53" s="207"/>
      <c r="AC53" s="207"/>
      <c r="AE53" s="93"/>
    </row>
    <row r="54" spans="1:68" customFormat="1" ht="15">
      <c r="K54" s="103"/>
      <c r="L54" s="103"/>
      <c r="AE54" s="93"/>
    </row>
    <row r="55" spans="1:68" customFormat="1" ht="15">
      <c r="B55" s="1115" t="s">
        <v>1</v>
      </c>
      <c r="C55" s="1115"/>
      <c r="D55" s="1115" t="str">
        <f>E6</f>
        <v>2024/06/28</v>
      </c>
      <c r="E55" s="1115"/>
      <c r="F55" s="1115"/>
      <c r="G55" s="1115"/>
      <c r="H55" s="1115"/>
      <c r="I55" s="1115"/>
      <c r="AE55" s="93"/>
    </row>
    <row r="56" spans="1:68" customFormat="1" ht="15">
      <c r="B56" s="1118" t="s">
        <v>30</v>
      </c>
      <c r="C56" s="1118"/>
      <c r="D56" s="1266" t="s">
        <v>517</v>
      </c>
      <c r="E56" s="1266"/>
      <c r="F56" s="1266"/>
      <c r="G56" s="1266"/>
      <c r="H56" s="1266"/>
      <c r="I56" s="1266"/>
      <c r="J56" s="279"/>
      <c r="K56" s="279"/>
      <c r="L56" s="279"/>
      <c r="AE56" s="93"/>
    </row>
    <row r="57" spans="1:68" customFormat="1" ht="15">
      <c r="H57" s="279"/>
      <c r="I57" s="279"/>
      <c r="J57" s="279"/>
      <c r="K57" s="279"/>
      <c r="L57" s="279"/>
      <c r="AE57" s="93"/>
    </row>
    <row r="58" spans="1:68" customFormat="1" ht="15">
      <c r="B58" s="1113" t="s">
        <v>444</v>
      </c>
      <c r="C58" s="1113"/>
      <c r="D58" s="1114" t="str" cm="1">
        <f t="array" ref="D58">angleDecimal2Txt(angleConvert2Decimal(M20))</f>
        <v>+00°01.50 (+00.0250) [+00°01'30.00]</v>
      </c>
      <c r="E58" s="1114"/>
      <c r="F58" s="1114"/>
      <c r="G58" s="1114"/>
      <c r="H58" s="1114"/>
      <c r="I58" s="1114"/>
      <c r="J58" s="279"/>
      <c r="K58" s="279"/>
      <c r="L58" s="279"/>
      <c r="AE58" s="93"/>
    </row>
    <row r="59" spans="1:68" customFormat="1" ht="15">
      <c r="B59" s="1115" t="s">
        <v>445</v>
      </c>
      <c r="C59" s="1115"/>
      <c r="D59" s="1114" t="str">
        <f>CONCATENATE(M19, " m")</f>
        <v>24 m</v>
      </c>
      <c r="E59" s="1114"/>
      <c r="F59" s="1114"/>
      <c r="G59" s="1114"/>
      <c r="H59" s="1114"/>
      <c r="I59" s="1114"/>
      <c r="J59" s="279"/>
      <c r="K59" s="279"/>
      <c r="L59" s="279"/>
      <c r="AE59" s="93"/>
    </row>
    <row r="60" spans="1:68" customFormat="1" ht="15">
      <c r="J60" s="279"/>
      <c r="K60" s="279"/>
      <c r="L60" s="279"/>
      <c r="AE60" s="93"/>
    </row>
    <row r="61" spans="1:68" customFormat="1" ht="15">
      <c r="B61" s="1112" t="s">
        <v>455</v>
      </c>
      <c r="C61" s="1112"/>
      <c r="D61" s="1112" t="str" cm="1">
        <f t="array" ref="D61">latitudeDecimal2Txt(F12)</f>
        <v>S 50°03.00 (S 50.0499) [S 50°03'00.00]</v>
      </c>
      <c r="E61" s="1112"/>
      <c r="F61" s="1112"/>
      <c r="G61" s="1112"/>
      <c r="H61" s="1112"/>
      <c r="I61" s="1112"/>
      <c r="J61" s="279"/>
      <c r="K61" s="279"/>
      <c r="L61" s="279"/>
      <c r="AE61" s="93"/>
    </row>
    <row r="62" spans="1:68" customFormat="1" ht="15">
      <c r="B62" s="1112" t="s">
        <v>456</v>
      </c>
      <c r="C62" s="1112"/>
      <c r="D62" s="1112" t="str" cm="1">
        <f t="array" ref="D62">longitudeDecimal2Txt(F16)</f>
        <v>W 09°02.00 (W 09.0333) [W 09°02'00.00]</v>
      </c>
      <c r="E62" s="1112"/>
      <c r="F62" s="1112"/>
      <c r="G62" s="1112"/>
      <c r="H62" s="1112"/>
      <c r="I62" s="1112"/>
      <c r="J62" s="279"/>
      <c r="K62" s="279"/>
      <c r="L62" s="279"/>
      <c r="AE62" s="93"/>
    </row>
    <row r="63" spans="1:68" customFormat="1" ht="15">
      <c r="B63" s="275"/>
      <c r="C63" s="275"/>
      <c r="D63" s="278"/>
      <c r="E63" s="275"/>
      <c r="AE63" s="93"/>
    </row>
    <row r="64" spans="1:68" s="103" customFormat="1" ht="17.25" customHeight="1" thickBot="1">
      <c r="B64" s="282" t="s">
        <v>442</v>
      </c>
      <c r="C64" s="282"/>
      <c r="D64" s="282"/>
      <c r="E64"/>
      <c r="F64" s="277"/>
      <c r="G64" s="277"/>
      <c r="AB64"/>
      <c r="AC64"/>
      <c r="AD64"/>
      <c r="AE64" s="93"/>
      <c r="AF64"/>
      <c r="AG64"/>
      <c r="BF64"/>
      <c r="BG64"/>
      <c r="BH64"/>
      <c r="BI64"/>
      <c r="BJ64"/>
      <c r="BK64"/>
      <c r="BL64"/>
      <c r="BM64"/>
      <c r="BN64"/>
    </row>
    <row r="65" spans="2:66" s="103" customFormat="1" ht="17.25" customHeight="1" thickTop="1" thickBot="1">
      <c r="C65"/>
      <c r="D65" s="1267" t="s">
        <v>523</v>
      </c>
      <c r="E65" s="1268"/>
      <c r="F65" s="1270" t="str">
        <f>C27</f>
        <v>Capela</v>
      </c>
      <c r="G65" s="1271"/>
      <c r="H65" s="1271"/>
      <c r="I65" s="1272"/>
      <c r="J65" s="1191" t="str">
        <f>C28</f>
        <v>Alpheratz</v>
      </c>
      <c r="K65" s="1192"/>
      <c r="L65" s="1192"/>
      <c r="M65" s="1193"/>
      <c r="N65" s="1191" t="str">
        <f>C29</f>
        <v>Altair</v>
      </c>
      <c r="O65" s="1192"/>
      <c r="P65" s="1192"/>
      <c r="Q65" s="1193"/>
      <c r="R65" s="1191" t="str">
        <f>C30</f>
        <v>Vega</v>
      </c>
      <c r="S65" s="1192"/>
      <c r="T65" s="1192"/>
      <c r="U65" s="1193"/>
      <c r="V65" s="1191" t="str">
        <f>C31</f>
        <v>Kochab</v>
      </c>
      <c r="W65" s="1192"/>
      <c r="X65" s="1192"/>
      <c r="Y65" s="1193"/>
      <c r="AB65"/>
      <c r="AC65"/>
      <c r="AD65"/>
      <c r="AE65" s="93"/>
      <c r="AF65"/>
      <c r="AG65"/>
      <c r="BF65"/>
      <c r="BG65"/>
      <c r="BH65"/>
      <c r="BI65"/>
      <c r="BJ65"/>
      <c r="BK65"/>
      <c r="BL65"/>
      <c r="BM65"/>
      <c r="BN65"/>
    </row>
    <row r="66" spans="2:66" s="103" customFormat="1" ht="17.25" customHeight="1">
      <c r="C66"/>
      <c r="D66" s="1239" t="s">
        <v>589</v>
      </c>
      <c r="E66" s="1240"/>
      <c r="F66" s="1229" t="str">
        <f>$D$55</f>
        <v>2024/06/28</v>
      </c>
      <c r="G66" s="1230"/>
      <c r="H66" s="1241" t="str" cm="1">
        <f t="array" ref="H66">heureDecimal2Txt($G$27,0)</f>
        <v>03:20:04.00</v>
      </c>
      <c r="I66" s="1240"/>
      <c r="J66" s="1229" t="str">
        <f>$D$55</f>
        <v>2024/06/28</v>
      </c>
      <c r="K66" s="1230"/>
      <c r="L66" s="1241" t="str" cm="1">
        <f t="array" ref="L66">heureDecimal2Txt($G$28,0)</f>
        <v>03:22:08.00</v>
      </c>
      <c r="M66" s="1240"/>
      <c r="N66" s="1229" t="str">
        <f>$D$55</f>
        <v>2024/06/28</v>
      </c>
      <c r="O66" s="1230"/>
      <c r="P66" s="1241" t="str" cm="1">
        <f t="array" ref="P66">heureDecimal2Txt($G$29,0)</f>
        <v>03:25:00.00</v>
      </c>
      <c r="Q66" s="1240"/>
      <c r="R66" s="1229" t="str">
        <f>$D$55</f>
        <v>2024/06/28</v>
      </c>
      <c r="S66" s="1230"/>
      <c r="T66" s="1241" t="str" cm="1">
        <f t="array" ref="T66">heureDecimal2Txt($G$30,0)</f>
        <v>03:27:11.00</v>
      </c>
      <c r="U66" s="1240"/>
      <c r="V66" s="1229" t="str">
        <f>$D$55</f>
        <v>2024/06/28</v>
      </c>
      <c r="W66" s="1230"/>
      <c r="X66" s="1241" t="str" cm="1">
        <f t="array" ref="X66">heureDecimal2Txt($G$31,0)</f>
        <v>03:30:20.00</v>
      </c>
      <c r="Y66" s="1240"/>
      <c r="AB66"/>
      <c r="AC66"/>
      <c r="AD66"/>
      <c r="AE66" s="93"/>
      <c r="AF66"/>
      <c r="AG66"/>
      <c r="BF66"/>
      <c r="BG66"/>
      <c r="BH66"/>
      <c r="BI66"/>
      <c r="BJ66"/>
      <c r="BK66"/>
      <c r="BL66"/>
      <c r="BM66"/>
      <c r="BN66"/>
    </row>
    <row r="67" spans="2:66" s="103" customFormat="1" ht="17.25" customHeight="1">
      <c r="D67" s="1120" t="s">
        <v>443</v>
      </c>
      <c r="E67" s="1220"/>
      <c r="F67" s="1194" t="str" cm="1">
        <f t="array" ref="F67">angleDecimal2Txt(angleConvert2Decimal(H27))</f>
        <v>+18°45.00 (+18.7500) [+18°45'00.00]</v>
      </c>
      <c r="G67" s="1195"/>
      <c r="H67" s="1195"/>
      <c r="I67" s="1196"/>
      <c r="J67" s="1194" t="str" cm="1">
        <f t="array" ref="J67">angleDecimal2Txt(angleConvert2Decimal(H28))</f>
        <v>+51°06.00 (+51.1000) [+51°06'00.00]</v>
      </c>
      <c r="K67" s="1195"/>
      <c r="L67" s="1195"/>
      <c r="M67" s="1196"/>
      <c r="N67" s="1194" t="str" cm="1">
        <f t="array" ref="N67">angleDecimal2Txt(angleConvert2Decimal(H29))</f>
        <v>+45°23.39 (+45.3900) [+45°23'24.00]</v>
      </c>
      <c r="O67" s="1195"/>
      <c r="P67" s="1195"/>
      <c r="Q67" s="1196"/>
      <c r="R67" s="1194" t="str" cm="1">
        <f t="array" ref="R67">angleDecimal2Txt(angleConvert2Decimal(H30))</f>
        <v>+59°47.70 (+59.7950) [+59°47'42.00]</v>
      </c>
      <c r="S67" s="1195"/>
      <c r="T67" s="1195"/>
      <c r="U67" s="1196"/>
      <c r="V67" s="1194" t="str" cm="1">
        <f t="array" ref="V67">angleDecimal2Txt(angleConvert2Decimal(H31))</f>
        <v>+45°46.79 (+45.7800) [+45°46'48.00]</v>
      </c>
      <c r="W67" s="1195"/>
      <c r="X67" s="1195"/>
      <c r="Y67" s="1196"/>
      <c r="AB67"/>
      <c r="AC67"/>
      <c r="AD67"/>
      <c r="AE67" s="93"/>
      <c r="AF67"/>
      <c r="AG67"/>
      <c r="BF67"/>
      <c r="BG67"/>
      <c r="BH67"/>
      <c r="BI67"/>
      <c r="BJ67"/>
      <c r="BK67"/>
      <c r="BL67"/>
      <c r="BM67"/>
      <c r="BN67"/>
    </row>
    <row r="68" spans="2:66" s="103" customFormat="1" ht="17.25" customHeight="1">
      <c r="D68" s="1269" t="s">
        <v>447</v>
      </c>
      <c r="E68" s="1184"/>
      <c r="F68" s="1183" t="str" cm="1">
        <f t="array" ref="F68">angleDecimal2Txt(J27)</f>
        <v>+18°34.88 (+18.5814) [+18°34'53.25]</v>
      </c>
      <c r="G68" s="1184"/>
      <c r="H68" s="1184"/>
      <c r="I68" s="1185"/>
      <c r="J68" s="1183" t="str" cm="1">
        <f t="array" ref="J68">angleDecimal2Txt(J28)</f>
        <v>+50°55.88 (+50.9314) [+50°55'53.25]</v>
      </c>
      <c r="K68" s="1184"/>
      <c r="L68" s="1184"/>
      <c r="M68" s="1185"/>
      <c r="N68" s="1183" t="str" cm="1">
        <f t="array" ref="N68">angleDecimal2Txt(J29)</f>
        <v>+45°13.28 (+45.2214) [+45°13'17.25]</v>
      </c>
      <c r="O68" s="1184"/>
      <c r="P68" s="1184"/>
      <c r="Q68" s="1185"/>
      <c r="R68" s="1183" t="str" cm="1">
        <f t="array" ref="R68">angleDecimal2Txt(J30)</f>
        <v>+59°37.58 (+59.6264) [+59°37'35.25]</v>
      </c>
      <c r="S68" s="1184"/>
      <c r="T68" s="1184"/>
      <c r="U68" s="1185"/>
      <c r="V68" s="1183" t="str" cm="1">
        <f t="array" ref="V68">angleDecimal2Txt(J31)</f>
        <v>+45°36.68 (+45.6114) [+45°36'41.25]</v>
      </c>
      <c r="W68" s="1184"/>
      <c r="X68" s="1184"/>
      <c r="Y68" s="1185"/>
      <c r="AB68"/>
      <c r="AC68"/>
      <c r="AD68"/>
      <c r="AE68" s="93"/>
      <c r="AF68"/>
      <c r="AG68"/>
      <c r="BF68"/>
      <c r="BG68"/>
      <c r="BH68"/>
      <c r="BI68"/>
      <c r="BJ68"/>
      <c r="BK68"/>
      <c r="BL68"/>
      <c r="BM68"/>
      <c r="BN68"/>
    </row>
    <row r="69" spans="2:66" s="103" customFormat="1" ht="17.25" customHeight="1">
      <c r="D69" s="1076" t="s">
        <v>445</v>
      </c>
      <c r="E69" s="1187"/>
      <c r="F69" s="1189" t="str" cm="1">
        <f t="array" ref="F69">angleDecimal2Txt($K$19)</f>
        <v>+00°08.61 (+00.1435) [+00°08'36.74]</v>
      </c>
      <c r="G69" s="1079"/>
      <c r="H69" s="1079"/>
      <c r="I69" s="1079"/>
      <c r="J69" s="1079"/>
      <c r="K69" s="1079"/>
      <c r="L69" s="1079"/>
      <c r="M69" s="1079"/>
      <c r="N69" s="1079"/>
      <c r="O69" s="1079"/>
      <c r="P69" s="1079"/>
      <c r="Q69" s="1079"/>
      <c r="R69" s="1079"/>
      <c r="S69" s="1079"/>
      <c r="T69" s="1079"/>
      <c r="U69" s="1079"/>
      <c r="V69" s="1079"/>
      <c r="W69" s="1079"/>
      <c r="X69" s="1079"/>
      <c r="Y69" s="1190"/>
      <c r="AB69"/>
      <c r="AC69"/>
      <c r="AD69"/>
      <c r="AE69" s="93"/>
      <c r="AF69"/>
      <c r="AG69"/>
      <c r="BF69"/>
      <c r="BG69"/>
      <c r="BH69"/>
      <c r="BI69"/>
      <c r="BJ69"/>
      <c r="BK69"/>
      <c r="BL69"/>
      <c r="BM69"/>
      <c r="BN69"/>
    </row>
    <row r="70" spans="2:66" s="103" customFormat="1" ht="17.25" customHeight="1">
      <c r="D70" s="1076" t="s">
        <v>452</v>
      </c>
      <c r="E70" s="1187"/>
      <c r="F70" s="1189" t="str" cm="1">
        <f t="array" ref="F70">angleDecimal2Txt(J35)</f>
        <v>+00°02.91 (+00.0486) [+00°02'55.12]</v>
      </c>
      <c r="G70" s="1079"/>
      <c r="H70" s="1079"/>
      <c r="I70" s="1190"/>
      <c r="J70" s="1189" t="str" cm="1">
        <f t="array" ref="J70">angleDecimal2Txt(J36)</f>
        <v>+00°00.80 (+00.0134) [+00°00'48.44]</v>
      </c>
      <c r="K70" s="1079"/>
      <c r="L70" s="1079"/>
      <c r="M70" s="1190"/>
      <c r="N70" s="1189" t="str" cm="1">
        <f t="array" ref="N70">angleDecimal2Txt(J37)</f>
        <v>+00°00.98 (+00.0164) [+00°00'59.19]</v>
      </c>
      <c r="O70" s="1079"/>
      <c r="P70" s="1079"/>
      <c r="Q70" s="1190"/>
      <c r="R70" s="1189" t="str" cm="1">
        <f t="array" ref="R70">angleDecimal2Txt(J38)</f>
        <v>+00°00.58 (+00.0097) [+00°00'34.97]</v>
      </c>
      <c r="S70" s="1079"/>
      <c r="T70" s="1079"/>
      <c r="U70" s="1190"/>
      <c r="V70" s="1189" t="str" cm="1">
        <f t="array" ref="V70">angleDecimal2Txt(J39)</f>
        <v>+00°00.97 (+00.0162) [+00°00'58.39]</v>
      </c>
      <c r="W70" s="1079"/>
      <c r="X70" s="1079"/>
      <c r="Y70" s="1190"/>
      <c r="AB70"/>
      <c r="AC70"/>
      <c r="AD70"/>
      <c r="AE70" s="93"/>
      <c r="AF70"/>
      <c r="AG70"/>
      <c r="BF70"/>
      <c r="BG70"/>
      <c r="BH70"/>
      <c r="BI70"/>
      <c r="BJ70"/>
      <c r="BK70"/>
      <c r="BL70"/>
      <c r="BM70"/>
      <c r="BN70"/>
    </row>
    <row r="71" spans="2:66" s="103" customFormat="1" ht="17.25" customHeight="1">
      <c r="D71" s="1269" t="s">
        <v>446</v>
      </c>
      <c r="E71" s="1184"/>
      <c r="F71" s="1183" t="str" cm="1">
        <f t="array" ref="F71">angleDecimal2Txt(M35)</f>
        <v>+18°31.96 (+18.5328) [+18°31'58.12]</v>
      </c>
      <c r="G71" s="1184"/>
      <c r="H71" s="1184"/>
      <c r="I71" s="1185"/>
      <c r="J71" s="1183" t="str" cm="1">
        <f t="array" ref="J71">angleDecimal2Txt(M36)</f>
        <v>+50°55.08 (+50.9180) [+50°55'04.81]</v>
      </c>
      <c r="K71" s="1184"/>
      <c r="L71" s="1184"/>
      <c r="M71" s="1185"/>
      <c r="N71" s="1183" t="str" cm="1">
        <f t="array" ref="N71">angleDecimal2Txt(M37)</f>
        <v>+45°12.30 (+45.2050) [+45°12'18.06]</v>
      </c>
      <c r="O71" s="1184"/>
      <c r="P71" s="1184"/>
      <c r="Q71" s="1185"/>
      <c r="R71" s="1183" t="str" cm="1">
        <f t="array" ref="R71">angleDecimal2Txt(M38)</f>
        <v>+59°37.00 (+59.6167) [+59°37'00.27]</v>
      </c>
      <c r="S71" s="1184"/>
      <c r="T71" s="1184"/>
      <c r="U71" s="1185"/>
      <c r="V71" s="1183" t="str" cm="1">
        <f t="array" ref="V71">angleDecimal2Txt(M39)</f>
        <v>+45°35.71 (+45.5952) [+45°35'42.86]</v>
      </c>
      <c r="W71" s="1184"/>
      <c r="X71" s="1184"/>
      <c r="Y71" s="1185"/>
      <c r="AB71"/>
      <c r="AC71"/>
      <c r="AD71"/>
      <c r="AE71" s="93"/>
      <c r="AF71"/>
      <c r="AG71"/>
      <c r="BF71"/>
      <c r="BG71"/>
      <c r="BH71"/>
      <c r="BI71"/>
      <c r="BJ71"/>
      <c r="BK71"/>
      <c r="BL71"/>
      <c r="BM71"/>
      <c r="BN71"/>
    </row>
    <row r="72" spans="2:66" s="103" customFormat="1" ht="17.25" customHeight="1">
      <c r="B72" s="1221" t="s">
        <v>470</v>
      </c>
      <c r="C72" s="1222"/>
      <c r="D72" s="1227" t="s">
        <v>454</v>
      </c>
      <c r="E72" s="1228"/>
      <c r="F72" s="1186" t="str" cm="1">
        <f t="array" ref="F72">angleDecimal2Txt(G35-J35-$K$19)</f>
        <v>-00°11.53 (-00.1921) [-00°11'31.87]</v>
      </c>
      <c r="G72" s="1187"/>
      <c r="H72" s="1187"/>
      <c r="I72" s="1188"/>
      <c r="J72" s="1186" t="str" cm="1">
        <f t="array" ref="J72">angleDecimal2Txt(G36-J36-$K$19)</f>
        <v>-00°09.41 (-00.1569) [-00°09'25.18]</v>
      </c>
      <c r="K72" s="1187"/>
      <c r="L72" s="1187"/>
      <c r="M72" s="1188"/>
      <c r="N72" s="1186" t="str" cm="1">
        <f t="array" ref="N72">angleDecimal2Txt(G37-J37-$K$19)</f>
        <v>-00°09.59 (-00.1599) [-00°09'35.93]</v>
      </c>
      <c r="O72" s="1187"/>
      <c r="P72" s="1187"/>
      <c r="Q72" s="1188"/>
      <c r="R72" s="1186" t="str" cm="1">
        <f t="array" ref="R72">angleDecimal2Txt(G38-J38-$K$19)</f>
        <v>-00°09.19 (-00.1532) [-00°09'11.72]</v>
      </c>
      <c r="S72" s="1187"/>
      <c r="T72" s="1187"/>
      <c r="U72" s="1188"/>
      <c r="V72" s="1186" t="str" cm="1">
        <f t="array" ref="V72">angleDecimal2Txt(G39-J39-$K$19)</f>
        <v>-00°09.58 (-00.1597) [-00°09'35.13]</v>
      </c>
      <c r="W72" s="1187"/>
      <c r="X72" s="1187"/>
      <c r="Y72" s="1188"/>
      <c r="AB72"/>
      <c r="AC72"/>
      <c r="AD72"/>
      <c r="AE72" s="93"/>
      <c r="AF72"/>
      <c r="AG72"/>
      <c r="BF72"/>
      <c r="BG72"/>
      <c r="BH72"/>
      <c r="BI72"/>
      <c r="BJ72"/>
      <c r="BK72"/>
      <c r="BL72"/>
      <c r="BM72"/>
      <c r="BN72"/>
    </row>
    <row r="73" spans="2:66" s="103" customFormat="1" ht="17.25" customHeight="1">
      <c r="B73" s="1223"/>
      <c r="C73" s="1224"/>
      <c r="D73" s="1227" t="s">
        <v>450</v>
      </c>
      <c r="E73" s="1228"/>
      <c r="F73" s="1186" t="str" cm="1">
        <f t="array" ref="F73">angleDecimal2Txt(G35-J35-$K$19+angleConvert2Decimal(L35))</f>
        <v>-00°11.53 (-00.1921) [-00°11'31.87]</v>
      </c>
      <c r="G73" s="1187"/>
      <c r="H73" s="1187"/>
      <c r="I73" s="1188"/>
      <c r="J73" s="1186" t="str" cm="1">
        <f t="array" ref="J73">angleDecimal2Txt(G36-J36-$K$19+angleConvert2Decimal(L36))</f>
        <v>-00°09.41 (-00.1569) [-00°09'25.18]</v>
      </c>
      <c r="K73" s="1187"/>
      <c r="L73" s="1187"/>
      <c r="M73" s="1188"/>
      <c r="N73" s="1186" t="str" cm="1">
        <f t="array" ref="N73">angleDecimal2Txt(G37-J37-$K$19+angleConvert2Decimal(L37))</f>
        <v>-00°09.59 (-00.1599) [-00°09'35.93]</v>
      </c>
      <c r="O73" s="1187"/>
      <c r="P73" s="1187"/>
      <c r="Q73" s="1188"/>
      <c r="R73" s="1186" t="str" cm="1">
        <f t="array" ref="R73">angleDecimal2Txt(G38-J38-$K$19+angleConvert2Decimal(L38))</f>
        <v>-00°09.19 (-00.1532) [-00°09'11.72]</v>
      </c>
      <c r="S73" s="1187"/>
      <c r="T73" s="1187"/>
      <c r="U73" s="1188"/>
      <c r="V73" s="1186" t="str" cm="1">
        <f t="array" ref="V73">angleDecimal2Txt(G39-J39-$K$19+angleConvert2Decimal(L39))</f>
        <v>-00°09.58 (-00.1597) [-00°09'35.13]</v>
      </c>
      <c r="W73" s="1187"/>
      <c r="X73" s="1187"/>
      <c r="Y73" s="1188"/>
      <c r="AB73"/>
      <c r="AC73"/>
      <c r="AD73"/>
      <c r="AE73" s="93"/>
      <c r="AF73"/>
      <c r="AG73"/>
      <c r="BF73"/>
      <c r="BG73"/>
      <c r="BH73"/>
      <c r="BI73"/>
      <c r="BJ73"/>
      <c r="BK73"/>
      <c r="BL73"/>
      <c r="BM73"/>
      <c r="BN73"/>
    </row>
    <row r="74" spans="2:66" s="103" customFormat="1" ht="17.25" customHeight="1">
      <c r="B74" s="1225"/>
      <c r="C74" s="1226"/>
      <c r="D74" s="1227" t="s">
        <v>451</v>
      </c>
      <c r="E74" s="1228"/>
      <c r="F74" s="1186" t="str" cm="1">
        <f t="array" ref="F74">angleDecimal2Txt(G35-J35+angleConvert2Decimal(L35))</f>
        <v>-00°02.91 (-00.0486) [-00°02'55.12]</v>
      </c>
      <c r="G74" s="1187"/>
      <c r="H74" s="1187"/>
      <c r="I74" s="1188"/>
      <c r="J74" s="1186" t="str" cm="1">
        <f t="array" ref="J74">angleDecimal2Txt(G36-J36+angleConvert2Decimal(L36))</f>
        <v>-00°00.80 (-00.0134) [-00°00'48.44]</v>
      </c>
      <c r="K74" s="1187"/>
      <c r="L74" s="1187"/>
      <c r="M74" s="1188"/>
      <c r="N74" s="1186" t="str" cm="1">
        <f t="array" ref="N74">angleDecimal2Txt(G37-J37+angleConvert2Decimal(L37))</f>
        <v>-00°00.98 (-00.0164) [-00°00'59.19]</v>
      </c>
      <c r="O74" s="1187"/>
      <c r="P74" s="1187"/>
      <c r="Q74" s="1188"/>
      <c r="R74" s="1186" t="str" cm="1">
        <f t="array" ref="R74">angleDecimal2Txt(G38-J38-angleConvert2Decimal(L38))</f>
        <v>-00°00.58 (-00.0097) [-00°00'34.97]</v>
      </c>
      <c r="S74" s="1187"/>
      <c r="T74" s="1187"/>
      <c r="U74" s="1188"/>
      <c r="V74" s="1186" t="str" cm="1">
        <f t="array" ref="V74">angleDecimal2Txt(G39-J39+angleConvert2Decimal(L39))</f>
        <v>-00°00.97 (-00.0162) [-00°00'58.39]</v>
      </c>
      <c r="W74" s="1187"/>
      <c r="X74" s="1187"/>
      <c r="Y74" s="1188"/>
      <c r="AB74"/>
      <c r="AC74"/>
      <c r="AD74"/>
      <c r="AE74" s="93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2:66" s="103" customFormat="1" ht="17.25" customHeight="1">
      <c r="D75" s="277"/>
      <c r="AB75"/>
      <c r="AC75"/>
      <c r="AD75"/>
      <c r="AE75" s="93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2:66" s="103" customFormat="1" ht="17.25" customHeight="1" thickBot="1">
      <c r="B76" s="280" t="s">
        <v>62</v>
      </c>
      <c r="C76" s="281"/>
      <c r="D76" s="281"/>
      <c r="E76" s="281"/>
      <c r="F76" s="281"/>
      <c r="G76" s="281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AB76"/>
      <c r="AC76"/>
      <c r="AD76"/>
      <c r="AE76" s="93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2:66" s="103" customFormat="1" ht="17.25" customHeight="1" thickTop="1">
      <c r="D77" s="1213" t="s">
        <v>482</v>
      </c>
      <c r="E77" s="1219" t="str">
        <f>CONCATENATE(" -", "Interval")</f>
        <v xml:space="preserve"> -Interval</v>
      </c>
      <c r="F77" s="1171">
        <f>O35</f>
        <v>3</v>
      </c>
      <c r="G77" s="1165"/>
      <c r="H77" s="1165" t="str" cm="1">
        <f t="array" ref="H77">angleDecimal2Txt(VLOOKUP(F77,$R$27:$T$29,3),0)</f>
        <v>+321°42.39</v>
      </c>
      <c r="I77" s="1172"/>
      <c r="J77" s="1164">
        <f>O36</f>
        <v>3</v>
      </c>
      <c r="K77" s="1165"/>
      <c r="L77" s="1165" t="str" cm="1">
        <f t="array" ref="L77">angleDecimal2Txt(VLOOKUP(J77,$R$27:$T$29,3),0)</f>
        <v>+321°42.39</v>
      </c>
      <c r="M77" s="1166"/>
      <c r="N77" s="1171">
        <f>O37</f>
        <v>3</v>
      </c>
      <c r="O77" s="1165"/>
      <c r="P77" s="1165" t="str" cm="1">
        <f t="array" ref="P77">angleDecimal2Txt(VLOOKUP(N77,$R$27:$T$29,3),0)</f>
        <v>+321°42.39</v>
      </c>
      <c r="Q77" s="1172"/>
      <c r="R77" s="1164">
        <f>O38</f>
        <v>3</v>
      </c>
      <c r="S77" s="1165"/>
      <c r="T77" s="1165" t="str" cm="1">
        <f t="array" ref="T77">angleDecimal2Txt(VLOOKUP(R77,$R$27:$T$29,3),0)</f>
        <v>+321°42.39</v>
      </c>
      <c r="U77" s="1166"/>
      <c r="V77" s="1171">
        <f>O39</f>
        <v>3</v>
      </c>
      <c r="W77" s="1165"/>
      <c r="X77" s="1165" t="str" cm="1">
        <f t="array" ref="X77">angleDecimal2Txt(VLOOKUP(V77,$R$27:$T$29,3),0)</f>
        <v>+321°42.39</v>
      </c>
      <c r="Y77" s="1172"/>
      <c r="AB77"/>
      <c r="AC77"/>
      <c r="AD77"/>
      <c r="AE77" s="93"/>
      <c r="AF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2:66" s="103" customFormat="1" ht="17.25" customHeight="1">
      <c r="D78" s="1213"/>
      <c r="E78" s="1219"/>
      <c r="F78" s="1171">
        <f>F77+1</f>
        <v>4</v>
      </c>
      <c r="G78" s="1165"/>
      <c r="H78" s="1165" t="str" cm="1">
        <f t="array" ref="H78">angleDecimal2Txt(VLOOKUP(F78,$R$27:$T$29,3),0)</f>
        <v>+336°44.79</v>
      </c>
      <c r="I78" s="1172"/>
      <c r="J78" s="1164">
        <f>J77+1</f>
        <v>4</v>
      </c>
      <c r="K78" s="1165"/>
      <c r="L78" s="1165" t="str" cm="1">
        <f t="array" ref="L78">angleDecimal2Txt(VLOOKUP(J78,$R$27:$T$29,3),0)</f>
        <v>+336°44.79</v>
      </c>
      <c r="M78" s="1166"/>
      <c r="N78" s="1171">
        <f>N77+1</f>
        <v>4</v>
      </c>
      <c r="O78" s="1165"/>
      <c r="P78" s="1165" t="str" cm="1">
        <f t="array" ref="P78">angleDecimal2Txt(VLOOKUP(N78,$R$27:$T$29,3),0)</f>
        <v>+336°44.79</v>
      </c>
      <c r="Q78" s="1172"/>
      <c r="R78" s="1164">
        <f>R77+1</f>
        <v>4</v>
      </c>
      <c r="S78" s="1165"/>
      <c r="T78" s="1165" t="str" cm="1">
        <f t="array" ref="T78">angleDecimal2Txt(VLOOKUP(R78,$R$27:$T$29,3),0)</f>
        <v>+336°44.79</v>
      </c>
      <c r="U78" s="1166"/>
      <c r="V78" s="1171">
        <f>V77+1</f>
        <v>4</v>
      </c>
      <c r="W78" s="1165"/>
      <c r="X78" s="1165" t="str" cm="1">
        <f t="array" ref="X78">angleDecimal2Txt(VLOOKUP(V78,$R$27:$T$29,3),0)</f>
        <v>+336°44.79</v>
      </c>
      <c r="Y78" s="1172"/>
      <c r="AB78"/>
      <c r="AC78"/>
      <c r="AD78"/>
      <c r="AE78" s="9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s="103" customFormat="1" ht="17.25" customHeight="1">
      <c r="D79" s="1110" t="s">
        <v>483</v>
      </c>
      <c r="E79" s="1182"/>
      <c r="F79" s="1178" t="str" cm="1">
        <f t="array" ref="F79">angleDecimal2Txt(T35,0)</f>
        <v>+326°44.20</v>
      </c>
      <c r="G79" s="1110"/>
      <c r="H79" s="1110"/>
      <c r="I79" s="1179"/>
      <c r="J79" s="1181" t="str" cm="1">
        <f t="array" ref="J79">angleDecimal2Txt(T36,0)</f>
        <v>+327°15.28</v>
      </c>
      <c r="K79" s="1110"/>
      <c r="L79" s="1110"/>
      <c r="M79" s="1182"/>
      <c r="N79" s="1178" t="str" cm="1">
        <f t="array" ref="N79">angleDecimal2Txt(T37,0)</f>
        <v>+327°58.39</v>
      </c>
      <c r="O79" s="1110"/>
      <c r="P79" s="1110"/>
      <c r="Q79" s="1179"/>
      <c r="R79" s="1181" t="str" cm="1">
        <f t="array" ref="R79">angleDecimal2Txt(T38,0)</f>
        <v>+328°31.23</v>
      </c>
      <c r="S79" s="1110"/>
      <c r="T79" s="1110"/>
      <c r="U79" s="1182"/>
      <c r="V79" s="1178" t="str" cm="1">
        <f t="array" ref="V79">angleDecimal2Txt(T39,0)</f>
        <v>+329°18.61</v>
      </c>
      <c r="W79" s="1110"/>
      <c r="X79" s="1110"/>
      <c r="Y79" s="1179"/>
      <c r="AB79"/>
      <c r="AC79" s="291"/>
      <c r="AD79"/>
      <c r="AE79" s="93"/>
      <c r="AF79"/>
      <c r="BD79"/>
      <c r="BE79"/>
      <c r="BF79"/>
      <c r="BG79"/>
      <c r="BH79"/>
      <c r="BI79"/>
      <c r="BJ79"/>
      <c r="BK79"/>
      <c r="BL79"/>
      <c r="BM79"/>
      <c r="BN79"/>
    </row>
    <row r="80" spans="2:66" s="103" customFormat="1" ht="17.25" customHeight="1">
      <c r="D80" s="1110" t="s">
        <v>521</v>
      </c>
      <c r="E80" s="1182"/>
      <c r="F80" s="1178" t="str" cm="1">
        <f t="array" ref="F80">angleDecimal2Txt(U35,0)</f>
        <v>+317°42.20</v>
      </c>
      <c r="G80" s="1110"/>
      <c r="H80" s="1110"/>
      <c r="I80" s="1179"/>
      <c r="J80" s="1181" t="str" cm="1">
        <f t="array" ref="J80">angleDecimal2Txt(U36,0)</f>
        <v>+318°13.28</v>
      </c>
      <c r="K80" s="1110"/>
      <c r="L80" s="1110"/>
      <c r="M80" s="1182"/>
      <c r="N80" s="1178" t="str" cm="1">
        <f t="array" ref="N80">angleDecimal2Txt(U37,0)</f>
        <v>+318°56.39</v>
      </c>
      <c r="O80" s="1110"/>
      <c r="P80" s="1110"/>
      <c r="Q80" s="1179"/>
      <c r="R80" s="1181" t="str" cm="1">
        <f t="array" ref="R80">angleDecimal2Txt(U38,0)</f>
        <v>+319°29.23</v>
      </c>
      <c r="S80" s="1110"/>
      <c r="T80" s="1110"/>
      <c r="U80" s="1182"/>
      <c r="V80" s="1178" t="str" cm="1">
        <f t="array" ref="V80">angleDecimal2Txt(U39,0)</f>
        <v>+320°16.61</v>
      </c>
      <c r="W80" s="1110"/>
      <c r="X80" s="1110"/>
      <c r="Y80" s="1179"/>
      <c r="AB80"/>
      <c r="AC80"/>
      <c r="AD80"/>
      <c r="AE80" s="93"/>
      <c r="AF80"/>
      <c r="BD80"/>
      <c r="BE80"/>
      <c r="BF80"/>
      <c r="BG80"/>
      <c r="BH80"/>
      <c r="BI80"/>
      <c r="BJ80"/>
      <c r="BK80"/>
      <c r="BL80"/>
      <c r="BM80"/>
      <c r="BN80"/>
    </row>
    <row r="81" spans="2:66" s="103" customFormat="1" ht="17.25" customHeight="1">
      <c r="D81" s="1110" t="s">
        <v>518</v>
      </c>
      <c r="E81" s="1182"/>
      <c r="F81" s="1178" t="str" cm="1">
        <f t="array" ref="F81">angleDecimal2Txt(M27,0)</f>
        <v>+280°23.00</v>
      </c>
      <c r="G81" s="1110"/>
      <c r="H81" s="1110"/>
      <c r="I81" s="1179"/>
      <c r="J81" s="1181" t="str" cm="1">
        <f t="array" ref="J81">angleDecimal2Txt(M28,0)</f>
        <v>+357°35.20</v>
      </c>
      <c r="K81" s="1110"/>
      <c r="L81" s="1110"/>
      <c r="M81" s="1182"/>
      <c r="N81" s="1178" t="str" cm="1">
        <f t="array" ref="N81">angleDecimal2Txt(M29,0)</f>
        <v>+62°00.10</v>
      </c>
      <c r="O81" s="1110"/>
      <c r="P81" s="1110"/>
      <c r="Q81" s="1179"/>
      <c r="R81" s="1181" t="str" cm="1">
        <f t="array" ref="R81">angleDecimal2Txt(M30,0)</f>
        <v>+80°33.10</v>
      </c>
      <c r="S81" s="1110"/>
      <c r="T81" s="1110"/>
      <c r="U81" s="1182"/>
      <c r="V81" s="1178" t="str" cm="1">
        <f t="array" ref="V81">angleDecimal2Txt(M31,0)</f>
        <v>+137°19.00</v>
      </c>
      <c r="W81" s="1110"/>
      <c r="X81" s="1110"/>
      <c r="Y81" s="1179"/>
      <c r="AB81"/>
      <c r="AC81"/>
      <c r="AD81"/>
      <c r="AE81" s="93"/>
      <c r="AF81"/>
      <c r="BD81"/>
      <c r="BE81"/>
      <c r="BF81"/>
      <c r="BG81"/>
      <c r="BH81"/>
      <c r="BI81"/>
      <c r="BJ81"/>
      <c r="BK81"/>
      <c r="BL81"/>
      <c r="BM81"/>
      <c r="BN81"/>
    </row>
    <row r="82" spans="2:66" s="103" customFormat="1" ht="17.25" customHeight="1">
      <c r="D82" s="1110" t="s">
        <v>519</v>
      </c>
      <c r="E82" s="1182"/>
      <c r="F82" s="1178" t="str" cm="1">
        <f t="array" ref="F82">angleDecimal2Txt(V35,0)</f>
        <v>+247°07.20</v>
      </c>
      <c r="G82" s="1110"/>
      <c r="H82" s="1110"/>
      <c r="I82" s="1179"/>
      <c r="J82" s="1181" t="str" cm="1">
        <f t="array" ref="J82">angleDecimal2Txt(V36,0)</f>
        <v>+324°50.48</v>
      </c>
      <c r="K82" s="1110"/>
      <c r="L82" s="1110"/>
      <c r="M82" s="1182"/>
      <c r="N82" s="1178" t="str" cm="1">
        <f t="array" ref="N82">angleDecimal2Txt(V37,0)</f>
        <v>+29°58.49</v>
      </c>
      <c r="O82" s="1110"/>
      <c r="P82" s="1110"/>
      <c r="Q82" s="1179"/>
      <c r="R82" s="1181" t="str" cm="1">
        <f t="array" ref="R82">angleDecimal2Txt(V38,0)</f>
        <v>+49°04.33</v>
      </c>
      <c r="S82" s="1110"/>
      <c r="T82" s="1110"/>
      <c r="U82" s="1182"/>
      <c r="V82" s="1178" t="str" cm="1">
        <f t="array" ref="V82">angleDecimal2Txt(V39,0)</f>
        <v>+106°37.61</v>
      </c>
      <c r="W82" s="1110"/>
      <c r="X82" s="1110"/>
      <c r="Y82" s="1179"/>
      <c r="AB82"/>
      <c r="AD82"/>
      <c r="AE82" s="93"/>
      <c r="AF82"/>
      <c r="BD82"/>
      <c r="BE82"/>
      <c r="BF82"/>
      <c r="BG82"/>
      <c r="BH82"/>
      <c r="BI82"/>
      <c r="BJ82"/>
      <c r="BK82"/>
      <c r="BL82"/>
      <c r="BM82"/>
      <c r="BN82"/>
    </row>
    <row r="83" spans="2:66" s="103" customFormat="1" ht="17.25" customHeight="1">
      <c r="D83" s="1110" t="s">
        <v>520</v>
      </c>
      <c r="E83" s="1182"/>
      <c r="F83" s="1178" t="str" cm="1">
        <f t="array" ref="F83">angleDecimal2Txt(W35,0)</f>
        <v>+238°05.20</v>
      </c>
      <c r="G83" s="1110"/>
      <c r="H83" s="1110"/>
      <c r="I83" s="1179"/>
      <c r="J83" s="1181" t="str" cm="1">
        <f t="array" ref="J83">angleDecimal2Txt(W36,0)</f>
        <v>+315°48.48</v>
      </c>
      <c r="K83" s="1110"/>
      <c r="L83" s="1110"/>
      <c r="M83" s="1182"/>
      <c r="N83" s="1178" t="str" cm="1">
        <f t="array" ref="N83">angleDecimal2Txt(W37,0)</f>
        <v>+20°56.49</v>
      </c>
      <c r="O83" s="1110"/>
      <c r="P83" s="1110"/>
      <c r="Q83" s="1179"/>
      <c r="R83" s="1181" t="str" cm="1">
        <f t="array" ref="R83">angleDecimal2Txt(W38,0)</f>
        <v>+40°02.33</v>
      </c>
      <c r="S83" s="1110"/>
      <c r="T83" s="1110"/>
      <c r="U83" s="1182"/>
      <c r="V83" s="1178" t="str" cm="1">
        <f t="array" ref="V83">angleDecimal2Txt(W39,0)</f>
        <v>+97°35.61</v>
      </c>
      <c r="W83" s="1110"/>
      <c r="X83" s="1110"/>
      <c r="Y83" s="1179"/>
      <c r="AB83"/>
      <c r="AD83"/>
      <c r="AE83" s="93"/>
      <c r="AF83"/>
      <c r="BD83"/>
      <c r="BE83"/>
      <c r="BF83"/>
      <c r="BG83"/>
      <c r="BH83"/>
      <c r="BI83"/>
      <c r="BJ83"/>
      <c r="BK83"/>
      <c r="BL83"/>
      <c r="BM83"/>
      <c r="BN83"/>
    </row>
    <row r="84" spans="2:66" s="103" customFormat="1" ht="17.25" customHeight="1">
      <c r="D84" s="1110" t="s">
        <v>522</v>
      </c>
      <c r="E84" s="1182"/>
      <c r="F84" s="1178" t="str" cm="1">
        <f t="array" ref="F84">angleDecimal2Txt(O27,0)</f>
        <v>+46°01.30</v>
      </c>
      <c r="G84" s="1110"/>
      <c r="H84" s="1110"/>
      <c r="I84" s="1179"/>
      <c r="J84" s="1181" t="str" cm="1">
        <f t="array" ref="J84">angleDecimal2Txt(O28,0)</f>
        <v>+29°13.40</v>
      </c>
      <c r="K84" s="1110"/>
      <c r="L84" s="1110"/>
      <c r="M84" s="1182"/>
      <c r="N84" s="1178" t="str" cm="1">
        <f t="array" ref="N84">angleDecimal2Txt(O29,0)</f>
        <v>+08°55.89</v>
      </c>
      <c r="O84" s="1110"/>
      <c r="P84" s="1110"/>
      <c r="Q84" s="1179"/>
      <c r="R84" s="1181" t="str" cm="1">
        <f t="array" ref="R84">angleDecimal2Txt(O30,0)</f>
        <v>+38°48.29</v>
      </c>
      <c r="S84" s="1110"/>
      <c r="T84" s="1110"/>
      <c r="U84" s="1182"/>
      <c r="V84" s="1178" t="str" cm="1">
        <f t="array" ref="V84">angleDecimal2Txt(O31,0)</f>
        <v>+74°03.50</v>
      </c>
      <c r="W84" s="1110"/>
      <c r="X84" s="1110"/>
      <c r="Y84" s="1179"/>
      <c r="AB84"/>
      <c r="AD84"/>
      <c r="AE84" s="93"/>
      <c r="AF84"/>
      <c r="BD84"/>
      <c r="BE84"/>
      <c r="BF84"/>
      <c r="BG84"/>
      <c r="BH84"/>
      <c r="BI84"/>
      <c r="BJ84"/>
      <c r="BK84"/>
      <c r="BL84"/>
      <c r="BM84"/>
      <c r="BN84"/>
    </row>
    <row r="85" spans="2:66" s="103" customFormat="1" ht="17.25" customHeight="1">
      <c r="D85" s="1212" t="s">
        <v>459</v>
      </c>
      <c r="E85" s="1213"/>
      <c r="F85" s="410">
        <f>SIN(O27*Outils!$F$4)</f>
        <v>0.71960243720697437</v>
      </c>
      <c r="G85" s="411">
        <f>SIN($F$12*Outils!$F$4)</f>
        <v>-0.76660508936870064</v>
      </c>
      <c r="H85" s="1176" t="s">
        <v>460</v>
      </c>
      <c r="I85" s="1180"/>
      <c r="J85" s="412">
        <f>SIN(O28*Outils!$F$4)</f>
        <v>0.48821511050891914</v>
      </c>
      <c r="K85" s="411">
        <f>SIN($F$12*Outils!$F$4)</f>
        <v>-0.76660508936870064</v>
      </c>
      <c r="L85" s="1176" t="s">
        <v>460</v>
      </c>
      <c r="M85" s="1177"/>
      <c r="N85" s="410">
        <f>SIN(O29*Outils!$F$4)</f>
        <v>0.15525639580609149</v>
      </c>
      <c r="O85" s="411">
        <f>SIN($F$12*Outils!$F$4)</f>
        <v>-0.76660508936870064</v>
      </c>
      <c r="P85" s="1176" t="s">
        <v>460</v>
      </c>
      <c r="Q85" s="1180"/>
      <c r="R85" s="412">
        <f>SIN(O30*Outils!$F$4)</f>
        <v>0.62667181904581304</v>
      </c>
      <c r="S85" s="411">
        <f>SIN($F$12*Outils!$F$4)</f>
        <v>-0.76660508936870064</v>
      </c>
      <c r="T85" s="1176" t="s">
        <v>460</v>
      </c>
      <c r="U85" s="1177"/>
      <c r="V85" s="410">
        <f>SIN(O31*Outils!$F$4)</f>
        <v>0.96154182649255537</v>
      </c>
      <c r="W85" s="411">
        <f>SIN($F$12*Outils!$F$4)</f>
        <v>-0.76660508936870064</v>
      </c>
      <c r="X85" s="1176" t="s">
        <v>460</v>
      </c>
      <c r="Y85" s="1180"/>
      <c r="AB85"/>
      <c r="AD85"/>
      <c r="AE85" s="93"/>
      <c r="AF85"/>
      <c r="BD85"/>
      <c r="BE85"/>
      <c r="BF85"/>
      <c r="BG85"/>
      <c r="BH85"/>
      <c r="BI85"/>
      <c r="BJ85"/>
      <c r="BK85"/>
      <c r="BL85"/>
      <c r="BM85"/>
      <c r="BN85"/>
    </row>
    <row r="86" spans="2:66" s="103" customFormat="1" ht="17.25" customHeight="1">
      <c r="D86" s="1212" t="s">
        <v>458</v>
      </c>
      <c r="E86" s="1213"/>
      <c r="F86" s="410">
        <f>COS(O27*Outils!$F$4)</f>
        <v>0.69438629909135052</v>
      </c>
      <c r="G86" s="411">
        <f>COS($F$12*Outils!$F$4)</f>
        <v>0.64211886512857297</v>
      </c>
      <c r="H86" s="1176" t="s">
        <v>461</v>
      </c>
      <c r="I86" s="1180"/>
      <c r="J86" s="412">
        <f>COS(O28*Outils!$F$4)</f>
        <v>0.87272332721817625</v>
      </c>
      <c r="K86" s="411">
        <f>COS($F$12*Outils!$F$4)</f>
        <v>0.64211886512857297</v>
      </c>
      <c r="L86" s="1176" t="s">
        <v>461</v>
      </c>
      <c r="M86" s="1177"/>
      <c r="N86" s="410">
        <f>COS(O29*Outils!$F$4)</f>
        <v>0.98787420836931572</v>
      </c>
      <c r="O86" s="411">
        <f>COS($F$12*Outils!$F$4)</f>
        <v>0.64211886512857297</v>
      </c>
      <c r="P86" s="1176" t="s">
        <v>461</v>
      </c>
      <c r="Q86" s="1180"/>
      <c r="R86" s="412">
        <f>COS(O30*Outils!$F$4)</f>
        <v>0.77928328046597528</v>
      </c>
      <c r="S86" s="411">
        <f>COS($F$12*Outils!$F$4)</f>
        <v>0.64211886512857297</v>
      </c>
      <c r="T86" s="1176" t="s">
        <v>461</v>
      </c>
      <c r="U86" s="1177"/>
      <c r="V86" s="410">
        <f>COS(O31*Outils!$F$4)</f>
        <v>0.2746585442060025</v>
      </c>
      <c r="W86" s="411">
        <f>COS($F$12*Outils!$F$4)</f>
        <v>0.64211886512857297</v>
      </c>
      <c r="X86" s="1176" t="s">
        <v>461</v>
      </c>
      <c r="Y86" s="1180"/>
      <c r="AB86"/>
      <c r="AD86"/>
      <c r="AE86" s="93"/>
      <c r="AF86"/>
      <c r="BD86"/>
      <c r="BE86"/>
      <c r="BF86"/>
      <c r="BG86"/>
      <c r="BH86"/>
      <c r="BI86"/>
      <c r="BJ86"/>
      <c r="BK86"/>
      <c r="BL86"/>
      <c r="BM86"/>
      <c r="BN86"/>
    </row>
    <row r="87" spans="2:66" customFormat="1" ht="17.25" customHeight="1">
      <c r="B87" s="16"/>
      <c r="C87" s="59"/>
      <c r="D87" s="1165" t="s">
        <v>462</v>
      </c>
      <c r="E87" s="1166"/>
      <c r="F87" s="1171">
        <f>COS(W35*Outils!$F$4)</f>
        <v>-0.5286352266410298</v>
      </c>
      <c r="G87" s="1165"/>
      <c r="H87" s="1165"/>
      <c r="I87" s="1172"/>
      <c r="J87" s="1164">
        <f>COS(W36*Outils!$F$4)</f>
        <v>0.71700902470210126</v>
      </c>
      <c r="K87" s="1165"/>
      <c r="L87" s="1165"/>
      <c r="M87" s="1166"/>
      <c r="N87" s="1171">
        <f>COS(W37*Outils!$F$4)</f>
        <v>0.93394480012307246</v>
      </c>
      <c r="O87" s="1165"/>
      <c r="P87" s="1165"/>
      <c r="Q87" s="1172"/>
      <c r="R87" s="1164">
        <f>COS(W38*Outils!$F$4)</f>
        <v>0.76560723305839973</v>
      </c>
      <c r="S87" s="1165"/>
      <c r="T87" s="1165"/>
      <c r="U87" s="1166"/>
      <c r="V87" s="1171">
        <f>COS(W39*Outils!$F$4)</f>
        <v>-0.13214490069444362</v>
      </c>
      <c r="W87" s="1165"/>
      <c r="X87" s="1165"/>
      <c r="Y87" s="1172"/>
      <c r="Z87" s="188"/>
      <c r="AA87" s="103"/>
      <c r="AC87" s="103"/>
      <c r="AE87" s="93"/>
    </row>
    <row r="88" spans="2:66" customFormat="1" ht="17.25" customHeight="1">
      <c r="B88" s="16"/>
      <c r="C88" s="59"/>
      <c r="D88" s="261"/>
      <c r="I88" s="1200" t="s">
        <v>463</v>
      </c>
      <c r="J88" s="1200"/>
      <c r="K88" s="1200"/>
      <c r="L88" s="1200"/>
      <c r="M88" s="1200"/>
      <c r="N88" s="1200"/>
      <c r="O88" s="1200"/>
      <c r="P88" s="1200"/>
      <c r="Q88" s="1200"/>
      <c r="R88" s="1200"/>
      <c r="S88" s="1200"/>
      <c r="T88" s="1200"/>
      <c r="Z88" s="188"/>
      <c r="AA88" s="103"/>
      <c r="AC88" s="103"/>
      <c r="AE88" s="93"/>
    </row>
    <row r="89" spans="2:66" customFormat="1" ht="17.25" customHeight="1">
      <c r="B89" s="16"/>
      <c r="C89" s="59"/>
      <c r="D89" s="1165" t="s">
        <v>471</v>
      </c>
      <c r="E89" s="1166"/>
      <c r="F89" s="1171">
        <f>F85*G85+F86*G86*F87</f>
        <v>-0.78735799496575931</v>
      </c>
      <c r="G89" s="1165"/>
      <c r="H89" s="1165"/>
      <c r="I89" s="1172"/>
      <c r="J89" s="1164">
        <f>J85*K85+J86*K86*J87</f>
        <v>2.7538013571789588E-2</v>
      </c>
      <c r="K89" s="1165"/>
      <c r="L89" s="1165"/>
      <c r="M89" s="1166"/>
      <c r="N89" s="1171">
        <f>N85*O85+N86*O86*N87</f>
        <v>0.47341135137334994</v>
      </c>
      <c r="O89" s="1165"/>
      <c r="P89" s="1165"/>
      <c r="Q89" s="1172"/>
      <c r="R89" s="1164">
        <f>R85*S85+R86*S86*R87</f>
        <v>-9.7305691794058013E-2</v>
      </c>
      <c r="S89" s="1165"/>
      <c r="T89" s="1165"/>
      <c r="U89" s="1166"/>
      <c r="V89" s="1171">
        <f>V85*W85+V86*W86*V87</f>
        <v>-0.76042838613079422</v>
      </c>
      <c r="W89" s="1165"/>
      <c r="X89" s="1165"/>
      <c r="Y89" s="1172"/>
      <c r="Z89" s="188"/>
      <c r="AA89" s="103"/>
      <c r="AC89" s="103"/>
      <c r="AE89" s="93"/>
    </row>
    <row r="90" spans="2:66" customFormat="1" ht="17.25" customHeight="1">
      <c r="B90" s="16"/>
      <c r="C90" s="59"/>
      <c r="D90" s="1160" t="s">
        <v>464</v>
      </c>
      <c r="E90" s="1168"/>
      <c r="F90" s="1159" t="str" cm="1">
        <f t="array" ref="F90">angleDecimal2Txt(Outils!$F$5*ASIN(F89),0)</f>
        <v>-51°56.35</v>
      </c>
      <c r="G90" s="1160"/>
      <c r="H90" s="1160"/>
      <c r="I90" s="1161"/>
      <c r="J90" s="1167" t="str" cm="1">
        <f t="array" ref="J90">angleDecimal2Txt(Outils!$F$5*ASIN(J89),0)</f>
        <v>+01°34.68</v>
      </c>
      <c r="K90" s="1160"/>
      <c r="L90" s="1160"/>
      <c r="M90" s="1168"/>
      <c r="N90" s="1159" t="str" cm="1">
        <f t="array" ref="N90">angleDecimal2Txt(Outils!$F$5*ASIN(N89),0)</f>
        <v>+28°15.35</v>
      </c>
      <c r="O90" s="1160"/>
      <c r="P90" s="1160"/>
      <c r="Q90" s="1161"/>
      <c r="R90" s="1167" t="str" cm="1">
        <f t="array" ref="R90">angleDecimal2Txt(Outils!$F$5*ASIN(R89),0)</f>
        <v>-05°35.04</v>
      </c>
      <c r="S90" s="1160"/>
      <c r="T90" s="1160"/>
      <c r="U90" s="1168"/>
      <c r="V90" s="1159" t="str" cm="1">
        <f t="array" ref="V90">angleDecimal2Txt(Outils!$F$5*ASIN(V89),0)</f>
        <v>-49°30.11</v>
      </c>
      <c r="W90" s="1160"/>
      <c r="X90" s="1160"/>
      <c r="Y90" s="1161"/>
      <c r="Z90" s="188"/>
      <c r="AA90" s="197"/>
      <c r="AE90" s="93"/>
    </row>
    <row r="91" spans="2:66" customFormat="1" ht="17.25" customHeight="1">
      <c r="B91" s="16"/>
      <c r="C91" s="59"/>
      <c r="D91" s="1101" t="s">
        <v>472</v>
      </c>
      <c r="E91" s="1209"/>
      <c r="F91" s="1159" t="str" cm="1">
        <f t="array" ref="F91">angleDecimal2Txt((M35-X35),0)</f>
        <v>+70°28.32</v>
      </c>
      <c r="G91" s="1160"/>
      <c r="H91" s="1160"/>
      <c r="I91" s="1161"/>
      <c r="J91" s="1167" t="str" cm="1">
        <f t="array" ref="J91">angleDecimal2Txt((M36-X36),0)</f>
        <v>+49°20.39</v>
      </c>
      <c r="K91" s="1160"/>
      <c r="L91" s="1160"/>
      <c r="M91" s="1168"/>
      <c r="N91" s="1159" t="str" cm="1">
        <f t="array" ref="N91">angleDecimal2Txt((M37-X37),0)</f>
        <v>+16°56.94</v>
      </c>
      <c r="O91" s="1160"/>
      <c r="P91" s="1160"/>
      <c r="Q91" s="1161"/>
      <c r="R91" s="1167" t="str" cm="1">
        <f t="array" ref="R91">angleDecimal2Txt((M38-X38),0)</f>
        <v>+65°12.04</v>
      </c>
      <c r="S91" s="1160"/>
      <c r="T91" s="1160"/>
      <c r="U91" s="1168"/>
      <c r="V91" s="1159" t="str" cm="1">
        <f t="array" ref="V91">angleDecimal2Txt((M39-X39),0)</f>
        <v>+95°05.83</v>
      </c>
      <c r="W91" s="1160"/>
      <c r="X91" s="1160"/>
      <c r="Y91" s="1161"/>
      <c r="Z91" s="188"/>
      <c r="AA91" s="197"/>
      <c r="AE91" s="93"/>
    </row>
    <row r="92" spans="2:66" customFormat="1" ht="17.25" customHeight="1">
      <c r="B92" s="16"/>
      <c r="C92" s="59"/>
      <c r="D92" s="1103"/>
      <c r="E92" s="1210"/>
      <c r="F92" s="1162" t="str">
        <f>CONCATENATE(TEXT(Z35,"0.00"),"  Mn")</f>
        <v>4228.33  Mn</v>
      </c>
      <c r="G92" s="1075"/>
      <c r="H92" s="1075"/>
      <c r="I92" s="1163"/>
      <c r="J92" s="1169" t="str">
        <f>CONCATENATE(TEXT(Z36,"0.00"),"  Mn")</f>
        <v>2960.40  Mn</v>
      </c>
      <c r="K92" s="1075"/>
      <c r="L92" s="1075"/>
      <c r="M92" s="1170"/>
      <c r="N92" s="1162" t="str">
        <f>CONCATENATE(TEXT(Z37,"0.00"),"  Mn")</f>
        <v>1016.94  Mn</v>
      </c>
      <c r="O92" s="1075"/>
      <c r="P92" s="1075"/>
      <c r="Q92" s="1163"/>
      <c r="R92" s="1169" t="str">
        <f>CONCATENATE(TEXT(Z38,"0.00"),"  Mn")</f>
        <v>3912.05  Mn</v>
      </c>
      <c r="S92" s="1075"/>
      <c r="T92" s="1075"/>
      <c r="U92" s="1170"/>
      <c r="V92" s="1162" t="str">
        <f>CONCATENATE(TEXT(Z39,"0.00"),"  Mn")</f>
        <v>5705.83  Mn</v>
      </c>
      <c r="W92" s="1075"/>
      <c r="X92" s="1075"/>
      <c r="Y92" s="1163"/>
      <c r="Z92" s="188"/>
      <c r="AA92" s="197"/>
      <c r="AE92" s="93"/>
    </row>
    <row r="93" spans="2:66" customFormat="1" ht="17.25" customHeight="1">
      <c r="B93" s="16"/>
      <c r="C93" s="59"/>
      <c r="D93" s="1105"/>
      <c r="E93" s="1211"/>
      <c r="F93" s="1162" t="str">
        <f>AA35</f>
        <v>Vers Pg</v>
      </c>
      <c r="G93" s="1075"/>
      <c r="H93" s="1075"/>
      <c r="I93" s="1163"/>
      <c r="J93" s="1169" t="str">
        <f>AA36</f>
        <v>Vers Pg</v>
      </c>
      <c r="K93" s="1075"/>
      <c r="L93" s="1075"/>
      <c r="M93" s="1170"/>
      <c r="N93" s="1162" t="str">
        <f>AA37</f>
        <v>Vers Pg</v>
      </c>
      <c r="O93" s="1075"/>
      <c r="P93" s="1075"/>
      <c r="Q93" s="1163"/>
      <c r="R93" s="1169" t="str">
        <f>AA38</f>
        <v>Vers Pg</v>
      </c>
      <c r="S93" s="1075"/>
      <c r="T93" s="1075"/>
      <c r="U93" s="1170"/>
      <c r="V93" s="1162" t="str">
        <f>AA39</f>
        <v>Vers Pg</v>
      </c>
      <c r="W93" s="1075"/>
      <c r="X93" s="1075"/>
      <c r="Y93" s="1163"/>
      <c r="Z93" s="188"/>
      <c r="AA93" s="197"/>
      <c r="AE93" s="93"/>
    </row>
    <row r="94" spans="2:66" ht="17.25" customHeight="1">
      <c r="D94" s="1203" t="s">
        <v>404</v>
      </c>
      <c r="E94" s="1204"/>
      <c r="F94" s="1197" t="str" cm="1">
        <f t="array" ref="F94">latitudeDecimal2Txt(O27,0)</f>
        <v>N 46°01.30</v>
      </c>
      <c r="G94" s="1198"/>
      <c r="H94" s="1198"/>
      <c r="I94" s="1199"/>
      <c r="J94" s="1201" t="str" cm="1">
        <f t="array" ref="J94">latitudeDecimal2Txt(O28,0)</f>
        <v>N 29°13.40</v>
      </c>
      <c r="K94" s="1198"/>
      <c r="L94" s="1198"/>
      <c r="M94" s="1202"/>
      <c r="N94" s="1197" t="str" cm="1">
        <f t="array" ref="N94">latitudeDecimal2Txt(O29,0)</f>
        <v>N 08°55.89</v>
      </c>
      <c r="O94" s="1198"/>
      <c r="P94" s="1198"/>
      <c r="Q94" s="1199"/>
      <c r="R94" s="1201" t="str" cm="1">
        <f t="array" ref="R94">latitudeDecimal2Txt(O30,0)</f>
        <v>N 38°48.29</v>
      </c>
      <c r="S94" s="1198"/>
      <c r="T94" s="1198"/>
      <c r="U94" s="1202"/>
      <c r="V94" s="1197" t="str" cm="1">
        <f t="array" ref="V94">latitudeDecimal2Txt(O31,0)</f>
        <v>N 74°03.50</v>
      </c>
      <c r="W94" s="1198"/>
      <c r="X94" s="1198"/>
      <c r="Y94" s="1199"/>
    </row>
    <row r="95" spans="2:66" ht="17.25" customHeight="1">
      <c r="D95" s="1205"/>
      <c r="E95" s="1206"/>
      <c r="F95" s="1173" t="str" cm="1">
        <f t="array" ref="F95">longitudeDecimal2Txt(longitudeHoraire2longitude(V35),0)</f>
        <v>E 112°52.79</v>
      </c>
      <c r="G95" s="1174"/>
      <c r="H95" s="1174"/>
      <c r="I95" s="1175"/>
      <c r="J95" s="1207" t="str" cm="1">
        <f t="array" ref="J95">longitudeDecimal2Txt(longitudeHoraire2longitude(V36),0)</f>
        <v>E 35°09.51</v>
      </c>
      <c r="K95" s="1174"/>
      <c r="L95" s="1174"/>
      <c r="M95" s="1208"/>
      <c r="N95" s="1173" t="str" cm="1">
        <f t="array" ref="N95">longitudeDecimal2Txt(longitudeHoraire2longitude(V37),0)</f>
        <v>W 29°58.49</v>
      </c>
      <c r="O95" s="1174"/>
      <c r="P95" s="1174"/>
      <c r="Q95" s="1175"/>
      <c r="R95" s="1207" t="str" cm="1">
        <f t="array" ref="R95">longitudeDecimal2Txt(longitudeHoraire2longitude(V38),0)</f>
        <v>W 49°04.33</v>
      </c>
      <c r="S95" s="1174"/>
      <c r="T95" s="1174"/>
      <c r="U95" s="1208"/>
      <c r="V95" s="1173" t="str" cm="1">
        <f t="array" ref="V95">longitudeDecimal2Txt(longitudeHoraire2longitude(V39),0)</f>
        <v>W 106°37.61</v>
      </c>
      <c r="W95" s="1174"/>
      <c r="X95" s="1174"/>
      <c r="Y95" s="1175"/>
    </row>
    <row r="96" spans="2:66" ht="17.25" customHeight="1">
      <c r="D96" s="261"/>
      <c r="E96"/>
      <c r="F96"/>
      <c r="G96"/>
      <c r="H96"/>
      <c r="I96" s="1214" t="s">
        <v>596</v>
      </c>
      <c r="J96" s="1214"/>
      <c r="K96" s="1214"/>
      <c r="L96" s="1214"/>
      <c r="M96" s="1214"/>
      <c r="N96" s="1214"/>
      <c r="O96" s="1214"/>
      <c r="P96" s="1214"/>
      <c r="Q96" s="1214"/>
      <c r="R96" s="1214"/>
      <c r="S96" s="1214"/>
      <c r="T96" s="1214"/>
      <c r="U96"/>
      <c r="V96"/>
      <c r="W96"/>
      <c r="X96"/>
      <c r="Y96"/>
    </row>
    <row r="97" spans="3:55" ht="17.25" customHeight="1">
      <c r="D97" s="1165" t="s">
        <v>466</v>
      </c>
      <c r="E97" s="1166"/>
      <c r="F97" s="1171">
        <f>(F85-G85*SIN(X35*Outils!$F$4))/(G86*COS(X35*Outils!$F$4))</f>
        <v>0.29305484939891313</v>
      </c>
      <c r="G97" s="1165"/>
      <c r="H97" s="1165"/>
      <c r="I97" s="1172"/>
      <c r="J97" s="1164">
        <f>(J85-K85*SIN(X36*Outils!$F$4))/(K86*COS(X36*Outils!$F$4))</f>
        <v>0.79349657999430734</v>
      </c>
      <c r="K97" s="1165"/>
      <c r="L97" s="1165"/>
      <c r="M97" s="1166"/>
      <c r="N97" s="1171">
        <f>(N85-O85*SIN(X37*Outils!$F$4))/(O86*COS(X37*Outils!$F$4))</f>
        <v>0.91614468885237799</v>
      </c>
      <c r="O97" s="1165"/>
      <c r="P97" s="1165"/>
      <c r="Q97" s="1172"/>
      <c r="R97" s="1164">
        <f>(R85-S85*SIN(X38*Outils!$F$4))/(S86*COS(X38*Outils!$F$4))</f>
        <v>0.86387296773178213</v>
      </c>
      <c r="S97" s="1165"/>
      <c r="T97" s="1165"/>
      <c r="U97" s="1166"/>
      <c r="V97" s="1171">
        <f>(V85-W85*SIN(X39*Outils!$F$4))/(W86*COS(X39*Outils!$F$4))</f>
        <v>0.90788518034657373</v>
      </c>
      <c r="W97" s="1165"/>
      <c r="X97" s="1165"/>
      <c r="Y97" s="1172"/>
    </row>
    <row r="98" spans="3:55" ht="17.25" customHeight="1">
      <c r="C98" s="16"/>
      <c r="D98" s="1165" t="s">
        <v>96</v>
      </c>
      <c r="E98" s="1166"/>
      <c r="F98" s="1171" t="str" cm="1">
        <f t="array" ref="F98">angleDecimal2Txt(Outils!$F$5*ACOS(F97),0)</f>
        <v>+72°57.54</v>
      </c>
      <c r="G98" s="1165"/>
      <c r="H98" s="1165"/>
      <c r="I98" s="1172"/>
      <c r="J98" s="1171" t="str" cm="1">
        <f t="array" ref="J98">angleDecimal2Txt(Outils!$F$5*ACOS(J97),0)</f>
        <v>+37°29.19</v>
      </c>
      <c r="K98" s="1165"/>
      <c r="L98" s="1165"/>
      <c r="M98" s="1172"/>
      <c r="N98" s="1171" t="str" cm="1">
        <f t="array" ref="N98">angleDecimal2Txt(Outils!$F$5*ACOS(N97),0)</f>
        <v>+23°37.87</v>
      </c>
      <c r="O98" s="1165"/>
      <c r="P98" s="1165"/>
      <c r="Q98" s="1172"/>
      <c r="R98" s="1171" t="str" cm="1">
        <f t="array" ref="R98">angleDecimal2Txt(Outils!$F$5*ACOS(R97),0)</f>
        <v>+30°14.74</v>
      </c>
      <c r="S98" s="1165"/>
      <c r="T98" s="1165"/>
      <c r="U98" s="1172"/>
      <c r="V98" s="1171" t="str" cm="1">
        <f t="array" ref="V98">angleDecimal2Txt(Outils!$F$5*ACOS(V97),0)</f>
        <v>+24°47.11</v>
      </c>
      <c r="W98" s="1165"/>
      <c r="X98" s="1165"/>
      <c r="Y98" s="1172"/>
      <c r="Z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</row>
    <row r="99" spans="3:55" ht="17.25" customHeight="1">
      <c r="C99" s="16"/>
      <c r="D99" s="261"/>
      <c r="E99" s="195"/>
      <c r="F99" s="59"/>
      <c r="G99" s="16"/>
      <c r="I99" s="1156" t="s">
        <v>154</v>
      </c>
      <c r="J99" s="1157"/>
      <c r="K99" s="1157"/>
      <c r="L99" s="1157"/>
      <c r="M99" s="1157"/>
      <c r="N99" s="1158"/>
      <c r="O99" s="1156" t="s">
        <v>155</v>
      </c>
      <c r="P99" s="1157"/>
      <c r="Q99" s="1157"/>
      <c r="R99" s="1157"/>
      <c r="S99" s="1157"/>
      <c r="T99" s="1158"/>
      <c r="W99" s="16"/>
      <c r="X99" s="16"/>
      <c r="Y99" s="16"/>
      <c r="Z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</row>
    <row r="100" spans="3:55" ht="17.25" customHeight="1">
      <c r="C100" s="16"/>
      <c r="D100" s="261"/>
      <c r="E100" s="195"/>
      <c r="F100" s="59"/>
      <c r="G100" s="16"/>
      <c r="I100" s="418"/>
      <c r="J100" s="1215" t="s">
        <v>126</v>
      </c>
      <c r="K100" s="1215"/>
      <c r="L100" s="419"/>
      <c r="M100" s="1215" t="s">
        <v>127</v>
      </c>
      <c r="N100" s="1216"/>
      <c r="O100" s="418"/>
      <c r="P100" s="1215" t="s">
        <v>126</v>
      </c>
      <c r="Q100" s="1215"/>
      <c r="R100" s="419"/>
      <c r="S100" s="1215" t="s">
        <v>128</v>
      </c>
      <c r="T100" s="1216"/>
      <c r="V100" s="188"/>
      <c r="Z100" s="16"/>
      <c r="AA100" s="16"/>
      <c r="AC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</row>
    <row r="101" spans="3:55" ht="17.25" customHeight="1">
      <c r="C101" s="16"/>
      <c r="D101" s="261"/>
      <c r="E101" s="195"/>
      <c r="F101" s="59"/>
      <c r="G101" s="16"/>
      <c r="I101" s="416"/>
      <c r="J101" s="1217" t="s">
        <v>90</v>
      </c>
      <c r="K101" s="1217"/>
      <c r="L101" s="417"/>
      <c r="M101" s="1217" t="s">
        <v>91</v>
      </c>
      <c r="N101" s="1218"/>
      <c r="O101" s="416"/>
      <c r="P101" s="1217" t="s">
        <v>90</v>
      </c>
      <c r="Q101" s="1217"/>
      <c r="R101" s="417"/>
      <c r="S101" s="1217" t="s">
        <v>92</v>
      </c>
      <c r="T101" s="1218"/>
      <c r="V101" s="188"/>
      <c r="Z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</row>
    <row r="102" spans="3:55" ht="17.25" customHeight="1">
      <c r="C102" s="16"/>
      <c r="D102" s="1165" t="s">
        <v>469</v>
      </c>
      <c r="E102" s="1166"/>
      <c r="F102" s="1153" t="str">
        <f>IF($F$12&gt;0,"Nord","Sud")</f>
        <v>Sud</v>
      </c>
      <c r="G102" s="1154"/>
      <c r="H102" s="1154"/>
      <c r="I102" s="1154"/>
      <c r="J102" s="1154"/>
      <c r="K102" s="1154"/>
      <c r="L102" s="1154"/>
      <c r="M102" s="1154"/>
      <c r="N102" s="1154"/>
      <c r="O102" s="1154"/>
      <c r="P102" s="1154"/>
      <c r="Q102" s="1154"/>
      <c r="R102" s="1154"/>
      <c r="S102" s="1154"/>
      <c r="T102" s="1154"/>
      <c r="U102" s="1154"/>
      <c r="V102" s="1154"/>
      <c r="W102" s="1154"/>
      <c r="X102" s="1154"/>
      <c r="Y102" s="1155"/>
      <c r="Z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</row>
    <row r="103" spans="3:55" ht="17.25" customHeight="1">
      <c r="C103" s="16"/>
      <c r="D103" s="1165" t="s">
        <v>468</v>
      </c>
      <c r="E103" s="1166"/>
      <c r="F103" s="1171" t="b">
        <f>(W35&gt;180)</f>
        <v>1</v>
      </c>
      <c r="G103" s="1165"/>
      <c r="H103" s="1165"/>
      <c r="I103" s="1172"/>
      <c r="J103" s="1164" t="b">
        <f>(W36&gt;180)</f>
        <v>1</v>
      </c>
      <c r="K103" s="1165"/>
      <c r="L103" s="1165"/>
      <c r="M103" s="1166"/>
      <c r="N103" s="1171" t="b">
        <f>(W37&gt;180)</f>
        <v>0</v>
      </c>
      <c r="O103" s="1165"/>
      <c r="P103" s="1165"/>
      <c r="Q103" s="1172"/>
      <c r="R103" s="1164" t="b">
        <f>(W38&gt;180)</f>
        <v>0</v>
      </c>
      <c r="S103" s="1165"/>
      <c r="T103" s="1165"/>
      <c r="U103" s="1166"/>
      <c r="V103" s="1171" t="b">
        <f>(W39&gt;180)</f>
        <v>0</v>
      </c>
      <c r="W103" s="1165"/>
      <c r="X103" s="1165"/>
      <c r="Y103" s="1172"/>
      <c r="Z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</row>
    <row r="104" spans="3:55" ht="17.25" customHeight="1">
      <c r="C104" s="16"/>
      <c r="D104" s="1075" t="s">
        <v>467</v>
      </c>
      <c r="E104" s="1170"/>
      <c r="F104" s="1162" t="str" cm="1">
        <f t="array" ref="F104">angleDecimal2Txt(AC35,0)</f>
        <v>+107°02.45</v>
      </c>
      <c r="G104" s="1075"/>
      <c r="H104" s="1075"/>
      <c r="I104" s="1163"/>
      <c r="J104" s="1169" t="str" cm="1">
        <f t="array" ref="J104">angleDecimal2Txt(AC36,0)</f>
        <v>+142°30.80</v>
      </c>
      <c r="K104" s="1075"/>
      <c r="L104" s="1075"/>
      <c r="M104" s="1170"/>
      <c r="N104" s="1162" t="str" cm="1">
        <f t="array" ref="N104">angleDecimal2Txt(AC37,0)</f>
        <v>+203°37.87</v>
      </c>
      <c r="O104" s="1075"/>
      <c r="P104" s="1075"/>
      <c r="Q104" s="1163"/>
      <c r="R104" s="1169" t="str" cm="1">
        <f t="array" ref="R104">angleDecimal2Txt(AC38,0)</f>
        <v>+210°14.74</v>
      </c>
      <c r="S104" s="1075"/>
      <c r="T104" s="1075"/>
      <c r="U104" s="1170"/>
      <c r="V104" s="1162" t="str" cm="1">
        <f t="array" ref="V104">angleDecimal2Txt(AC39,0)</f>
        <v>+204°47.11</v>
      </c>
      <c r="W104" s="1075"/>
      <c r="X104" s="1075"/>
      <c r="Y104" s="1163"/>
      <c r="Z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</row>
    <row r="105" spans="3:55" ht="17.25" customHeight="1">
      <c r="E105" s="16"/>
      <c r="F105" s="16"/>
      <c r="G105" s="16"/>
      <c r="M105" s="16"/>
      <c r="W105" s="16"/>
      <c r="X105" s="16"/>
      <c r="Y105" s="16"/>
      <c r="Z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</row>
    <row r="107" spans="3:55" ht="17.25" customHeight="1">
      <c r="C107" s="1265"/>
      <c r="D107" s="1265"/>
      <c r="E107" s="1265"/>
      <c r="F107" s="1265"/>
      <c r="G107" s="1265"/>
      <c r="H107" s="1265"/>
      <c r="I107" s="1265"/>
      <c r="J107" s="1265"/>
      <c r="K107" s="1265"/>
      <c r="L107" s="1265"/>
    </row>
    <row r="108" spans="3:55" customFormat="1" ht="17.25" customHeight="1"/>
  </sheetData>
  <dataConsolidate link="1"/>
  <mergeCells count="286">
    <mergeCell ref="V66:W66"/>
    <mergeCell ref="X66:Y66"/>
    <mergeCell ref="F27:F30"/>
    <mergeCell ref="C107:L107"/>
    <mergeCell ref="Z33:Z34"/>
    <mergeCell ref="J72:M72"/>
    <mergeCell ref="J73:M73"/>
    <mergeCell ref="D55:I55"/>
    <mergeCell ref="D56:I56"/>
    <mergeCell ref="D65:E65"/>
    <mergeCell ref="D68:E68"/>
    <mergeCell ref="D71:E71"/>
    <mergeCell ref="D72:E72"/>
    <mergeCell ref="D73:E73"/>
    <mergeCell ref="F65:I65"/>
    <mergeCell ref="AG44:AG47"/>
    <mergeCell ref="AG48:AG51"/>
    <mergeCell ref="M33:N34"/>
    <mergeCell ref="AT35:AT39"/>
    <mergeCell ref="O33:T33"/>
    <mergeCell ref="M41:Y41"/>
    <mergeCell ref="AC33:AC34"/>
    <mergeCell ref="C1:F4"/>
    <mergeCell ref="G1:Y2"/>
    <mergeCell ref="G3:I4"/>
    <mergeCell ref="J3:L4"/>
    <mergeCell ref="X33:Y34"/>
    <mergeCell ref="T6:V6"/>
    <mergeCell ref="X6:Y6"/>
    <mergeCell ref="C7:D7"/>
    <mergeCell ref="E7:G7"/>
    <mergeCell ref="V27:W27"/>
    <mergeCell ref="Q27:Q29"/>
    <mergeCell ref="J26:K26"/>
    <mergeCell ref="E10:H11"/>
    <mergeCell ref="A12:C12"/>
    <mergeCell ref="AA33:AA34"/>
    <mergeCell ref="U33:U34"/>
    <mergeCell ref="Q25:T25"/>
    <mergeCell ref="V25:X26"/>
    <mergeCell ref="V33:V34"/>
    <mergeCell ref="E33:F34"/>
    <mergeCell ref="G33:G34"/>
    <mergeCell ref="P20:X20"/>
    <mergeCell ref="C19:I19"/>
    <mergeCell ref="M19:O19"/>
    <mergeCell ref="C20:I20"/>
    <mergeCell ref="M20:O20"/>
    <mergeCell ref="C25:C26"/>
    <mergeCell ref="D25:D26"/>
    <mergeCell ref="E25:G26"/>
    <mergeCell ref="H25:I26"/>
    <mergeCell ref="W33:W34"/>
    <mergeCell ref="B25:B26"/>
    <mergeCell ref="F12:G12"/>
    <mergeCell ref="F16:G16"/>
    <mergeCell ref="L43:L45"/>
    <mergeCell ref="L46:L48"/>
    <mergeCell ref="H35:H39"/>
    <mergeCell ref="J70:M70"/>
    <mergeCell ref="B58:C58"/>
    <mergeCell ref="B59:C59"/>
    <mergeCell ref="B55:C55"/>
    <mergeCell ref="B56:C56"/>
    <mergeCell ref="D66:E66"/>
    <mergeCell ref="F66:G66"/>
    <mergeCell ref="H66:I66"/>
    <mergeCell ref="J66:K66"/>
    <mergeCell ref="L66:M66"/>
    <mergeCell ref="L25:M26"/>
    <mergeCell ref="J25:K25"/>
    <mergeCell ref="H33:J33"/>
    <mergeCell ref="J12:M12"/>
    <mergeCell ref="J16:M16"/>
    <mergeCell ref="D58:I58"/>
    <mergeCell ref="D59:I59"/>
    <mergeCell ref="E14:H15"/>
    <mergeCell ref="N66:O66"/>
    <mergeCell ref="D81:E81"/>
    <mergeCell ref="D83:E83"/>
    <mergeCell ref="F81:I81"/>
    <mergeCell ref="D80:E80"/>
    <mergeCell ref="D79:E79"/>
    <mergeCell ref="J79:M79"/>
    <mergeCell ref="F79:I79"/>
    <mergeCell ref="F80:I80"/>
    <mergeCell ref="J65:M65"/>
    <mergeCell ref="J67:M67"/>
    <mergeCell ref="J68:M68"/>
    <mergeCell ref="J71:M71"/>
    <mergeCell ref="N25:O26"/>
    <mergeCell ref="B61:C61"/>
    <mergeCell ref="D61:I61"/>
    <mergeCell ref="B62:C62"/>
    <mergeCell ref="D62:I62"/>
    <mergeCell ref="D77:D78"/>
    <mergeCell ref="E77:E78"/>
    <mergeCell ref="D69:E69"/>
    <mergeCell ref="D70:E70"/>
    <mergeCell ref="D67:E67"/>
    <mergeCell ref="B72:C74"/>
    <mergeCell ref="D74:E74"/>
    <mergeCell ref="H78:I78"/>
    <mergeCell ref="F67:I67"/>
    <mergeCell ref="F68:I68"/>
    <mergeCell ref="F70:I70"/>
    <mergeCell ref="D97:E97"/>
    <mergeCell ref="N71:Q71"/>
    <mergeCell ref="N89:Q89"/>
    <mergeCell ref="N90:Q90"/>
    <mergeCell ref="F77:G77"/>
    <mergeCell ref="F78:G78"/>
    <mergeCell ref="H77:I77"/>
    <mergeCell ref="F71:I71"/>
    <mergeCell ref="F72:I72"/>
    <mergeCell ref="F73:I73"/>
    <mergeCell ref="F74:I74"/>
    <mergeCell ref="J74:M74"/>
    <mergeCell ref="J77:K77"/>
    <mergeCell ref="L77:M77"/>
    <mergeCell ref="J78:K78"/>
    <mergeCell ref="L78:M78"/>
    <mergeCell ref="F91:I91"/>
    <mergeCell ref="F92:I92"/>
    <mergeCell ref="D84:E84"/>
    <mergeCell ref="F97:I97"/>
    <mergeCell ref="F98:I98"/>
    <mergeCell ref="J97:M97"/>
    <mergeCell ref="J98:M98"/>
    <mergeCell ref="N97:Q97"/>
    <mergeCell ref="N98:Q98"/>
    <mergeCell ref="R98:U98"/>
    <mergeCell ref="R95:U95"/>
    <mergeCell ref="V94:Y94"/>
    <mergeCell ref="V95:Y95"/>
    <mergeCell ref="R97:U97"/>
    <mergeCell ref="V97:Y97"/>
    <mergeCell ref="D104:E104"/>
    <mergeCell ref="D94:E95"/>
    <mergeCell ref="D82:E82"/>
    <mergeCell ref="J89:M89"/>
    <mergeCell ref="J90:M90"/>
    <mergeCell ref="J91:M91"/>
    <mergeCell ref="J92:M92"/>
    <mergeCell ref="J93:M93"/>
    <mergeCell ref="J94:M94"/>
    <mergeCell ref="J95:M95"/>
    <mergeCell ref="D102:E102"/>
    <mergeCell ref="D103:E103"/>
    <mergeCell ref="D90:E90"/>
    <mergeCell ref="D91:E93"/>
    <mergeCell ref="D87:E87"/>
    <mergeCell ref="D89:E89"/>
    <mergeCell ref="D85:E85"/>
    <mergeCell ref="D86:E86"/>
    <mergeCell ref="H86:I86"/>
    <mergeCell ref="F103:I103"/>
    <mergeCell ref="F104:I104"/>
    <mergeCell ref="F95:I95"/>
    <mergeCell ref="D98:E98"/>
    <mergeCell ref="I96:T96"/>
    <mergeCell ref="V65:Y65"/>
    <mergeCell ref="V67:Y67"/>
    <mergeCell ref="V68:Y68"/>
    <mergeCell ref="V70:Y70"/>
    <mergeCell ref="N70:Q70"/>
    <mergeCell ref="F93:I93"/>
    <mergeCell ref="F94:I94"/>
    <mergeCell ref="F82:I82"/>
    <mergeCell ref="F83:I83"/>
    <mergeCell ref="F84:I84"/>
    <mergeCell ref="H85:I85"/>
    <mergeCell ref="F89:I89"/>
    <mergeCell ref="F90:I90"/>
    <mergeCell ref="I88:T88"/>
    <mergeCell ref="F87:I87"/>
    <mergeCell ref="J87:M87"/>
    <mergeCell ref="N87:Q87"/>
    <mergeCell ref="R87:U87"/>
    <mergeCell ref="N92:Q92"/>
    <mergeCell ref="N93:Q93"/>
    <mergeCell ref="N94:Q94"/>
    <mergeCell ref="R94:U94"/>
    <mergeCell ref="P66:Q66"/>
    <mergeCell ref="R66:S66"/>
    <mergeCell ref="R65:U65"/>
    <mergeCell ref="R67:U67"/>
    <mergeCell ref="R68:U68"/>
    <mergeCell ref="R70:U70"/>
    <mergeCell ref="R71:U71"/>
    <mergeCell ref="R72:U72"/>
    <mergeCell ref="R73:U73"/>
    <mergeCell ref="R74:U74"/>
    <mergeCell ref="N65:Q65"/>
    <mergeCell ref="N67:Q67"/>
    <mergeCell ref="N68:Q68"/>
    <mergeCell ref="T66:U66"/>
    <mergeCell ref="J82:M82"/>
    <mergeCell ref="J83:M83"/>
    <mergeCell ref="J84:M84"/>
    <mergeCell ref="V71:Y71"/>
    <mergeCell ref="V72:Y72"/>
    <mergeCell ref="V73:Y73"/>
    <mergeCell ref="V74:Y74"/>
    <mergeCell ref="F69:Y69"/>
    <mergeCell ref="N72:Q72"/>
    <mergeCell ref="N73:Q73"/>
    <mergeCell ref="N74:Q74"/>
    <mergeCell ref="R77:S77"/>
    <mergeCell ref="V87:Y87"/>
    <mergeCell ref="V89:Y89"/>
    <mergeCell ref="V90:Y90"/>
    <mergeCell ref="T77:U77"/>
    <mergeCell ref="R78:S78"/>
    <mergeCell ref="T78:U78"/>
    <mergeCell ref="R79:U79"/>
    <mergeCell ref="L85:M85"/>
    <mergeCell ref="L86:M86"/>
    <mergeCell ref="N77:O77"/>
    <mergeCell ref="P77:Q77"/>
    <mergeCell ref="N78:O78"/>
    <mergeCell ref="P78:Q78"/>
    <mergeCell ref="N79:Q79"/>
    <mergeCell ref="N80:Q80"/>
    <mergeCell ref="N81:Q81"/>
    <mergeCell ref="N82:Q82"/>
    <mergeCell ref="N83:Q83"/>
    <mergeCell ref="N84:Q84"/>
    <mergeCell ref="P85:Q85"/>
    <mergeCell ref="P86:Q86"/>
    <mergeCell ref="J80:M80"/>
    <mergeCell ref="J81:M81"/>
    <mergeCell ref="V80:Y80"/>
    <mergeCell ref="V81:Y81"/>
    <mergeCell ref="V82:Y82"/>
    <mergeCell ref="V83:Y83"/>
    <mergeCell ref="V84:Y84"/>
    <mergeCell ref="X85:Y85"/>
    <mergeCell ref="X86:Y86"/>
    <mergeCell ref="R80:U80"/>
    <mergeCell ref="R81:U81"/>
    <mergeCell ref="R82:U82"/>
    <mergeCell ref="R83:U83"/>
    <mergeCell ref="R84:U84"/>
    <mergeCell ref="R103:U103"/>
    <mergeCell ref="R104:U104"/>
    <mergeCell ref="V103:Y103"/>
    <mergeCell ref="V104:Y104"/>
    <mergeCell ref="J103:M103"/>
    <mergeCell ref="J104:M104"/>
    <mergeCell ref="N103:Q103"/>
    <mergeCell ref="N104:Q104"/>
    <mergeCell ref="N95:Q95"/>
    <mergeCell ref="V98:Y98"/>
    <mergeCell ref="S100:T100"/>
    <mergeCell ref="M101:N101"/>
    <mergeCell ref="S101:T101"/>
    <mergeCell ref="J100:K100"/>
    <mergeCell ref="J101:K101"/>
    <mergeCell ref="P100:Q100"/>
    <mergeCell ref="P101:Q101"/>
    <mergeCell ref="M100:N100"/>
    <mergeCell ref="AJ35:AJ39"/>
    <mergeCell ref="AK35:AK39"/>
    <mergeCell ref="AL35:AL39"/>
    <mergeCell ref="AH32:AM32"/>
    <mergeCell ref="AH33:AM33"/>
    <mergeCell ref="F102:Y102"/>
    <mergeCell ref="I99:N99"/>
    <mergeCell ref="O99:T99"/>
    <mergeCell ref="V91:Y91"/>
    <mergeCell ref="V92:Y92"/>
    <mergeCell ref="V93:Y93"/>
    <mergeCell ref="R89:U89"/>
    <mergeCell ref="R90:U90"/>
    <mergeCell ref="R91:U91"/>
    <mergeCell ref="R92:U92"/>
    <mergeCell ref="R93:U93"/>
    <mergeCell ref="N91:Q91"/>
    <mergeCell ref="T85:U85"/>
    <mergeCell ref="T86:U86"/>
    <mergeCell ref="V77:W77"/>
    <mergeCell ref="X77:Y77"/>
    <mergeCell ref="V78:W78"/>
    <mergeCell ref="X78:Y78"/>
    <mergeCell ref="V79:Y79"/>
  </mergeCells>
  <dataValidations count="3">
    <dataValidation type="list" allowBlank="1" showInputMessage="1" showErrorMessage="1" sqref="H12" xr:uid="{1D0D8A02-4909-4776-B145-BF403D57BABC}">
      <formula1>$A$13:$A$14</formula1>
    </dataValidation>
    <dataValidation type="list" allowBlank="1" showInputMessage="1" showErrorMessage="1" sqref="H16 I17 R17 R19:R20 I19:I20 M17" xr:uid="{0A497DD1-5365-414E-BFC7-C7B51A2427CF}">
      <formula1>$B$13:$B$14</formula1>
    </dataValidation>
    <dataValidation type="list" allowBlank="1" showInputMessage="1" showErrorMessage="1" sqref="B27:B31" xr:uid="{B2879BE4-96C7-4CB3-B750-6ABF567E21CA}">
      <formula1>$AG$26:$AG$27</formula1>
    </dataValidation>
  </dataValidations>
  <printOptions horizontalCentered="1" verticalCentered="1"/>
  <pageMargins left="0.1" right="0.1" top="0.1" bottom="0.1" header="0" footer="0"/>
  <pageSetup paperSize="9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51</xdr:row>
                    <xdr:rowOff>95250</xdr:rowOff>
                  </from>
                  <to>
                    <xdr:col>7</xdr:col>
                    <xdr:colOff>9525</xdr:colOff>
                    <xdr:row>52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82"/>
  <sheetViews>
    <sheetView topLeftCell="A147" zoomScaleNormal="100" workbookViewId="0">
      <selection activeCell="D126" sqref="D126"/>
    </sheetView>
  </sheetViews>
  <sheetFormatPr defaultColWidth="5.140625" defaultRowHeight="17.25" customHeight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9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974" t="s">
        <v>143</v>
      </c>
      <c r="D1" s="974"/>
      <c r="E1" s="974"/>
      <c r="F1" s="974"/>
      <c r="G1" s="975" t="s">
        <v>144</v>
      </c>
      <c r="H1" s="975"/>
      <c r="I1" s="975"/>
      <c r="J1" s="975"/>
      <c r="K1" s="975"/>
      <c r="L1" s="975"/>
      <c r="M1" s="975"/>
      <c r="N1" s="975"/>
      <c r="O1" s="975"/>
      <c r="P1" s="975"/>
      <c r="Q1" s="975"/>
      <c r="R1" s="975"/>
      <c r="S1" s="975"/>
      <c r="T1" s="975"/>
      <c r="U1" s="975"/>
      <c r="V1" s="975"/>
      <c r="W1" s="975"/>
      <c r="X1" s="975"/>
      <c r="Y1" s="975"/>
      <c r="Z1" s="16"/>
      <c r="AA1" s="16"/>
      <c r="AB1" s="61"/>
      <c r="BN1" s="24"/>
    </row>
    <row r="2" spans="2:66" customFormat="1" ht="9" customHeight="1">
      <c r="B2" s="16"/>
      <c r="C2" s="974"/>
      <c r="D2" s="974"/>
      <c r="E2" s="974"/>
      <c r="F2" s="974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5"/>
      <c r="U2" s="975"/>
      <c r="V2" s="975"/>
      <c r="W2" s="975"/>
      <c r="X2" s="975"/>
      <c r="Y2" s="975"/>
      <c r="Z2" s="16"/>
      <c r="AA2" s="16"/>
      <c r="AB2" s="61"/>
      <c r="BN2" s="24"/>
    </row>
    <row r="3" spans="2:66" customFormat="1" ht="9" customHeight="1">
      <c r="B3" s="16"/>
      <c r="C3" s="974"/>
      <c r="D3" s="974"/>
      <c r="E3" s="974"/>
      <c r="F3" s="974"/>
      <c r="G3" s="718" t="s">
        <v>148</v>
      </c>
      <c r="H3" s="718"/>
      <c r="I3" s="718"/>
      <c r="J3" s="1310" t="s">
        <v>147</v>
      </c>
      <c r="K3" s="1310"/>
      <c r="L3" s="131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974"/>
      <c r="D4" s="974"/>
      <c r="E4" s="974"/>
      <c r="F4" s="974"/>
      <c r="G4" s="613"/>
      <c r="H4" s="613"/>
      <c r="I4" s="613"/>
      <c r="J4" s="621"/>
      <c r="K4" s="621"/>
      <c r="L4" s="621"/>
      <c r="M4" s="16"/>
      <c r="N4" s="16"/>
      <c r="O4" s="16" t="s">
        <v>40</v>
      </c>
      <c r="P4" s="16" t="s">
        <v>207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18:48:30.00(18.8083)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714" t="s">
        <v>1</v>
      </c>
      <c r="D8" s="715"/>
      <c r="E8" s="596" t="s">
        <v>508</v>
      </c>
      <c r="F8" s="597"/>
      <c r="G8" s="597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173</v>
      </c>
      <c r="AD8" s="3" cm="1">
        <f t="array" ref="AD8">heureConvert2Decimal(I11)</f>
        <v>18.808333333333334</v>
      </c>
      <c r="BN8" s="24"/>
    </row>
    <row r="9" spans="2:66" customFormat="1" ht="17.25" customHeight="1" thickBot="1">
      <c r="B9" s="16"/>
      <c r="C9" s="495" t="s">
        <v>11</v>
      </c>
      <c r="D9" s="497"/>
      <c r="E9" s="495" t="s">
        <v>2</v>
      </c>
      <c r="F9" s="496"/>
      <c r="G9" s="496"/>
      <c r="H9" s="497"/>
      <c r="I9" s="636" t="s">
        <v>132</v>
      </c>
      <c r="J9" s="636"/>
      <c r="K9" s="636"/>
      <c r="L9" s="636" t="s">
        <v>133</v>
      </c>
      <c r="M9" s="636"/>
      <c r="N9" s="636"/>
      <c r="O9" s="636"/>
      <c r="P9" s="636"/>
      <c r="Q9" s="636" t="s">
        <v>134</v>
      </c>
      <c r="R9" s="636"/>
      <c r="S9" s="636"/>
      <c r="T9" s="636"/>
      <c r="U9" s="636"/>
      <c r="V9" s="629" t="s">
        <v>131</v>
      </c>
      <c r="W9" s="630"/>
      <c r="X9" s="630"/>
      <c r="Y9" s="631"/>
      <c r="Z9" s="16"/>
      <c r="AA9" s="16"/>
      <c r="AB9" s="63"/>
      <c r="AC9" s="3" t="s">
        <v>174</v>
      </c>
      <c r="AD9" s="67">
        <f>L11</f>
        <v>0</v>
      </c>
      <c r="BN9" s="24"/>
    </row>
    <row r="10" spans="2:66" customFormat="1" ht="17.25" customHeight="1">
      <c r="B10" s="16"/>
      <c r="C10" s="716"/>
      <c r="D10" s="717"/>
      <c r="E10" s="498"/>
      <c r="F10" s="499"/>
      <c r="G10" s="499"/>
      <c r="H10" s="500"/>
      <c r="I10" s="636"/>
      <c r="J10" s="636"/>
      <c r="K10" s="636"/>
      <c r="L10" s="636"/>
      <c r="M10" s="636"/>
      <c r="N10" s="636"/>
      <c r="O10" s="636"/>
      <c r="P10" s="636"/>
      <c r="Q10" s="636"/>
      <c r="R10" s="636"/>
      <c r="S10" s="636"/>
      <c r="T10" s="636"/>
      <c r="U10" s="636"/>
      <c r="V10" s="632"/>
      <c r="W10" s="633"/>
      <c r="X10" s="633"/>
      <c r="Y10" s="634"/>
      <c r="Z10" s="16"/>
      <c r="AA10" s="16"/>
      <c r="AB10" s="61"/>
      <c r="AC10" s="3" t="s">
        <v>175</v>
      </c>
      <c r="AD10" s="3">
        <f>Q11/3600</f>
        <v>0</v>
      </c>
      <c r="BN10" s="24"/>
    </row>
    <row r="11" spans="2:66" customFormat="1" ht="17.25" customHeight="1" thickBot="1">
      <c r="B11" s="16"/>
      <c r="C11" s="498"/>
      <c r="D11" s="500"/>
      <c r="E11" s="763">
        <f>AD8+AD9+AD10+AD11</f>
        <v>18.808333333333334</v>
      </c>
      <c r="F11" s="764"/>
      <c r="G11" s="764"/>
      <c r="H11" s="765"/>
      <c r="I11" s="635" t="s">
        <v>509</v>
      </c>
      <c r="J11" s="635"/>
      <c r="K11" s="635"/>
      <c r="L11" s="626">
        <v>0</v>
      </c>
      <c r="M11" s="626"/>
      <c r="N11" s="626"/>
      <c r="O11" s="626"/>
      <c r="P11" s="626"/>
      <c r="Q11" s="626">
        <v>0</v>
      </c>
      <c r="R11" s="626"/>
      <c r="S11" s="626"/>
      <c r="T11" s="626"/>
      <c r="U11" s="627"/>
      <c r="V11" s="625" t="s">
        <v>130</v>
      </c>
      <c r="W11" s="625"/>
      <c r="X11" s="625"/>
      <c r="Y11" s="625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37" t="str" cm="1">
        <f t="array" ref="E12">heureDecimal2Txt(E11)</f>
        <v>18:48:30.00(18.8083)</v>
      </c>
      <c r="F12" s="638"/>
      <c r="G12" s="638"/>
      <c r="H12" s="639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48" t="s">
        <v>19</v>
      </c>
      <c r="D15" s="548"/>
      <c r="E15" s="548"/>
      <c r="F15" s="548"/>
      <c r="G15" s="548"/>
      <c r="H15" s="548"/>
      <c r="I15" s="548"/>
      <c r="J15" s="644">
        <f>M15</f>
        <v>5.28</v>
      </c>
      <c r="K15" s="645"/>
      <c r="L15" s="646"/>
      <c r="M15" s="538">
        <f>16*0.33</f>
        <v>5.28</v>
      </c>
      <c r="N15" s="538"/>
      <c r="O15" s="538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249" t="s">
        <v>20</v>
      </c>
      <c r="D16" s="1250"/>
      <c r="E16" s="1250"/>
      <c r="F16" s="1250"/>
      <c r="G16" s="1250"/>
      <c r="H16" s="1250"/>
      <c r="I16" s="1251"/>
      <c r="J16" s="642" cm="1">
        <f t="array" ref="J16">angleConvert2Decimal(M16)</f>
        <v>0</v>
      </c>
      <c r="K16" s="643"/>
      <c r="L16" s="643"/>
      <c r="M16" s="537" t="s">
        <v>512</v>
      </c>
      <c r="N16" s="538"/>
      <c r="O16" s="538"/>
      <c r="P16" s="474" t="str" cm="1">
        <f t="array" ref="P16">angleDecimal2Txt(J16)</f>
        <v>+00°00.00 (+00.0000) [+00°00'00.00]</v>
      </c>
      <c r="Q16" s="474"/>
      <c r="R16" s="474"/>
      <c r="S16" s="474"/>
      <c r="T16" s="474"/>
      <c r="U16" s="474"/>
      <c r="V16" s="474"/>
      <c r="W16" s="474"/>
      <c r="X16" s="474"/>
      <c r="Y16" s="14"/>
      <c r="Z16" s="16"/>
      <c r="AA16" s="16"/>
      <c r="AB16" s="61"/>
      <c r="BN16" s="24"/>
    </row>
    <row r="17" spans="1:66" customFormat="1" ht="18" customHeight="1" thickTop="1" thickBot="1">
      <c r="B17" s="16"/>
      <c r="C17" s="558" t="s">
        <v>26</v>
      </c>
      <c r="D17" s="558"/>
      <c r="E17" s="558"/>
      <c r="F17" s="558"/>
      <c r="G17" s="558"/>
      <c r="H17" s="558"/>
      <c r="I17" s="558"/>
      <c r="J17" s="1311" cm="1">
        <f t="array" ref="J17">angleConvert2Decimal(M17)</f>
        <v>28.916666666666668</v>
      </c>
      <c r="K17" s="1312"/>
      <c r="L17" s="1312"/>
      <c r="M17" s="1313" t="s">
        <v>511</v>
      </c>
      <c r="N17" s="1314"/>
      <c r="O17" s="1315"/>
      <c r="P17" s="474" t="str" cm="1">
        <f t="array" ref="P17">angleDecimal2Txt(J17)</f>
        <v>+28°55.00 (+28.9166) [+28°55'00.00]</v>
      </c>
      <c r="Q17" s="474"/>
      <c r="R17" s="474"/>
      <c r="S17" s="474"/>
      <c r="T17" s="474"/>
      <c r="U17" s="474"/>
      <c r="V17" s="474"/>
      <c r="W17" s="474"/>
      <c r="X17" s="474"/>
      <c r="Y17" s="14"/>
      <c r="Z17" s="16"/>
      <c r="AA17" s="16"/>
      <c r="AB17" s="61"/>
      <c r="BN17" s="24"/>
    </row>
    <row r="18" spans="1:66" customFormat="1" ht="18" customHeight="1" thickTop="1">
      <c r="B18" s="16"/>
      <c r="C18" s="548" t="s">
        <v>30</v>
      </c>
      <c r="D18" s="548"/>
      <c r="E18" s="548"/>
      <c r="F18" s="548"/>
      <c r="G18" s="548"/>
      <c r="H18" s="548"/>
      <c r="I18" s="548"/>
      <c r="J18" s="549" t="str">
        <f>M18</f>
        <v>Polaire</v>
      </c>
      <c r="K18" s="550"/>
      <c r="L18" s="551"/>
      <c r="M18" s="1123" t="s">
        <v>164</v>
      </c>
      <c r="N18" s="1124"/>
      <c r="O18" s="1125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6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6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6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6" s="16" customFormat="1" ht="17.25" customHeight="1">
      <c r="C22" s="14"/>
      <c r="D22" s="14"/>
      <c r="E22" s="561" t="s">
        <v>7</v>
      </c>
      <c r="F22" s="561"/>
      <c r="G22" s="561"/>
      <c r="H22" s="561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AB22" s="6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16" customFormat="1" ht="17.25" customHeight="1" thickBot="1">
      <c r="C23" s="14"/>
      <c r="D23" s="14"/>
      <c r="E23" s="561"/>
      <c r="F23" s="561"/>
      <c r="G23" s="561"/>
      <c r="H23" s="561"/>
      <c r="I23" s="14"/>
      <c r="J23" s="14" t="s">
        <v>140</v>
      </c>
      <c r="K23" s="14"/>
      <c r="L23" s="14" t="s">
        <v>141</v>
      </c>
      <c r="M23" s="14"/>
      <c r="N23" s="14"/>
      <c r="O23" s="14"/>
      <c r="P23" s="14"/>
      <c r="Q23" s="14"/>
      <c r="R23" s="14"/>
      <c r="S23" s="14"/>
      <c r="T23" s="14"/>
      <c r="U23" s="14"/>
      <c r="V23" s="14"/>
      <c r="AB23" s="61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6" s="16" customFormat="1" ht="17.25" customHeight="1" thickTop="1" thickBot="1">
      <c r="A24" s="555" t="s">
        <v>34</v>
      </c>
      <c r="B24" s="556"/>
      <c r="C24" s="557"/>
      <c r="D24" s="14"/>
      <c r="E24" s="14"/>
      <c r="F24" s="544">
        <f>AD25</f>
        <v>29.083333333333332</v>
      </c>
      <c r="G24" s="570"/>
      <c r="H24" s="570"/>
      <c r="I24" s="514" t="s">
        <v>3</v>
      </c>
      <c r="J24" s="539" t="s">
        <v>211</v>
      </c>
      <c r="K24" s="514"/>
      <c r="L24" s="514"/>
      <c r="M24" s="514"/>
      <c r="N24" s="514"/>
      <c r="O24" s="472" t="str" cm="1">
        <f t="array" ref="O24">angleDecimal2Txt(F24)</f>
        <v>+29°05.00 (+29.0833) [+29°05'00.00]</v>
      </c>
      <c r="P24" s="472"/>
      <c r="Q24" s="472"/>
      <c r="R24" s="472"/>
      <c r="S24" s="472"/>
      <c r="T24" s="472"/>
      <c r="U24" s="472"/>
      <c r="V24" s="472"/>
      <c r="W24" s="472"/>
      <c r="X24" s="472"/>
      <c r="Y24" s="14"/>
      <c r="Z24" s="14"/>
      <c r="AB24" s="61"/>
      <c r="AC24" s="3" t="s">
        <v>179</v>
      </c>
      <c r="AD24" s="3">
        <f>VLOOKUP(I24,$A$26:$C$27,3)</f>
        <v>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6" s="16" customFormat="1" ht="17.25" customHeight="1" thickTop="1" thickBot="1">
      <c r="A25" s="17" t="s">
        <v>41</v>
      </c>
      <c r="B25" s="32" t="s">
        <v>42</v>
      </c>
      <c r="C25" s="18"/>
      <c r="D25" s="14"/>
      <c r="E25" s="14"/>
      <c r="F25" s="570"/>
      <c r="G25" s="570"/>
      <c r="H25" s="570"/>
      <c r="I25" s="514"/>
      <c r="J25" s="514"/>
      <c r="K25" s="514"/>
      <c r="L25" s="514"/>
      <c r="M25" s="514"/>
      <c r="N25" s="514"/>
      <c r="O25" s="472"/>
      <c r="P25" s="472"/>
      <c r="Q25" s="472"/>
      <c r="R25" s="472"/>
      <c r="S25" s="472"/>
      <c r="T25" s="472"/>
      <c r="U25" s="472"/>
      <c r="V25" s="472"/>
      <c r="W25" s="472"/>
      <c r="X25" s="472"/>
      <c r="Y25" s="14"/>
      <c r="Z25" s="14"/>
      <c r="AB25" s="61"/>
      <c r="AC25" s="3" t="s">
        <v>180</v>
      </c>
      <c r="AD25" s="3" cm="1">
        <f t="array" ref="AD25">angleConvert2Decimal(J24)*AD24</f>
        <v>29.083333333333332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6" s="16" customFormat="1" ht="17.25" customHeight="1" thickTop="1">
      <c r="A26" s="17" t="s">
        <v>3</v>
      </c>
      <c r="B26" s="32" t="s">
        <v>5</v>
      </c>
      <c r="C26" s="18">
        <v>1</v>
      </c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6" s="16" customFormat="1" ht="17.25" customHeight="1" thickBot="1">
      <c r="A27" s="19" t="s">
        <v>4</v>
      </c>
      <c r="B27" s="20" t="s">
        <v>6</v>
      </c>
      <c r="C27" s="21">
        <v>-1</v>
      </c>
      <c r="D27" s="14"/>
      <c r="E27" s="577" t="s">
        <v>8</v>
      </c>
      <c r="F27" s="577"/>
      <c r="G27" s="577"/>
      <c r="H27" s="577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AB27" s="61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31"/>
    </row>
    <row r="28" spans="1:66" s="16" customFormat="1" ht="17.25" customHeight="1" thickBot="1">
      <c r="C28" s="14"/>
      <c r="D28" s="14"/>
      <c r="E28" s="577"/>
      <c r="F28" s="577"/>
      <c r="G28" s="577"/>
      <c r="H28" s="577"/>
      <c r="I28" s="14"/>
      <c r="J28" s="14" t="s">
        <v>140</v>
      </c>
      <c r="K28" s="14"/>
      <c r="L28" s="14" t="s">
        <v>149</v>
      </c>
      <c r="M28" s="14"/>
      <c r="N28" s="14"/>
      <c r="O28" s="14"/>
      <c r="P28" s="14"/>
      <c r="Q28" s="14"/>
      <c r="R28" s="14"/>
      <c r="S28" s="14"/>
      <c r="T28" s="14"/>
      <c r="U28" s="14"/>
      <c r="V28" s="14"/>
      <c r="AB28" s="61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31"/>
    </row>
    <row r="29" spans="1:66" s="16" customFormat="1" ht="17.25" customHeight="1" thickTop="1" thickBot="1">
      <c r="B29" s="14"/>
      <c r="C29" s="14"/>
      <c r="D29" s="14"/>
      <c r="E29" s="14"/>
      <c r="F29" s="544">
        <f>AD30</f>
        <v>-12.5</v>
      </c>
      <c r="G29" s="570"/>
      <c r="H29" s="570"/>
      <c r="I29" s="514" t="s">
        <v>6</v>
      </c>
      <c r="J29" s="539" t="s">
        <v>510</v>
      </c>
      <c r="K29" s="514"/>
      <c r="L29" s="514"/>
      <c r="M29" s="514"/>
      <c r="N29" s="514"/>
      <c r="O29" s="472" t="str" cm="1">
        <f t="array" ref="O29">angleDecimal2Txt(F29)</f>
        <v>-12°30.00 (-12.5000) [-12°30'00.00]</v>
      </c>
      <c r="P29" s="472"/>
      <c r="Q29" s="472"/>
      <c r="R29" s="472"/>
      <c r="S29" s="472"/>
      <c r="T29" s="472"/>
      <c r="U29" s="472"/>
      <c r="V29" s="472"/>
      <c r="W29" s="472"/>
      <c r="X29" s="472"/>
      <c r="Y29" s="14"/>
      <c r="Z29" s="14"/>
      <c r="AB29" s="61"/>
      <c r="AC29" s="3" t="s">
        <v>181</v>
      </c>
      <c r="AD29" s="3">
        <f>VLOOKUP(I29,B26:C27,2)</f>
        <v>-1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thickTop="1" thickBot="1">
      <c r="C30" s="14"/>
      <c r="D30" s="14"/>
      <c r="E30" s="14"/>
      <c r="F30" s="570"/>
      <c r="G30" s="570"/>
      <c r="H30" s="570"/>
      <c r="I30" s="514"/>
      <c r="J30" s="514"/>
      <c r="K30" s="514"/>
      <c r="L30" s="514"/>
      <c r="M30" s="514"/>
      <c r="N30" s="514"/>
      <c r="O30" s="472"/>
      <c r="P30" s="472"/>
      <c r="Q30" s="472"/>
      <c r="R30" s="472"/>
      <c r="S30" s="472"/>
      <c r="T30" s="472"/>
      <c r="U30" s="472"/>
      <c r="V30" s="472"/>
      <c r="W30" s="472"/>
      <c r="X30" s="472"/>
      <c r="Y30" s="14"/>
      <c r="Z30" s="14"/>
      <c r="AB30" s="61"/>
      <c r="AC30" s="3" t="s">
        <v>182</v>
      </c>
      <c r="AD30" s="3" cm="1">
        <f t="array" ref="AD30">angleConvert2Decimal(J29)*AD29</f>
        <v>-12.5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customHeight="1" thickTop="1"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B31" s="6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customHeight="1" thickBot="1">
      <c r="C32" s="59"/>
      <c r="D32" s="59"/>
      <c r="E32" s="59"/>
      <c r="F32" s="59"/>
      <c r="G32" s="59"/>
      <c r="AB32" s="61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7" s="16" customFormat="1" ht="17.25" customHeight="1" thickBot="1">
      <c r="B33" s="25" t="s">
        <v>210</v>
      </c>
      <c r="C33" s="26"/>
      <c r="D33" s="26"/>
      <c r="E33" s="26"/>
      <c r="F33" s="532">
        <f>N34</f>
        <v>89.385000000000005</v>
      </c>
      <c r="G33" s="532"/>
      <c r="H33" s="532"/>
      <c r="I33" s="77"/>
      <c r="J33" s="1291" t="str" cm="1">
        <f t="array" ref="J33">angleDecimal2Txt(F33)</f>
        <v>+89°23.10 (+89.3850) [+89°23'06.00]</v>
      </c>
      <c r="K33" s="1291"/>
      <c r="L33" s="1291"/>
      <c r="M33" s="1291"/>
      <c r="N33" s="1291"/>
      <c r="O33" s="1291"/>
      <c r="P33" s="1291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64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33" customFormat="1" ht="17.25" customHeight="1" thickTop="1">
      <c r="C34" s="509" t="s">
        <v>492</v>
      </c>
      <c r="D34" s="509"/>
      <c r="E34" s="509"/>
      <c r="F34" s="509"/>
      <c r="G34" s="509"/>
      <c r="H34" s="1322"/>
      <c r="I34" s="1329" t="s">
        <v>3</v>
      </c>
      <c r="J34" s="1323" t="s">
        <v>513</v>
      </c>
      <c r="K34" s="1323"/>
      <c r="L34" s="1323"/>
      <c r="M34" s="1323"/>
      <c r="N34" s="1324">
        <f>AD35</f>
        <v>89.385000000000005</v>
      </c>
      <c r="O34" s="1324"/>
      <c r="P34" s="1324"/>
      <c r="Q34" s="1316" t="str" cm="1">
        <f t="array" ref="Q34">angleDecimal2Txt(N34)</f>
        <v>+89°23.10 (+89.3850) [+89°23'06.00]</v>
      </c>
      <c r="R34" s="1316"/>
      <c r="S34" s="1316"/>
      <c r="T34" s="1316"/>
      <c r="U34" s="1317"/>
      <c r="AB34" s="65"/>
      <c r="AC34" s="3" t="s">
        <v>209</v>
      </c>
      <c r="AD34" s="3">
        <f>VLOOKUP(I34,$A$26:$C$27,3)</f>
        <v>1</v>
      </c>
      <c r="AE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7" s="16" customFormat="1" ht="17.25" customHeight="1" thickBot="1">
      <c r="C35" s="14"/>
      <c r="D35" s="14"/>
      <c r="E35" s="14"/>
      <c r="F35" s="14"/>
      <c r="G35" s="14"/>
      <c r="H35" s="14"/>
      <c r="I35" s="1329"/>
      <c r="J35" s="1323"/>
      <c r="K35" s="1323"/>
      <c r="L35" s="1323"/>
      <c r="M35" s="1323"/>
      <c r="N35" s="1324"/>
      <c r="O35" s="1324"/>
      <c r="P35" s="1324"/>
      <c r="Q35" s="1318"/>
      <c r="R35" s="1318"/>
      <c r="S35" s="1318"/>
      <c r="T35" s="1318"/>
      <c r="U35" s="1319"/>
      <c r="AB35" s="61"/>
      <c r="AC35" s="3" t="s">
        <v>180</v>
      </c>
      <c r="AD35" s="3" cm="1">
        <f t="array" ref="AD35">angleConvert2Decimal(J34)*AD34</f>
        <v>89.385000000000005</v>
      </c>
      <c r="AE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Top="1">
      <c r="A36" s="16"/>
      <c r="B36" s="16"/>
      <c r="C36" s="59"/>
      <c r="D36" s="59"/>
      <c r="E36" s="59"/>
      <c r="F36" s="59"/>
      <c r="G36" s="59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4"/>
      <c r="T36" s="14"/>
      <c r="U36" s="14"/>
      <c r="V36" s="14"/>
      <c r="W36" s="14"/>
      <c r="X36" s="14"/>
      <c r="Y36" s="16"/>
      <c r="Z36" s="16"/>
      <c r="AA36" s="16"/>
      <c r="AB36" s="61"/>
      <c r="BN36" s="24"/>
      <c r="BO36" s="16"/>
    </row>
    <row r="37" spans="1:67" customFormat="1" ht="17.25" customHeight="1" thickBot="1">
      <c r="A37" s="16"/>
      <c r="B37" s="16"/>
      <c r="C37" s="59"/>
      <c r="D37" s="59"/>
      <c r="E37" s="59"/>
      <c r="F37" s="59"/>
      <c r="G37" s="59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4"/>
      <c r="T37" s="14"/>
      <c r="U37" s="14"/>
      <c r="V37" s="14"/>
      <c r="W37" s="14"/>
      <c r="X37" s="14"/>
      <c r="Y37" s="16"/>
      <c r="Z37" s="16"/>
      <c r="AA37" s="16"/>
      <c r="AB37" s="61"/>
      <c r="BN37" s="24"/>
      <c r="BO37" s="16"/>
    </row>
    <row r="38" spans="1:67" s="14" customFormat="1" ht="17.25" customHeight="1" thickBot="1">
      <c r="A38" s="16"/>
      <c r="B38" s="25" t="s">
        <v>490</v>
      </c>
      <c r="C38" s="26"/>
      <c r="D38" s="26"/>
      <c r="E38" s="26"/>
      <c r="F38" s="532">
        <f>N39</f>
        <v>311.43</v>
      </c>
      <c r="G38" s="532"/>
      <c r="H38" s="532"/>
      <c r="I38" s="77"/>
      <c r="J38" s="1320" t="s">
        <v>55</v>
      </c>
      <c r="K38" s="1320"/>
      <c r="L38" s="1320"/>
      <c r="M38" s="1321" t="str">
        <f>J18</f>
        <v>Polaire</v>
      </c>
      <c r="N38" s="1321"/>
      <c r="O38" s="1321"/>
      <c r="P38" s="77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C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31"/>
    </row>
    <row r="39" spans="1:67" s="16" customFormat="1" ht="17.25" customHeight="1" thickTop="1" thickBot="1">
      <c r="C39" s="509" t="s">
        <v>491</v>
      </c>
      <c r="D39" s="509"/>
      <c r="E39" s="509"/>
      <c r="F39" s="509"/>
      <c r="G39" s="509"/>
      <c r="H39" s="1322"/>
      <c r="I39" s="1323" t="s">
        <v>514</v>
      </c>
      <c r="J39" s="1323"/>
      <c r="K39" s="1323"/>
      <c r="L39" s="1323"/>
      <c r="M39" s="1323"/>
      <c r="N39" s="1324" cm="1">
        <f t="array" ref="N39">angleConvert2Decimal(I39)</f>
        <v>311.43</v>
      </c>
      <c r="O39" s="1324"/>
      <c r="P39" s="1324"/>
      <c r="Q39" s="471" t="str" cm="1">
        <f t="array" ref="Q39">angleDecimal2Txt(N39)</f>
        <v>+311°25.80 (+311.4300) [+311°25'48.00]</v>
      </c>
      <c r="R39" s="576"/>
      <c r="S39" s="576"/>
      <c r="T39" s="576"/>
      <c r="U39" s="576"/>
      <c r="AB39" s="61"/>
      <c r="AC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7" s="16" customFormat="1" ht="17.25" customHeight="1" thickTop="1" thickBot="1">
      <c r="A40" s="14"/>
      <c r="C40" s="14"/>
      <c r="D40" s="14"/>
      <c r="E40" s="14"/>
      <c r="F40" s="14"/>
      <c r="G40" s="14"/>
      <c r="H40" s="14"/>
      <c r="I40" s="1323"/>
      <c r="J40" s="1323"/>
      <c r="K40" s="1323"/>
      <c r="L40" s="1323"/>
      <c r="M40" s="1323"/>
      <c r="N40" s="1324"/>
      <c r="O40" s="1324"/>
      <c r="P40" s="1324"/>
      <c r="Q40" s="1325"/>
      <c r="R40" s="576"/>
      <c r="S40" s="576"/>
      <c r="T40" s="576"/>
      <c r="U40" s="576"/>
      <c r="AB40" s="66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7" s="16" customFormat="1" ht="17.25" customHeight="1" thickTop="1" thickBot="1">
      <c r="A41" s="14"/>
      <c r="C41" s="14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AB41" s="66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7" customFormat="1" ht="17.25" customHeight="1" thickBot="1">
      <c r="A42" s="33"/>
      <c r="B42" s="25" t="s">
        <v>489</v>
      </c>
      <c r="C42" s="26"/>
      <c r="D42" s="26"/>
      <c r="E42" s="26"/>
      <c r="F42" s="532">
        <f>IF(G43=AD43,F47,F55)</f>
        <v>311.64066666666668</v>
      </c>
      <c r="G42" s="532"/>
      <c r="H42" s="532"/>
      <c r="I42" s="26"/>
      <c r="J42" s="26"/>
      <c r="K42" s="26"/>
      <c r="L42" s="1122">
        <f>F42+360</f>
        <v>671.64066666666668</v>
      </c>
      <c r="M42" s="1122"/>
      <c r="N42" s="26" t="s">
        <v>28</v>
      </c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64"/>
      <c r="BN42" s="24"/>
      <c r="BO42" s="16"/>
    </row>
    <row r="43" spans="1:67" customFormat="1" ht="17.25" customHeight="1">
      <c r="A43" s="16"/>
      <c r="B43" s="33"/>
      <c r="C43" s="531" t="s">
        <v>35</v>
      </c>
      <c r="D43" s="531"/>
      <c r="E43" s="531"/>
      <c r="F43" s="723"/>
      <c r="G43" s="573" t="s">
        <v>10</v>
      </c>
      <c r="H43" s="574"/>
      <c r="I43" s="575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65"/>
      <c r="AC43" s="1121" t="s">
        <v>36</v>
      </c>
      <c r="AD43" s="68" t="s">
        <v>10</v>
      </c>
      <c r="BN43" s="24"/>
      <c r="BO43" s="16"/>
    </row>
    <row r="44" spans="1:67" customFormat="1" ht="17.25" customHeight="1">
      <c r="A44" s="16"/>
      <c r="B44" s="16"/>
      <c r="C44" s="34" t="s">
        <v>10</v>
      </c>
      <c r="D44" s="34"/>
      <c r="E44" s="35"/>
      <c r="F44" s="35"/>
      <c r="G44" s="14"/>
      <c r="H44" s="14"/>
      <c r="I44" s="14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61"/>
      <c r="AC44" s="1121"/>
      <c r="AD44" s="68" t="s">
        <v>14</v>
      </c>
      <c r="BN44" s="24"/>
      <c r="BO44" s="16"/>
    </row>
    <row r="45" spans="1:67" customFormat="1" ht="17.25" customHeight="1">
      <c r="A45" s="16"/>
      <c r="B45" s="16"/>
      <c r="C45" s="59"/>
      <c r="D45" s="59"/>
      <c r="E45" s="59"/>
      <c r="F45" s="495" t="s">
        <v>9</v>
      </c>
      <c r="G45" s="496"/>
      <c r="H45" s="497"/>
      <c r="I45" s="495" t="s">
        <v>12</v>
      </c>
      <c r="J45" s="496"/>
      <c r="K45" s="496"/>
      <c r="L45" s="497"/>
      <c r="M45" s="501" t="s">
        <v>13</v>
      </c>
      <c r="N45" s="502"/>
      <c r="O45" s="503"/>
      <c r="P45" s="487" t="s">
        <v>15</v>
      </c>
      <c r="Q45" s="488"/>
      <c r="R45" s="488"/>
      <c r="S45" s="488"/>
      <c r="T45" s="489"/>
      <c r="U45" s="14"/>
      <c r="V45" s="16"/>
      <c r="W45" s="16"/>
      <c r="X45" s="16"/>
      <c r="Y45" s="16"/>
      <c r="Z45" s="16"/>
      <c r="AA45" s="16"/>
      <c r="AB45" s="61"/>
      <c r="AD45" s="73" t="s">
        <v>73</v>
      </c>
      <c r="AE45" s="3" t="s">
        <v>191</v>
      </c>
      <c r="BN45" s="24"/>
      <c r="BO45" s="16"/>
    </row>
    <row r="46" spans="1:67" customFormat="1" ht="17.25" customHeight="1" thickBot="1">
      <c r="A46" s="16"/>
      <c r="B46" s="16"/>
      <c r="C46" s="59"/>
      <c r="D46" s="59"/>
      <c r="E46" s="59"/>
      <c r="F46" s="498"/>
      <c r="G46" s="499"/>
      <c r="H46" s="500"/>
      <c r="I46" s="498"/>
      <c r="J46" s="499"/>
      <c r="K46" s="499"/>
      <c r="L46" s="500"/>
      <c r="M46" s="504"/>
      <c r="N46" s="505"/>
      <c r="O46" s="506"/>
      <c r="P46" s="1301"/>
      <c r="Q46" s="491"/>
      <c r="R46" s="491"/>
      <c r="S46" s="491"/>
      <c r="T46" s="492"/>
      <c r="U46" s="14"/>
      <c r="V46" s="16"/>
      <c r="W46" s="16"/>
      <c r="X46" s="16"/>
      <c r="Y46" s="16"/>
      <c r="AA46" s="16"/>
      <c r="AB46" s="61"/>
      <c r="AC46" s="3" t="s">
        <v>183</v>
      </c>
      <c r="AD46" s="3">
        <f>VLOOKUP(P47,$B$26:$C$27,2)</f>
        <v>1</v>
      </c>
      <c r="AE46" s="3" cm="1">
        <f t="array" ref="AE46">AD46*angleConvert2Decimal(Q47)</f>
        <v>299.48333333333335</v>
      </c>
      <c r="BN46" s="24"/>
      <c r="BO46" s="16"/>
    </row>
    <row r="47" spans="1:67" customFormat="1" ht="17.25" customHeight="1" thickTop="1" thickBot="1">
      <c r="A47" s="16"/>
      <c r="B47" s="16"/>
      <c r="C47" s="59"/>
      <c r="D47" s="59"/>
      <c r="E47" s="16"/>
      <c r="F47" s="543">
        <f>IF(G43=AD44,"---",AD51)</f>
        <v>311.64066666666668</v>
      </c>
      <c r="G47" s="543"/>
      <c r="H47" s="543"/>
      <c r="I47" s="894">
        <f>E11</f>
        <v>18.808333333333334</v>
      </c>
      <c r="J47" s="894"/>
      <c r="K47" s="894"/>
      <c r="L47" s="894"/>
      <c r="M47" s="571">
        <v>18</v>
      </c>
      <c r="N47" s="572"/>
      <c r="O47" s="1294"/>
      <c r="P47" s="1295" t="s">
        <v>5</v>
      </c>
      <c r="Q47" s="1297" t="s">
        <v>515</v>
      </c>
      <c r="R47" s="517"/>
      <c r="S47" s="517"/>
      <c r="T47" s="1302"/>
      <c r="U47" s="472" t="str" cm="1">
        <f t="array" ref="U47">angleDecimal2Txt(AE46)</f>
        <v>+299°29.00 (+299.4833) [+299°29'00.00]</v>
      </c>
      <c r="V47" s="576"/>
      <c r="W47" s="576"/>
      <c r="X47" s="576"/>
      <c r="Y47" s="576"/>
      <c r="AA47" s="16"/>
      <c r="AB47" s="61"/>
      <c r="AC47" s="3" t="s">
        <v>184</v>
      </c>
      <c r="AD47" s="3">
        <f>VLOOKUP(P49,$B$26:$C$27,2)</f>
        <v>1</v>
      </c>
      <c r="AE47" s="3" cm="1">
        <f t="array" ref="AE47">AD47*angleConvert2Decimal(Q49)</f>
        <v>314.52333333333331</v>
      </c>
      <c r="BN47" s="24"/>
      <c r="BO47" s="16"/>
    </row>
    <row r="48" spans="1:67" customFormat="1" ht="17.25" customHeight="1" thickTop="1" thickBot="1">
      <c r="A48" s="16"/>
      <c r="B48" s="16"/>
      <c r="C48" s="59"/>
      <c r="D48" s="59"/>
      <c r="E48" s="59"/>
      <c r="F48" s="544"/>
      <c r="G48" s="544"/>
      <c r="H48" s="544"/>
      <c r="I48" s="894"/>
      <c r="J48" s="894"/>
      <c r="K48" s="894"/>
      <c r="L48" s="894"/>
      <c r="M48" s="529"/>
      <c r="N48" s="530"/>
      <c r="O48" s="511"/>
      <c r="P48" s="512"/>
      <c r="Q48" s="1303"/>
      <c r="R48" s="1304"/>
      <c r="S48" s="1304"/>
      <c r="T48" s="1305"/>
      <c r="U48" s="576"/>
      <c r="V48" s="576"/>
      <c r="W48" s="576"/>
      <c r="X48" s="576"/>
      <c r="Y48" s="576"/>
      <c r="AA48" s="16"/>
      <c r="AB48" s="61"/>
      <c r="AC48" s="3" t="s">
        <v>38</v>
      </c>
      <c r="AD48" s="5">
        <f>AE47-AE46</f>
        <v>15.039999999999964</v>
      </c>
      <c r="BN48" s="24"/>
      <c r="BO48" s="16"/>
    </row>
    <row r="49" spans="1:67" customFormat="1" ht="17.25" customHeight="1" thickTop="1" thickBot="1">
      <c r="A49" s="16"/>
      <c r="B49" s="16"/>
      <c r="C49" s="59"/>
      <c r="D49" s="59"/>
      <c r="E49" s="59"/>
      <c r="F49" s="544"/>
      <c r="G49" s="544"/>
      <c r="H49" s="544"/>
      <c r="I49" s="894"/>
      <c r="J49" s="894"/>
      <c r="K49" s="894"/>
      <c r="L49" s="894"/>
      <c r="M49" s="527">
        <v>19</v>
      </c>
      <c r="N49" s="528"/>
      <c r="O49" s="1306"/>
      <c r="P49" s="1307" t="s">
        <v>5</v>
      </c>
      <c r="Q49" s="848" t="s">
        <v>516</v>
      </c>
      <c r="R49" s="1308"/>
      <c r="S49" s="1308"/>
      <c r="T49" s="1309"/>
      <c r="U49" s="472" t="str" cm="1">
        <f t="array" ref="U49">angleDecimal2Txt((AE47))</f>
        <v>+314°31.39 (+314.5233) [+314°31'24.00]</v>
      </c>
      <c r="V49" s="576"/>
      <c r="W49" s="576"/>
      <c r="X49" s="576"/>
      <c r="Y49" s="576"/>
      <c r="AA49" s="16"/>
      <c r="AB49" s="61"/>
      <c r="AC49" s="3" t="s">
        <v>185</v>
      </c>
      <c r="AD49" s="5">
        <f>M49-M47</f>
        <v>1</v>
      </c>
      <c r="AE49" s="16"/>
      <c r="BN49" s="24"/>
      <c r="BO49" s="16"/>
    </row>
    <row r="50" spans="1:67" customFormat="1" ht="17.25" customHeight="1" thickTop="1" thickBot="1">
      <c r="A50" s="16"/>
      <c r="B50" s="16"/>
      <c r="C50" s="59"/>
      <c r="D50" s="59"/>
      <c r="E50" s="59"/>
      <c r="F50" s="544"/>
      <c r="G50" s="544"/>
      <c r="H50" s="544"/>
      <c r="I50" s="894"/>
      <c r="J50" s="894"/>
      <c r="K50" s="894"/>
      <c r="L50" s="894"/>
      <c r="M50" s="529"/>
      <c r="N50" s="530"/>
      <c r="O50" s="511"/>
      <c r="P50" s="512"/>
      <c r="Q50" s="1303"/>
      <c r="R50" s="1304"/>
      <c r="S50" s="1304"/>
      <c r="T50" s="1305"/>
      <c r="U50" s="576"/>
      <c r="V50" s="576"/>
      <c r="W50" s="576"/>
      <c r="X50" s="576"/>
      <c r="Y50" s="576"/>
      <c r="AA50" s="16"/>
      <c r="AB50" s="61"/>
      <c r="AC50" s="3" t="s">
        <v>39</v>
      </c>
      <c r="AD50" s="5">
        <f>I47-M47</f>
        <v>0.80833333333333357</v>
      </c>
      <c r="BN50" s="24"/>
      <c r="BO50" s="16"/>
    </row>
    <row r="51" spans="1:67" customFormat="1" ht="17.25" customHeight="1" thickTop="1" thickBot="1">
      <c r="A51" s="16"/>
      <c r="B51" s="16"/>
      <c r="C51" s="59"/>
      <c r="D51" s="59"/>
      <c r="E51" s="59"/>
      <c r="F51" s="696" t="str" cm="1">
        <f t="array" ref="F51">angleDecimal2Txt(F47)</f>
        <v>+311°38.44 (+311.6406) [+311°38'26.40]</v>
      </c>
      <c r="G51" s="697"/>
      <c r="H51" s="697"/>
      <c r="I51" s="697"/>
      <c r="J51" s="697"/>
      <c r="K51" s="640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AA51" s="14"/>
      <c r="AB51" s="61"/>
      <c r="AC51" s="3" t="s">
        <v>37</v>
      </c>
      <c r="AD51" s="3">
        <f>AE46+(AD48/AD49)*AD50</f>
        <v>311.64066666666668</v>
      </c>
      <c r="BN51" s="24"/>
      <c r="BO51" s="16"/>
    </row>
    <row r="52" spans="1:67" customFormat="1" ht="17.25" customHeight="1" thickTop="1">
      <c r="A52" s="16"/>
      <c r="B52" s="16"/>
      <c r="C52" s="34" t="s">
        <v>14</v>
      </c>
      <c r="D52" s="34"/>
      <c r="E52" s="35"/>
      <c r="F52" s="35"/>
      <c r="G52" s="14"/>
      <c r="H52" s="14"/>
      <c r="I52" s="14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AA52" s="14"/>
      <c r="AB52" s="61"/>
      <c r="BN52" s="24"/>
      <c r="BO52" s="16"/>
    </row>
    <row r="53" spans="1:67" customFormat="1" ht="17.25" customHeight="1">
      <c r="A53" s="16"/>
      <c r="B53" s="16"/>
      <c r="C53" s="14"/>
      <c r="D53" s="14"/>
      <c r="E53" s="14"/>
      <c r="F53" s="495" t="s">
        <v>9</v>
      </c>
      <c r="G53" s="496"/>
      <c r="H53" s="497"/>
      <c r="I53" s="495" t="s">
        <v>12</v>
      </c>
      <c r="J53" s="496"/>
      <c r="K53" s="496"/>
      <c r="L53" s="497"/>
      <c r="M53" s="501" t="s">
        <v>13</v>
      </c>
      <c r="N53" s="502"/>
      <c r="O53" s="503"/>
      <c r="P53" s="487" t="s">
        <v>16</v>
      </c>
      <c r="Q53" s="488"/>
      <c r="R53" s="488"/>
      <c r="S53" s="488"/>
      <c r="T53" s="489"/>
      <c r="U53" s="487" t="s">
        <v>98</v>
      </c>
      <c r="V53" s="488"/>
      <c r="W53" s="488"/>
      <c r="X53" s="488"/>
      <c r="Y53" s="489"/>
      <c r="Z53" s="16"/>
      <c r="AA53" s="14"/>
      <c r="AB53" s="61"/>
      <c r="AC53" s="3" t="s">
        <v>186</v>
      </c>
      <c r="AD53" s="3">
        <f>VLOOKUP(P55,$B$26:$C$27,2)</f>
        <v>1</v>
      </c>
      <c r="BN53" s="24"/>
      <c r="BO53" s="16"/>
    </row>
    <row r="54" spans="1:67" customFormat="1" ht="17.25" customHeight="1" collapsed="1">
      <c r="A54" s="16"/>
      <c r="B54" s="16"/>
      <c r="C54" s="59"/>
      <c r="D54" s="59"/>
      <c r="E54" s="59"/>
      <c r="F54" s="498"/>
      <c r="G54" s="499"/>
      <c r="H54" s="500"/>
      <c r="I54" s="498"/>
      <c r="J54" s="499"/>
      <c r="K54" s="499"/>
      <c r="L54" s="500"/>
      <c r="M54" s="504"/>
      <c r="N54" s="505"/>
      <c r="O54" s="506"/>
      <c r="P54" s="1301"/>
      <c r="Q54" s="491"/>
      <c r="R54" s="491"/>
      <c r="S54" s="491"/>
      <c r="T54" s="492"/>
      <c r="U54" s="1301"/>
      <c r="V54" s="491"/>
      <c r="W54" s="491"/>
      <c r="X54" s="491"/>
      <c r="Y54" s="492"/>
      <c r="Z54" s="14"/>
      <c r="AA54" s="14"/>
      <c r="AB54" s="61"/>
      <c r="AC54" s="3" t="s">
        <v>187</v>
      </c>
      <c r="AD54" s="3" cm="1">
        <f t="array" ref="AD54">angleConvert2Decimal(Q55)*AD53</f>
        <v>311.63333333333333</v>
      </c>
      <c r="BN54" s="24"/>
      <c r="BO54" s="16"/>
    </row>
    <row r="55" spans="1:67" customFormat="1" ht="17.25" customHeight="1">
      <c r="A55" s="16"/>
      <c r="B55" s="16"/>
      <c r="C55" s="59"/>
      <c r="D55" s="59"/>
      <c r="E55" s="16"/>
      <c r="F55" s="543" t="str">
        <f>IF(G43=AD44,AD57,"---")</f>
        <v>---</v>
      </c>
      <c r="G55" s="543"/>
      <c r="H55" s="543"/>
      <c r="I55" s="894">
        <f>E11</f>
        <v>18.808333333333334</v>
      </c>
      <c r="J55" s="894"/>
      <c r="K55" s="894"/>
      <c r="L55" s="894"/>
      <c r="M55" s="571">
        <v>18.808299999999999</v>
      </c>
      <c r="N55" s="572"/>
      <c r="O55" s="1294"/>
      <c r="P55" s="1295" t="s">
        <v>5</v>
      </c>
      <c r="Q55" s="1297" t="s">
        <v>212</v>
      </c>
      <c r="R55" s="517"/>
      <c r="S55" s="517"/>
      <c r="T55" s="1298"/>
      <c r="U55" s="1295" t="s">
        <v>5</v>
      </c>
      <c r="V55" s="1297" t="s">
        <v>118</v>
      </c>
      <c r="W55" s="517"/>
      <c r="X55" s="517"/>
      <c r="Y55" s="1298"/>
      <c r="Z55" s="14"/>
      <c r="AA55" s="16"/>
      <c r="AB55" s="61"/>
      <c r="AC55" s="3" t="s">
        <v>188</v>
      </c>
      <c r="AD55" s="3">
        <f>VLOOKUP(U55,$B$26:$C$27,2)</f>
        <v>1</v>
      </c>
      <c r="BN55" s="24"/>
      <c r="BO55" s="16"/>
    </row>
    <row r="56" spans="1:67" customFormat="1" ht="17.25" customHeight="1" thickBot="1">
      <c r="A56" s="16"/>
      <c r="B56" s="16"/>
      <c r="C56" s="59"/>
      <c r="D56" s="59"/>
      <c r="E56" s="59"/>
      <c r="F56" s="544"/>
      <c r="G56" s="544"/>
      <c r="H56" s="544"/>
      <c r="I56" s="894"/>
      <c r="J56" s="894"/>
      <c r="K56" s="894"/>
      <c r="L56" s="894"/>
      <c r="M56" s="529"/>
      <c r="N56" s="530"/>
      <c r="O56" s="511"/>
      <c r="P56" s="1296"/>
      <c r="Q56" s="1299"/>
      <c r="R56" s="518"/>
      <c r="S56" s="518"/>
      <c r="T56" s="1300"/>
      <c r="U56" s="1296"/>
      <c r="V56" s="1299"/>
      <c r="W56" s="518"/>
      <c r="X56" s="518"/>
      <c r="Y56" s="1300"/>
      <c r="Z56" s="14"/>
      <c r="AA56" s="16"/>
      <c r="AB56" s="61"/>
      <c r="AC56" s="3" t="s">
        <v>189</v>
      </c>
      <c r="AD56" s="3" cm="1">
        <f t="array" ref="AD56">angleConvert2Decimal(V55)*AD55</f>
        <v>15.002000000000001</v>
      </c>
      <c r="BN56" s="24"/>
      <c r="BO56" s="16"/>
    </row>
    <row r="57" spans="1:67" customFormat="1" ht="17.25" customHeight="1" thickTop="1" thickBot="1">
      <c r="A57" s="16"/>
      <c r="B57" s="16"/>
      <c r="C57" s="59"/>
      <c r="D57" s="59"/>
      <c r="E57" s="59"/>
      <c r="F57" s="474" t="e" cm="1">
        <f t="array" ref="F57">angleDecimal2Txt(F55)</f>
        <v>#VALUE!</v>
      </c>
      <c r="G57" s="474"/>
      <c r="H57" s="474"/>
      <c r="I57" s="474"/>
      <c r="J57" s="474"/>
      <c r="K57" s="474"/>
      <c r="L57" s="16"/>
      <c r="M57" s="16"/>
      <c r="N57" s="16"/>
      <c r="O57" s="16"/>
      <c r="P57" s="474" t="str" cm="1">
        <f t="array" ref="P57">angleDecimal2Txt(AD54)</f>
        <v>+311°38.00 (+311.6333) [+311°38'00.00]</v>
      </c>
      <c r="Q57" s="474"/>
      <c r="R57" s="474"/>
      <c r="S57" s="474"/>
      <c r="T57" s="474"/>
      <c r="U57" s="474" t="str" cm="1">
        <f t="array" ref="U57">angleDecimal2Txt(AD56)</f>
        <v>+15°00.12 (+15.0020) [+15°00'07.20]</v>
      </c>
      <c r="V57" s="457"/>
      <c r="W57" s="457"/>
      <c r="X57" s="457"/>
      <c r="Y57" s="457"/>
      <c r="Z57" s="16"/>
      <c r="AA57" s="16"/>
      <c r="AB57" s="61"/>
      <c r="AC57" s="3" t="s">
        <v>190</v>
      </c>
      <c r="AD57" s="3">
        <f>AD54+AD56*(I55-M55)</f>
        <v>311.63383340000001</v>
      </c>
      <c r="BN57" s="24"/>
      <c r="BO57" s="16"/>
    </row>
    <row r="58" spans="1:67" customFormat="1" ht="17.25" customHeight="1" thickTop="1" thickBot="1">
      <c r="A58" s="16"/>
      <c r="B58" s="16"/>
      <c r="C58" s="59"/>
      <c r="D58" s="59"/>
      <c r="E58" s="59"/>
      <c r="F58" s="59"/>
      <c r="G58" s="59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4"/>
      <c r="T58" s="14"/>
      <c r="U58" s="14"/>
      <c r="V58" s="14"/>
      <c r="W58" s="14"/>
      <c r="X58" s="14"/>
      <c r="Y58" s="16"/>
      <c r="Z58" s="16"/>
      <c r="AA58" s="16"/>
      <c r="AB58" s="61"/>
      <c r="BN58" s="24"/>
      <c r="BO58" s="16"/>
    </row>
    <row r="59" spans="1:67" s="14" customFormat="1" ht="17.25" customHeight="1" thickBot="1">
      <c r="A59" s="16"/>
      <c r="B59" s="25" t="s">
        <v>497</v>
      </c>
      <c r="C59" s="26"/>
      <c r="D59" s="26"/>
      <c r="E59" s="26"/>
      <c r="F59" s="532">
        <f>I60</f>
        <v>263.07066666666674</v>
      </c>
      <c r="G59" s="532"/>
      <c r="H59" s="532"/>
      <c r="I59" s="26"/>
      <c r="J59" s="536" t="s">
        <v>55</v>
      </c>
      <c r="K59" s="536"/>
      <c r="L59" s="536"/>
      <c r="M59" s="784">
        <f>J13</f>
        <v>0</v>
      </c>
      <c r="N59" s="784"/>
      <c r="O59" s="784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509" t="s">
        <v>494</v>
      </c>
      <c r="D60" s="509"/>
      <c r="E60" s="509"/>
      <c r="F60" s="509"/>
      <c r="G60" s="509"/>
      <c r="H60" s="510"/>
      <c r="I60" s="533">
        <f>AD61</f>
        <v>263.07066666666674</v>
      </c>
      <c r="J60" s="534"/>
      <c r="K60" s="534"/>
      <c r="L60" s="535"/>
      <c r="M60" s="36" t="s">
        <v>45</v>
      </c>
      <c r="N60" s="682">
        <f>AD60</f>
        <v>623.07066666666674</v>
      </c>
      <c r="O60" s="682"/>
      <c r="P60" s="682"/>
      <c r="Q60" s="682"/>
      <c r="AB60" s="61"/>
      <c r="AC60" s="3" t="s">
        <v>498</v>
      </c>
      <c r="AD60" s="5">
        <f>F38+F42</f>
        <v>623.07066666666674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457" t="str" cm="1">
        <f t="array" ref="I61">angleDecimal2Txt(I60)</f>
        <v>+263°04.24 (+263.0706) [+263°04'14.40]</v>
      </c>
      <c r="J61" s="457"/>
      <c r="K61" s="457"/>
      <c r="L61" s="457"/>
      <c r="M61" s="457"/>
      <c r="N61" s="457"/>
      <c r="AB61" s="66"/>
      <c r="AC61" s="3" t="s">
        <v>193</v>
      </c>
      <c r="AD61" s="5">
        <f>IF(AD60&gt;360,AD60-360,IF(AD60&lt;0,360+AD60,AD60))</f>
        <v>263.07066666666674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customFormat="1" ht="17.25" customHeight="1" thickTop="1">
      <c r="A62" s="16"/>
      <c r="B62" s="16"/>
      <c r="C62" s="59"/>
      <c r="D62" s="59"/>
      <c r="E62" s="59"/>
      <c r="F62" s="59"/>
      <c r="G62" s="59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4"/>
      <c r="T62" s="14"/>
      <c r="U62" s="14"/>
      <c r="V62" s="14"/>
      <c r="W62" s="14"/>
      <c r="X62" s="16"/>
      <c r="Y62" s="16"/>
      <c r="Z62" s="16"/>
      <c r="AA62" s="16"/>
      <c r="AB62" s="61"/>
      <c r="BN62" s="24"/>
      <c r="BO62" s="16"/>
    </row>
    <row r="63" spans="1:67" customFormat="1" ht="17.25" customHeight="1" thickBot="1">
      <c r="A63" s="16"/>
      <c r="B63" s="16"/>
      <c r="C63" s="59"/>
      <c r="D63" s="59"/>
      <c r="E63" s="59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6"/>
      <c r="AB63" s="61"/>
      <c r="AI63" s="11"/>
      <c r="BN63" s="24"/>
      <c r="BO63" s="16"/>
    </row>
    <row r="64" spans="1:67" s="14" customFormat="1" ht="17.25" customHeight="1" thickBot="1">
      <c r="A64" s="16"/>
      <c r="B64" s="25" t="s">
        <v>493</v>
      </c>
      <c r="C64" s="26"/>
      <c r="D64" s="26"/>
      <c r="E64" s="26"/>
      <c r="F64" s="532">
        <f>I65</f>
        <v>250.57066666666674</v>
      </c>
      <c r="G64" s="532"/>
      <c r="H64" s="532"/>
      <c r="I64" s="26"/>
      <c r="J64" s="536" t="s">
        <v>55</v>
      </c>
      <c r="K64" s="536"/>
      <c r="L64" s="536"/>
      <c r="M64" s="784" t="str">
        <f>J18</f>
        <v>Polaire</v>
      </c>
      <c r="N64" s="784"/>
      <c r="O64" s="784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1:67" s="16" customFormat="1" ht="17.25" customHeight="1" thickBot="1">
      <c r="C65" s="509" t="s">
        <v>494</v>
      </c>
      <c r="D65" s="509"/>
      <c r="E65" s="509"/>
      <c r="F65" s="509"/>
      <c r="G65" s="509"/>
      <c r="H65" s="510"/>
      <c r="I65" s="533">
        <f>AD66</f>
        <v>250.57066666666674</v>
      </c>
      <c r="J65" s="534"/>
      <c r="K65" s="534"/>
      <c r="L65" s="535"/>
      <c r="M65" s="36" t="s">
        <v>45</v>
      </c>
      <c r="N65" s="682">
        <f>AD65</f>
        <v>250.57066666666674</v>
      </c>
      <c r="O65" s="682"/>
      <c r="P65" s="682"/>
      <c r="Q65" s="682"/>
      <c r="AB65" s="61"/>
      <c r="AC65" s="3" t="s">
        <v>499</v>
      </c>
      <c r="AD65" s="5">
        <f>F59+F29</f>
        <v>250.57066666666674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thickTop="1" thickBot="1">
      <c r="A66" s="14"/>
      <c r="C66" s="14"/>
      <c r="D66" s="14"/>
      <c r="E66" s="14"/>
      <c r="F66" s="14"/>
      <c r="G66" s="14"/>
      <c r="H66" s="14"/>
      <c r="I66" s="457" t="str" cm="1">
        <f t="array" ref="I66">angleDecimal2Txt(I65)</f>
        <v>+250°34.24 (+250.5706) [+250°34'14.40]</v>
      </c>
      <c r="J66" s="457"/>
      <c r="K66" s="457"/>
      <c r="L66" s="457"/>
      <c r="M66" s="457"/>
      <c r="N66" s="457"/>
      <c r="AB66" s="66"/>
      <c r="AC66" s="3" t="s">
        <v>193</v>
      </c>
      <c r="AD66" s="5">
        <f>IF(AD65&gt;360,AD65-360,IF(AD65&lt;0,360+AD65,AD65))</f>
        <v>250.57066666666674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thickTop="1" thickBot="1">
      <c r="B67" s="14"/>
      <c r="AA67" s="14"/>
      <c r="AB67" s="61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thickTop="1" thickBot="1">
      <c r="B68" s="25" t="s">
        <v>23</v>
      </c>
      <c r="C68" s="26"/>
      <c r="D68" s="1010" t="s">
        <v>72</v>
      </c>
      <c r="E68" s="1011"/>
      <c r="F68" s="532">
        <f>IF(G69=AD69,O106,O98)</f>
        <v>28.819379568060796</v>
      </c>
      <c r="G68" s="532"/>
      <c r="H68" s="532"/>
      <c r="I68" s="26"/>
      <c r="J68" s="959" t="str" cm="1">
        <f t="array" ref="J68">angleDecimal2Txt(F68)</f>
        <v>+28°49.16 (+28.8193) [+28°49'09.76]</v>
      </c>
      <c r="K68" s="960"/>
      <c r="L68" s="960"/>
      <c r="M68" s="960"/>
      <c r="N68" s="961"/>
      <c r="O68" s="26"/>
      <c r="P68" s="1010"/>
      <c r="Q68" s="1010"/>
      <c r="R68" s="26"/>
      <c r="S68" s="60"/>
      <c r="T68" s="26" t="s">
        <v>99</v>
      </c>
      <c r="U68" s="26"/>
      <c r="V68" s="523">
        <f>-O85+O80+O89</f>
        <v>-2.9960824388447736E-2</v>
      </c>
      <c r="W68" s="524"/>
      <c r="X68" s="525"/>
      <c r="Y68" s="92" t="str" cm="1">
        <f t="array" ref="Y68">angleDecimal2Txt(V68)</f>
        <v>-00°01.79 (-00.0299) [-00°01'47.85]</v>
      </c>
      <c r="Z68" s="92"/>
      <c r="AA68" s="92"/>
      <c r="AB68" s="93"/>
      <c r="AC68"/>
      <c r="AD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>
      <c r="C69" s="531" t="s">
        <v>35</v>
      </c>
      <c r="D69" s="531"/>
      <c r="E69" s="531"/>
      <c r="F69" s="531"/>
      <c r="G69" s="456" t="s">
        <v>51</v>
      </c>
      <c r="H69" s="456"/>
      <c r="I69" s="456"/>
      <c r="P69" s="16" t="s">
        <v>69</v>
      </c>
      <c r="V69" s="14"/>
      <c r="W69" s="14"/>
      <c r="X69" s="14"/>
      <c r="Y69" s="14"/>
      <c r="Z69" s="14"/>
      <c r="AB69" s="61"/>
      <c r="AC69" s="1121" t="s">
        <v>36</v>
      </c>
      <c r="AD69" s="68" t="s">
        <v>50</v>
      </c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thickBot="1">
      <c r="C70" s="33"/>
      <c r="D70" s="33"/>
      <c r="E70" s="33"/>
      <c r="F70" s="1012" t="s">
        <v>62</v>
      </c>
      <c r="G70" s="1012"/>
      <c r="H70" s="1013"/>
      <c r="I70" s="1013"/>
      <c r="J70" s="522">
        <f>IF(G69=AD69,"---",O98)</f>
        <v>28.819379568060796</v>
      </c>
      <c r="K70" s="522"/>
      <c r="L70" s="522"/>
      <c r="V70" s="14"/>
      <c r="W70" s="14"/>
      <c r="X70" s="14"/>
      <c r="Y70" s="14"/>
      <c r="Z70" s="14"/>
      <c r="AB70" s="61"/>
      <c r="AC70" s="1121"/>
      <c r="AD70" s="68" t="s">
        <v>51</v>
      </c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thickTop="1" thickBot="1">
      <c r="H71" s="590" t="s">
        <v>47</v>
      </c>
      <c r="I71" s="590"/>
      <c r="J71" s="590"/>
      <c r="K71" s="590"/>
      <c r="L71" s="590"/>
      <c r="M71" s="590"/>
      <c r="N71" s="590"/>
      <c r="O71" s="586">
        <f>J17</f>
        <v>28.916666666666668</v>
      </c>
      <c r="P71" s="586"/>
      <c r="Q71" s="586"/>
      <c r="R71" s="586"/>
      <c r="S71" s="16" t="s">
        <v>54</v>
      </c>
      <c r="U71" s="474" t="str" cm="1">
        <f t="array" ref="U71">angleDecimal2Txt(O71)</f>
        <v>+28°55.00 (+28.9166) [+28°55'00.00]</v>
      </c>
      <c r="V71" s="474"/>
      <c r="W71" s="474"/>
      <c r="X71" s="474"/>
      <c r="Y71" s="474"/>
      <c r="Z71" s="474"/>
      <c r="AB71" s="61"/>
      <c r="AC71" s="3" t="s">
        <v>59</v>
      </c>
      <c r="AD71" s="5">
        <f>O72</f>
        <v>0</v>
      </c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thickTop="1" thickBot="1">
      <c r="H72" s="590" t="s">
        <v>24</v>
      </c>
      <c r="I72" s="590"/>
      <c r="J72" s="590"/>
      <c r="K72" s="590"/>
      <c r="L72" s="590"/>
      <c r="M72" s="590"/>
      <c r="N72" s="590"/>
      <c r="O72" s="586">
        <f>J16</f>
        <v>0</v>
      </c>
      <c r="P72" s="586"/>
      <c r="Q72" s="586"/>
      <c r="R72" s="586"/>
      <c r="S72" s="16" t="s">
        <v>54</v>
      </c>
      <c r="U72" s="474" t="str" cm="1">
        <f t="array" ref="U72">angleDecimal2Txt(O72)</f>
        <v>+00°00.00 (+00.0000) [+00°00'00.00]</v>
      </c>
      <c r="V72" s="474"/>
      <c r="W72" s="474"/>
      <c r="X72" s="474"/>
      <c r="Y72" s="474"/>
      <c r="Z72" s="474"/>
      <c r="AB72" s="61"/>
      <c r="AC72" s="3" t="s">
        <v>46</v>
      </c>
      <c r="AD72" s="3">
        <f>J15</f>
        <v>5.28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thickTop="1" thickBot="1">
      <c r="C73" s="59"/>
      <c r="D73" s="59"/>
      <c r="E73" s="59"/>
      <c r="F73" s="59"/>
      <c r="H73" s="484" t="s">
        <v>68</v>
      </c>
      <c r="I73" s="484"/>
      <c r="J73" s="484"/>
      <c r="K73" s="484"/>
      <c r="L73" s="484"/>
      <c r="M73" s="484"/>
      <c r="N73" s="484"/>
      <c r="O73" s="569">
        <f>AD73</f>
        <v>6.7326274217425694E-2</v>
      </c>
      <c r="P73" s="569"/>
      <c r="Q73" s="569"/>
      <c r="R73" s="569"/>
      <c r="S73" s="16" t="s">
        <v>54</v>
      </c>
      <c r="U73" s="474" t="str" cm="1">
        <f t="array" ref="U73">angleDecimal2Txt(O73)</f>
        <v>+00°04.03 (+00.0673) [+00°04'02.37]</v>
      </c>
      <c r="V73" s="474"/>
      <c r="W73" s="474"/>
      <c r="X73" s="474"/>
      <c r="Y73" s="474"/>
      <c r="Z73" s="474"/>
      <c r="AB73" s="61"/>
      <c r="AC73" s="74" t="s">
        <v>67</v>
      </c>
      <c r="AD73" s="3">
        <f>0.0293 * SQRT(AD72)</f>
        <v>6.7326274217425694E-2</v>
      </c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thickTop="1" thickBot="1">
      <c r="C74" s="59"/>
      <c r="D74" s="59"/>
      <c r="E74" s="59"/>
      <c r="F74" s="59"/>
      <c r="G74" s="59"/>
      <c r="K74" s="14"/>
      <c r="L74" s="14"/>
      <c r="M74" s="589" t="s">
        <v>122</v>
      </c>
      <c r="N74" s="589"/>
      <c r="O74" s="589"/>
      <c r="P74" s="589"/>
      <c r="Q74" s="14"/>
      <c r="R74" s="14"/>
      <c r="U74" s="14"/>
      <c r="V74" s="14"/>
      <c r="W74" s="14"/>
      <c r="X74" s="14"/>
      <c r="Y74" s="14"/>
      <c r="Z74" s="14"/>
      <c r="AB74" s="61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s="16" customFormat="1" ht="17.25" customHeight="1" thickTop="1" thickBot="1">
      <c r="C75" s="59"/>
      <c r="D75" s="59"/>
      <c r="E75" s="59"/>
      <c r="F75" s="59"/>
      <c r="H75" s="761" t="s">
        <v>481</v>
      </c>
      <c r="I75" s="761"/>
      <c r="J75" s="761"/>
      <c r="K75" s="761"/>
      <c r="L75" s="761"/>
      <c r="M75" s="761"/>
      <c r="N75" s="761"/>
      <c r="O75" s="649">
        <f>O71-O72-O73</f>
        <v>28.849340392449243</v>
      </c>
      <c r="P75" s="686"/>
      <c r="Q75" s="16" t="s">
        <v>54</v>
      </c>
      <c r="R75" s="507">
        <f>O75*D126</f>
        <v>0.50351597687683236</v>
      </c>
      <c r="S75" s="507"/>
      <c r="T75" s="37" t="s">
        <v>64</v>
      </c>
      <c r="U75" s="474" t="str" cm="1">
        <f t="array" ref="U75">angleDecimal2Txt(O75)</f>
        <v>+28°50.96 (+28.8493) [+28°50'57.62]</v>
      </c>
      <c r="V75" s="474"/>
      <c r="W75" s="474"/>
      <c r="X75" s="474"/>
      <c r="Y75" s="474"/>
      <c r="Z75" s="474"/>
      <c r="AB75" s="61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1:67" s="16" customFormat="1" ht="17.25" customHeight="1" thickTop="1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U76" s="14"/>
      <c r="V76" s="14"/>
      <c r="W76" s="14"/>
      <c r="X76" s="14"/>
      <c r="Y76" s="14"/>
      <c r="Z76" s="14"/>
      <c r="AB76" s="61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1:67" s="16" customFormat="1" ht="17.25" customHeight="1">
      <c r="C77" s="59"/>
      <c r="D77" s="59"/>
      <c r="E77" s="59"/>
      <c r="F77" s="59"/>
      <c r="H77" s="14"/>
      <c r="I77" s="14"/>
      <c r="J77" s="14"/>
      <c r="K77" s="14"/>
      <c r="L77" s="14"/>
      <c r="M77" s="767" t="s">
        <v>61</v>
      </c>
      <c r="N77" s="767"/>
      <c r="O77" s="767"/>
      <c r="P77" s="767"/>
      <c r="Q77" s="14"/>
      <c r="R77" s="14"/>
      <c r="U77" s="14"/>
      <c r="V77" s="14"/>
      <c r="W77" s="14"/>
      <c r="X77" s="14"/>
      <c r="Y77" s="14"/>
      <c r="Z77" s="14"/>
      <c r="AB77" s="61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1:67" s="16" customFormat="1" ht="17.25" customHeight="1" thickBot="1">
      <c r="M78" s="768" t="s">
        <v>150</v>
      </c>
      <c r="N78" s="768"/>
      <c r="O78" s="767"/>
      <c r="P78" s="767"/>
      <c r="AB78" s="61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1:67" s="16" customFormat="1" ht="17.25" customHeight="1" thickTop="1" thickBot="1">
      <c r="A79" s="14"/>
      <c r="B79" s="14"/>
      <c r="C79" s="14"/>
      <c r="D79" s="14"/>
      <c r="E79" s="14"/>
      <c r="H79" s="569" t="s">
        <v>52</v>
      </c>
      <c r="I79" s="569"/>
      <c r="J79" s="569"/>
      <c r="K79" s="569"/>
      <c r="L79" s="569"/>
      <c r="M79" s="569"/>
      <c r="N79" s="569"/>
      <c r="O79" s="769">
        <v>0</v>
      </c>
      <c r="P79" s="770"/>
      <c r="Q79" s="770"/>
      <c r="R79" s="770"/>
      <c r="S79" s="16" t="s">
        <v>54</v>
      </c>
      <c r="U79" s="474" t="str" cm="1">
        <f t="array" ref="U79">angleDecimal2Txt(O79)</f>
        <v>+00°00.00 (+00.0000) [+00°00'00.00]</v>
      </c>
      <c r="V79" s="474"/>
      <c r="W79" s="474"/>
      <c r="X79" s="474"/>
      <c r="Y79" s="474"/>
      <c r="Z79" s="474"/>
      <c r="AB79" s="61"/>
      <c r="AC79" s="3" t="s">
        <v>194</v>
      </c>
      <c r="AD79" s="3">
        <f>O79*COS(R75)</f>
        <v>0</v>
      </c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1:67" customFormat="1" ht="17.25" customHeight="1" thickTop="1" thickBot="1">
      <c r="A80" s="14"/>
      <c r="B80" s="14"/>
      <c r="C80" s="14"/>
      <c r="D80" s="14"/>
      <c r="E80" s="14"/>
      <c r="F80" s="16"/>
      <c r="G80" s="16"/>
      <c r="H80" s="676" t="s">
        <v>151</v>
      </c>
      <c r="I80" s="677"/>
      <c r="J80" s="677"/>
      <c r="K80" s="677"/>
      <c r="L80" s="677"/>
      <c r="M80" s="677"/>
      <c r="N80" s="678"/>
      <c r="O80" s="642">
        <f>AD79</f>
        <v>0</v>
      </c>
      <c r="P80" s="642"/>
      <c r="Q80" s="642"/>
      <c r="R80" s="642"/>
      <c r="S80" s="16" t="s">
        <v>54</v>
      </c>
      <c r="T80" s="16"/>
      <c r="U80" s="474" t="str" cm="1">
        <f t="array" ref="U80">angleDecimal2Txt(O80)</f>
        <v>+00°00.00 (+00.0000) [+00°00'00.00]</v>
      </c>
      <c r="V80" s="474"/>
      <c r="W80" s="474"/>
      <c r="X80" s="474"/>
      <c r="Y80" s="474"/>
      <c r="Z80" s="474"/>
      <c r="AA80" s="16"/>
      <c r="AB80" s="61"/>
      <c r="BN80" s="24"/>
      <c r="BO80" s="16"/>
    </row>
    <row r="81" spans="1:67" customFormat="1" ht="17.25" customHeight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6"/>
      <c r="AB81" s="61"/>
      <c r="BN81" s="24"/>
      <c r="BO81" s="16"/>
    </row>
    <row r="82" spans="1:67" customFormat="1" ht="17.25" customHeight="1">
      <c r="A82" s="14"/>
      <c r="B82" s="14"/>
      <c r="C82" s="14"/>
      <c r="D82" s="14"/>
      <c r="E82" s="59"/>
      <c r="F82" s="16"/>
      <c r="G82" s="16"/>
      <c r="H82" s="14"/>
      <c r="I82" s="14"/>
      <c r="J82" s="14"/>
      <c r="K82" s="14"/>
      <c r="L82" s="14"/>
      <c r="M82" s="14"/>
      <c r="N82" s="14"/>
      <c r="O82" s="14"/>
      <c r="P82" s="16"/>
      <c r="Q82" s="16"/>
      <c r="R82" s="16"/>
      <c r="S82" s="772" t="s">
        <v>135</v>
      </c>
      <c r="T82" s="773"/>
      <c r="U82" s="774"/>
      <c r="V82" s="16"/>
      <c r="W82" s="16"/>
      <c r="X82" s="16"/>
      <c r="Y82" s="14"/>
      <c r="Z82" s="14"/>
      <c r="AA82" s="16"/>
      <c r="AB82" s="61"/>
      <c r="AC82" s="3" t="s">
        <v>49</v>
      </c>
      <c r="AD82" s="3" t="s">
        <v>196</v>
      </c>
      <c r="BN82" s="24"/>
      <c r="BO82" s="16"/>
    </row>
    <row r="83" spans="1:67" customFormat="1" ht="17.25" customHeight="1">
      <c r="A83" s="14"/>
      <c r="B83" s="14"/>
      <c r="C83" s="14"/>
      <c r="D83" s="14"/>
      <c r="E83" s="59"/>
      <c r="F83" s="16"/>
      <c r="G83" s="16"/>
      <c r="H83" s="569" t="s">
        <v>65</v>
      </c>
      <c r="I83" s="569"/>
      <c r="J83" s="569"/>
      <c r="K83" s="569"/>
      <c r="L83" s="569"/>
      <c r="M83" s="569"/>
      <c r="N83" s="569"/>
      <c r="O83" s="663">
        <f>S83</f>
        <v>10</v>
      </c>
      <c r="P83" s="664"/>
      <c r="Q83" s="664"/>
      <c r="R83" s="664"/>
      <c r="S83" s="583">
        <v>10</v>
      </c>
      <c r="T83" s="584"/>
      <c r="U83" s="585"/>
      <c r="V83" s="16"/>
      <c r="W83" s="16"/>
      <c r="X83" s="16"/>
      <c r="Y83" s="14"/>
      <c r="Z83" s="14"/>
      <c r="AA83" s="16"/>
      <c r="AB83" s="61"/>
      <c r="AC83" s="3" t="s">
        <v>197</v>
      </c>
      <c r="AD83" s="3">
        <f>1/TAN((O75 + 7.31 / (O75 + 4.4)) *D126)</f>
        <v>1.7989207854166993</v>
      </c>
      <c r="BN83" s="24"/>
      <c r="BO83" s="16"/>
    </row>
    <row r="84" spans="1:67" customFormat="1" ht="17.25" customHeight="1" thickBot="1">
      <c r="A84" s="14"/>
      <c r="B84" s="14"/>
      <c r="C84" s="14"/>
      <c r="D84" s="14"/>
      <c r="E84" s="14"/>
      <c r="F84" s="16"/>
      <c r="G84" s="16"/>
      <c r="H84" s="569" t="s">
        <v>66</v>
      </c>
      <c r="I84" s="569"/>
      <c r="J84" s="569"/>
      <c r="K84" s="569"/>
      <c r="L84" s="569"/>
      <c r="M84" s="569"/>
      <c r="N84" s="569"/>
      <c r="O84" s="663">
        <f>S84</f>
        <v>1010</v>
      </c>
      <c r="P84" s="664"/>
      <c r="Q84" s="664"/>
      <c r="R84" s="664"/>
      <c r="S84" s="583">
        <v>1010</v>
      </c>
      <c r="T84" s="584"/>
      <c r="U84" s="585"/>
      <c r="V84" s="16"/>
      <c r="W84" s="16"/>
      <c r="X84" s="16"/>
      <c r="Y84" s="14"/>
      <c r="Z84" s="14"/>
      <c r="AA84" s="16"/>
      <c r="AB84" s="61"/>
      <c r="AC84" s="3" t="s">
        <v>198</v>
      </c>
      <c r="AD84" s="3">
        <f>AD83/60</f>
        <v>2.9982013090278321E-2</v>
      </c>
      <c r="BN84" s="24"/>
      <c r="BO84" s="16"/>
    </row>
    <row r="85" spans="1:67" customFormat="1" ht="17.25" customHeight="1" thickTop="1" thickBot="1">
      <c r="A85" s="14"/>
      <c r="B85" s="14"/>
      <c r="C85" s="14"/>
      <c r="D85" s="14"/>
      <c r="E85" s="14"/>
      <c r="F85" s="16"/>
      <c r="G85" s="16"/>
      <c r="H85" s="676" t="s">
        <v>152</v>
      </c>
      <c r="I85" s="677"/>
      <c r="J85" s="677"/>
      <c r="K85" s="677"/>
      <c r="L85" s="677"/>
      <c r="M85" s="677"/>
      <c r="N85" s="678"/>
      <c r="O85" s="642">
        <f>AD86</f>
        <v>2.9960824388447736E-2</v>
      </c>
      <c r="P85" s="642"/>
      <c r="Q85" s="642"/>
      <c r="R85" s="642"/>
      <c r="S85" s="16" t="s">
        <v>54</v>
      </c>
      <c r="T85" s="16"/>
      <c r="U85" s="474" t="str" cm="1">
        <f t="array" ref="U85">angleDecimal2Txt(O85)</f>
        <v>+00°01.79 (+00.0299) [+00°01'47.85]</v>
      </c>
      <c r="V85" s="474"/>
      <c r="W85" s="474"/>
      <c r="X85" s="474"/>
      <c r="Y85" s="474"/>
      <c r="Z85" s="474"/>
      <c r="AA85" s="16"/>
      <c r="AB85" s="61"/>
      <c r="AC85" s="3" t="s">
        <v>100</v>
      </c>
      <c r="AD85" s="3">
        <f xml:space="preserve"> 0.28 * O84 / (273 + O83)</f>
        <v>0.99929328621908131</v>
      </c>
      <c r="BN85" s="24"/>
      <c r="BO85" s="16"/>
    </row>
    <row r="86" spans="1:67" customFormat="1" ht="17.25" customHeight="1" thickTop="1">
      <c r="A86" s="14"/>
      <c r="B86" s="14"/>
      <c r="C86" s="14"/>
      <c r="D86" s="14"/>
      <c r="E86" s="14"/>
      <c r="F86" s="16"/>
      <c r="G86" s="16"/>
      <c r="H86" s="14"/>
      <c r="I86" s="14"/>
      <c r="J86" s="14"/>
      <c r="K86" s="14"/>
      <c r="L86" s="14"/>
      <c r="M86" s="14"/>
      <c r="N86" s="14"/>
      <c r="O86" s="14"/>
      <c r="P86" s="16"/>
      <c r="Q86" s="16"/>
      <c r="R86" s="16"/>
      <c r="S86" s="16"/>
      <c r="T86" s="16"/>
      <c r="U86" s="16"/>
      <c r="V86" s="16"/>
      <c r="W86" s="16"/>
      <c r="X86" s="16"/>
      <c r="Y86" s="14"/>
      <c r="Z86" s="14"/>
      <c r="AA86" s="16"/>
      <c r="AB86" s="61"/>
      <c r="AC86" s="3" t="s">
        <v>195</v>
      </c>
      <c r="AD86" s="3">
        <f>AD85*AD84</f>
        <v>2.9960824388447736E-2</v>
      </c>
      <c r="BN86" s="24"/>
      <c r="BO86" s="16"/>
    </row>
    <row r="87" spans="1:67" customFormat="1" ht="17.25" customHeight="1">
      <c r="A87" s="14"/>
      <c r="B87" s="14"/>
      <c r="C87" s="14"/>
      <c r="D87" s="14"/>
      <c r="E87" s="14"/>
      <c r="F87" s="16"/>
      <c r="G87" s="16"/>
      <c r="H87" s="569" t="s">
        <v>106</v>
      </c>
      <c r="I87" s="569"/>
      <c r="J87" s="569"/>
      <c r="K87" s="569"/>
      <c r="L87" s="569"/>
      <c r="M87" s="569"/>
      <c r="N87" s="569"/>
      <c r="O87" s="662">
        <v>0</v>
      </c>
      <c r="P87" s="662"/>
      <c r="Q87" s="662"/>
      <c r="R87" s="662"/>
      <c r="S87" s="16"/>
      <c r="T87" s="16"/>
      <c r="U87" s="16"/>
      <c r="V87" s="16"/>
      <c r="W87" s="16"/>
      <c r="X87" s="16"/>
      <c r="Y87" s="16"/>
      <c r="Z87" s="16"/>
      <c r="AA87" s="16"/>
      <c r="AB87" s="61"/>
      <c r="BN87" s="24"/>
      <c r="BO87" s="16"/>
    </row>
    <row r="88" spans="1:67" customFormat="1" ht="17.25" customHeight="1" thickBot="1">
      <c r="A88" s="16"/>
      <c r="B88" s="14"/>
      <c r="C88" s="14"/>
      <c r="D88" s="14"/>
      <c r="E88" s="59"/>
      <c r="F88" s="59"/>
      <c r="G88" s="59"/>
      <c r="H88" s="569" t="s">
        <v>70</v>
      </c>
      <c r="I88" s="569"/>
      <c r="J88" s="569"/>
      <c r="K88" s="569"/>
      <c r="L88" s="569"/>
      <c r="M88" s="569"/>
      <c r="N88" s="569"/>
      <c r="O88" s="662">
        <f>J19</f>
        <v>0</v>
      </c>
      <c r="P88" s="662"/>
      <c r="Q88" s="662"/>
      <c r="R88" s="662"/>
      <c r="S88" s="16"/>
      <c r="T88" s="16"/>
      <c r="U88" s="16"/>
      <c r="V88" s="16"/>
      <c r="W88" s="16"/>
      <c r="X88" s="16"/>
      <c r="Y88" s="16"/>
      <c r="Z88" s="16"/>
      <c r="AA88" s="16"/>
      <c r="AB88" s="61"/>
      <c r="AC88" s="3" t="s">
        <v>30</v>
      </c>
      <c r="AD88" s="578" t="str">
        <f>J18</f>
        <v>Polaire</v>
      </c>
      <c r="AE88" s="578"/>
      <c r="BN88" s="24"/>
      <c r="BO88" s="16"/>
    </row>
    <row r="89" spans="1:67" customFormat="1" ht="17.25" customHeight="1" thickTop="1" thickBot="1">
      <c r="A89" s="16"/>
      <c r="B89" s="16"/>
      <c r="C89" s="59"/>
      <c r="D89" s="59"/>
      <c r="E89" s="59"/>
      <c r="F89" s="59"/>
      <c r="G89" s="59"/>
      <c r="H89" s="679" t="s">
        <v>71</v>
      </c>
      <c r="I89" s="680"/>
      <c r="J89" s="680"/>
      <c r="K89" s="680"/>
      <c r="L89" s="680"/>
      <c r="M89" s="680"/>
      <c r="N89" s="681"/>
      <c r="O89" s="682">
        <f>AD92</f>
        <v>0</v>
      </c>
      <c r="P89" s="682"/>
      <c r="Q89" s="682"/>
      <c r="R89" s="682"/>
      <c r="S89" s="16" t="s">
        <v>54</v>
      </c>
      <c r="T89" s="16"/>
      <c r="U89" s="474" t="str" cm="1">
        <f t="array" ref="U89">angleDecimal2Txt(O89)</f>
        <v>+00°00.00 (+00.0000) [+00°00'00.00]</v>
      </c>
      <c r="V89" s="474"/>
      <c r="W89" s="474"/>
      <c r="X89" s="474"/>
      <c r="Y89" s="474"/>
      <c r="Z89" s="474"/>
      <c r="AA89" s="16"/>
      <c r="AB89" s="61"/>
      <c r="AC89" s="3" t="s">
        <v>202</v>
      </c>
      <c r="AD89" s="578">
        <f>O88</f>
        <v>0</v>
      </c>
      <c r="AE89" s="578"/>
      <c r="BN89" s="24"/>
      <c r="BO89" s="16"/>
    </row>
    <row r="90" spans="1:67" customFormat="1" ht="17.25" customHeight="1" thickTop="1">
      <c r="A90" s="16"/>
      <c r="B90" s="16"/>
      <c r="C90" s="59"/>
      <c r="D90" s="59"/>
      <c r="E90" s="59"/>
      <c r="F90" s="59"/>
      <c r="G90" s="59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6"/>
      <c r="AB90" s="61"/>
      <c r="AC90" s="3" t="s">
        <v>203</v>
      </c>
      <c r="AD90" s="579">
        <v>0</v>
      </c>
      <c r="AE90" s="579"/>
      <c r="BN90" s="24"/>
      <c r="BO90" s="16"/>
    </row>
    <row r="91" spans="1:67" customFormat="1" ht="17.25" customHeight="1">
      <c r="A91" s="16"/>
      <c r="B91" s="16"/>
      <c r="C91" s="59"/>
      <c r="D91" s="59"/>
      <c r="E91" s="59"/>
      <c r="F91" s="59"/>
      <c r="G91" s="591" t="s">
        <v>115</v>
      </c>
      <c r="H91" s="592"/>
      <c r="I91" s="592"/>
      <c r="J91" s="592"/>
      <c r="K91" s="592"/>
      <c r="L91" s="592"/>
      <c r="M91" s="592"/>
      <c r="N91" s="592"/>
      <c r="O91" s="592"/>
      <c r="P91" s="592"/>
      <c r="Q91" s="592"/>
      <c r="R91" s="592"/>
      <c r="S91" s="593"/>
      <c r="T91" s="14"/>
      <c r="U91" s="14"/>
      <c r="V91" s="14"/>
      <c r="W91" s="14"/>
      <c r="X91" s="14"/>
      <c r="Y91" s="14"/>
      <c r="Z91" s="14"/>
      <c r="AA91" s="16"/>
      <c r="AB91" s="61"/>
      <c r="AC91" s="3" t="s">
        <v>106</v>
      </c>
      <c r="AD91" s="3">
        <v>0</v>
      </c>
      <c r="AE91" s="3" cm="1">
        <f t="array" ref="AE91">angleConvert2Decimal(AD91)</f>
        <v>0</v>
      </c>
      <c r="BN91" s="24"/>
      <c r="BO91" s="16"/>
    </row>
    <row r="92" spans="1:67" customFormat="1" ht="17.25" customHeight="1">
      <c r="A92" s="16"/>
      <c r="B92" s="16"/>
      <c r="C92" s="59"/>
      <c r="D92" s="59"/>
      <c r="E92" s="59"/>
      <c r="F92" s="59"/>
      <c r="G92" s="665" t="s">
        <v>124</v>
      </c>
      <c r="H92" s="666"/>
      <c r="I92" s="460" t="s">
        <v>119</v>
      </c>
      <c r="J92" s="461"/>
      <c r="K92" s="461"/>
      <c r="L92" s="461"/>
      <c r="M92" s="461"/>
      <c r="N92" s="462"/>
      <c r="O92" s="775">
        <f>(O80-O85-O73+O87/2) * 60</f>
        <v>-5.8372259163524056</v>
      </c>
      <c r="P92" s="587"/>
      <c r="Q92" s="587"/>
      <c r="R92" s="587"/>
      <c r="S92" s="594" t="s">
        <v>116</v>
      </c>
      <c r="T92" s="14"/>
      <c r="U92" s="14"/>
      <c r="V92" s="14"/>
      <c r="W92" s="14"/>
      <c r="X92" s="14"/>
      <c r="Y92" s="14"/>
      <c r="Z92" s="14"/>
      <c r="AA92" s="16"/>
      <c r="AB92" s="61"/>
      <c r="AC92" s="3" t="s">
        <v>203</v>
      </c>
      <c r="AD92" s="579">
        <f>AE91*AD90</f>
        <v>0</v>
      </c>
      <c r="AE92" s="579"/>
      <c r="BN92" s="24"/>
      <c r="BO92" s="16"/>
    </row>
    <row r="93" spans="1:67" customFormat="1" ht="17.25" customHeight="1">
      <c r="A93" s="16"/>
      <c r="B93" s="16"/>
      <c r="C93" s="59"/>
      <c r="D93" s="59"/>
      <c r="E93" s="59"/>
      <c r="F93" s="59"/>
      <c r="G93" s="667"/>
      <c r="H93" s="668"/>
      <c r="I93" s="463" t="s">
        <v>123</v>
      </c>
      <c r="J93" s="464"/>
      <c r="K93" s="464"/>
      <c r="L93" s="464"/>
      <c r="M93" s="464"/>
      <c r="N93" s="465"/>
      <c r="O93" s="776"/>
      <c r="P93" s="588"/>
      <c r="Q93" s="588"/>
      <c r="R93" s="588"/>
      <c r="S93" s="595"/>
      <c r="T93" s="14"/>
      <c r="U93" s="14"/>
      <c r="V93" s="14"/>
      <c r="W93" s="14"/>
      <c r="X93" s="14"/>
      <c r="Y93" s="14"/>
      <c r="Z93" s="14"/>
      <c r="AA93" s="16"/>
      <c r="AB93" s="61"/>
      <c r="BN93" s="24"/>
      <c r="BO93" s="16"/>
    </row>
    <row r="94" spans="1:67" customFormat="1" ht="17.25" customHeight="1">
      <c r="A94" s="16"/>
      <c r="B94" s="16"/>
      <c r="C94" s="59"/>
      <c r="D94" s="59"/>
      <c r="E94" s="59"/>
      <c r="F94" s="59"/>
      <c r="G94" s="59"/>
      <c r="H94" s="14"/>
      <c r="I94" s="460" t="s">
        <v>120</v>
      </c>
      <c r="J94" s="461"/>
      <c r="K94" s="461"/>
      <c r="L94" s="461"/>
      <c r="M94" s="461"/>
      <c r="N94" s="462"/>
      <c r="O94" s="587">
        <f>(O80-O85+O87/2)*60</f>
        <v>-1.7976494633068643</v>
      </c>
      <c r="P94" s="587"/>
      <c r="Q94" s="587"/>
      <c r="R94" s="587"/>
      <c r="S94" s="594" t="s">
        <v>116</v>
      </c>
      <c r="T94" s="14"/>
      <c r="U94" s="14"/>
      <c r="V94" s="14"/>
      <c r="W94" s="14"/>
      <c r="X94" s="14"/>
      <c r="Y94" s="14"/>
      <c r="Z94" s="14"/>
      <c r="AA94" s="16"/>
      <c r="AB94" s="61"/>
      <c r="BN94" s="24"/>
      <c r="BO94" s="16"/>
    </row>
    <row r="95" spans="1:67" customFormat="1" ht="17.25" customHeight="1">
      <c r="A95" s="16"/>
      <c r="B95" s="16"/>
      <c r="C95" s="59"/>
      <c r="D95" s="59"/>
      <c r="E95" s="59"/>
      <c r="F95" s="59"/>
      <c r="G95" s="59"/>
      <c r="H95" s="14"/>
      <c r="I95" s="659" t="s">
        <v>121</v>
      </c>
      <c r="J95" s="660"/>
      <c r="K95" s="660"/>
      <c r="L95" s="660"/>
      <c r="M95" s="660"/>
      <c r="N95" s="661"/>
      <c r="O95" s="588"/>
      <c r="P95" s="588"/>
      <c r="Q95" s="588"/>
      <c r="R95" s="588"/>
      <c r="S95" s="595"/>
      <c r="T95" s="14"/>
      <c r="U95" s="14"/>
      <c r="V95" s="14"/>
      <c r="W95" s="14"/>
      <c r="X95" s="14"/>
      <c r="Y95" s="14"/>
      <c r="Z95" s="14"/>
      <c r="AA95" s="16"/>
      <c r="AB95" s="61"/>
      <c r="BN95" s="24"/>
      <c r="BO95" s="16"/>
    </row>
    <row r="96" spans="1:67" customFormat="1" ht="17.25" customHeight="1">
      <c r="A96" s="16"/>
      <c r="B96" s="16"/>
      <c r="C96" s="59"/>
      <c r="D96" s="59"/>
      <c r="E96" s="59"/>
      <c r="F96" s="59"/>
      <c r="G96" s="59"/>
      <c r="H96" s="14"/>
      <c r="I96" s="762" t="s">
        <v>71</v>
      </c>
      <c r="J96" s="762"/>
      <c r="K96" s="762"/>
      <c r="L96" s="762"/>
      <c r="M96" s="762"/>
      <c r="N96" s="762"/>
      <c r="O96" s="687">
        <f>O89*60</f>
        <v>0</v>
      </c>
      <c r="P96" s="688"/>
      <c r="Q96" s="688"/>
      <c r="R96" s="688"/>
      <c r="S96" s="75" t="s">
        <v>116</v>
      </c>
      <c r="T96" s="14"/>
      <c r="U96" s="14"/>
      <c r="V96" s="14"/>
      <c r="W96" s="14"/>
      <c r="X96" s="14"/>
      <c r="Y96" s="14"/>
      <c r="Z96" s="14"/>
      <c r="AA96" s="16"/>
      <c r="AB96" s="61"/>
      <c r="BN96" s="24"/>
      <c r="BO96" s="16"/>
    </row>
    <row r="97" spans="1:67" customFormat="1" ht="17.25" customHeight="1" thickBot="1">
      <c r="A97" s="16"/>
      <c r="B97" s="16"/>
      <c r="C97" s="59"/>
      <c r="D97" s="59"/>
      <c r="E97" s="59"/>
      <c r="F97" s="59"/>
      <c r="G97" s="59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6"/>
      <c r="T97" s="16"/>
      <c r="U97" s="16"/>
      <c r="V97" s="16"/>
      <c r="W97" s="16"/>
      <c r="X97" s="16"/>
      <c r="Y97" s="16"/>
      <c r="Z97" s="16"/>
      <c r="AA97" s="16"/>
      <c r="AB97" s="61"/>
      <c r="BN97" s="24"/>
      <c r="BO97" s="16"/>
    </row>
    <row r="98" spans="1:67" customFormat="1" ht="17.25" customHeight="1" thickTop="1" thickBot="1">
      <c r="A98" s="16"/>
      <c r="B98" s="16"/>
      <c r="C98" s="59"/>
      <c r="D98" s="59"/>
      <c r="E98" s="59"/>
      <c r="F98" s="59"/>
      <c r="G98" s="59"/>
      <c r="H98" s="1014" t="s">
        <v>153</v>
      </c>
      <c r="I98" s="1015"/>
      <c r="J98" s="1015"/>
      <c r="K98" s="1015"/>
      <c r="L98" s="1015"/>
      <c r="M98" s="1015"/>
      <c r="N98" s="1016"/>
      <c r="O98" s="686">
        <f>O75-O85+O80+O89</f>
        <v>28.819379568060796</v>
      </c>
      <c r="P98" s="642"/>
      <c r="Q98" s="642"/>
      <c r="R98" s="642"/>
      <c r="S98" s="16" t="s">
        <v>54</v>
      </c>
      <c r="T98" s="16"/>
      <c r="U98" s="474" t="str" cm="1">
        <f t="array" ref="U98">angleDecimal2Txt(O98)</f>
        <v>+28°49.16 (+28.8193) [+28°49'09.76]</v>
      </c>
      <c r="V98" s="474"/>
      <c r="W98" s="474"/>
      <c r="X98" s="474"/>
      <c r="Y98" s="474"/>
      <c r="Z98" s="474"/>
      <c r="AA98" s="16"/>
      <c r="AB98" s="61"/>
      <c r="BN98" s="24"/>
      <c r="BO98" s="16"/>
    </row>
    <row r="99" spans="1:67" customFormat="1" ht="17.25" customHeight="1" thickTop="1">
      <c r="A99" s="16"/>
      <c r="B99" s="16"/>
      <c r="C99" s="59"/>
      <c r="D99" s="59"/>
      <c r="E99" s="59"/>
      <c r="F99" s="59"/>
      <c r="G99" s="59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61"/>
      <c r="BN99" s="24"/>
      <c r="BO99" s="16"/>
    </row>
    <row r="100" spans="1:67" customFormat="1" ht="17.25" customHeight="1">
      <c r="A100" s="16"/>
      <c r="B100" s="16"/>
      <c r="C100" s="59"/>
      <c r="D100" s="59"/>
      <c r="E100" s="59"/>
      <c r="F100" s="1012" t="s">
        <v>63</v>
      </c>
      <c r="G100" s="1012"/>
      <c r="H100" s="1012"/>
      <c r="I100" s="1012"/>
      <c r="J100" s="642" t="str">
        <f>IF(G69=AD69,O106,"---")</f>
        <v>---</v>
      </c>
      <c r="K100" s="642"/>
      <c r="L100" s="642"/>
      <c r="M100" s="16"/>
      <c r="N100" s="16"/>
      <c r="O100" s="16"/>
      <c r="P100" s="16"/>
      <c r="Q100" s="16"/>
      <c r="R100" s="38" t="s">
        <v>84</v>
      </c>
      <c r="S100" s="16" t="s">
        <v>33</v>
      </c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>
      <c r="A101" s="16"/>
      <c r="B101" s="16"/>
      <c r="C101" s="59"/>
      <c r="D101" s="59"/>
      <c r="E101" s="59"/>
      <c r="F101" s="59"/>
      <c r="G101" s="59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39" t="s">
        <v>80</v>
      </c>
      <c r="S101" s="16" t="s">
        <v>82</v>
      </c>
      <c r="T101" s="16"/>
      <c r="U101" s="16"/>
      <c r="V101" s="16"/>
      <c r="W101" s="16"/>
      <c r="X101" s="16"/>
      <c r="Y101" s="16"/>
      <c r="Z101" s="16"/>
      <c r="AA101" s="16"/>
      <c r="AB101" s="61"/>
      <c r="BN101" s="24"/>
      <c r="BO101" s="16"/>
    </row>
    <row r="102" spans="1:67" customFormat="1" ht="17.25" customHeight="1">
      <c r="A102" s="16"/>
      <c r="B102" s="16"/>
      <c r="C102" s="59"/>
      <c r="D102" s="59"/>
      <c r="E102" s="59"/>
      <c r="F102" s="59"/>
      <c r="G102" s="59"/>
      <c r="H102" s="16" t="s">
        <v>72</v>
      </c>
      <c r="I102" s="40" t="s">
        <v>74</v>
      </c>
      <c r="J102" s="16" t="s">
        <v>60</v>
      </c>
      <c r="K102" s="40" t="s">
        <v>77</v>
      </c>
      <c r="L102" s="16" t="s">
        <v>59</v>
      </c>
      <c r="M102" s="16"/>
      <c r="N102" s="40" t="s">
        <v>78</v>
      </c>
      <c r="O102" s="16"/>
      <c r="P102" s="16"/>
      <c r="Q102" s="40" t="s">
        <v>79</v>
      </c>
      <c r="R102" s="41" t="s">
        <v>81</v>
      </c>
      <c r="S102" s="16" t="s">
        <v>83</v>
      </c>
      <c r="T102" s="16"/>
      <c r="U102" s="16"/>
      <c r="AB102" s="61"/>
      <c r="BN102" s="24"/>
      <c r="BO102" s="16"/>
    </row>
    <row r="103" spans="1:67" customFormat="1" ht="17.25" customHeight="1" thickBot="1">
      <c r="A103" s="16"/>
      <c r="B103" s="16"/>
      <c r="C103" s="59"/>
      <c r="D103" s="59"/>
      <c r="E103" s="59"/>
      <c r="F103" s="59"/>
      <c r="G103" s="59"/>
      <c r="H103" s="16"/>
      <c r="I103" s="40"/>
      <c r="J103" s="42">
        <f>O71</f>
        <v>28.916666666666668</v>
      </c>
      <c r="K103" s="40" t="s">
        <v>77</v>
      </c>
      <c r="L103" s="43">
        <f>O72</f>
        <v>0</v>
      </c>
      <c r="M103" s="16"/>
      <c r="N103" s="1292" t="s">
        <v>157</v>
      </c>
      <c r="O103" s="1292"/>
      <c r="P103" s="1292"/>
      <c r="Q103" s="40" t="s">
        <v>79</v>
      </c>
      <c r="R103" s="44">
        <v>0</v>
      </c>
      <c r="S103" s="16"/>
      <c r="T103" s="16"/>
      <c r="U103" s="16"/>
      <c r="AB103" s="61"/>
      <c r="BN103" s="24"/>
      <c r="BO103" s="16"/>
    </row>
    <row r="104" spans="1:67" customFormat="1" ht="17.25" customHeight="1" thickTop="1" thickBot="1">
      <c r="A104" s="16"/>
      <c r="B104" s="16"/>
      <c r="C104" s="59"/>
      <c r="D104" s="59"/>
      <c r="E104" s="59"/>
      <c r="F104" s="59"/>
      <c r="G104" s="59"/>
      <c r="H104" s="16"/>
      <c r="I104" s="40"/>
      <c r="K104" s="40"/>
      <c r="L104" s="76" cm="1">
        <f t="array" ref="L104">angleConvert2Decimal(L103)</f>
        <v>0</v>
      </c>
      <c r="N104" s="1293" cm="1">
        <f t="array" ref="N104">angleConvert2Decimal(N103)</f>
        <v>0.17166666666666669</v>
      </c>
      <c r="O104" s="1293"/>
      <c r="P104" s="1293"/>
      <c r="Q104" s="11"/>
      <c r="R104" s="76" cm="1">
        <f t="array" ref="R104">angleConvert2Decimal(R103)</f>
        <v>0</v>
      </c>
      <c r="T104" s="7" t="s">
        <v>111</v>
      </c>
      <c r="U104" s="7"/>
      <c r="V104" s="7">
        <f>R104+N104</f>
        <v>0.17166666666666669</v>
      </c>
      <c r="W104" s="696" t="str" cm="1">
        <f t="array" ref="W104">angleDecimal2Txt(V104)</f>
        <v>+00°10.30 (+00.1716) [+00°10'18.00]</v>
      </c>
      <c r="X104" s="697"/>
      <c r="Y104" s="697"/>
      <c r="Z104" s="697"/>
      <c r="AA104" s="640"/>
      <c r="AB104" s="61"/>
      <c r="BN104" s="24"/>
      <c r="BO104" s="16"/>
    </row>
    <row r="105" spans="1:67" customFormat="1" ht="17.25" customHeight="1" thickTop="1" thickBot="1">
      <c r="A105" s="16"/>
      <c r="B105" s="16"/>
      <c r="C105" s="59"/>
      <c r="D105" s="59"/>
      <c r="E105" s="59"/>
      <c r="F105" s="59"/>
      <c r="G105" s="59"/>
      <c r="H105" s="16"/>
      <c r="I105" s="40"/>
      <c r="J105" s="16"/>
      <c r="K105" s="40"/>
      <c r="L105" s="16"/>
      <c r="M105" s="16"/>
      <c r="N105" s="40"/>
      <c r="O105" s="16"/>
      <c r="P105" s="16"/>
      <c r="Q105" s="40"/>
      <c r="R105" s="45"/>
      <c r="S105" s="16"/>
      <c r="T105" s="16"/>
      <c r="U105" s="16"/>
      <c r="V105" s="16"/>
      <c r="W105" s="16"/>
      <c r="X105" s="16"/>
      <c r="Y105" s="16"/>
      <c r="Z105" s="16"/>
      <c r="AA105" s="16"/>
      <c r="AB105" s="61"/>
      <c r="BN105" s="24"/>
      <c r="BO105" s="16"/>
    </row>
    <row r="106" spans="1:67" customFormat="1" ht="17.25" customHeight="1" thickTop="1" thickBot="1">
      <c r="A106" s="16"/>
      <c r="B106" s="16"/>
      <c r="C106" s="59"/>
      <c r="D106" s="59"/>
      <c r="E106" s="59"/>
      <c r="F106" s="59"/>
      <c r="G106" s="59"/>
      <c r="H106" s="1014" t="s">
        <v>156</v>
      </c>
      <c r="I106" s="1015"/>
      <c r="J106" s="1015"/>
      <c r="K106" s="1015"/>
      <c r="L106" s="1015"/>
      <c r="M106" s="1015"/>
      <c r="N106" s="1016"/>
      <c r="O106" s="686">
        <f>J103-L104+N104+R104</f>
        <v>29.088333333333335</v>
      </c>
      <c r="P106" s="642"/>
      <c r="Q106" s="642"/>
      <c r="R106" s="642"/>
      <c r="S106" s="16" t="s">
        <v>54</v>
      </c>
      <c r="T106" s="16"/>
      <c r="U106" s="474" t="str" cm="1">
        <f t="array" ref="U106">angleDecimal2Txt(O106)</f>
        <v>+29°05.29 (+29.0883) [+29°05'18.00]</v>
      </c>
      <c r="V106" s="474"/>
      <c r="W106" s="474"/>
      <c r="X106" s="474"/>
      <c r="Y106" s="474"/>
      <c r="Z106" s="474"/>
      <c r="AA106" s="16"/>
      <c r="AB106" s="61"/>
      <c r="BN106" s="24"/>
      <c r="BO106" s="16"/>
    </row>
    <row r="107" spans="1:67" customFormat="1" ht="17.25" customHeight="1" thickTop="1" thickBot="1">
      <c r="A107" s="16"/>
      <c r="B107" s="16"/>
      <c r="C107" s="59"/>
      <c r="D107" s="46"/>
      <c r="E107" s="59"/>
      <c r="F107" s="59"/>
      <c r="G107" s="59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61"/>
      <c r="BN107" s="24"/>
      <c r="BO107" s="16"/>
    </row>
    <row r="108" spans="1:67" s="16" customFormat="1" ht="17.25" customHeight="1" thickBot="1">
      <c r="B108" s="25" t="s">
        <v>44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89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Z108"/>
      <c r="BA108"/>
      <c r="BB108"/>
      <c r="BC108"/>
      <c r="BD108"/>
      <c r="BE108"/>
      <c r="BF108"/>
      <c r="BG108"/>
    </row>
    <row r="109" spans="1:67" s="16" customFormat="1" ht="17.25" customHeight="1">
      <c r="D109" s="1331" t="s">
        <v>165</v>
      </c>
      <c r="E109" s="1286"/>
      <c r="F109" s="1286"/>
      <c r="G109" s="1286"/>
      <c r="H109" s="1328">
        <f>90-P110</f>
        <v>0.61499999999999488</v>
      </c>
      <c r="I109" s="1328"/>
      <c r="J109" s="1328"/>
      <c r="K109" s="1328"/>
      <c r="L109" s="1328"/>
      <c r="N109" s="1330" t="s">
        <v>166</v>
      </c>
      <c r="O109" s="1330"/>
      <c r="P109" s="1330"/>
      <c r="Q109" s="1330"/>
      <c r="R109" s="1330"/>
      <c r="S109" s="1330"/>
      <c r="T109" s="1330"/>
      <c r="U109" s="1330"/>
      <c r="V109" s="1330"/>
      <c r="W109" s="1330"/>
      <c r="AA109"/>
      <c r="AB109" s="93"/>
      <c r="AC109"/>
      <c r="AD109"/>
      <c r="AE109"/>
      <c r="AF109"/>
      <c r="AL109" s="81"/>
      <c r="AZ109"/>
      <c r="BA109"/>
      <c r="BB109"/>
      <c r="BC109"/>
      <c r="BD109"/>
      <c r="BE109"/>
      <c r="BF109"/>
      <c r="BG109"/>
    </row>
    <row r="110" spans="1:67" s="16" customFormat="1" ht="17.25" customHeight="1" thickBot="1">
      <c r="C110" s="94"/>
      <c r="D110" s="1287"/>
      <c r="E110" s="1288"/>
      <c r="F110" s="1288"/>
      <c r="G110" s="1288"/>
      <c r="H110" s="1328"/>
      <c r="I110" s="1328"/>
      <c r="J110" s="1328"/>
      <c r="K110" s="1328"/>
      <c r="L110" s="1328"/>
      <c r="M110" s="48" t="s">
        <v>125</v>
      </c>
      <c r="N110" s="1326" t="s">
        <v>86</v>
      </c>
      <c r="O110" s="1326"/>
      <c r="P110" s="1326">
        <f>F33</f>
        <v>89.385000000000005</v>
      </c>
      <c r="Q110" s="1326"/>
      <c r="R110" s="1326"/>
      <c r="S110" s="82" t="s">
        <v>54</v>
      </c>
      <c r="T110" s="1326">
        <f>P110*$D$126</f>
        <v>1.5600625518951317</v>
      </c>
      <c r="U110" s="1326"/>
      <c r="V110" s="1326"/>
      <c r="W110" s="82" t="s">
        <v>64</v>
      </c>
      <c r="AA110"/>
      <c r="AB110" s="93"/>
      <c r="AC110"/>
      <c r="AD110"/>
      <c r="AE110"/>
      <c r="AF110"/>
      <c r="AL110" s="81"/>
      <c r="AZ110"/>
      <c r="BA110"/>
      <c r="BB110"/>
      <c r="BC110"/>
      <c r="BD110"/>
      <c r="BE110"/>
      <c r="BF110"/>
      <c r="BG110"/>
    </row>
    <row r="111" spans="1:67" s="16" customFormat="1" ht="17.25" customHeight="1" thickTop="1" thickBot="1">
      <c r="C111" s="94"/>
      <c r="D111" s="1289"/>
      <c r="E111" s="1290"/>
      <c r="F111" s="1290"/>
      <c r="G111" s="1290"/>
      <c r="H111" s="1333" t="str" cm="1">
        <f t="array" ref="H111">angleDecimal2Txt(H109)</f>
        <v>+00°36.89 (+00.6149) [+00°36'53.99]</v>
      </c>
      <c r="I111" s="1333"/>
      <c r="J111" s="1333"/>
      <c r="K111" s="1333"/>
      <c r="L111" s="1333"/>
      <c r="N111" s="1281"/>
      <c r="O111" s="1281"/>
      <c r="P111" s="1281"/>
      <c r="Q111" s="1281"/>
      <c r="R111" s="1281"/>
      <c r="S111" s="94"/>
      <c r="T111" s="1281"/>
      <c r="U111" s="1281"/>
      <c r="V111" s="1281"/>
      <c r="W111" s="94"/>
      <c r="AA111"/>
      <c r="AB111" s="9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 thickTop="1">
      <c r="N112" s="1332"/>
      <c r="O112" s="1281"/>
      <c r="P112" s="1281"/>
      <c r="Q112" s="1281"/>
      <c r="R112" s="1281"/>
      <c r="S112" s="1281"/>
      <c r="T112" s="1281"/>
      <c r="U112" s="1281"/>
      <c r="V112" s="1281"/>
      <c r="W112" s="1281"/>
      <c r="X112" s="1281"/>
      <c r="Y112" s="1281"/>
      <c r="Z112" s="1281"/>
      <c r="AA112"/>
      <c r="AB112" s="9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>
      <c r="D113" s="1331" t="s">
        <v>167</v>
      </c>
      <c r="E113" s="1286"/>
      <c r="F113" s="1286"/>
      <c r="G113" s="1286"/>
      <c r="H113" s="1328">
        <f>-H109*COS(T114)</f>
        <v>0.20457604995500583</v>
      </c>
      <c r="I113" s="1328"/>
      <c r="J113" s="1328"/>
      <c r="K113" s="1328"/>
      <c r="L113" s="1328"/>
      <c r="N113" s="1334" t="s">
        <v>170</v>
      </c>
      <c r="O113" s="1330"/>
      <c r="P113" s="1330"/>
      <c r="Q113" s="1330"/>
      <c r="R113" s="1330"/>
      <c r="S113" s="1330"/>
      <c r="T113" s="1330"/>
      <c r="U113" s="1330"/>
      <c r="V113" s="1330"/>
      <c r="W113" s="1330"/>
      <c r="X113" s="94"/>
      <c r="Y113" s="94"/>
      <c r="Z113" s="94"/>
      <c r="AA113"/>
      <c r="AB113" s="9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Bot="1">
      <c r="C114" s="94"/>
      <c r="D114" s="1287"/>
      <c r="E114" s="1288"/>
      <c r="F114" s="1288"/>
      <c r="G114" s="1288"/>
      <c r="H114" s="1328"/>
      <c r="I114" s="1328"/>
      <c r="J114" s="1328"/>
      <c r="K114" s="1328"/>
      <c r="L114" s="1328"/>
      <c r="M114" s="48" t="s">
        <v>125</v>
      </c>
      <c r="N114" s="1326" t="s">
        <v>43</v>
      </c>
      <c r="O114" s="1326"/>
      <c r="P114" s="1326">
        <f>F64</f>
        <v>250.57066666666674</v>
      </c>
      <c r="Q114" s="1326"/>
      <c r="R114" s="1326"/>
      <c r="S114" s="82" t="s">
        <v>54</v>
      </c>
      <c r="T114" s="1326">
        <f>P114*$D$126</f>
        <v>4.3732831422505392</v>
      </c>
      <c r="U114" s="1326"/>
      <c r="V114" s="1326"/>
      <c r="W114" s="82" t="s">
        <v>64</v>
      </c>
      <c r="X114" s="94"/>
      <c r="Y114" s="94"/>
      <c r="Z114" s="94"/>
      <c r="AA114"/>
      <c r="AB114" s="9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 thickBot="1">
      <c r="C115" s="94"/>
      <c r="D115" s="1289"/>
      <c r="E115" s="1290"/>
      <c r="F115" s="1290"/>
      <c r="G115" s="1290"/>
      <c r="H115" s="1327" t="str" cm="1">
        <f t="array" ref="H115">angleDecimal2Txt(H113)</f>
        <v>+00°12.27 (+00.2045) [+00°12'16.47]</v>
      </c>
      <c r="I115" s="1327"/>
      <c r="J115" s="1327"/>
      <c r="K115" s="1327"/>
      <c r="L115" s="1327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8" t="s">
        <v>488</v>
      </c>
      <c r="Z115" s="94"/>
      <c r="AA115"/>
      <c r="AB115" s="93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 thickTop="1">
      <c r="C116" s="94"/>
      <c r="AA116"/>
      <c r="AB116" s="93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>
      <c r="D117" s="1285" t="s">
        <v>168</v>
      </c>
      <c r="E117" s="1286"/>
      <c r="F117" s="1286"/>
      <c r="G117" s="1286"/>
      <c r="H117" s="1328">
        <f>F68+H113</f>
        <v>29.023955618015801</v>
      </c>
      <c r="I117" s="1328"/>
      <c r="J117" s="1328"/>
      <c r="K117" s="1328"/>
      <c r="L117" s="1328"/>
      <c r="N117" s="1330" t="s">
        <v>172</v>
      </c>
      <c r="O117" s="1330"/>
      <c r="P117" s="1330"/>
      <c r="Q117" s="1330"/>
      <c r="R117" s="1330"/>
      <c r="S117" s="1330"/>
      <c r="T117" s="1330"/>
      <c r="U117" s="1330"/>
      <c r="V117" s="1330"/>
      <c r="W117" s="1330"/>
      <c r="X117" s="94"/>
      <c r="Y117" s="94"/>
      <c r="AA117"/>
      <c r="AB117" s="93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Bot="1">
      <c r="C118" s="94"/>
      <c r="D118" s="1287"/>
      <c r="E118" s="1288"/>
      <c r="F118" s="1288"/>
      <c r="G118" s="1288"/>
      <c r="H118" s="1328"/>
      <c r="I118" s="1328"/>
      <c r="J118" s="1328"/>
      <c r="K118" s="1328"/>
      <c r="L118" s="1328"/>
      <c r="M118" s="48" t="s">
        <v>125</v>
      </c>
      <c r="N118" s="1326" t="s">
        <v>109</v>
      </c>
      <c r="O118" s="1326"/>
      <c r="P118" s="1326">
        <f>F68</f>
        <v>28.819379568060796</v>
      </c>
      <c r="Q118" s="1326"/>
      <c r="R118" s="1326"/>
      <c r="S118" s="82" t="s">
        <v>54</v>
      </c>
      <c r="T118" s="1326">
        <f>P118*$D$126</f>
        <v>0.5029930618446421</v>
      </c>
      <c r="U118" s="1326"/>
      <c r="V118" s="1326"/>
      <c r="W118" s="82" t="s">
        <v>64</v>
      </c>
      <c r="X118" s="1281"/>
      <c r="Y118" s="1281"/>
      <c r="AA118"/>
      <c r="AB118" s="9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 thickBot="1">
      <c r="C119" s="94"/>
      <c r="D119" s="1289"/>
      <c r="E119" s="1290"/>
      <c r="F119" s="1290"/>
      <c r="G119" s="1290"/>
      <c r="H119" s="1333" t="str" cm="1">
        <f t="array" ref="H119">angleDecimal2Txt(H117)</f>
        <v>+29°01.43 (+29.0239) [+29°01'26.24]</v>
      </c>
      <c r="I119" s="1333"/>
      <c r="J119" s="1333"/>
      <c r="K119" s="1333"/>
      <c r="L119" s="1333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AA119"/>
      <c r="AB119" s="9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s="16" customFormat="1" ht="17.25" customHeight="1" thickTop="1">
      <c r="C120" s="94"/>
      <c r="S120" s="94"/>
      <c r="T120" s="94"/>
      <c r="U120" s="94"/>
      <c r="V120" s="94"/>
      <c r="W120" s="94"/>
      <c r="X120" s="94"/>
      <c r="AA120"/>
      <c r="AB120" s="93"/>
      <c r="AC120" t="s">
        <v>213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s="16" customFormat="1" ht="17.25" customHeight="1">
      <c r="D121" s="1285" t="s">
        <v>169</v>
      </c>
      <c r="E121" s="1286"/>
      <c r="F121" s="1286"/>
      <c r="G121" s="1286"/>
      <c r="H121" s="855">
        <f>AF125</f>
        <v>0.66327315444081658</v>
      </c>
      <c r="I121" s="855"/>
      <c r="J121" s="855"/>
      <c r="K121" s="855"/>
      <c r="L121" s="855"/>
      <c r="N121" s="1334" t="s">
        <v>171</v>
      </c>
      <c r="O121" s="1330"/>
      <c r="P121" s="1330"/>
      <c r="Q121" s="1330"/>
      <c r="R121" s="1330"/>
      <c r="S121" s="1330"/>
      <c r="T121" s="1330"/>
      <c r="U121" s="1330"/>
      <c r="V121" s="1330"/>
      <c r="W121" s="1330"/>
      <c r="X121" s="94"/>
      <c r="AA121"/>
      <c r="AB121" s="93"/>
      <c r="AC121" s="40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s="16" customFormat="1" ht="17.25" customHeight="1" thickBot="1">
      <c r="D122" s="1287"/>
      <c r="E122" s="1288"/>
      <c r="F122" s="1288"/>
      <c r="G122" s="1288"/>
      <c r="H122" s="855"/>
      <c r="I122" s="855"/>
      <c r="J122" s="855"/>
      <c r="K122" s="855"/>
      <c r="L122" s="855"/>
      <c r="M122" s="48" t="s">
        <v>125</v>
      </c>
      <c r="N122" s="1326" t="s">
        <v>43</v>
      </c>
      <c r="O122" s="1326"/>
      <c r="P122" s="1326">
        <f>F64</f>
        <v>250.57066666666674</v>
      </c>
      <c r="Q122" s="1326"/>
      <c r="R122" s="1326"/>
      <c r="S122" s="82" t="s">
        <v>54</v>
      </c>
      <c r="T122" s="1326">
        <f>P122*$D$126</f>
        <v>4.3732831422505392</v>
      </c>
      <c r="U122" s="1326"/>
      <c r="V122" s="1326"/>
      <c r="W122" s="82" t="s">
        <v>64</v>
      </c>
      <c r="X122" s="94"/>
      <c r="AA122"/>
      <c r="AB122" s="93"/>
      <c r="AC122" s="11" t="s">
        <v>484</v>
      </c>
      <c r="AD122">
        <f>-1*H109</f>
        <v>-0.61499999999999488</v>
      </c>
      <c r="AE122" t="s">
        <v>54</v>
      </c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s="16" customFormat="1" ht="17.25" customHeight="1" thickTop="1" thickBot="1">
      <c r="D123" s="1289"/>
      <c r="E123" s="1290"/>
      <c r="F123" s="1290"/>
      <c r="G123" s="1290"/>
      <c r="H123" s="1327" t="str" cm="1">
        <f t="array" ref="H123">angleDecimal2Txt(H121)</f>
        <v>+00°39.79 (+00.6632) [+00°39'47.78]</v>
      </c>
      <c r="I123" s="1327"/>
      <c r="J123" s="1327"/>
      <c r="K123" s="1327"/>
      <c r="L123" s="1327"/>
      <c r="N123" s="1326" t="s">
        <v>41</v>
      </c>
      <c r="O123" s="1326"/>
      <c r="P123" s="1326">
        <f>H117</f>
        <v>29.023955618015801</v>
      </c>
      <c r="Q123" s="1326"/>
      <c r="R123" s="1326"/>
      <c r="S123" s="82" t="s">
        <v>54</v>
      </c>
      <c r="T123" s="1326">
        <f>P123*$D$126</f>
        <v>0.50656358748708141</v>
      </c>
      <c r="U123" s="1326"/>
      <c r="V123" s="1326"/>
      <c r="W123" s="82" t="s">
        <v>64</v>
      </c>
      <c r="AA123"/>
      <c r="AB123" s="93"/>
      <c r="AC123" t="s">
        <v>485</v>
      </c>
      <c r="AD123">
        <f>SIN(T122)</f>
        <v>-0.94305248005101083</v>
      </c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s="16" customFormat="1" ht="17.25" customHeight="1" thickTop="1" thickBot="1"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/>
      <c r="AB124" s="93"/>
      <c r="AC124" t="s">
        <v>486</v>
      </c>
      <c r="AD124">
        <f>COS(T123)</f>
        <v>0.87441692965898243</v>
      </c>
      <c r="AE124"/>
      <c r="AF124"/>
      <c r="AL124" s="81"/>
      <c r="AZ124"/>
      <c r="BA124"/>
      <c r="BB124"/>
      <c r="BC124"/>
      <c r="BD124"/>
      <c r="BE124"/>
      <c r="BF124"/>
      <c r="BG124"/>
    </row>
    <row r="125" spans="1:59" s="16" customFormat="1" ht="17.25" customHeight="1">
      <c r="A125" s="1282" t="s">
        <v>110</v>
      </c>
      <c r="B125" s="1283"/>
      <c r="C125" s="1283"/>
      <c r="D125" s="1284"/>
      <c r="E125" s="94"/>
      <c r="F125" s="59"/>
      <c r="G125" s="94"/>
      <c r="H125" s="94"/>
      <c r="I125" s="94"/>
      <c r="J125" s="94"/>
      <c r="K125" s="94"/>
      <c r="L125" s="94"/>
      <c r="M125" s="1281"/>
      <c r="N125" s="1281"/>
      <c r="O125" s="94"/>
      <c r="P125" s="1281"/>
      <c r="Q125" s="1281"/>
      <c r="R125" s="1281"/>
      <c r="S125" s="1281"/>
      <c r="T125" s="1281"/>
      <c r="U125" s="1281"/>
      <c r="V125" s="94"/>
      <c r="W125" s="1281"/>
      <c r="X125" s="1281"/>
      <c r="Y125" s="1281"/>
      <c r="Z125" s="94"/>
      <c r="AA125"/>
      <c r="AB125" s="93"/>
      <c r="AC125" s="11" t="s">
        <v>487</v>
      </c>
      <c r="AD125">
        <f>AD122*AD123/AD124</f>
        <v>0.66327315444081658</v>
      </c>
      <c r="AE125" t="s">
        <v>54</v>
      </c>
      <c r="AF125">
        <f>IF(AD125&lt;0,360+AD125,IF(AD125&gt;360,AD125-360,AD125))</f>
        <v>0.66327315444081658</v>
      </c>
      <c r="AG125" s="16" t="s">
        <v>54</v>
      </c>
      <c r="AL125" s="81"/>
      <c r="AZ125"/>
      <c r="BA125"/>
      <c r="BB125"/>
      <c r="BC125"/>
      <c r="BD125"/>
      <c r="BE125"/>
      <c r="BF125"/>
      <c r="BG125"/>
    </row>
    <row r="126" spans="1:59" s="16" customFormat="1" ht="17.25" customHeight="1">
      <c r="A126" s="83" t="s">
        <v>53</v>
      </c>
      <c r="B126" s="84" t="s">
        <v>93</v>
      </c>
      <c r="C126" s="85" t="s">
        <v>94</v>
      </c>
      <c r="D126" s="79">
        <f>PI()/180</f>
        <v>1.7453292519943295E-2</v>
      </c>
      <c r="E126" s="59"/>
      <c r="F126" s="59"/>
      <c r="G126" s="94"/>
      <c r="H126" s="1281"/>
      <c r="I126" s="1281"/>
      <c r="J126" s="94"/>
      <c r="K126" s="1281"/>
      <c r="L126" s="1281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/>
      <c r="AB126" s="93"/>
      <c r="AD126"/>
      <c r="AE126"/>
      <c r="AF126"/>
      <c r="AL126" s="81"/>
      <c r="AZ126"/>
      <c r="BA126"/>
      <c r="BB126"/>
      <c r="BC126"/>
      <c r="BD126"/>
      <c r="BE126"/>
      <c r="BF126"/>
      <c r="BG126"/>
    </row>
    <row r="127" spans="1:59" s="16" customFormat="1" ht="17.25" customHeight="1" thickBot="1">
      <c r="A127" s="86" t="s">
        <v>95</v>
      </c>
      <c r="B127" s="87" t="s">
        <v>93</v>
      </c>
      <c r="C127" s="88" t="s">
        <v>53</v>
      </c>
      <c r="D127" s="80">
        <f>180/PI()</f>
        <v>57.295779513082323</v>
      </c>
      <c r="H127" s="1281"/>
      <c r="I127" s="1281"/>
      <c r="J127" s="94"/>
      <c r="K127" s="1281"/>
      <c r="L127" s="1281"/>
      <c r="M127" s="94"/>
      <c r="N127" s="1281"/>
      <c r="O127" s="1281"/>
      <c r="P127" s="1281"/>
      <c r="Q127" s="1281"/>
      <c r="R127" s="1281"/>
      <c r="S127" s="1281"/>
      <c r="T127" s="1281"/>
      <c r="U127" s="94"/>
      <c r="V127" s="94"/>
      <c r="W127" s="94"/>
      <c r="X127" s="94"/>
      <c r="Y127" s="94"/>
      <c r="Z127" s="94"/>
      <c r="AA127"/>
      <c r="AB127" s="93"/>
      <c r="AC127"/>
      <c r="AD127"/>
      <c r="AE127"/>
      <c r="AF127"/>
      <c r="AL127" s="81"/>
      <c r="AZ127"/>
      <c r="BA127"/>
      <c r="BB127"/>
      <c r="BC127"/>
      <c r="BD127"/>
      <c r="BE127"/>
      <c r="BF127"/>
      <c r="BG127"/>
    </row>
    <row r="128" spans="1:59" s="16" customFormat="1" ht="17.25" customHeight="1">
      <c r="C128" s="59"/>
      <c r="H128" s="1281"/>
      <c r="I128" s="1281"/>
      <c r="J128" s="1281"/>
      <c r="K128" s="1281"/>
      <c r="L128" s="1281"/>
      <c r="M128" s="94"/>
      <c r="N128" s="94"/>
      <c r="O128" s="94"/>
      <c r="P128" s="94"/>
      <c r="Q128" s="94"/>
      <c r="R128" s="94"/>
      <c r="S128" s="1281"/>
      <c r="T128" s="1281"/>
      <c r="U128" s="1281"/>
      <c r="V128" s="1281"/>
      <c r="W128" s="1281"/>
      <c r="X128" s="1281"/>
      <c r="Y128" s="94"/>
      <c r="Z128" s="94"/>
      <c r="AA128"/>
      <c r="AB128" s="93"/>
      <c r="AC128"/>
      <c r="AD128"/>
      <c r="AE128"/>
      <c r="AF128"/>
      <c r="AL128" s="81"/>
    </row>
    <row r="129" spans="2:65" s="16" customFormat="1" ht="17.25" customHeight="1" thickBot="1">
      <c r="C129" s="59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/>
      <c r="AB129" s="93"/>
      <c r="AC129"/>
      <c r="AD129"/>
      <c r="AE129"/>
      <c r="AF129"/>
      <c r="AL129" s="81"/>
    </row>
    <row r="130" spans="2:65" customFormat="1" ht="15.75" thickBot="1">
      <c r="B130" s="120" t="s">
        <v>606</v>
      </c>
      <c r="C130" s="121"/>
      <c r="D130" s="121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2"/>
    </row>
    <row r="131" spans="2:65" customFormat="1" ht="15">
      <c r="K131" s="103"/>
      <c r="L131" s="103"/>
    </row>
    <row r="132" spans="2:65" customFormat="1" ht="15">
      <c r="B132" s="1115" t="s">
        <v>1</v>
      </c>
      <c r="C132" s="1115"/>
      <c r="D132" s="1115" t="str">
        <f>E7</f>
        <v>20/10/2029</v>
      </c>
      <c r="E132" s="1115"/>
      <c r="F132" s="1115"/>
      <c r="G132" s="1115"/>
      <c r="H132" s="285" t="s">
        <v>2</v>
      </c>
      <c r="I132" s="1115" t="str">
        <f>G7</f>
        <v>18:48:30.00(18.8083)</v>
      </c>
      <c r="J132" s="1115"/>
      <c r="K132" s="1115"/>
      <c r="L132" s="1115"/>
    </row>
    <row r="133" spans="2:65" customFormat="1" ht="15">
      <c r="B133" s="1118" t="s">
        <v>30</v>
      </c>
      <c r="C133" s="1118"/>
      <c r="D133" s="1266" t="s">
        <v>480</v>
      </c>
      <c r="E133" s="1266"/>
      <c r="F133" s="1266"/>
      <c r="G133" s="1266"/>
      <c r="H133" s="279"/>
      <c r="I133" s="279"/>
      <c r="J133" s="279"/>
      <c r="K133" s="279"/>
      <c r="L133" s="279"/>
      <c r="AA133" s="276"/>
    </row>
    <row r="134" spans="2:65" customFormat="1" ht="15">
      <c r="B134" s="275"/>
      <c r="C134" s="275"/>
      <c r="D134" s="278"/>
      <c r="E134" s="275"/>
      <c r="AA134" s="276"/>
    </row>
    <row r="135" spans="2:65" s="103" customFormat="1" ht="17.25" customHeight="1" thickBot="1">
      <c r="B135" s="282" t="s">
        <v>442</v>
      </c>
      <c r="C135" s="282"/>
      <c r="D135" s="282"/>
      <c r="E135" s="282"/>
      <c r="F135" s="281"/>
      <c r="G135" s="281"/>
      <c r="H135" s="280"/>
      <c r="I135" s="280"/>
      <c r="J135" s="280"/>
      <c r="K135" s="280"/>
      <c r="L135" s="280"/>
      <c r="M135" s="280"/>
      <c r="N135" s="280"/>
      <c r="O135" s="280"/>
      <c r="P135" s="280"/>
      <c r="Q135" s="280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103" customFormat="1" ht="17.25" customHeight="1" thickTop="1">
      <c r="C136" s="1120" t="s">
        <v>443</v>
      </c>
      <c r="D136" s="1120"/>
      <c r="E136" s="1120" t="str" cm="1">
        <f t="array" ref="E136">angleDecimal2Txt(angleConvert2Decimal(M17))</f>
        <v>+28°55.00 (+28.9166) [+28°55'00.00]</v>
      </c>
      <c r="F136" s="1120"/>
      <c r="G136" s="1120"/>
      <c r="H136" s="1120"/>
      <c r="I136" s="1120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103" customFormat="1" ht="17.25" customHeight="1">
      <c r="C137" s="1113" t="s">
        <v>444</v>
      </c>
      <c r="D137" s="1113"/>
      <c r="E137" s="1114" t="str" cm="1">
        <f t="array" ref="E137">angleDecimal2Txt(angleConvert2Decimal(M16))</f>
        <v>+00°00.00 (+00.0000) [+00°00'00.00]</v>
      </c>
      <c r="F137" s="1114"/>
      <c r="G137" s="1114"/>
      <c r="H137" s="1114"/>
      <c r="I137" s="1114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103" customFormat="1" ht="17.25" customHeight="1">
      <c r="C138" s="1115" t="s">
        <v>445</v>
      </c>
      <c r="D138" s="1115"/>
      <c r="E138" s="1116" t="str">
        <f>CONCATENATE(M15, " m")</f>
        <v>5.28 m</v>
      </c>
      <c r="F138" s="1116"/>
      <c r="G138" s="1116"/>
      <c r="H138" s="1116"/>
      <c r="I138" s="111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103" customFormat="1" ht="17.25" customHeight="1">
      <c r="E139" s="1100" t="str" cm="1">
        <f t="array" ref="E139">angleDecimal2Txt(O75)</f>
        <v>+28°50.96 (+28.8493) [+28°50'57.62]</v>
      </c>
      <c r="F139" s="1100"/>
      <c r="G139" s="1100"/>
      <c r="H139" s="1100"/>
      <c r="I139" s="1100"/>
      <c r="J139" s="1100" t="s">
        <v>447</v>
      </c>
      <c r="K139" s="1100"/>
      <c r="L139" s="1100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103" customFormat="1" ht="17.25" customHeight="1">
      <c r="E140" s="283"/>
      <c r="F140" s="1076" t="s">
        <v>445</v>
      </c>
      <c r="G140" s="1077"/>
      <c r="H140" s="1117" t="str" cm="1">
        <f t="array" ref="H140">angleDecimal2Txt(O73)</f>
        <v>+00°04.03 (+00.0673) [+00°04'02.37]</v>
      </c>
      <c r="I140" s="1117"/>
      <c r="J140" s="1117"/>
      <c r="K140" s="1117"/>
      <c r="L140" s="1117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103" customFormat="1" ht="17.25" customHeight="1">
      <c r="F141" s="1076" t="s">
        <v>452</v>
      </c>
      <c r="G141" s="1077"/>
      <c r="H141" s="1078" t="str" cm="1">
        <f t="array" ref="H141">angleDecimal2Txt(O85)</f>
        <v>+00°01.79 (+00.0299) [+00°01'47.85]</v>
      </c>
      <c r="I141" s="1079"/>
      <c r="J141" s="1079"/>
      <c r="K141" s="1079"/>
      <c r="L141" s="1080"/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103" customFormat="1" ht="17.25" customHeight="1">
      <c r="D142" s="277"/>
      <c r="E142" s="1100" t="str" cm="1">
        <f t="array" ref="E142">angleDecimal2Txt(F68)</f>
        <v>+28°49.16 (+28.8193) [+28°49'09.76]</v>
      </c>
      <c r="F142" s="1100"/>
      <c r="G142" s="1100"/>
      <c r="H142" s="1100"/>
      <c r="I142" s="1100"/>
      <c r="J142" s="1100" t="s">
        <v>446</v>
      </c>
      <c r="K142" s="1100"/>
      <c r="L142" s="1100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103" customFormat="1" ht="17.25" customHeight="1">
      <c r="D143" s="277"/>
      <c r="F143" s="1074" t="str" cm="1">
        <f t="array" ref="F143">angleDecimal2Txt(O80-O85-O73)</f>
        <v>-00°05.83 (-00.0972) [-00°05'50.23]</v>
      </c>
      <c r="G143" s="1074"/>
      <c r="H143" s="1074"/>
      <c r="I143" s="1074"/>
      <c r="J143" s="1074"/>
      <c r="K143" s="1074" t="s">
        <v>454</v>
      </c>
      <c r="L143" s="1074"/>
      <c r="M143" s="1074"/>
      <c r="N143" s="1109" t="s">
        <v>470</v>
      </c>
      <c r="O143" s="1109"/>
      <c r="P143" s="110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103" customFormat="1" ht="17.25" customHeight="1">
      <c r="D144" s="277"/>
      <c r="F144" s="1074" t="str" cm="1">
        <f t="array" ref="F144">angleDecimal2Txt(O80-O85-O73+O89)</f>
        <v>-00°05.83 (-00.0972) [-00°05'50.23]</v>
      </c>
      <c r="G144" s="1074"/>
      <c r="H144" s="1074"/>
      <c r="I144" s="1074"/>
      <c r="J144" s="1074"/>
      <c r="K144" s="1074" t="s">
        <v>450</v>
      </c>
      <c r="L144" s="1074"/>
      <c r="M144" s="1074"/>
      <c r="N144" s="1109"/>
      <c r="O144" s="1109"/>
      <c r="P144" s="1109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2:65" s="103" customFormat="1" ht="17.25" customHeight="1">
      <c r="D145" s="277"/>
      <c r="F145" s="1074" t="str" cm="1">
        <f t="array" ref="F145">angleDecimal2Txt(O80-O85+O89)</f>
        <v>-00°01.79 (-00.0299) [-00°01'47.85]</v>
      </c>
      <c r="G145" s="1074"/>
      <c r="H145" s="1074"/>
      <c r="I145" s="1074"/>
      <c r="J145" s="1074"/>
      <c r="K145" s="1074" t="s">
        <v>451</v>
      </c>
      <c r="L145" s="1074"/>
      <c r="M145" s="1074"/>
      <c r="N145" s="1109"/>
      <c r="O145" s="1109"/>
      <c r="P145" s="1109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2:65" s="103" customFormat="1" ht="17.25" customHeight="1">
      <c r="AB146" s="61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2:65" s="103" customFormat="1" ht="17.25" customHeight="1">
      <c r="C147" s="277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2:65" s="103" customFormat="1" ht="17.25" customHeight="1" thickBot="1">
      <c r="B148" s="280" t="s">
        <v>62</v>
      </c>
      <c r="C148" s="281"/>
      <c r="D148" s="281"/>
      <c r="E148" s="281"/>
      <c r="F148" s="281"/>
      <c r="G148" s="281"/>
      <c r="H148" s="280"/>
      <c r="I148" s="280"/>
      <c r="J148" s="280"/>
      <c r="K148" s="280"/>
      <c r="L148" s="280"/>
      <c r="M148" s="280"/>
      <c r="N148" s="280"/>
      <c r="O148" s="280"/>
      <c r="P148" s="280"/>
      <c r="Q148" s="280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2:65" s="103" customFormat="1" ht="17.25" customHeight="1" thickTop="1">
      <c r="C149" s="1111" t="s">
        <v>455</v>
      </c>
      <c r="D149" s="1111"/>
      <c r="E149" s="1111" t="str" cm="1">
        <f t="array" ref="E149">latitudeDecimal2Txt(F24)</f>
        <v>N 29°05.00 (N 29.0833) [N 29°05'00.00]</v>
      </c>
      <c r="F149" s="1111"/>
      <c r="G149" s="1111"/>
      <c r="H149" s="1111"/>
      <c r="I149" s="1111"/>
      <c r="J149" s="1111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2:65" s="103" customFormat="1" ht="17.25" customHeight="1">
      <c r="C150" s="1112" t="s">
        <v>456</v>
      </c>
      <c r="D150" s="1112"/>
      <c r="E150" s="1112" t="str" cm="1">
        <f t="array" ref="E150">longitudeDecimal2Txt(F29)</f>
        <v>W 12°30.00 (W 12.5000) [W 12°30'00.00]</v>
      </c>
      <c r="F150" s="1112"/>
      <c r="G150" s="1112"/>
      <c r="H150" s="1112"/>
      <c r="I150" s="1112"/>
      <c r="J150" s="1112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2:65" s="103" customFormat="1" ht="17.25" customHeight="1">
      <c r="F151" s="1273" t="s">
        <v>482</v>
      </c>
      <c r="G151" s="1275" t="str">
        <f>CONCATENATE(" -",G43)</f>
        <v xml:space="preserve"> -Par interval</v>
      </c>
      <c r="H151" s="1074">
        <f>IF(G43=AD43,M47,CONCATENATE("T0:",M55))</f>
        <v>18</v>
      </c>
      <c r="I151" s="1074"/>
      <c r="J151" s="1074"/>
      <c r="K151" s="1074" t="str" cm="1">
        <f t="array" ref="K151">IF(G43=AD43,angleDecimal2Txt(AE46,0),CONCATENATE("Pos. à T0:",angleDecimal2Txt(AD54,0)))</f>
        <v>+299°29.00</v>
      </c>
      <c r="L151" s="1074"/>
      <c r="M151" s="1074"/>
      <c r="AB151" s="61"/>
      <c r="AC151" s="29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2:65" s="103" customFormat="1" ht="17.25" customHeight="1">
      <c r="F152" s="1274"/>
      <c r="G152" s="1276"/>
      <c r="H152" s="1074" cm="1">
        <f t="array" ref="H152">IF(G43=AD43,M49,CONCATENATE("V:",angleDecimal2Txt(AD56,0)))</f>
        <v>19</v>
      </c>
      <c r="I152" s="1074"/>
      <c r="J152" s="1074"/>
      <c r="K152" s="1074" t="str" cm="1">
        <f t="array" ref="K152">IF(G43=AD43,angleDecimal2Txt(AE47,0),CONCATENATE("dt:",TEXT((I55-M55),"0.000")," h"))</f>
        <v>+314°31.39</v>
      </c>
      <c r="L152" s="1074"/>
      <c r="M152" s="1074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2:65" s="103" customFormat="1" ht="17.25" customHeight="1">
      <c r="C153" s="1110" t="s">
        <v>483</v>
      </c>
      <c r="D153" s="1110"/>
      <c r="E153" s="1110" t="str" cm="1">
        <f t="array" ref="E153">angleDecimal2Txt(F42,0)</f>
        <v>+311°38.44</v>
      </c>
      <c r="F153" s="1110"/>
      <c r="G153" s="1110"/>
      <c r="H153" s="1110"/>
      <c r="I153" s="1110"/>
      <c r="J153" s="1110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2:65" s="103" customFormat="1" ht="17.25" customHeight="1">
      <c r="C154" s="1182" t="s">
        <v>507</v>
      </c>
      <c r="D154" s="1181"/>
      <c r="E154" s="1110" t="str" cm="1">
        <f t="array" ref="E154">angleDecimal2Txt(F38,0)</f>
        <v>+311°25.80</v>
      </c>
      <c r="F154" s="1110"/>
      <c r="G154" s="1110"/>
      <c r="H154" s="1110"/>
      <c r="I154" s="1110"/>
      <c r="J154" s="1110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2:65" s="103" customFormat="1" ht="17.25" customHeight="1">
      <c r="C155" s="1182" t="s">
        <v>496</v>
      </c>
      <c r="D155" s="1181"/>
      <c r="E155" s="1110" t="str" cm="1">
        <f t="array" ref="E155">angleDecimal2Txt(F59,0)</f>
        <v>+263°04.24</v>
      </c>
      <c r="F155" s="1110"/>
      <c r="G155" s="1110"/>
      <c r="H155" s="1110"/>
      <c r="I155" s="1110"/>
      <c r="J155" s="1110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2:65" s="103" customFormat="1" ht="17.25" customHeight="1">
      <c r="C156" s="1110" t="s">
        <v>495</v>
      </c>
      <c r="D156" s="1110"/>
      <c r="E156" s="1110" t="str" cm="1">
        <f t="array" ref="E156">angleDecimal2Txt(F64,0)</f>
        <v>+250°34.24</v>
      </c>
      <c r="F156" s="1110"/>
      <c r="G156" s="1110"/>
      <c r="H156" s="1110"/>
      <c r="I156" s="1110"/>
      <c r="J156" s="1110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2:65" s="103" customFormat="1" ht="17.25" customHeight="1">
      <c r="C157" s="1110" t="s">
        <v>9</v>
      </c>
      <c r="D157" s="1110"/>
      <c r="E157" s="1110" t="str" cm="1">
        <f t="array" ref="E157">angleDecimal2Txt(F33,0)</f>
        <v>+89°23.10</v>
      </c>
      <c r="F157" s="1110"/>
      <c r="G157" s="1110"/>
      <c r="H157" s="1110"/>
      <c r="I157" s="1110"/>
      <c r="J157" s="1110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2:65" s="103" customFormat="1" ht="17.25" customHeight="1">
      <c r="F158" s="1074" t="s">
        <v>500</v>
      </c>
      <c r="G158" s="1074"/>
      <c r="H158" s="1074"/>
      <c r="I158" s="1074"/>
      <c r="J158" s="1074"/>
      <c r="K158" s="1074"/>
      <c r="L158" s="1074"/>
      <c r="M158" s="1074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2:65" s="103" customFormat="1" ht="17.25" customHeight="1">
      <c r="F159" s="1074" t="s">
        <v>501</v>
      </c>
      <c r="G159" s="1074"/>
      <c r="H159" s="1074"/>
      <c r="I159" s="1074" t="str" cm="1">
        <f t="array" ref="I159">angleDecimal2Txt(H109,0)</f>
        <v>+00°36.89</v>
      </c>
      <c r="J159" s="1074"/>
      <c r="K159" s="1074"/>
      <c r="L159" s="1074"/>
      <c r="M159" s="1074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2:65" s="103" customFormat="1" ht="17.25" customHeight="1">
      <c r="F160" s="1074" t="s">
        <v>502</v>
      </c>
      <c r="G160" s="1074"/>
      <c r="H160" s="1074"/>
      <c r="I160" s="1074" t="str" cm="1">
        <f t="array" ref="I160">angleDecimal2Txt(H113)</f>
        <v>+00°12.27 (+00.2045) [+00°12'16.47]</v>
      </c>
      <c r="J160" s="1074"/>
      <c r="K160" s="1074"/>
      <c r="L160" s="1074"/>
      <c r="M160" s="1074"/>
      <c r="AB160" s="61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3:65" s="103" customFormat="1" ht="17.25" customHeight="1">
      <c r="F161" s="1074" t="s">
        <v>504</v>
      </c>
      <c r="G161" s="1074"/>
      <c r="H161" s="1074"/>
      <c r="I161" s="1074"/>
      <c r="J161" s="1074"/>
      <c r="K161" s="1074"/>
      <c r="L161" s="1074"/>
      <c r="M161" s="1074"/>
      <c r="AB161" s="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3:65" s="103" customFormat="1" ht="17.25" customHeight="1">
      <c r="F162" s="1074" t="s">
        <v>503</v>
      </c>
      <c r="G162" s="1074"/>
      <c r="H162" s="1074"/>
      <c r="I162" s="1074"/>
      <c r="J162" s="1074"/>
      <c r="K162" s="1074"/>
      <c r="L162" s="1074"/>
      <c r="M162" s="1074"/>
      <c r="AB162" s="61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3:65" s="103" customFormat="1" ht="17.25" customHeight="1">
      <c r="C163" s="1075" t="s">
        <v>41</v>
      </c>
      <c r="D163" s="1075"/>
      <c r="E163" s="1075" t="str" cm="1">
        <f t="array" ref="E163">latitudeDecimal2Txt(H117)</f>
        <v>N 29°01.43 (N 29.0239) [N 29°01'26.24]</v>
      </c>
      <c r="F163" s="1279"/>
      <c r="G163" s="1279"/>
      <c r="H163" s="1279"/>
      <c r="I163" s="1279"/>
      <c r="J163" s="1279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3:65" s="103" customFormat="1" ht="17.25" customHeight="1">
      <c r="C164" s="1277" t="s">
        <v>506</v>
      </c>
      <c r="D164" s="1278"/>
      <c r="E164" s="1170" t="str" cm="1">
        <f t="array" ref="E164">angleDecimal2Txt(H121,0)</f>
        <v>+00°39.79</v>
      </c>
      <c r="F164" s="1280"/>
      <c r="G164" s="1280"/>
      <c r="H164" s="1280"/>
      <c r="I164" s="1280"/>
      <c r="J164" s="1169"/>
      <c r="AB164" s="61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customFormat="1" ht="17.25" customHeight="1"/>
    <row r="177" spans="3:65" customFormat="1" ht="17.25" customHeight="1"/>
    <row r="178" spans="3:65" customFormat="1" ht="17.25" customHeight="1"/>
    <row r="179" spans="3:65" customFormat="1" ht="17.25" customHeight="1"/>
    <row r="180" spans="3:65" customFormat="1" ht="17.25" customHeight="1"/>
    <row r="181" spans="3:65" s="16" customFormat="1" ht="17.25" customHeight="1">
      <c r="C181" s="59"/>
      <c r="D181" s="59"/>
      <c r="E181" s="59"/>
      <c r="F181" s="59"/>
      <c r="AA181" s="23"/>
      <c r="AB181" s="90"/>
      <c r="AC181" s="22"/>
      <c r="AD181" s="24"/>
      <c r="AE181" s="24"/>
      <c r="AF181" s="24"/>
      <c r="AG181" s="24"/>
      <c r="AH181" s="24"/>
      <c r="AI181" s="24"/>
      <c r="AJ181" s="24"/>
      <c r="AK181" s="24"/>
      <c r="AL181" s="78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</row>
    <row r="182" spans="3:65" s="16" customFormat="1" ht="17.25" customHeight="1">
      <c r="C182" s="59"/>
      <c r="D182" s="59"/>
      <c r="E182" s="59"/>
      <c r="F182" s="59"/>
      <c r="AA182" s="23"/>
      <c r="AB182" s="90"/>
      <c r="AC182" s="22"/>
      <c r="AD182" s="24"/>
      <c r="AE182" s="24"/>
      <c r="AF182" s="24"/>
      <c r="AG182" s="24"/>
      <c r="AH182" s="24"/>
      <c r="AI182" s="24"/>
      <c r="AJ182" s="24"/>
      <c r="AK182" s="24"/>
      <c r="AL182" s="78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</row>
  </sheetData>
  <dataConsolidate/>
  <mergeCells count="289">
    <mergeCell ref="H123:L123"/>
    <mergeCell ref="N122:O122"/>
    <mergeCell ref="P122:R122"/>
    <mergeCell ref="T122:V122"/>
    <mergeCell ref="N123:O123"/>
    <mergeCell ref="P123:R123"/>
    <mergeCell ref="T123:V123"/>
    <mergeCell ref="D109:G111"/>
    <mergeCell ref="D117:G119"/>
    <mergeCell ref="N112:Z112"/>
    <mergeCell ref="D113:G115"/>
    <mergeCell ref="H113:L114"/>
    <mergeCell ref="H117:L118"/>
    <mergeCell ref="X118:Y118"/>
    <mergeCell ref="H119:L119"/>
    <mergeCell ref="N121:W121"/>
    <mergeCell ref="N110:O110"/>
    <mergeCell ref="P110:R110"/>
    <mergeCell ref="T110:V110"/>
    <mergeCell ref="H111:L111"/>
    <mergeCell ref="N113:W113"/>
    <mergeCell ref="N117:W117"/>
    <mergeCell ref="N118:O118"/>
    <mergeCell ref="P118:R118"/>
    <mergeCell ref="T118:V118"/>
    <mergeCell ref="H115:L115"/>
    <mergeCell ref="N111:O111"/>
    <mergeCell ref="P111:R111"/>
    <mergeCell ref="T111:V111"/>
    <mergeCell ref="H109:L110"/>
    <mergeCell ref="H121:L122"/>
    <mergeCell ref="P16:X16"/>
    <mergeCell ref="P17:X17"/>
    <mergeCell ref="F33:H33"/>
    <mergeCell ref="C34:H34"/>
    <mergeCell ref="I34:I35"/>
    <mergeCell ref="J34:M35"/>
    <mergeCell ref="N34:P35"/>
    <mergeCell ref="N114:O114"/>
    <mergeCell ref="P114:R114"/>
    <mergeCell ref="T114:V114"/>
    <mergeCell ref="N109:W109"/>
    <mergeCell ref="F45:H46"/>
    <mergeCell ref="I45:L46"/>
    <mergeCell ref="M45:O46"/>
    <mergeCell ref="E27:H28"/>
    <mergeCell ref="F29:H30"/>
    <mergeCell ref="I29:I30"/>
    <mergeCell ref="J29:N30"/>
    <mergeCell ref="O29:X30"/>
    <mergeCell ref="C43:F43"/>
    <mergeCell ref="G43:I43"/>
    <mergeCell ref="F51:K51"/>
    <mergeCell ref="F53:H54"/>
    <mergeCell ref="I53:L54"/>
    <mergeCell ref="M53:O54"/>
    <mergeCell ref="P53:T54"/>
    <mergeCell ref="Q34:U35"/>
    <mergeCell ref="F38:H38"/>
    <mergeCell ref="J38:L38"/>
    <mergeCell ref="M38:O38"/>
    <mergeCell ref="C39:H39"/>
    <mergeCell ref="I39:M40"/>
    <mergeCell ref="N39:P40"/>
    <mergeCell ref="Q39:U40"/>
    <mergeCell ref="F42:H42"/>
    <mergeCell ref="L42:M42"/>
    <mergeCell ref="U53:Y54"/>
    <mergeCell ref="C18:I18"/>
    <mergeCell ref="J18:L18"/>
    <mergeCell ref="M18:O18"/>
    <mergeCell ref="E22:H23"/>
    <mergeCell ref="A24:C24"/>
    <mergeCell ref="F24:H25"/>
    <mergeCell ref="I24:I25"/>
    <mergeCell ref="J24:N25"/>
    <mergeCell ref="O24:X25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AC43:AC44"/>
    <mergeCell ref="P45:T46"/>
    <mergeCell ref="F47:H50"/>
    <mergeCell ref="I47:L50"/>
    <mergeCell ref="M47:O48"/>
    <mergeCell ref="P47:P48"/>
    <mergeCell ref="Q47:T48"/>
    <mergeCell ref="U47:Y48"/>
    <mergeCell ref="M49:O50"/>
    <mergeCell ref="P49:P50"/>
    <mergeCell ref="Q49:T50"/>
    <mergeCell ref="U49:Y50"/>
    <mergeCell ref="F55:H56"/>
    <mergeCell ref="I55:L56"/>
    <mergeCell ref="M55:O56"/>
    <mergeCell ref="P55:P56"/>
    <mergeCell ref="Q55:T56"/>
    <mergeCell ref="U55:U56"/>
    <mergeCell ref="V55:Y56"/>
    <mergeCell ref="F57:K57"/>
    <mergeCell ref="P57:T57"/>
    <mergeCell ref="U57:Y57"/>
    <mergeCell ref="AC69:AC70"/>
    <mergeCell ref="F70:I70"/>
    <mergeCell ref="J70:L70"/>
    <mergeCell ref="H71:N71"/>
    <mergeCell ref="O71:R71"/>
    <mergeCell ref="U71:Z71"/>
    <mergeCell ref="F64:H64"/>
    <mergeCell ref="J64:L64"/>
    <mergeCell ref="M64:O64"/>
    <mergeCell ref="C65:H65"/>
    <mergeCell ref="I65:L65"/>
    <mergeCell ref="N65:Q65"/>
    <mergeCell ref="I66:N66"/>
    <mergeCell ref="D68:E68"/>
    <mergeCell ref="F68:H68"/>
    <mergeCell ref="P68:Q68"/>
    <mergeCell ref="AD88:AE88"/>
    <mergeCell ref="H89:N89"/>
    <mergeCell ref="O89:R89"/>
    <mergeCell ref="U89:Z89"/>
    <mergeCell ref="AD89:AE89"/>
    <mergeCell ref="H83:N83"/>
    <mergeCell ref="O83:R83"/>
    <mergeCell ref="S83:U83"/>
    <mergeCell ref="H84:N84"/>
    <mergeCell ref="O84:R84"/>
    <mergeCell ref="S84:U84"/>
    <mergeCell ref="H85:N85"/>
    <mergeCell ref="O85:R85"/>
    <mergeCell ref="U85:Z85"/>
    <mergeCell ref="AD90:AE90"/>
    <mergeCell ref="G91:S91"/>
    <mergeCell ref="G92:H93"/>
    <mergeCell ref="I92:N92"/>
    <mergeCell ref="O92:R93"/>
    <mergeCell ref="S92:S93"/>
    <mergeCell ref="AD92:AE92"/>
    <mergeCell ref="I93:N93"/>
    <mergeCell ref="I94:N94"/>
    <mergeCell ref="O94:R95"/>
    <mergeCell ref="S94:S95"/>
    <mergeCell ref="I95:N95"/>
    <mergeCell ref="N103:P103"/>
    <mergeCell ref="N104:P104"/>
    <mergeCell ref="W104:AA104"/>
    <mergeCell ref="H87:N87"/>
    <mergeCell ref="O87:R87"/>
    <mergeCell ref="H88:N88"/>
    <mergeCell ref="O88:R88"/>
    <mergeCell ref="M77:P77"/>
    <mergeCell ref="M78:P78"/>
    <mergeCell ref="H79:N79"/>
    <mergeCell ref="O79:R79"/>
    <mergeCell ref="U79:Z79"/>
    <mergeCell ref="H80:N80"/>
    <mergeCell ref="O80:R80"/>
    <mergeCell ref="U80:Z80"/>
    <mergeCell ref="S82:U82"/>
    <mergeCell ref="E12:H12"/>
    <mergeCell ref="J33:P33"/>
    <mergeCell ref="J68:N68"/>
    <mergeCell ref="I96:N96"/>
    <mergeCell ref="O96:R96"/>
    <mergeCell ref="H98:N98"/>
    <mergeCell ref="O98:R98"/>
    <mergeCell ref="U98:Z98"/>
    <mergeCell ref="F100:I100"/>
    <mergeCell ref="J100:L100"/>
    <mergeCell ref="H72:N72"/>
    <mergeCell ref="O72:R72"/>
    <mergeCell ref="U72:Z72"/>
    <mergeCell ref="H73:N73"/>
    <mergeCell ref="O73:R73"/>
    <mergeCell ref="U73:Z73"/>
    <mergeCell ref="M74:P74"/>
    <mergeCell ref="H75:N75"/>
    <mergeCell ref="O75:P75"/>
    <mergeCell ref="R75:S75"/>
    <mergeCell ref="U75:Z75"/>
    <mergeCell ref="V68:X68"/>
    <mergeCell ref="C69:F69"/>
    <mergeCell ref="G69:I69"/>
    <mergeCell ref="B132:C132"/>
    <mergeCell ref="D132:G132"/>
    <mergeCell ref="I132:L132"/>
    <mergeCell ref="B133:C133"/>
    <mergeCell ref="C136:D136"/>
    <mergeCell ref="E136:I136"/>
    <mergeCell ref="H106:N106"/>
    <mergeCell ref="O106:R106"/>
    <mergeCell ref="U106:Z106"/>
    <mergeCell ref="H127:I127"/>
    <mergeCell ref="K127:L127"/>
    <mergeCell ref="N127:R127"/>
    <mergeCell ref="S127:T127"/>
    <mergeCell ref="H128:J128"/>
    <mergeCell ref="K128:L128"/>
    <mergeCell ref="S128:X128"/>
    <mergeCell ref="M125:N125"/>
    <mergeCell ref="P125:R125"/>
    <mergeCell ref="S125:U125"/>
    <mergeCell ref="W125:Y125"/>
    <mergeCell ref="H126:I126"/>
    <mergeCell ref="K126:L126"/>
    <mergeCell ref="A125:D125"/>
    <mergeCell ref="D121:G123"/>
    <mergeCell ref="E142:I142"/>
    <mergeCell ref="J142:L142"/>
    <mergeCell ref="C137:D137"/>
    <mergeCell ref="E137:I137"/>
    <mergeCell ref="C138:D138"/>
    <mergeCell ref="E138:I138"/>
    <mergeCell ref="E139:I139"/>
    <mergeCell ref="J139:L139"/>
    <mergeCell ref="F140:G140"/>
    <mergeCell ref="H140:L140"/>
    <mergeCell ref="H151:J151"/>
    <mergeCell ref="K151:M151"/>
    <mergeCell ref="H152:J152"/>
    <mergeCell ref="K152:M152"/>
    <mergeCell ref="C153:D153"/>
    <mergeCell ref="E153:J153"/>
    <mergeCell ref="F143:J143"/>
    <mergeCell ref="K143:M143"/>
    <mergeCell ref="N143:P145"/>
    <mergeCell ref="F144:J144"/>
    <mergeCell ref="K144:M144"/>
    <mergeCell ref="F145:J145"/>
    <mergeCell ref="K145:M145"/>
    <mergeCell ref="C149:D149"/>
    <mergeCell ref="E149:J149"/>
    <mergeCell ref="F160:H160"/>
    <mergeCell ref="I160:M160"/>
    <mergeCell ref="F161:M161"/>
    <mergeCell ref="F162:M162"/>
    <mergeCell ref="C164:D164"/>
    <mergeCell ref="F158:M158"/>
    <mergeCell ref="C163:D163"/>
    <mergeCell ref="E163:J163"/>
    <mergeCell ref="E164:J164"/>
    <mergeCell ref="F59:H59"/>
    <mergeCell ref="J59:L59"/>
    <mergeCell ref="M59:O59"/>
    <mergeCell ref="C60:H60"/>
    <mergeCell ref="I60:L60"/>
    <mergeCell ref="N60:Q60"/>
    <mergeCell ref="I61:N61"/>
    <mergeCell ref="F159:H159"/>
    <mergeCell ref="I159:M159"/>
    <mergeCell ref="D133:G133"/>
    <mergeCell ref="H141:L141"/>
    <mergeCell ref="F141:G141"/>
    <mergeCell ref="C154:D154"/>
    <mergeCell ref="E154:J154"/>
    <mergeCell ref="E155:J155"/>
    <mergeCell ref="C155:D155"/>
    <mergeCell ref="F151:F152"/>
    <mergeCell ref="G151:G152"/>
    <mergeCell ref="C156:D156"/>
    <mergeCell ref="E156:J156"/>
    <mergeCell ref="C157:D157"/>
    <mergeCell ref="E157:J157"/>
    <mergeCell ref="C150:D150"/>
    <mergeCell ref="E150:J150"/>
  </mergeCells>
  <dataValidations disablePrompts="1" count="4">
    <dataValidation type="list" allowBlank="1" showInputMessage="1" showErrorMessage="1" sqref="I24:I25 I34:I35 P63 U63" xr:uid="{0DA47A85-D058-4087-A6E8-241F40BE2D51}">
      <formula1>$A$26:$A$27</formula1>
    </dataValidation>
    <dataValidation type="list" allowBlank="1" showInputMessage="1" showErrorMessage="1" sqref="M31 U55:U56 P55:P56 P47:P50 R31 I29 I31" xr:uid="{239E5E10-A991-47A6-BD88-A98A423A3E01}">
      <formula1>$B$26:$B$27</formula1>
    </dataValidation>
    <dataValidation type="list" allowBlank="1" showInputMessage="1" showErrorMessage="1" sqref="G43:I43" xr:uid="{6D4D35CA-2A22-45E4-BB59-561A017C0215}">
      <formula1>$AD$43:$AD$44</formula1>
    </dataValidation>
    <dataValidation type="list" allowBlank="1" showInputMessage="1" showErrorMessage="1" sqref="G69:I69" xr:uid="{03F10643-B6D2-439A-864B-66743CDC2ECC}">
      <formula1>$AD$69:$AD$70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128</xdr:row>
                    <xdr:rowOff>95250</xdr:rowOff>
                  </from>
                  <to>
                    <xdr:col>7</xdr:col>
                    <xdr:colOff>9525</xdr:colOff>
                    <xdr:row>129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C2:BN18"/>
  <sheetViews>
    <sheetView workbookViewId="0">
      <selection activeCell="K17" sqref="K17"/>
    </sheetView>
  </sheetViews>
  <sheetFormatPr defaultColWidth="11.42578125" defaultRowHeight="15"/>
  <sheetData>
    <row r="2" spans="3:66" ht="15.75" thickBot="1"/>
    <row r="3" spans="3:66">
      <c r="C3" s="1335" t="s">
        <v>110</v>
      </c>
      <c r="D3" s="1336"/>
      <c r="E3" s="1336"/>
      <c r="F3" s="1337"/>
    </row>
    <row r="4" spans="3:66">
      <c r="C4" s="52" t="s">
        <v>53</v>
      </c>
      <c r="D4" s="53" t="s">
        <v>93</v>
      </c>
      <c r="E4" s="54" t="s">
        <v>160</v>
      </c>
      <c r="F4" s="297">
        <f>PI()/180</f>
        <v>1.7453292519943295E-2</v>
      </c>
    </row>
    <row r="5" spans="3:66" ht="15.75" thickBot="1">
      <c r="C5" s="19" t="s">
        <v>95</v>
      </c>
      <c r="D5" s="55" t="s">
        <v>93</v>
      </c>
      <c r="E5" s="56" t="s">
        <v>161</v>
      </c>
      <c r="F5" s="298">
        <f>180/PI()</f>
        <v>57.295779513082323</v>
      </c>
    </row>
    <row r="6" spans="3:66" ht="15.75" thickBot="1"/>
    <row r="7" spans="3:66" ht="15.75" thickBot="1">
      <c r="C7" s="555" t="s">
        <v>34</v>
      </c>
      <c r="D7" s="556"/>
      <c r="E7" s="557"/>
    </row>
    <row r="8" spans="3:66">
      <c r="C8" s="17" t="s">
        <v>41</v>
      </c>
      <c r="D8" s="32" t="s">
        <v>42</v>
      </c>
      <c r="E8" s="18"/>
    </row>
    <row r="9" spans="3:66">
      <c r="C9" s="17" t="s">
        <v>3</v>
      </c>
      <c r="D9" s="32" t="s">
        <v>5</v>
      </c>
      <c r="E9" s="18">
        <v>1</v>
      </c>
    </row>
    <row r="10" spans="3:66" ht="15.75" thickBot="1">
      <c r="C10" s="19" t="s">
        <v>4</v>
      </c>
      <c r="D10" s="20" t="s">
        <v>6</v>
      </c>
      <c r="E10" s="21">
        <v>-1</v>
      </c>
    </row>
    <row r="15" spans="3:66" s="16" customFormat="1" ht="17.25" customHeight="1"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3:66" s="16" customFormat="1" ht="17.25" customHeight="1"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8:66" s="16" customFormat="1" ht="17.25" customHeight="1"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28:66" s="16" customFormat="1" ht="17.25" customHeight="1"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</sheetData>
  <sheetProtection selectLockedCells="1" selectUnlockedCells="1"/>
  <mergeCells count="2">
    <mergeCell ref="C3:F3"/>
    <mergeCell ref="C7:E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7"/>
  <sheetViews>
    <sheetView workbookViewId="0">
      <selection activeCell="F13" sqref="F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433</v>
      </c>
      <c r="E1" s="269">
        <v>31557600</v>
      </c>
      <c r="G1" s="270" t="s">
        <v>438</v>
      </c>
      <c r="H1" s="270"/>
    </row>
    <row r="3" spans="2:9">
      <c r="B3" s="10" t="s">
        <v>426</v>
      </c>
      <c r="C3" s="10" t="s">
        <v>427</v>
      </c>
      <c r="D3" s="244" t="s">
        <v>432</v>
      </c>
      <c r="E3" s="271" t="s">
        <v>434</v>
      </c>
      <c r="F3" s="244" t="s">
        <v>431</v>
      </c>
      <c r="G3" s="273" t="s">
        <v>436</v>
      </c>
      <c r="H3" s="244" t="s">
        <v>437</v>
      </c>
      <c r="I3" s="272" t="s">
        <v>439</v>
      </c>
    </row>
    <row r="4" spans="2:9">
      <c r="B4" s="274" t="s">
        <v>428</v>
      </c>
      <c r="C4" s="10">
        <v>0</v>
      </c>
      <c r="D4" s="244">
        <f>dateConvert2Decimal(B4)</f>
        <v>1696118400</v>
      </c>
      <c r="E4" s="244"/>
      <c r="F4" s="244"/>
      <c r="G4" s="273"/>
      <c r="H4" s="244"/>
      <c r="I4" s="273"/>
    </row>
    <row r="5" spans="2:9">
      <c r="B5" s="221" t="s">
        <v>429</v>
      </c>
      <c r="C5" s="10">
        <v>62</v>
      </c>
      <c r="D5" s="244">
        <f>dateConvert2Decimal(B5)</f>
        <v>1714521600</v>
      </c>
      <c r="E5" s="244">
        <f>D5-$D$4</f>
        <v>18403200</v>
      </c>
      <c r="F5" s="244">
        <f>$E$1*C5/E5</f>
        <v>106.3169014084507</v>
      </c>
      <c r="G5" s="273">
        <f>30*H5</f>
        <v>8.7323943661971821</v>
      </c>
      <c r="H5" s="244">
        <f>F5/365.25</f>
        <v>0.29107981220657275</v>
      </c>
      <c r="I5" s="273">
        <v>10</v>
      </c>
    </row>
    <row r="6" spans="2:9">
      <c r="B6" s="221" t="s">
        <v>430</v>
      </c>
      <c r="C6" s="10">
        <v>73</v>
      </c>
      <c r="D6" s="244">
        <f>dateConvert2Decimal(B6)</f>
        <v>1721606400</v>
      </c>
      <c r="E6" s="244">
        <f t="shared" ref="E6:E7" si="0">D6-$D$4</f>
        <v>25488000</v>
      </c>
      <c r="F6" s="244">
        <f>$E$1*C6/E6</f>
        <v>90.383898305084742</v>
      </c>
      <c r="G6" s="273">
        <f>30*H6</f>
        <v>7.4237288135593218</v>
      </c>
      <c r="H6" s="244">
        <f t="shared" ref="H6:H7" si="1">F6/365.25</f>
        <v>0.24745762711864405</v>
      </c>
      <c r="I6" s="273">
        <v>12</v>
      </c>
    </row>
    <row r="7" spans="2:9">
      <c r="B7" s="274" t="s">
        <v>435</v>
      </c>
      <c r="C7" s="10">
        <v>86</v>
      </c>
      <c r="D7" s="244">
        <f>dateConvert2Decimal(B7)</f>
        <v>1722816000</v>
      </c>
      <c r="E7" s="244">
        <f t="shared" si="0"/>
        <v>26697600</v>
      </c>
      <c r="F7" s="244">
        <f>$E$1*C7/E7</f>
        <v>101.65533980582525</v>
      </c>
      <c r="G7" s="273">
        <f>30*H7</f>
        <v>8.3495145631067977</v>
      </c>
      <c r="H7" s="244">
        <f t="shared" si="1"/>
        <v>0.27831715210355989</v>
      </c>
      <c r="I7" s="273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RowHeight="15"/>
  <sheetData>
    <row r="5" spans="5:9">
      <c r="E5" s="11" t="s">
        <v>542</v>
      </c>
      <c r="F5" cm="1">
        <f t="array" ref="F5">heureConvert2Decimal(E5)</f>
        <v>12.336944444444445</v>
      </c>
    </row>
    <row r="6" spans="5:9">
      <c r="E6" s="11" t="s">
        <v>540</v>
      </c>
      <c r="F6" cm="1">
        <f t="array" ref="F6">heureConvert2Decimal(E6)</f>
        <v>8.5013888888888882</v>
      </c>
    </row>
    <row r="7" spans="5:9">
      <c r="E7" s="11" t="s">
        <v>541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2024-11-14T16:18:19Z</cp:lastPrinted>
  <dcterms:created xsi:type="dcterms:W3CDTF">2023-12-16T12:20:09Z</dcterms:created>
  <dcterms:modified xsi:type="dcterms:W3CDTF">2025-01-02T17:00:46Z</dcterms:modified>
</cp:coreProperties>
</file>