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6C3724B6-98A9-445D-B1EF-F762E39D3F05}" xr6:coauthVersionLast="47" xr6:coauthVersionMax="47" xr10:uidLastSave="{00000000-0000-0000-0000-000000000000}"/>
  <bookViews>
    <workbookView xWindow="390" yWindow="1125" windowWidth="28395" windowHeight="13410" tabRatio="872" firstSheet="1" activeTab="7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0" r:id="rId7"/>
    <sheet name="RecalageCompas" sheetId="21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hauteur-lune'!$B$203:$Q$256</definedName>
    <definedName name="_xlnm.Print_Area" localSheetId="0">'Droite de hauteur-soleil'!$B$179:$Q$231</definedName>
    <definedName name="_xlnm.Print_Area" localSheetId="5">'Latitude Polaire'!$B$132:$Q$164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9" i="20" l="1"/>
  <c r="G49" i="20" s="1"/>
  <c r="H33" i="20"/>
  <c r="G41" i="20"/>
  <c r="K78" i="11"/>
  <c r="K76" i="11"/>
  <c r="T19" i="19"/>
  <c r="S19" i="19"/>
  <c r="S18" i="19"/>
  <c r="R18" i="19"/>
  <c r="R19" i="19" s="1"/>
  <c r="Q18" i="19"/>
  <c r="Q19" i="19" s="1"/>
  <c r="P18" i="19"/>
  <c r="P19" i="19" s="1"/>
  <c r="O18" i="19"/>
  <c r="O19" i="19" s="1"/>
  <c r="N18" i="19"/>
  <c r="N19" i="19" s="1"/>
  <c r="M18" i="19"/>
  <c r="M19" i="19" s="1"/>
  <c r="L18" i="19"/>
  <c r="L19" i="19" s="1"/>
  <c r="K18" i="19"/>
  <c r="K19" i="19" s="1"/>
  <c r="J18" i="19"/>
  <c r="J19" i="19" s="1"/>
  <c r="I18" i="19"/>
  <c r="I19" i="19" s="1"/>
  <c r="H18" i="19"/>
  <c r="H19" i="19" s="1"/>
  <c r="G18" i="19"/>
  <c r="G19" i="19" s="1"/>
  <c r="F18" i="19"/>
  <c r="F19" i="19" s="1"/>
  <c r="E19" i="19"/>
  <c r="E18" i="19"/>
  <c r="S17" i="19"/>
  <c r="E17" i="19"/>
  <c r="E20" i="19" a="1"/>
  <c r="E20" i="19" s="1"/>
  <c r="H27" i="20"/>
  <c r="G22" i="15"/>
  <c r="G21" i="15"/>
  <c r="H231" i="11"/>
  <c r="H227" i="11"/>
  <c r="AH11" i="17"/>
  <c r="AD111" i="11"/>
  <c r="AD99" i="11"/>
  <c r="AD95" i="11"/>
  <c r="AD93" i="11"/>
  <c r="I93" i="11"/>
  <c r="AD89" i="11"/>
  <c r="AD87" i="11"/>
  <c r="AD86" i="11"/>
  <c r="I86" i="11"/>
  <c r="AD90" i="11" s="1"/>
  <c r="AD65" i="11"/>
  <c r="AD63" i="11"/>
  <c r="AD62" i="11"/>
  <c r="AD54" i="11"/>
  <c r="AD50" i="11"/>
  <c r="AD48" i="11"/>
  <c r="T48" i="11"/>
  <c r="AD44" i="11"/>
  <c r="AD42" i="11"/>
  <c r="AD41" i="11"/>
  <c r="J78" i="20" a="1"/>
  <c r="U117" i="11" a="1"/>
  <c r="I27" i="20" a="1"/>
  <c r="H36" i="20" a="1"/>
  <c r="H35" i="20" a="1"/>
  <c r="H31" i="20" a="1"/>
  <c r="G43" i="20" a="1"/>
  <c r="H28" i="20" a="1"/>
  <c r="G42" i="20" a="1"/>
  <c r="G40" i="20" a="1"/>
  <c r="G38" i="20" a="1"/>
  <c r="H34" i="20" a="1"/>
  <c r="N76" i="11" a="1"/>
  <c r="N78" i="11" a="1"/>
  <c r="AE41" i="11" a="1"/>
  <c r="F78" i="20" a="1"/>
  <c r="M55" i="20" a="1"/>
  <c r="F11" i="17"/>
  <c r="F83" i="20" a="1"/>
  <c r="AD94" i="11" a="1"/>
  <c r="F82" i="20" a="1"/>
  <c r="AD100" i="11" a="1"/>
  <c r="AE87" i="11" a="1"/>
  <c r="F80" i="20" a="1"/>
  <c r="D71" i="11" a="1"/>
  <c r="AE63" i="11" a="1"/>
  <c r="AD55" i="11" a="1"/>
  <c r="AD49" i="11" a="1"/>
  <c r="F79" i="20" a="1"/>
  <c r="F85" i="20" a="1"/>
  <c r="F84" i="20" a="1"/>
  <c r="F81" i="20" a="1"/>
  <c r="AD96" i="11" a="1"/>
  <c r="AE86" i="11" a="1"/>
  <c r="K95" i="11" a="1"/>
  <c r="AE62" i="11" a="1"/>
  <c r="K50" i="11" a="1"/>
  <c r="AD51" i="11" a="1"/>
  <c r="AE42" i="11" a="1"/>
  <c r="J78" i="20" l="1"/>
  <c r="U117" i="11"/>
  <c r="I27" i="20"/>
  <c r="H36" i="20"/>
  <c r="H37" i="20" s="1"/>
  <c r="H35" i="20"/>
  <c r="H31" i="20"/>
  <c r="G43" i="20"/>
  <c r="H28" i="20"/>
  <c r="G42" i="20"/>
  <c r="L48" i="20" s="1"/>
  <c r="G40" i="20"/>
  <c r="I48" i="20" s="1"/>
  <c r="G38" i="20"/>
  <c r="G48" i="20" s="1"/>
  <c r="G50" i="20" s="1"/>
  <c r="H34" i="20"/>
  <c r="N76" i="11"/>
  <c r="N78" i="11"/>
  <c r="M55" i="20"/>
  <c r="F79" i="20"/>
  <c r="G90" i="20" s="1"/>
  <c r="F80" i="20"/>
  <c r="G91" i="20" s="1"/>
  <c r="F81" i="20"/>
  <c r="G92" i="20" s="1"/>
  <c r="F82" i="20"/>
  <c r="G93" i="20" s="1"/>
  <c r="F83" i="20"/>
  <c r="G94" i="20" s="1"/>
  <c r="F84" i="20"/>
  <c r="G95" i="20" s="1"/>
  <c r="F85" i="20"/>
  <c r="G96" i="20" s="1"/>
  <c r="F78" i="20"/>
  <c r="K95" i="11"/>
  <c r="AE86" i="11"/>
  <c r="AF86" i="11" s="1"/>
  <c r="AD96" i="11"/>
  <c r="AE87" i="11"/>
  <c r="AF87" i="11" s="1"/>
  <c r="AD100" i="11"/>
  <c r="AD94" i="11"/>
  <c r="D71" i="11"/>
  <c r="AE63" i="11"/>
  <c r="AE62" i="11"/>
  <c r="AE41" i="11"/>
  <c r="AE42" i="11"/>
  <c r="AD49" i="11"/>
  <c r="AD51" i="11"/>
  <c r="AD55" i="11"/>
  <c r="D54" i="11" s="1"/>
  <c r="K50" i="11"/>
  <c r="H49" i="20" a="1"/>
  <c r="I34" i="20" a="1"/>
  <c r="I37" i="20" a="1"/>
  <c r="H29" i="20" a="1"/>
  <c r="S76" i="11" a="1"/>
  <c r="S78" i="11" a="1"/>
  <c r="H232" i="11" a="1"/>
  <c r="S86" i="11" a="1"/>
  <c r="S95" i="11" a="1"/>
  <c r="S50" i="11" a="1"/>
  <c r="H228" i="11" a="1"/>
  <c r="D101" i="11" a="1"/>
  <c r="N95" i="11" a="1"/>
  <c r="S88" i="11" a="1"/>
  <c r="S64" i="11" a="1"/>
  <c r="N50" i="11" a="1"/>
  <c r="D56" i="11" a="1"/>
  <c r="S41" i="11" a="1"/>
  <c r="S43" i="11" a="1"/>
  <c r="S62" i="11" a="1"/>
  <c r="H49" i="20" l="1"/>
  <c r="G89" i="20"/>
  <c r="G81" i="20" a="1"/>
  <c r="G81" i="20" s="1"/>
  <c r="M49" i="20"/>
  <c r="I34" i="20"/>
  <c r="K39" i="20"/>
  <c r="I37" i="20"/>
  <c r="G51" i="20"/>
  <c r="S78" i="11"/>
  <c r="S76" i="11"/>
  <c r="H29" i="20"/>
  <c r="H30" i="20" s="1"/>
  <c r="L59" i="20"/>
  <c r="I65" i="20" s="1"/>
  <c r="L58" i="20"/>
  <c r="H232" i="11"/>
  <c r="H228" i="11"/>
  <c r="S88" i="11"/>
  <c r="N95" i="11"/>
  <c r="D101" i="11"/>
  <c r="S95" i="11"/>
  <c r="S86" i="11"/>
  <c r="AD88" i="11"/>
  <c r="AF91" i="11" s="1"/>
  <c r="AF97" i="11"/>
  <c r="D99" i="11"/>
  <c r="S62" i="11"/>
  <c r="S64" i="11"/>
  <c r="AD64" i="11"/>
  <c r="S43" i="11"/>
  <c r="S41" i="11"/>
  <c r="D56" i="11"/>
  <c r="S50" i="11"/>
  <c r="N50" i="11"/>
  <c r="AD43" i="11"/>
  <c r="J39" i="20" a="1"/>
  <c r="H32" i="20" a="1"/>
  <c r="H50" i="20" a="1"/>
  <c r="L57" i="20" l="1"/>
  <c r="L56" i="20"/>
  <c r="H96" i="20"/>
  <c r="H95" i="20"/>
  <c r="H94" i="20"/>
  <c r="H93" i="20"/>
  <c r="H92" i="20"/>
  <c r="H91" i="20"/>
  <c r="H90" i="20"/>
  <c r="H89" i="20"/>
  <c r="J39" i="20"/>
  <c r="G52" i="20"/>
  <c r="G53" i="20"/>
  <c r="H32" i="20"/>
  <c r="H50" i="20"/>
  <c r="AD97" i="11"/>
  <c r="D93" i="11"/>
  <c r="AD91" i="11"/>
  <c r="D86" i="11"/>
  <c r="AD34" i="11"/>
  <c r="AD32" i="11"/>
  <c r="I32" i="20" a="1"/>
  <c r="H52" i="20" a="1"/>
  <c r="AD35" i="11" a="1"/>
  <c r="J24" i="11" a="1"/>
  <c r="D95" i="11" a="1"/>
  <c r="AD33" i="11" a="1"/>
  <c r="D89" i="11" a="1"/>
  <c r="I49" i="20" l="1"/>
  <c r="M54" i="20"/>
  <c r="N55" i="20" s="1"/>
  <c r="I32" i="20"/>
  <c r="K41" i="20"/>
  <c r="G56" i="20"/>
  <c r="G57" i="20"/>
  <c r="H52" i="20"/>
  <c r="D95" i="11"/>
  <c r="D89" i="11"/>
  <c r="F82" i="11"/>
  <c r="AD33" i="11"/>
  <c r="G32" i="11" s="1"/>
  <c r="H254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D94" i="16"/>
  <c r="T49" i="1"/>
  <c r="AD55" i="10"/>
  <c r="AD53" i="10"/>
  <c r="AD47" i="10"/>
  <c r="AD46" i="10"/>
  <c r="AD34" i="10"/>
  <c r="AD29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G18" i="15"/>
  <c r="F18" i="15"/>
  <c r="AL149" i="16"/>
  <c r="AL148" i="16"/>
  <c r="AL147" i="16"/>
  <c r="AL146" i="16"/>
  <c r="AL145" i="16"/>
  <c r="AL144" i="16"/>
  <c r="AL143" i="16"/>
  <c r="AL142" i="16"/>
  <c r="AL141" i="16"/>
  <c r="J49" i="20" a="1"/>
  <c r="J41" i="20" a="1"/>
  <c r="H53" i="20" a="1"/>
  <c r="N54" i="20" a="1"/>
  <c r="AD102" i="16" a="1"/>
  <c r="AH143" i="16" a="1"/>
  <c r="P83" i="16" a="1"/>
  <c r="AG146" i="16" a="1"/>
  <c r="AH141" i="16" a="1"/>
  <c r="E226" i="11" a="1"/>
  <c r="AF146" i="16" a="1"/>
  <c r="P34" i="11" a="1"/>
  <c r="T7" i="16"/>
  <c r="P32" i="11" a="1"/>
  <c r="AH142" i="16" a="1"/>
  <c r="AH148" i="16" a="1"/>
  <c r="AE95" i="16" a="1"/>
  <c r="K135" i="13" a="1"/>
  <c r="F8" i="13"/>
  <c r="D135" i="13" a="1"/>
  <c r="L6" i="13"/>
  <c r="AD134" i="13" a="1"/>
  <c r="AD11" i="13" a="1"/>
  <c r="D129" i="13" a="1"/>
  <c r="AG74" i="13"/>
  <c r="AD140" i="13" a="1"/>
  <c r="T6" i="13"/>
  <c r="AD136" i="13" a="1"/>
  <c r="F20" i="13"/>
  <c r="AE127" i="13" a="1"/>
  <c r="AD74" i="13"/>
  <c r="AE126" i="13" a="1"/>
  <c r="AD13" i="13" a="1"/>
  <c r="P115" i="13" a="1"/>
  <c r="O20" i="13"/>
  <c r="D97" i="16" a="1"/>
  <c r="F16" i="13" a="1"/>
  <c r="AE64" i="1" a="1"/>
  <c r="AD108" i="16" a="1"/>
  <c r="AE63" i="1" a="1"/>
  <c r="AD104" i="16" a="1"/>
  <c r="K103" i="16" a="1"/>
  <c r="K72" i="1" a="1"/>
  <c r="AF145" i="16" a="1"/>
  <c r="K51" i="1" a="1"/>
  <c r="P25" i="1" a="1"/>
  <c r="AH149" i="16" a="1"/>
  <c r="E225" i="11" a="1"/>
  <c r="AG145" i="16" a="1"/>
  <c r="AE94" i="16" a="1"/>
  <c r="AH144" i="16" a="1"/>
  <c r="J49" i="20" l="1"/>
  <c r="I50" i="20"/>
  <c r="J41" i="20"/>
  <c r="H53" i="20"/>
  <c r="G54" i="20"/>
  <c r="G55" i="20" s="1"/>
  <c r="N54" i="20"/>
  <c r="I52" i="20"/>
  <c r="D97" i="16"/>
  <c r="E226" i="11"/>
  <c r="E225" i="11"/>
  <c r="E179" i="11"/>
  <c r="Q150" i="11"/>
  <c r="Q162" i="11" s="1"/>
  <c r="AD104" i="11"/>
  <c r="L82" i="11"/>
  <c r="P32" i="11"/>
  <c r="P34" i="11"/>
  <c r="F253" i="13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J50" i="20" a="1"/>
  <c r="H54" i="20" a="1"/>
  <c r="J52" i="20" a="1"/>
  <c r="Y27" i="11" a="1"/>
  <c r="AD105" i="11" a="1"/>
  <c r="AD164" i="13" a="1"/>
  <c r="P119" i="13" a="1"/>
  <c r="S126" i="13" a="1"/>
  <c r="S128" i="13" a="1"/>
  <c r="S135" i="13" a="1"/>
  <c r="D141" i="13" a="1"/>
  <c r="N135" i="13" a="1"/>
  <c r="S115" i="13" a="1"/>
  <c r="O16" i="13" a="1"/>
  <c r="S94" i="16" a="1"/>
  <c r="S96" i="16" a="1"/>
  <c r="N103" i="16" a="1"/>
  <c r="S103" i="16" a="1"/>
  <c r="AH147" i="16" a="1"/>
  <c r="AH146" i="16" a="1"/>
  <c r="AH145" i="16" a="1"/>
  <c r="P87" i="16" a="1"/>
  <c r="D109" i="16" a="1"/>
  <c r="O10" i="13" a="1"/>
  <c r="O8" i="13"/>
  <c r="J50" i="20" l="1"/>
  <c r="I51" i="20"/>
  <c r="G59" i="20"/>
  <c r="G58" i="20"/>
  <c r="H54" i="20"/>
  <c r="J52" i="20"/>
  <c r="F27" i="13"/>
  <c r="F25" i="13" s="1"/>
  <c r="H250" i="13" s="1"/>
  <c r="AD54" i="13"/>
  <c r="AF64" i="1"/>
  <c r="AF63" i="1"/>
  <c r="K170" i="11"/>
  <c r="E178" i="11"/>
  <c r="AD105" i="11"/>
  <c r="N104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P87" i="16"/>
  <c r="AH147" i="16"/>
  <c r="AH145" i="16"/>
  <c r="AH146" i="16"/>
  <c r="G14" i="15"/>
  <c r="F13" i="15"/>
  <c r="F14" i="15"/>
  <c r="H228" i="16"/>
  <c r="I224" i="13"/>
  <c r="M75" i="16"/>
  <c r="K122" i="13" a="1"/>
  <c r="J78" i="16"/>
  <c r="AI145" i="16" a="1"/>
  <c r="D103" i="16" a="1"/>
  <c r="I25" i="13" a="1"/>
  <c r="F5" i="19" a="1"/>
  <c r="F7" i="19" a="1"/>
  <c r="F6" i="19" a="1"/>
  <c r="AD77" i="1" a="1"/>
  <c r="R104" i="11" a="1"/>
  <c r="S119" i="13" a="1"/>
  <c r="J117" i="13" a="1"/>
  <c r="F23" i="17" a="1"/>
  <c r="J113" i="13" a="1"/>
  <c r="O12" i="13" a="1"/>
  <c r="AI146" i="16" a="1"/>
  <c r="E267" i="13" a="1"/>
  <c r="AD56" i="1" a="1"/>
  <c r="I53" i="20" l="1"/>
  <c r="I56" i="20"/>
  <c r="I64" i="20" s="1"/>
  <c r="I57" i="20"/>
  <c r="I67" i="20" s="1"/>
  <c r="E68" i="13"/>
  <c r="E38" i="13"/>
  <c r="E267" i="13"/>
  <c r="H275" i="13"/>
  <c r="R104" i="11"/>
  <c r="E230" i="11" s="1"/>
  <c r="I104" i="11"/>
  <c r="F103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P33" i="13"/>
  <c r="H251" i="13" s="1"/>
  <c r="I25" i="13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1" i="11"/>
  <c r="F227" i="11"/>
  <c r="M15" i="10"/>
  <c r="M59" i="10"/>
  <c r="H151" i="10"/>
  <c r="G151" i="10"/>
  <c r="E138" i="10"/>
  <c r="E210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195" i="11"/>
  <c r="AD195" i="11"/>
  <c r="AD194" i="11"/>
  <c r="AD193" i="11"/>
  <c r="AE187" i="11"/>
  <c r="J137" i="11"/>
  <c r="O121" i="11"/>
  <c r="O120" i="11"/>
  <c r="J23" i="11"/>
  <c r="J22" i="11"/>
  <c r="J19" i="11"/>
  <c r="AD112" i="11" s="1"/>
  <c r="O111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52" i="10" a="1"/>
  <c r="J53" i="20" a="1"/>
  <c r="H68" i="13" a="1"/>
  <c r="I22" i="17"/>
  <c r="O22" i="17"/>
  <c r="K90" i="16" a="1"/>
  <c r="J109" i="13" a="1"/>
  <c r="G181" i="16" a="1"/>
  <c r="AH86" i="13"/>
  <c r="T6" i="17"/>
  <c r="D50" i="17" a="1"/>
  <c r="E194" i="16" a="1"/>
  <c r="AD75" i="13"/>
  <c r="F13" i="17" a="1"/>
  <c r="F61" i="17" a="1"/>
  <c r="F10" i="17"/>
  <c r="J20" i="11" a="1"/>
  <c r="F59" i="17" a="1"/>
  <c r="E136" i="10" a="1"/>
  <c r="J17" i="11" a="1"/>
  <c r="D57" i="1" a="1"/>
  <c r="O21" i="17"/>
  <c r="N86" i="17" s="1" a="1"/>
  <c r="O179" i="13" a="1"/>
  <c r="D4" i="18"/>
  <c r="R179" i="13" a="1"/>
  <c r="O20" i="17"/>
  <c r="D78" i="1" a="1"/>
  <c r="M21" i="17"/>
  <c r="M23" i="17"/>
  <c r="F31" i="17"/>
  <c r="G180" i="16" a="1"/>
  <c r="AG77" i="13"/>
  <c r="AE83" i="13"/>
  <c r="M20" i="17"/>
  <c r="E196" i="16" a="1"/>
  <c r="J73" i="16" a="1"/>
  <c r="AG75" i="13"/>
  <c r="K36" i="17"/>
  <c r="N76" i="17" a="1"/>
  <c r="AE87" i="13"/>
  <c r="T7" i="1"/>
  <c r="I23" i="17"/>
  <c r="T21" i="17"/>
  <c r="F30" i="17"/>
  <c r="AD76" i="13"/>
  <c r="I20" i="17"/>
  <c r="L7" i="16"/>
  <c r="AG78" i="13"/>
  <c r="V59" i="17" a="1"/>
  <c r="R59" i="17" a="1"/>
  <c r="K35" i="17"/>
  <c r="AD78" i="13"/>
  <c r="D7" i="18"/>
  <c r="J105" i="13" a="1"/>
  <c r="O19" i="17"/>
  <c r="AG76" i="13"/>
  <c r="J16" i="11" a="1"/>
  <c r="I19" i="17"/>
  <c r="P120" i="13" a="1"/>
  <c r="J110" i="13" a="1"/>
  <c r="U148" i="13" a="1"/>
  <c r="F28" i="17"/>
  <c r="T20" i="17"/>
  <c r="AD11" i="11" a="1"/>
  <c r="J106" i="13" a="1"/>
  <c r="K204" i="1" a="1"/>
  <c r="N59" i="17" a="1"/>
  <c r="R143" i="11" a="1"/>
  <c r="AH85" i="13"/>
  <c r="E187" i="1" a="1"/>
  <c r="F29" i="17"/>
  <c r="O143" i="11" a="1"/>
  <c r="AE86" i="13"/>
  <c r="J17" i="1" a="1"/>
  <c r="J59" i="17" a="1"/>
  <c r="G188" i="11" a="1"/>
  <c r="AH87" i="13"/>
  <c r="E7" i="1" a="1"/>
  <c r="E209" i="11" a="1"/>
  <c r="AE85" i="13"/>
  <c r="G189" i="11" a="1"/>
  <c r="AH83" i="13"/>
  <c r="E207" i="11" a="1"/>
  <c r="E7" i="11" a="1"/>
  <c r="D6" i="18"/>
  <c r="AH84" i="13"/>
  <c r="E137" i="10" a="1"/>
  <c r="T19" i="17"/>
  <c r="P116" i="13" a="1"/>
  <c r="P43" i="13"/>
  <c r="M19" i="17"/>
  <c r="AD59" i="13" a="1"/>
  <c r="M22" i="17"/>
  <c r="H212" i="11" a="1"/>
  <c r="AE84" i="13"/>
  <c r="E6" i="17"/>
  <c r="U111" i="11" a="1"/>
  <c r="G213" i="13" a="1"/>
  <c r="I21" i="17"/>
  <c r="AD8" i="11" a="1"/>
  <c r="G212" i="13" a="1"/>
  <c r="AD77" i="13"/>
  <c r="K43" i="13"/>
  <c r="J21" i="11" a="1"/>
  <c r="D5" i="18"/>
  <c r="O23" i="17"/>
  <c r="AE164" i="13" a="1"/>
  <c r="G21" i="17"/>
  <c r="J53" i="20" l="1"/>
  <c r="I54" i="20"/>
  <c r="H68" i="13"/>
  <c r="H276" i="13"/>
  <c r="D57" i="1"/>
  <c r="Q151" i="11"/>
  <c r="Q163" i="11" s="1"/>
  <c r="K171" i="11" s="1"/>
  <c r="H255" i="11"/>
  <c r="AM40" i="17"/>
  <c r="O125" i="11"/>
  <c r="AD126" i="11" s="1"/>
  <c r="AD127" i="11" s="1"/>
  <c r="M103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L38" i="13"/>
  <c r="E39" i="13"/>
  <c r="AE164" i="13"/>
  <c r="AD162" i="13"/>
  <c r="F9" i="19"/>
  <c r="H10" i="19" s="1"/>
  <c r="AG30" i="17"/>
  <c r="AG27" i="17"/>
  <c r="AG28" i="17"/>
  <c r="AJ27" i="17"/>
  <c r="AT27" i="17"/>
  <c r="AG31" i="17"/>
  <c r="AG29" i="17"/>
  <c r="F94" i="17"/>
  <c r="D78" i="1"/>
  <c r="D55" i="1"/>
  <c r="F77" i="17"/>
  <c r="AL36" i="17"/>
  <c r="G9" i="19"/>
  <c r="I10" i="19" s="1"/>
  <c r="E208" i="11"/>
  <c r="N86" i="17"/>
  <c r="N76" i="17"/>
  <c r="F61" i="17"/>
  <c r="V59" i="17"/>
  <c r="R59" i="17"/>
  <c r="N59" i="17"/>
  <c r="J59" i="17"/>
  <c r="D50" i="17"/>
  <c r="F59" i="17"/>
  <c r="D47" i="17"/>
  <c r="H152" i="10"/>
  <c r="E137" i="10"/>
  <c r="E136" i="10"/>
  <c r="K204" i="1"/>
  <c r="H212" i="11"/>
  <c r="E209" i="11"/>
  <c r="E207" i="11"/>
  <c r="E7" i="11"/>
  <c r="D203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A7" i="1" s="1"/>
  <c r="AD122" i="11"/>
  <c r="AD11" i="11"/>
  <c r="J17" i="11"/>
  <c r="AD8" i="11"/>
  <c r="G189" i="11"/>
  <c r="J16" i="11"/>
  <c r="AJ26" i="11"/>
  <c r="AL25" i="11" s="1"/>
  <c r="AM26" i="11" s="1"/>
  <c r="O143" i="11"/>
  <c r="J20" i="11"/>
  <c r="O110" i="11" s="1"/>
  <c r="U111" i="11"/>
  <c r="G188" i="11"/>
  <c r="J21" i="11"/>
  <c r="O109" i="11" s="1"/>
  <c r="J142" i="11" s="1"/>
  <c r="R143" i="11"/>
  <c r="AD125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28" i="11" a="1"/>
  <c r="J232" i="11" a="1"/>
  <c r="J54" i="20" a="1"/>
  <c r="F86" i="17" a="1"/>
  <c r="AN38" i="17"/>
  <c r="P110" i="13" a="1"/>
  <c r="AN37" i="17"/>
  <c r="J87" i="13"/>
  <c r="G77" i="13"/>
  <c r="D54" i="17" a="1"/>
  <c r="G78" i="13"/>
  <c r="J83" i="13"/>
  <c r="D53" i="17" a="1"/>
  <c r="J76" i="17" a="1"/>
  <c r="J231" i="11" a="1"/>
  <c r="F76" i="17" a="1"/>
  <c r="F27" i="17"/>
  <c r="P106" i="13" a="1"/>
  <c r="P109" i="13" a="1"/>
  <c r="G76" i="13"/>
  <c r="J73" i="17" a="1"/>
  <c r="AN36" i="17"/>
  <c r="J85" i="13"/>
  <c r="K19" i="17"/>
  <c r="G19" i="17"/>
  <c r="J86" i="17" a="1"/>
  <c r="P20" i="11" a="1"/>
  <c r="P17" i="1" a="1"/>
  <c r="K227" i="11" a="1"/>
  <c r="P16" i="11" a="1"/>
  <c r="V76" i="17" a="1"/>
  <c r="P105" i="13" a="1"/>
  <c r="G74" i="13"/>
  <c r="J86" i="13"/>
  <c r="I94" i="13"/>
  <c r="S29" i="17"/>
  <c r="P73" i="16" a="1"/>
  <c r="F73" i="17" a="1"/>
  <c r="R73" i="17" a="1"/>
  <c r="P58" i="17" a="1"/>
  <c r="G23" i="17"/>
  <c r="X58" i="17" s="1" a="1"/>
  <c r="R76" i="17" a="1"/>
  <c r="R86" i="17" a="1"/>
  <c r="G22" i="17"/>
  <c r="J11" i="17"/>
  <c r="J84" i="13"/>
  <c r="J10" i="17"/>
  <c r="N73" i="17" a="1"/>
  <c r="V86" i="17" a="1"/>
  <c r="P25" i="11" a="1"/>
  <c r="P28" i="1" a="1"/>
  <c r="V73" i="17" a="1"/>
  <c r="P21" i="11" a="1"/>
  <c r="P17" i="11" a="1"/>
  <c r="AD165" i="13" a="1"/>
  <c r="I95" i="13"/>
  <c r="G75" i="13"/>
  <c r="G20" i="17"/>
  <c r="L58" i="17" s="1" a="1"/>
  <c r="J13" i="17" a="1"/>
  <c r="F60" i="17" a="1"/>
  <c r="H58" i="17" a="1"/>
  <c r="T58" i="17" a="1"/>
  <c r="J54" i="20" l="1"/>
  <c r="I55" i="20"/>
  <c r="O30" i="17"/>
  <c r="R69" i="17" s="1"/>
  <c r="R86" i="17"/>
  <c r="O27" i="17"/>
  <c r="F69" i="17" s="1"/>
  <c r="J73" i="17"/>
  <c r="F86" i="17"/>
  <c r="O113" i="11"/>
  <c r="O28" i="17"/>
  <c r="J69" i="17" s="1"/>
  <c r="O31" i="17"/>
  <c r="V69" i="17" s="1"/>
  <c r="V70" i="17" s="1"/>
  <c r="AD57" i="13"/>
  <c r="H252" i="13"/>
  <c r="AD165" i="13"/>
  <c r="AD163" i="13"/>
  <c r="O162" i="13" s="1"/>
  <c r="AD131" i="13"/>
  <c r="AD58" i="13"/>
  <c r="V59" i="13" s="1"/>
  <c r="V61" i="13"/>
  <c r="E67" i="13" s="1"/>
  <c r="X38" i="13"/>
  <c r="P28" i="1"/>
  <c r="F76" i="17"/>
  <c r="J86" i="17"/>
  <c r="AH29" i="17"/>
  <c r="AI29" i="17"/>
  <c r="AH31" i="17"/>
  <c r="AI31" i="17"/>
  <c r="AK27" i="17"/>
  <c r="AL27" i="17"/>
  <c r="AH28" i="17"/>
  <c r="AI28" i="17"/>
  <c r="AH27" i="17"/>
  <c r="AI27" i="17"/>
  <c r="AH30" i="17"/>
  <c r="AI30" i="17"/>
  <c r="V76" i="17"/>
  <c r="R76" i="17"/>
  <c r="J76" i="17"/>
  <c r="L58" i="17"/>
  <c r="X58" i="17"/>
  <c r="H58" i="17"/>
  <c r="P58" i="17"/>
  <c r="T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J70" i="17"/>
  <c r="N70" i="17"/>
  <c r="R70" i="17"/>
  <c r="F60" i="17"/>
  <c r="J232" i="11"/>
  <c r="J231" i="11"/>
  <c r="K228" i="11"/>
  <c r="K227" i="11"/>
  <c r="P17" i="1"/>
  <c r="Q30" i="17"/>
  <c r="P30" i="17"/>
  <c r="Q29" i="17"/>
  <c r="P29" i="17"/>
  <c r="Q28" i="17"/>
  <c r="P28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3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T70" i="17" a="1"/>
  <c r="U147" i="13" a="1"/>
  <c r="J107" i="13" a="1"/>
  <c r="K21" i="17"/>
  <c r="R60" i="17" a="1"/>
  <c r="N60" i="17" a="1"/>
  <c r="L29" i="17"/>
  <c r="J60" i="17" a="1"/>
  <c r="W143" i="11" a="1"/>
  <c r="S30" i="17"/>
  <c r="T69" i="17" a="1"/>
  <c r="U152" i="13" a="1"/>
  <c r="U146" i="13" a="1"/>
  <c r="I92" i="13"/>
  <c r="X61" i="13"/>
  <c r="I96" i="13"/>
  <c r="L28" i="17"/>
  <c r="K20" i="17"/>
  <c r="E12" i="11" a="1"/>
  <c r="I7" i="11" a="1"/>
  <c r="J18" i="11" a="1"/>
  <c r="P70" i="17" a="1"/>
  <c r="W179" i="13" a="1"/>
  <c r="K23" i="17"/>
  <c r="L27" i="17"/>
  <c r="AN39" i="17"/>
  <c r="U110" i="11" a="1"/>
  <c r="U109" i="11" a="1"/>
  <c r="V60" i="17" a="1"/>
  <c r="S27" i="17"/>
  <c r="S28" i="17"/>
  <c r="I93" i="13"/>
  <c r="K22" i="17"/>
  <c r="S31" i="17"/>
  <c r="U162" i="13" a="1"/>
  <c r="P69" i="17" a="1"/>
  <c r="M65" i="13"/>
  <c r="L69" i="17" a="1"/>
  <c r="J74" i="16" a="1"/>
  <c r="X70" i="17" a="1"/>
  <c r="H236" i="13" a="1"/>
  <c r="H67" i="13" a="1"/>
  <c r="X69" i="17" a="1"/>
  <c r="L70" i="17" a="1"/>
  <c r="I59" i="20" l="1"/>
  <c r="I68" i="20" s="1"/>
  <c r="I58" i="20"/>
  <c r="I66" i="20" s="1"/>
  <c r="P31" i="17"/>
  <c r="R31" i="17" s="1"/>
  <c r="T31" i="17" s="1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57" i="13"/>
  <c r="H236" i="13"/>
  <c r="U162" i="13"/>
  <c r="H237" i="13" s="1"/>
  <c r="O169" i="13"/>
  <c r="H67" i="13"/>
  <c r="AH74" i="13"/>
  <c r="V53" i="13"/>
  <c r="H254" i="13" s="1"/>
  <c r="V55" i="13"/>
  <c r="H255" i="13" s="1"/>
  <c r="V57" i="13"/>
  <c r="H256" i="13" s="1"/>
  <c r="H247" i="11"/>
  <c r="R27" i="17"/>
  <c r="T27" i="17" s="1"/>
  <c r="W179" i="13"/>
  <c r="P69" i="17"/>
  <c r="P70" i="17"/>
  <c r="N60" i="17"/>
  <c r="L70" i="17"/>
  <c r="L69" i="17"/>
  <c r="R60" i="17"/>
  <c r="J60" i="17"/>
  <c r="X69" i="17"/>
  <c r="V60" i="17"/>
  <c r="T69" i="17"/>
  <c r="T70" i="17"/>
  <c r="AK39" i="17"/>
  <c r="AK40" i="17"/>
  <c r="AL40" i="17" s="1"/>
  <c r="F70" i="17"/>
  <c r="R30" i="17"/>
  <c r="T30" i="17" s="1"/>
  <c r="AK38" i="17"/>
  <c r="AK37" i="17"/>
  <c r="R28" i="17"/>
  <c r="R29" i="17"/>
  <c r="T29" i="17" s="1"/>
  <c r="AN25" i="11"/>
  <c r="AM25" i="11"/>
  <c r="AR26" i="11" s="1"/>
  <c r="AN26" i="11"/>
  <c r="W143" i="11"/>
  <c r="U109" i="11"/>
  <c r="J18" i="11"/>
  <c r="U110" i="11"/>
  <c r="E12" i="11"/>
  <c r="I7" i="11"/>
  <c r="I203" i="11" s="1"/>
  <c r="M106" i="11"/>
  <c r="L170" i="11"/>
  <c r="AD110" i="11"/>
  <c r="L142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F71" i="17" a="1"/>
  <c r="V71" i="17" a="1"/>
  <c r="AN40" i="17"/>
  <c r="D65" i="11" a="1"/>
  <c r="L143" i="11" a="1"/>
  <c r="P18" i="11" a="1"/>
  <c r="R71" i="17" a="1"/>
  <c r="H70" i="17" a="1"/>
  <c r="L30" i="17"/>
  <c r="D44" i="11" a="1"/>
  <c r="L179" i="13" a="1"/>
  <c r="X59" i="13"/>
  <c r="I98" i="13"/>
  <c r="N71" i="17" a="1"/>
  <c r="H69" i="17" a="1"/>
  <c r="E211" i="11" a="1"/>
  <c r="P74" i="16" a="1"/>
  <c r="P107" i="13" a="1"/>
  <c r="U150" i="13" a="1"/>
  <c r="U113" i="11" a="1"/>
  <c r="I69" i="20" l="1"/>
  <c r="I70" i="20" s="1"/>
  <c r="D69" i="11"/>
  <c r="D48" i="11"/>
  <c r="F37" i="11" s="1"/>
  <c r="Q149" i="11" s="1"/>
  <c r="D65" i="11"/>
  <c r="D44" i="11"/>
  <c r="F58" i="11"/>
  <c r="H258" i="13"/>
  <c r="B79" i="13"/>
  <c r="AH76" i="13"/>
  <c r="AH75" i="13"/>
  <c r="AH77" i="13"/>
  <c r="AH78" i="13"/>
  <c r="AC83" i="13" s="1"/>
  <c r="T191" i="13"/>
  <c r="P247" i="11"/>
  <c r="L247" i="11"/>
  <c r="AR27" i="11"/>
  <c r="AR28" i="11" s="1"/>
  <c r="AR29" i="11" s="1"/>
  <c r="V71" i="17"/>
  <c r="H69" i="17"/>
  <c r="N71" i="17"/>
  <c r="H70" i="17"/>
  <c r="F71" i="17"/>
  <c r="R71" i="17"/>
  <c r="V31" i="17"/>
  <c r="V29" i="17"/>
  <c r="V27" i="17"/>
  <c r="V30" i="17"/>
  <c r="E211" i="11"/>
  <c r="U30" i="17"/>
  <c r="U27" i="17"/>
  <c r="T28" i="17"/>
  <c r="U28" i="17"/>
  <c r="U31" i="17"/>
  <c r="U29" i="17"/>
  <c r="L143" i="11"/>
  <c r="O145" i="11" s="1"/>
  <c r="U113" i="11"/>
  <c r="P18" i="11"/>
  <c r="Q98" i="13"/>
  <c r="P107" i="13"/>
  <c r="L179" i="13"/>
  <c r="O181" i="13" s="1"/>
  <c r="U150" i="13"/>
  <c r="E232" i="13" s="1"/>
  <c r="P74" i="16"/>
  <c r="J70" i="20" a="1"/>
  <c r="D76" i="11" a="1"/>
  <c r="F72" i="17" a="1"/>
  <c r="R72" i="17" a="1"/>
  <c r="N72" i="17" a="1"/>
  <c r="K58" i="11" a="1"/>
  <c r="D50" i="11" a="1"/>
  <c r="K37" i="11" a="1"/>
  <c r="E233" i="11" a="1"/>
  <c r="U181" i="13" a="1"/>
  <c r="N87" i="17" a="1"/>
  <c r="R87" i="17" a="1"/>
  <c r="L31" i="17"/>
  <c r="G83" i="13"/>
  <c r="J71" i="17" a="1"/>
  <c r="V87" i="17" a="1"/>
  <c r="AB27" i="17" a="1"/>
  <c r="V72" i="17" a="1"/>
  <c r="S28" i="11"/>
  <c r="AB31" i="17" a="1"/>
  <c r="U145" i="11" a="1"/>
  <c r="I149" i="11" a="1"/>
  <c r="F87" i="17" a="1"/>
  <c r="R74" i="17" a="1"/>
  <c r="N74" i="17" a="1"/>
  <c r="AB30" i="17" a="1"/>
  <c r="E234" i="11" a="1"/>
  <c r="J75" i="16" a="1"/>
  <c r="S98" i="13"/>
  <c r="AB29" i="17" a="1"/>
  <c r="V74" i="17" a="1"/>
  <c r="F74" i="17" a="1"/>
  <c r="J72" i="17" a="1"/>
  <c r="J70" i="20" l="1"/>
  <c r="J77" i="20"/>
  <c r="D76" i="11"/>
  <c r="E234" i="11"/>
  <c r="O116" i="11"/>
  <c r="I149" i="11"/>
  <c r="Q161" i="11"/>
  <c r="H246" i="11" s="1"/>
  <c r="K58" i="11"/>
  <c r="I58" i="11"/>
  <c r="D50" i="11"/>
  <c r="K37" i="11"/>
  <c r="AR30" i="11"/>
  <c r="P28" i="11"/>
  <c r="M26" i="11" s="1"/>
  <c r="E261" i="13"/>
  <c r="Q100" i="13"/>
  <c r="M198" i="13" s="1"/>
  <c r="F72" i="17"/>
  <c r="R72" i="17"/>
  <c r="N72" i="17"/>
  <c r="V72" i="17"/>
  <c r="J72" i="17"/>
  <c r="N87" i="17"/>
  <c r="N74" i="17"/>
  <c r="AB29" i="17"/>
  <c r="V87" i="17"/>
  <c r="V74" i="17"/>
  <c r="AB31" i="17"/>
  <c r="J71" i="17"/>
  <c r="R87" i="17"/>
  <c r="R74" i="17"/>
  <c r="AB30" i="17"/>
  <c r="F74" i="17"/>
  <c r="F87" i="17"/>
  <c r="AB27" i="17"/>
  <c r="W30" i="17"/>
  <c r="V28" i="17"/>
  <c r="E233" i="11"/>
  <c r="W27" i="17"/>
  <c r="V155" i="11"/>
  <c r="W28" i="17"/>
  <c r="W29" i="17"/>
  <c r="W31" i="17"/>
  <c r="U145" i="11"/>
  <c r="U181" i="13"/>
  <c r="J75" i="16"/>
  <c r="J76" i="16"/>
  <c r="X27" i="17" a="1"/>
  <c r="X28" i="17" a="1"/>
  <c r="X30" i="17" a="1"/>
  <c r="P243" i="11" a="1"/>
  <c r="J77" i="16" a="1"/>
  <c r="H214" i="11" a="1"/>
  <c r="N75" i="17" a="1"/>
  <c r="F75" i="17" a="1"/>
  <c r="AC27" i="17" a="1"/>
  <c r="X29" i="17" a="1"/>
  <c r="J26" i="11" a="1"/>
  <c r="V156" i="11" a="1"/>
  <c r="AS30" i="11" a="1"/>
  <c r="S100" i="13"/>
  <c r="P75" i="16" a="1"/>
  <c r="P198" i="13"/>
  <c r="AB28" i="17" a="1"/>
  <c r="AC30" i="17" a="1"/>
  <c r="V75" i="17" a="1"/>
  <c r="X31" i="17" a="1"/>
  <c r="AC31" i="17" a="1"/>
  <c r="E229" i="11" a="1"/>
  <c r="X155" i="11"/>
  <c r="U116" i="11" a="1"/>
  <c r="J87" i="17" a="1"/>
  <c r="J74" i="17" a="1"/>
  <c r="R75" i="17" a="1"/>
  <c r="AC28" i="17" a="1"/>
  <c r="AC29" i="17" a="1"/>
  <c r="J75" i="17" a="1"/>
  <c r="I76" i="11" l="1"/>
  <c r="E281" i="13"/>
  <c r="H214" i="11"/>
  <c r="U116" i="1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AM28" i="17"/>
  <c r="AM27" i="17"/>
  <c r="V95" i="17"/>
  <c r="AM31" i="17"/>
  <c r="R95" i="17"/>
  <c r="AM30" i="17"/>
  <c r="N95" i="17"/>
  <c r="AM29" i="17"/>
  <c r="L246" i="11"/>
  <c r="P246" i="11"/>
  <c r="F75" i="17"/>
  <c r="J74" i="17"/>
  <c r="J87" i="17"/>
  <c r="AB28" i="17"/>
  <c r="V75" i="17"/>
  <c r="R75" i="17"/>
  <c r="J75" i="17"/>
  <c r="N75" i="17"/>
  <c r="V156" i="11"/>
  <c r="F95" i="17"/>
  <c r="E229" i="11"/>
  <c r="P243" i="11"/>
  <c r="J26" i="11"/>
  <c r="E204" i="13"/>
  <c r="P75" i="16"/>
  <c r="J77" i="16"/>
  <c r="P29" i="11" a="1"/>
  <c r="P77" i="16" a="1"/>
  <c r="P244" i="11" a="1"/>
  <c r="X156" i="11"/>
  <c r="F96" i="17" a="1"/>
  <c r="F96" i="17" l="1"/>
  <c r="AN31" i="17"/>
  <c r="AO31" i="17" s="1"/>
  <c r="AU31" i="17"/>
  <c r="AN28" i="17"/>
  <c r="AO28" i="17" s="1"/>
  <c r="AQ28" i="17" s="1"/>
  <c r="AP28" i="17" s="1"/>
  <c r="AR28" i="17" s="1"/>
  <c r="AS28" i="17" s="1"/>
  <c r="AU28" i="17"/>
  <c r="AU29" i="17"/>
  <c r="AN29" i="17"/>
  <c r="AO29" i="17" s="1"/>
  <c r="AQ29" i="17" s="1"/>
  <c r="AP29" i="17" s="1"/>
  <c r="AR29" i="17" s="1"/>
  <c r="AS29" i="17" s="1"/>
  <c r="AN30" i="17"/>
  <c r="AO30" i="17" s="1"/>
  <c r="AQ30" i="17" s="1"/>
  <c r="AP30" i="17" s="1"/>
  <c r="AR30" i="17" s="1"/>
  <c r="AS30" i="17" s="1"/>
  <c r="AU30" i="17"/>
  <c r="AN27" i="17"/>
  <c r="AO27" i="17" s="1"/>
  <c r="AU27" i="17"/>
  <c r="P244" i="11"/>
  <c r="P29" i="11"/>
  <c r="H248" i="11"/>
  <c r="P77" i="16"/>
  <c r="I161" i="11" a="1"/>
  <c r="AV28" i="17" l="1"/>
  <c r="AV30" i="17"/>
  <c r="AQ27" i="17"/>
  <c r="AP27" i="17" s="1"/>
  <c r="AR27" i="17" s="1"/>
  <c r="AS27" i="17" s="1"/>
  <c r="AV27" i="17" s="1"/>
  <c r="AV29" i="17"/>
  <c r="AQ31" i="17"/>
  <c r="AP31" i="17" s="1"/>
  <c r="AR31" i="17" s="1"/>
  <c r="AS31" i="17" s="1"/>
  <c r="AV31" i="17" s="1"/>
  <c r="P248" i="11"/>
  <c r="L248" i="11"/>
  <c r="I161" i="11"/>
  <c r="L172" i="11"/>
  <c r="L171" i="11"/>
  <c r="D79" i="11" a="1"/>
  <c r="H250" i="11" a="1"/>
  <c r="P78" i="16" a="1"/>
  <c r="T171" i="11" a="1"/>
  <c r="E241" i="11" a="1"/>
  <c r="D79" i="11" l="1"/>
  <c r="T58" i="11"/>
  <c r="E241" i="11"/>
  <c r="H249" i="11"/>
  <c r="AC249" i="11" s="1"/>
  <c r="AD249" i="11" s="1"/>
  <c r="H250" i="11"/>
  <c r="T171" i="11"/>
  <c r="P78" i="16"/>
  <c r="J79" i="16"/>
  <c r="J80" i="16"/>
  <c r="E195" i="16" s="1"/>
  <c r="M81" i="16"/>
  <c r="E235" i="11" a="1"/>
  <c r="S83" i="16" a="1"/>
  <c r="P256" i="11"/>
  <c r="J81" i="16" a="1"/>
  <c r="E235" i="11" l="1"/>
  <c r="O124" i="11"/>
  <c r="AD128" i="11" s="1"/>
  <c r="J81" i="16"/>
  <c r="S83" i="16"/>
  <c r="H216" i="11" a="1"/>
  <c r="AE128" i="11" a="1"/>
  <c r="P84" i="16" a="1"/>
  <c r="H216" i="11" l="1"/>
  <c r="AE128" i="11"/>
  <c r="AD129" i="11" s="1"/>
  <c r="O126" i="11" s="1"/>
  <c r="P84" i="16"/>
  <c r="M85" i="16"/>
  <c r="H217" i="11" a="1"/>
  <c r="J85" i="16" a="1"/>
  <c r="S87" i="16" a="1"/>
  <c r="U126" i="11" a="1"/>
  <c r="H217" i="11" l="1"/>
  <c r="U126" i="11"/>
  <c r="O133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U116" i="16" a="1"/>
  <c r="U115" i="16" a="1"/>
  <c r="U114" i="16" a="1"/>
  <c r="H229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AD131" i="16" a="1"/>
  <c r="E198" i="16" a="1"/>
  <c r="H202" i="16" a="1"/>
  <c r="U120" i="16" a="1"/>
  <c r="U118" i="16" a="1"/>
  <c r="AD131" i="16" l="1"/>
  <c r="AD126" i="16"/>
  <c r="H202" i="16"/>
  <c r="E198" i="16"/>
  <c r="U120" i="16"/>
  <c r="U118" i="16"/>
  <c r="AD130" i="16"/>
  <c r="O130" i="16" l="1"/>
  <c r="H203" i="16" a="1"/>
  <c r="U130" i="16" a="1"/>
  <c r="H203" i="16" l="1"/>
  <c r="U130" i="16"/>
  <c r="O137" i="16"/>
  <c r="J141" i="16"/>
  <c r="J146" i="16"/>
  <c r="L146" i="16"/>
  <c r="L147" i="16" a="1"/>
  <c r="L147" i="16" l="1"/>
  <c r="O147" i="16" a="1"/>
  <c r="R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6" i="1" a="1"/>
  <c r="G165" i="1" a="1"/>
  <c r="F21" i="16"/>
  <c r="F17" i="16"/>
  <c r="F9" i="16"/>
  <c r="AD14" i="16" a="1"/>
  <c r="AD12" i="16" a="1"/>
  <c r="AD54" i="16" l="1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196" i="11"/>
  <c r="AD197" i="11" s="1"/>
  <c r="G27" i="17"/>
  <c r="I27" i="17"/>
  <c r="J27" i="17" s="1"/>
  <c r="G28" i="17"/>
  <c r="G31" i="17"/>
  <c r="I29" i="17"/>
  <c r="J29" i="17" s="1"/>
  <c r="U162" i="11"/>
  <c r="G30" i="17"/>
  <c r="I28" i="17"/>
  <c r="J28" i="17" s="1"/>
  <c r="I31" i="17"/>
  <c r="J31" i="17" s="1"/>
  <c r="I30" i="17"/>
  <c r="J30" i="17" s="1"/>
  <c r="G29" i="17"/>
  <c r="U150" i="11"/>
  <c r="R113" i="11"/>
  <c r="AD116" i="11" s="1"/>
  <c r="AD120" i="11"/>
  <c r="AD121" i="11" s="1"/>
  <c r="AD123" i="11" s="1"/>
  <c r="O122" i="11" s="1"/>
  <c r="U149" i="11"/>
  <c r="U161" i="11"/>
  <c r="U151" i="11"/>
  <c r="H238" i="11" s="1"/>
  <c r="U163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J62" i="17" a="1"/>
  <c r="R62" i="17" a="1"/>
  <c r="V62" i="17" a="1"/>
  <c r="F66" i="17" a="1"/>
  <c r="F62" i="17" a="1"/>
  <c r="U126" i="16" a="1"/>
  <c r="H200" i="16" a="1"/>
  <c r="O17" i="16" a="1"/>
  <c r="H213" i="11" a="1"/>
  <c r="N62" i="17" a="1"/>
  <c r="U122" i="11" a="1"/>
  <c r="O21" i="16"/>
  <c r="O9" i="16"/>
  <c r="O11" i="16" a="1"/>
  <c r="U121" i="16" a="1"/>
  <c r="O13" i="16" a="1"/>
  <c r="U153" i="13" a="1"/>
  <c r="U158" i="13" a="1"/>
  <c r="H201" i="16" a="1"/>
  <c r="K31" i="17"/>
  <c r="F240" i="13" a="1"/>
  <c r="F240" i="13" l="1"/>
  <c r="AD55" i="16"/>
  <c r="O13" i="16"/>
  <c r="O11" i="16"/>
  <c r="E44" i="16"/>
  <c r="F28" i="16"/>
  <c r="F26" i="16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3" i="11"/>
  <c r="H237" i="11"/>
  <c r="H236" i="11"/>
  <c r="J237" i="11"/>
  <c r="J236" i="11"/>
  <c r="F66" i="17"/>
  <c r="H201" i="16"/>
  <c r="H200" i="16"/>
  <c r="U122" i="11"/>
  <c r="AF116" i="11"/>
  <c r="O117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E212" i="16"/>
  <c r="E211" i="16"/>
  <c r="F241" i="13" a="1"/>
  <c r="K30" i="17"/>
  <c r="F205" i="16" a="1"/>
  <c r="F206" i="16" a="1"/>
  <c r="I26" i="16" a="1"/>
  <c r="U139" i="16" a="1"/>
  <c r="K27" i="17"/>
  <c r="F82" i="17" a="1"/>
  <c r="R66" i="17" a="1"/>
  <c r="F239" i="13" a="1"/>
  <c r="R65" i="17" a="1"/>
  <c r="V111" i="16" a="1"/>
  <c r="F65" i="17" a="1"/>
  <c r="M29" i="17"/>
  <c r="R64" i="17" a="1"/>
  <c r="N64" i="17" a="1"/>
  <c r="M30" i="17"/>
  <c r="J65" i="17" a="1"/>
  <c r="J66" i="17" a="1"/>
  <c r="P44" i="16"/>
  <c r="F64" i="17" a="1"/>
  <c r="F207" i="16" a="1"/>
  <c r="U171" i="13" a="1"/>
  <c r="K29" i="17"/>
  <c r="J64" i="17" a="1"/>
  <c r="N65" i="17" a="1"/>
  <c r="N82" i="17" a="1"/>
  <c r="H215" i="11" a="1"/>
  <c r="V66" i="17" a="1"/>
  <c r="AD60" i="16" a="1"/>
  <c r="N66" i="17" a="1"/>
  <c r="V143" i="13" a="1"/>
  <c r="V65" i="17" a="1"/>
  <c r="V64" i="17" a="1"/>
  <c r="F219" i="11" a="1"/>
  <c r="K28" i="17"/>
  <c r="M28" i="17"/>
  <c r="M31" i="17"/>
  <c r="M27" i="17"/>
  <c r="K44" i="16"/>
  <c r="R82" i="17" a="1"/>
  <c r="V82" i="17" a="1"/>
  <c r="J82" i="17" a="1"/>
  <c r="F239" i="13" l="1"/>
  <c r="F241" i="13"/>
  <c r="F219" i="11"/>
  <c r="O129" i="11"/>
  <c r="O131" i="11"/>
  <c r="O135" i="11"/>
  <c r="H54" i="16"/>
  <c r="AD60" i="16"/>
  <c r="AD57" i="16"/>
  <c r="I26" i="16"/>
  <c r="H216" i="16" s="1"/>
  <c r="H240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15" i="11"/>
  <c r="S106" i="11"/>
  <c r="V111" i="16"/>
  <c r="U139" i="16"/>
  <c r="U171" i="13"/>
  <c r="V143" i="13"/>
  <c r="F143" i="13"/>
  <c r="J145" i="13"/>
  <c r="F111" i="16"/>
  <c r="J113" i="16"/>
  <c r="O84" i="10"/>
  <c r="O83" i="10"/>
  <c r="AD49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F83" i="17" a="1"/>
  <c r="V106" i="11" a="1"/>
  <c r="U135" i="11" a="1"/>
  <c r="N39" i="10" a="1"/>
  <c r="F220" i="11" a="1"/>
  <c r="H69" i="16" a="1"/>
  <c r="H140" i="10" a="1"/>
  <c r="AD8" i="10" a="1"/>
  <c r="AE47" i="10" a="1"/>
  <c r="N31" i="17"/>
  <c r="F63" i="17" a="1"/>
  <c r="N28" i="17"/>
  <c r="AD30" i="10" a="1"/>
  <c r="F221" i="11" a="1"/>
  <c r="E204" i="16" a="1"/>
  <c r="AD35" i="10" a="1"/>
  <c r="J16" i="10" a="1"/>
  <c r="E227" i="16" a="1"/>
  <c r="H269" i="13" a="1"/>
  <c r="E238" i="13" a="1"/>
  <c r="N29" i="17"/>
  <c r="J63" i="17" a="1"/>
  <c r="N63" i="17" a="1"/>
  <c r="I151" i="11" a="1"/>
  <c r="AD25" i="10" a="1"/>
  <c r="U73" i="10" a="1"/>
  <c r="J17" i="10" a="1"/>
  <c r="N104" i="10" a="1"/>
  <c r="R104" i="10" a="1"/>
  <c r="AE46" i="10" a="1"/>
  <c r="R63" i="17" a="1"/>
  <c r="AD54" i="10" a="1"/>
  <c r="AD11" i="10" a="1"/>
  <c r="AD56" i="10" a="1"/>
  <c r="N30" i="17"/>
  <c r="V63" i="17" a="1"/>
  <c r="N27" i="17"/>
  <c r="E238" i="13" l="1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0" i="11"/>
  <c r="F221" i="11"/>
  <c r="R63" i="17"/>
  <c r="J63" i="17"/>
  <c r="N63" i="17"/>
  <c r="I151" i="11"/>
  <c r="H140" i="10"/>
  <c r="E204" i="16"/>
  <c r="Q154" i="16"/>
  <c r="V106" i="11"/>
  <c r="U135" i="11"/>
  <c r="Z28" i="17"/>
  <c r="J108" i="11"/>
  <c r="F106" i="11"/>
  <c r="E40" i="16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3" i="1"/>
  <c r="E186" i="1" s="1"/>
  <c r="M24" i="1"/>
  <c r="AD66" i="1"/>
  <c r="AD45" i="1"/>
  <c r="U57" i="10" a="1"/>
  <c r="J83" i="17" a="1"/>
  <c r="AE91" i="10" a="1"/>
  <c r="U47" i="10" a="1"/>
  <c r="AD35" i="1" a="1"/>
  <c r="N96" i="17" a="1"/>
  <c r="N83" i="17" a="1"/>
  <c r="U72" i="10" a="1"/>
  <c r="P57" i="10" a="1"/>
  <c r="J96" i="17" a="1"/>
  <c r="V83" i="17" a="1"/>
  <c r="E149" i="10" a="1"/>
  <c r="H232" i="16" a="1"/>
  <c r="AE43" i="1" a="1"/>
  <c r="AD71" i="1" a="1"/>
  <c r="R120" i="1" a="1"/>
  <c r="U79" i="10" a="1"/>
  <c r="U49" i="10" a="1"/>
  <c r="Y29" i="17"/>
  <c r="E218" i="11" a="1"/>
  <c r="K152" i="10" a="1"/>
  <c r="AE42" i="1" a="1"/>
  <c r="Y28" i="17"/>
  <c r="F90" i="17" a="1"/>
  <c r="E150" i="10" a="1"/>
  <c r="V96" i="17" a="1"/>
  <c r="O24" i="10" a="1"/>
  <c r="P16" i="10" a="1"/>
  <c r="O29" i="10" a="1"/>
  <c r="I106" i="11"/>
  <c r="O120" i="1" a="1"/>
  <c r="AD52" i="1" a="1"/>
  <c r="S28" i="1" a="1"/>
  <c r="S25" i="1" a="1"/>
  <c r="Y30" i="17"/>
  <c r="Q34" i="10" a="1"/>
  <c r="Y27" i="17"/>
  <c r="K151" i="10" a="1"/>
  <c r="AD33" i="1" a="1"/>
  <c r="AD50" i="1" a="1"/>
  <c r="AD73" i="1" a="1"/>
  <c r="Y31" i="17"/>
  <c r="R83" i="17" a="1"/>
  <c r="Q39" i="10" a="1"/>
  <c r="R96" i="17" a="1"/>
  <c r="V90" i="17" a="1"/>
  <c r="J90" i="17" a="1"/>
  <c r="I185" i="13" l="1"/>
  <c r="X39" i="16"/>
  <c r="H218" i="16" s="1"/>
  <c r="AD58" i="16"/>
  <c r="AD59" i="16" s="1"/>
  <c r="AC84" i="13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18" i="11"/>
  <c r="K152" i="10"/>
  <c r="K151" i="10"/>
  <c r="E150" i="10"/>
  <c r="E149" i="10"/>
  <c r="H232" i="16"/>
  <c r="I153" i="16"/>
  <c r="I153" i="11"/>
  <c r="AC86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E270" i="13"/>
  <c r="E233" i="16"/>
  <c r="S65" i="1" a="1"/>
  <c r="W104" i="10" a="1"/>
  <c r="J33" i="10" a="1"/>
  <c r="E154" i="10" a="1"/>
  <c r="E12" i="10" a="1"/>
  <c r="E203" i="1" a="1"/>
  <c r="N51" i="1" a="1"/>
  <c r="I155" i="16" a="1"/>
  <c r="G86" i="13"/>
  <c r="X77" i="13"/>
  <c r="X75" i="13"/>
  <c r="S63" i="1" a="1"/>
  <c r="G84" i="13"/>
  <c r="S44" i="1" a="1"/>
  <c r="J208" i="1" a="1"/>
  <c r="U89" i="10" a="1"/>
  <c r="P32" i="1" a="1"/>
  <c r="E157" i="10" a="1"/>
  <c r="E202" i="1" a="1"/>
  <c r="G7" i="10" a="1"/>
  <c r="N72" i="1" a="1"/>
  <c r="X78" i="13"/>
  <c r="S42" i="1" a="1"/>
  <c r="P34" i="1" a="1"/>
  <c r="S72" i="1" a="1"/>
  <c r="S51" i="1" a="1"/>
  <c r="N90" i="17" a="1"/>
  <c r="R90" i="17" a="1"/>
  <c r="I187" i="13" a="1"/>
  <c r="L104" i="10" a="1"/>
  <c r="I163" i="11" a="1"/>
  <c r="I155" i="11" a="1"/>
  <c r="P34" i="1" l="1"/>
  <c r="P32" i="1"/>
  <c r="H229" i="1"/>
  <c r="I187" i="13"/>
  <c r="V62" i="16"/>
  <c r="V54" i="16"/>
  <c r="V56" i="16"/>
  <c r="V58" i="16"/>
  <c r="V60" i="16"/>
  <c r="I163" i="11"/>
  <c r="N90" i="17"/>
  <c r="R90" i="17"/>
  <c r="AA31" i="17"/>
  <c r="V85" i="17" s="1"/>
  <c r="V84" i="17"/>
  <c r="AA29" i="17"/>
  <c r="N85" i="17" s="1"/>
  <c r="N84" i="17"/>
  <c r="E157" i="10"/>
  <c r="E154" i="10"/>
  <c r="H209" i="1"/>
  <c r="J208" i="1"/>
  <c r="I155" i="16"/>
  <c r="E203" i="1"/>
  <c r="E202" i="1"/>
  <c r="E156" i="1"/>
  <c r="E155" i="1"/>
  <c r="I155" i="11"/>
  <c r="T154" i="11"/>
  <c r="K147" i="1"/>
  <c r="Q139" i="1"/>
  <c r="Q127" i="1"/>
  <c r="I55" i="10"/>
  <c r="AD57" i="10" s="1"/>
  <c r="F55" i="10" s="1"/>
  <c r="E12" i="10"/>
  <c r="G7" i="10"/>
  <c r="I132" i="10" s="1"/>
  <c r="J33" i="10"/>
  <c r="P110" i="10"/>
  <c r="W104" i="10"/>
  <c r="U89" i="10"/>
  <c r="L104" i="10"/>
  <c r="O96" i="10"/>
  <c r="AD51" i="10"/>
  <c r="F47" i="10" s="1"/>
  <c r="V120" i="1"/>
  <c r="S65" i="1"/>
  <c r="S63" i="1"/>
  <c r="S72" i="1"/>
  <c r="S51" i="1"/>
  <c r="N51" i="1"/>
  <c r="N72" i="1"/>
  <c r="AD65" i="1"/>
  <c r="AD44" i="1"/>
  <c r="S42" i="1"/>
  <c r="S44" i="1"/>
  <c r="J229" i="16" a="1"/>
  <c r="E242" i="11" a="1"/>
  <c r="E244" i="16"/>
  <c r="X74" i="13"/>
  <c r="X76" i="13"/>
  <c r="W120" i="1" a="1"/>
  <c r="T172" i="11" a="1"/>
  <c r="X62" i="16"/>
  <c r="J16" i="1" a="1"/>
  <c r="F57" i="10" a="1"/>
  <c r="F51" i="10" a="1"/>
  <c r="E256" i="11" a="1"/>
  <c r="X60" i="16"/>
  <c r="H223" i="16" l="1"/>
  <c r="E68" i="16"/>
  <c r="AC87" i="13"/>
  <c r="AC85" i="13"/>
  <c r="H109" i="10"/>
  <c r="T110" i="10"/>
  <c r="J229" i="16"/>
  <c r="H222" i="1"/>
  <c r="T172" i="11"/>
  <c r="E256" i="11"/>
  <c r="AD146" i="1"/>
  <c r="M178" i="11"/>
  <c r="H224" i="16"/>
  <c r="H221" i="16"/>
  <c r="H220" i="16"/>
  <c r="H222" i="16"/>
  <c r="E242" i="11"/>
  <c r="AD122" i="10"/>
  <c r="V154" i="11"/>
  <c r="Y154" i="11"/>
  <c r="E244" i="11" s="1"/>
  <c r="F57" i="10"/>
  <c r="F51" i="10"/>
  <c r="F42" i="10"/>
  <c r="W120" i="1"/>
  <c r="J16" i="1"/>
  <c r="J18" i="1" s="1"/>
  <c r="J21" i="1" s="1"/>
  <c r="H68" i="16" a="1"/>
  <c r="G85" i="13"/>
  <c r="P16" i="1" a="1"/>
  <c r="M66" i="16"/>
  <c r="E230" i="16" a="1"/>
  <c r="H111" i="10" a="1"/>
  <c r="E153" i="10" a="1"/>
  <c r="G87" i="13"/>
  <c r="I159" i="10" a="1"/>
  <c r="I190" i="16" l="1"/>
  <c r="H68" i="16"/>
  <c r="I159" i="10"/>
  <c r="H111" i="10"/>
  <c r="L222" i="1"/>
  <c r="P222" i="1"/>
  <c r="AD178" i="11"/>
  <c r="R182" i="11"/>
  <c r="AD188" i="11" s="1"/>
  <c r="I178" i="11"/>
  <c r="AD177" i="11" s="1"/>
  <c r="E243" i="11"/>
  <c r="AD60" i="10"/>
  <c r="AD61" i="10" s="1"/>
  <c r="I60" i="10" s="1"/>
  <c r="L42" i="10"/>
  <c r="E153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AD8" i="1" a="1"/>
  <c r="I61" i="10" a="1"/>
  <c r="U89" i="1" a="1"/>
  <c r="H190" i="1"/>
  <c r="P17" i="10" a="1"/>
  <c r="J20" i="1" a="1"/>
  <c r="AD11" i="1" a="1"/>
  <c r="Q187" i="13" l="1"/>
  <c r="T192" i="13" s="1"/>
  <c r="V158" i="16"/>
  <c r="H240" i="16" s="1"/>
  <c r="AD180" i="11"/>
  <c r="S178" i="11" s="1"/>
  <c r="AG196" i="11" s="1"/>
  <c r="N60" i="10"/>
  <c r="I61" i="10"/>
  <c r="F59" i="10"/>
  <c r="AC160" i="16"/>
  <c r="V160" i="16" s="1"/>
  <c r="H242" i="16" s="1"/>
  <c r="AC159" i="16"/>
  <c r="P17" i="10"/>
  <c r="O71" i="10"/>
  <c r="O75" i="10" s="1"/>
  <c r="U89" i="1"/>
  <c r="J20" i="1"/>
  <c r="AD11" i="1"/>
  <c r="AD8" i="1"/>
  <c r="E155" i="10" a="1"/>
  <c r="M164" i="16" a="1"/>
  <c r="E139" i="10" a="1"/>
  <c r="E185" i="1" a="1"/>
  <c r="U71" i="10" a="1"/>
  <c r="U178" i="11" a="1"/>
  <c r="P20" i="1" a="1"/>
  <c r="AC191" i="13" l="1"/>
  <c r="T190" i="13"/>
  <c r="AC192" i="13"/>
  <c r="V192" i="13" s="1"/>
  <c r="H279" i="13" s="1"/>
  <c r="R75" i="10"/>
  <c r="AD83" i="10"/>
  <c r="M165" i="16"/>
  <c r="M164" i="16"/>
  <c r="AD189" i="11"/>
  <c r="AD191" i="11" s="1"/>
  <c r="AD181" i="11"/>
  <c r="AD182" i="11" s="1"/>
  <c r="S179" i="11" s="1"/>
  <c r="U178" i="11"/>
  <c r="E155" i="10"/>
  <c r="AD65" i="10"/>
  <c r="E139" i="10"/>
  <c r="E185" i="1"/>
  <c r="V159" i="16"/>
  <c r="H241" i="16" s="1"/>
  <c r="U71" i="10"/>
  <c r="J103" i="10"/>
  <c r="O106" i="10" s="1"/>
  <c r="E11" i="1"/>
  <c r="P20" i="1"/>
  <c r="O98" i="1"/>
  <c r="O97" i="1"/>
  <c r="O102" i="1"/>
  <c r="AD103" i="1" s="1"/>
  <c r="J22" i="1"/>
  <c r="P165" i="16"/>
  <c r="E243" i="16" a="1"/>
  <c r="I7" i="1" a="1"/>
  <c r="E12" i="1" a="1"/>
  <c r="U75" i="10" a="1"/>
  <c r="M196" i="13" a="1"/>
  <c r="P164" i="16"/>
  <c r="AD104" i="1" a="1"/>
  <c r="U106" i="10" a="1"/>
  <c r="U179" i="11" a="1"/>
  <c r="M196" i="13" l="1"/>
  <c r="V190" i="13"/>
  <c r="V191" i="13"/>
  <c r="H278" i="13" s="1"/>
  <c r="M197" i="13"/>
  <c r="AD104" i="1"/>
  <c r="O242" i="16"/>
  <c r="O239" i="16"/>
  <c r="U179" i="11"/>
  <c r="AD190" i="11"/>
  <c r="AD192" i="11" s="1"/>
  <c r="AG192" i="11" s="1"/>
  <c r="S188" i="11" s="1"/>
  <c r="AD66" i="10"/>
  <c r="I65" i="10" s="1"/>
  <c r="N65" i="10"/>
  <c r="E243" i="16"/>
  <c r="AD102" i="1"/>
  <c r="D182" i="1"/>
  <c r="E171" i="16"/>
  <c r="S171" i="16" s="1"/>
  <c r="E12" i="1"/>
  <c r="AD79" i="10"/>
  <c r="O80" i="10" s="1"/>
  <c r="AD84" i="10"/>
  <c r="U75" i="10"/>
  <c r="U106" i="10"/>
  <c r="J100" i="10"/>
  <c r="AD99" i="1"/>
  <c r="M27" i="1"/>
  <c r="I7" i="1"/>
  <c r="I181" i="1" s="1"/>
  <c r="M80" i="1"/>
  <c r="U188" i="11" a="1"/>
  <c r="P196" i="13"/>
  <c r="J27" i="1" a="1"/>
  <c r="U171" i="16" a="1"/>
  <c r="P197" i="13"/>
  <c r="I66" i="10" a="1"/>
  <c r="U80" i="10" a="1"/>
  <c r="J24" i="1" a="1"/>
  <c r="O276" i="13" l="1"/>
  <c r="E280" i="13"/>
  <c r="O279" i="13"/>
  <c r="I203" i="13"/>
  <c r="H277" i="13"/>
  <c r="E203" i="13"/>
  <c r="S203" i="13" s="1"/>
  <c r="AG198" i="11"/>
  <c r="AG193" i="11"/>
  <c r="AG199" i="11" s="1"/>
  <c r="I66" i="10"/>
  <c r="F64" i="10"/>
  <c r="O103" i="1"/>
  <c r="U188" i="11"/>
  <c r="U171" i="16"/>
  <c r="AG184" i="16"/>
  <c r="S181" i="16" s="1"/>
  <c r="AG183" i="16"/>
  <c r="S180" i="16" s="1"/>
  <c r="AD86" i="10"/>
  <c r="O85" i="10" s="1"/>
  <c r="U80" i="10"/>
  <c r="J27" i="1"/>
  <c r="J24" i="1"/>
  <c r="U203" i="13" a="1"/>
  <c r="H194" i="1" a="1"/>
  <c r="P26" i="1" a="1"/>
  <c r="U180" i="16" a="1"/>
  <c r="U85" i="10" a="1"/>
  <c r="P29" i="1" a="1"/>
  <c r="E156" i="10" a="1"/>
  <c r="F143" i="10" a="1"/>
  <c r="U181" i="16" a="1"/>
  <c r="H141" i="10" a="1"/>
  <c r="F144" i="10" a="1"/>
  <c r="U203" i="13" l="1"/>
  <c r="AG215" i="13"/>
  <c r="S212" i="13" s="1"/>
  <c r="AG216" i="13"/>
  <c r="S213" i="13" s="1"/>
  <c r="S189" i="11"/>
  <c r="E156" i="10"/>
  <c r="P114" i="10"/>
  <c r="T114" i="10" s="1"/>
  <c r="P122" i="10"/>
  <c r="T122" i="10" s="1"/>
  <c r="H141" i="10"/>
  <c r="F143" i="10"/>
  <c r="F144" i="10"/>
  <c r="H194" i="1"/>
  <c r="O110" i="1"/>
  <c r="V68" i="10"/>
  <c r="O98" i="10"/>
  <c r="F68" i="10" s="1"/>
  <c r="U180" i="16"/>
  <c r="U181" i="16"/>
  <c r="U85" i="10"/>
  <c r="O94" i="10"/>
  <c r="O92" i="10"/>
  <c r="P26" i="1"/>
  <c r="P29" i="1"/>
  <c r="F145" i="10" a="1"/>
  <c r="U213" i="13" a="1"/>
  <c r="U212" i="13" a="1"/>
  <c r="E142" i="10" a="1"/>
  <c r="U98" i="10" a="1"/>
  <c r="J68" i="10" a="1"/>
  <c r="Y68" i="10" a="1"/>
  <c r="U189" i="11" a="1"/>
  <c r="F145" i="10" l="1"/>
  <c r="U213" i="13"/>
  <c r="U212" i="13"/>
  <c r="U189" i="11"/>
  <c r="E142" i="10"/>
  <c r="J70" i="10"/>
  <c r="U98" i="10"/>
  <c r="Y68" i="10"/>
  <c r="J68" i="10"/>
  <c r="P118" i="10"/>
  <c r="T118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U88" i="1" a="1"/>
  <c r="D66" i="1" a="1"/>
  <c r="D66" i="1" l="1"/>
  <c r="H193" i="1"/>
  <c r="D70" i="1"/>
  <c r="F59" i="1" s="1"/>
  <c r="U88" i="1"/>
  <c r="AD88" i="1"/>
  <c r="O93" i="1"/>
  <c r="L119" i="1"/>
  <c r="U139" i="1"/>
  <c r="U127" i="1"/>
  <c r="L120" i="1" a="1"/>
  <c r="U93" i="1" a="1"/>
  <c r="D72" i="1" a="1"/>
  <c r="J211" i="1" l="1"/>
  <c r="J212" i="1"/>
  <c r="D72" i="1"/>
  <c r="L120" i="1"/>
  <c r="U93" i="1"/>
  <c r="V133" i="1" a="1"/>
  <c r="E206" i="1" a="1"/>
  <c r="U103" i="1" a="1"/>
  <c r="V133" i="1" l="1"/>
  <c r="E206" i="1"/>
  <c r="AD81" i="1"/>
  <c r="U103" i="1"/>
  <c r="AD82" i="1" a="1"/>
  <c r="P18" i="1" a="1"/>
  <c r="X133" i="1"/>
  <c r="P219" i="1" a="1"/>
  <c r="AD82" i="1" l="1"/>
  <c r="I81" i="1" s="1"/>
  <c r="P219" i="1"/>
  <c r="N81" i="1"/>
  <c r="P18" i="1"/>
  <c r="I42" i="1"/>
  <c r="AD46" i="1" s="1"/>
  <c r="AD47" i="1" s="1"/>
  <c r="D42" i="1" s="1"/>
  <c r="I49" i="1"/>
  <c r="R81" i="1" a="1"/>
  <c r="D45" i="1" a="1"/>
  <c r="J209" i="1" a="1"/>
  <c r="D45" i="1" l="1"/>
  <c r="R81" i="1"/>
  <c r="J209" i="1"/>
  <c r="AD53" i="1"/>
  <c r="D49" i="1" s="1"/>
  <c r="D51" i="1" a="1"/>
  <c r="D51" i="1" l="1"/>
  <c r="F38" i="1"/>
  <c r="V132" i="1" s="1"/>
  <c r="Q126" i="1"/>
  <c r="E210" i="1" a="1"/>
  <c r="P218" i="1" a="1"/>
  <c r="K38" i="1" a="1"/>
  <c r="X132" i="1"/>
  <c r="K38" i="1" l="1"/>
  <c r="E210" i="1"/>
  <c r="Q138" i="1"/>
  <c r="H221" i="1" s="1"/>
  <c r="P218" i="1"/>
  <c r="U126" i="1"/>
  <c r="U138" i="1"/>
  <c r="P221" i="1" l="1"/>
  <c r="L221" i="1"/>
  <c r="H211" i="1"/>
  <c r="H212" i="1"/>
  <c r="L59" i="1"/>
  <c r="H113" i="10" l="1"/>
  <c r="AD123" i="10"/>
  <c r="H115" i="10" a="1"/>
  <c r="I160" i="10" a="1"/>
  <c r="I160" i="10" l="1"/>
  <c r="H115" i="10"/>
  <c r="H117" i="10"/>
  <c r="E163" i="10" a="1"/>
  <c r="H119" i="10" a="1"/>
  <c r="E163" i="10" l="1"/>
  <c r="H119" i="10"/>
  <c r="F80" i="1"/>
  <c r="Q140" i="1" s="1"/>
  <c r="H223" i="1" s="1"/>
  <c r="I138" i="1" a="1"/>
  <c r="E207" i="1" a="1"/>
  <c r="L223" i="1" l="1"/>
  <c r="P223" i="1"/>
  <c r="I138" i="1"/>
  <c r="E207" i="1"/>
  <c r="H230" i="1"/>
  <c r="Q128" i="1"/>
  <c r="L148" i="1"/>
  <c r="T148" i="1" a="1"/>
  <c r="I126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23" i="10"/>
  <c r="P21" i="1" a="1"/>
  <c r="T123" i="10" l="1"/>
  <c r="AD124" i="10" s="1"/>
  <c r="AD125" i="10" s="1"/>
  <c r="AF125" i="10" s="1"/>
  <c r="H121" i="10" s="1"/>
  <c r="AC224" i="1"/>
  <c r="AD224" i="1" s="1"/>
  <c r="P21" i="1"/>
  <c r="O87" i="1"/>
  <c r="E164" i="10" a="1"/>
  <c r="U87" i="1" a="1"/>
  <c r="E216" i="1"/>
  <c r="I128" i="1" a="1"/>
  <c r="H123" i="10" a="1"/>
  <c r="E164" i="10" l="1"/>
  <c r="Q137" i="1"/>
  <c r="U137" i="1" s="1"/>
  <c r="I128" i="1"/>
  <c r="H123" i="10"/>
  <c r="U87" i="1"/>
  <c r="J119" i="1"/>
  <c r="O122" i="1" s="1"/>
  <c r="J114" i="1" s="1"/>
  <c r="M84" i="1"/>
  <c r="O91" i="1"/>
  <c r="U91" i="1" a="1"/>
  <c r="E189" i="1" a="1"/>
  <c r="U122" i="1" a="1"/>
  <c r="E189" i="1" l="1"/>
  <c r="U122" i="1"/>
  <c r="U91" i="1"/>
  <c r="R91" i="1"/>
  <c r="AD93" i="1" s="1"/>
  <c r="O94" i="1" s="1"/>
  <c r="AD97" i="1"/>
  <c r="AD98" i="1" s="1"/>
  <c r="AD100" i="1" s="1"/>
  <c r="H192" i="1"/>
  <c r="U94" i="1" a="1"/>
  <c r="I140" i="1" a="1"/>
  <c r="H225" i="1" a="1"/>
  <c r="H225" i="1" l="1"/>
  <c r="I140" i="1"/>
  <c r="U94" i="1"/>
  <c r="M155" i="1" l="1"/>
  <c r="O99" i="1"/>
  <c r="U99" i="1" a="1"/>
  <c r="F196" i="1" a="1"/>
  <c r="T149" i="1" a="1"/>
  <c r="F197" i="1" a="1"/>
  <c r="H191" i="1"/>
  <c r="F198" i="1"/>
  <c r="E231" i="1"/>
  <c r="T149" i="1" l="1"/>
  <c r="R159" i="1"/>
  <c r="AD165" i="1" s="1"/>
  <c r="AD155" i="1"/>
  <c r="F196" i="1"/>
  <c r="F197" i="1"/>
  <c r="U99" i="1"/>
  <c r="O108" i="1"/>
  <c r="O112" i="1"/>
  <c r="F84" i="1" s="1"/>
  <c r="O106" i="1"/>
  <c r="S84" i="1"/>
  <c r="E195" i="1" a="1"/>
  <c r="U112" i="1" a="1"/>
  <c r="E217" i="1"/>
  <c r="V84" i="1" a="1"/>
  <c r="E195" i="1" l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<sst xmlns="http://schemas.openxmlformats.org/spreadsheetml/2006/main" count="2394" uniqueCount="771">
  <si>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</si>
  <si>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</si>
  <si>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</si>
  <si>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</si>
  <si>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</si>
  <si>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</si>
  <si>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</si>
  <si>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</si>
  <si>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</si>
  <si>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</si>
  <si>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</si>
  <si>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</si>
  <si>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</si>
  <si>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</si>
  <si>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</si>
  <si>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</si>
  <si>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</si>
  <si>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</si>
  <si>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</si>
  <si>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</si>
  <si>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</si>
  <si>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</si>
  <si>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</si>
  <si>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</si>
  <si>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</si>
  <si>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</si>
  <si>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</si>
  <si>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</si>
  <si>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</si>
  <si>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</si>
  <si>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</si>
  <si>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</si>
  <si>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</si>
  <si>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</si>
  <si>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</si>
  <si>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</si>
  <si>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</si>
  <si>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</si>
  <si>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</si>
  <si>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</si>
  <si>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</si>
  <si>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</si>
  <si>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</si>
  <si>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</si>
  <si>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</si>
  <si>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</si>
  <si>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</si>
  <si>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</si>
  <si>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</si>
  <si>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</si>
  <si>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</si>
  <si>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</si>
  <si>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</si>
  <si>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</si>
  <si>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</si>
  <si>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</si>
  <si>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</si>
  <si>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</si>
  <si>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</si>
  <si>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</si>
  <si>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</si>
  <si>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</si>
  <si>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</si>
  <si>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</si>
  <si>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</si>
  <si>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</si>
  <si>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</si>
  <si>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</si>
  <si>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</si>
  <si>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</si>
  <si>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</si>
  <si>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</si>
  <si>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</si>
  <si>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</si>
  <si>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</si>
  <si>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</si>
  <si>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</si>
  <si>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</si>
  <si>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</si>
  <si>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</si>
  <si>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</si>
  <si>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</si>
  <si>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</si>
  <si>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</si>
  <si>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</si>
  <si>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</si>
  <si>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</si>
  <si>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</si>
  <si>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</si>
  <si>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</si>
  <si>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</si>
  <si>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</si>
  <si>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</si>
  <si>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</si>
  <si>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</si>
  <si>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</si>
  <si>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</si>
  <si>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</si>
  <si>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</si>
  <si>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</si>
  <si>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</si>
  <si>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</si>
  <si>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</si>
  <si>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</si>
  <si>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</si>
  <si>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</si>
  <si>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</si>
  <si>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</si>
  <si>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</si>
  <si>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</si>
  <si>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</si>
  <si>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</si>
  <si>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</si>
  <si>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</si>
  <si>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</si>
  <si>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</si>
  <si>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</si>
  <si>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</si>
  <si>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</si>
  <si>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</si>
  <si>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</si>
  <si>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</si>
  <si>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</si>
  <si>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</si>
  <si>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</si>
  <si>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</si>
  <si>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</si>
  <si>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</si>
  <si>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</si>
  <si>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</si>
  <si>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</si>
  <si>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</si>
  <si>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</si>
  <si>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</si>
  <si>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</si>
  <si>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</si>
  <si>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</si>
  <si>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</si>
  <si>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</si>
  <si>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</si>
  <si>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</si>
  <si>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</si>
  <si>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</si>
  <si>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</si>
  <si>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</si>
  <si>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</si>
  <si>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</si>
  <si>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</si>
  <si>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</si>
  <si>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</si>
  <si>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</si>
  <si>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</si>
  <si>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</si>
  <si>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</si>
  <si>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</si>
  <si>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</si>
  <si>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</si>
  <si>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</si>
  <si>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</si>
  <si>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</si>
  <si>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</si>
  <si>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</si>
  <si>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</si>
  <si>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</si>
  <si>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</si>
  <si>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</si>
  <si>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</si>
  <si>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</si>
  <si>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</si>
  <si>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</si>
  <si>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</si>
  <si>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</si>
  <si>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</si>
  <si>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</si>
  <si>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</si>
  <si>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</si>
  <si>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</si>
  <si>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</si>
  <si>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</si>
  <si>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</si>
  <si>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</si>
  <si>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</si>
  <si>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</si>
  <si>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</si>
  <si>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</si>
  <si>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</si>
  <si>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</si>
  <si>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</si>
  <si>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</si>
  <si>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</si>
  <si>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</si>
  <si>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</si>
  <si>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</si>
  <si>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</si>
  <si>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</si>
  <si>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</si>
  <si>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</si>
  <si>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</si>
  <si>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</si>
  <si>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</si>
  <si>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</si>
  <si>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</si>
  <si>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</si>
  <si>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</si>
  <si>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</si>
  <si>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</si>
  <si>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</si>
  <si>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</si>
  <si>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</si>
  <si>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</si>
  <si>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</si>
  <si>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</si>
  <si>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</si>
  <si>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</si>
  <si>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</si>
  <si>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</si>
  <si>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</si>
  <si>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</si>
  <si>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</si>
  <si>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</si>
  <si>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</si>
  <si>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</si>
  <si>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</si>
  <si>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</si>
  <si>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</si>
  <si>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</si>
  <si>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</si>
  <si>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</si>
  <si>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</si>
  <si>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</si>
  <si>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</si>
  <si>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</si>
  <si>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</si>
  <si>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</si>
  <si>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</si>
  <si>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</si>
  <si>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</si>
  <si>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</si>
  <si>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</si>
  <si>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</si>
  <si>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</si>
  <si>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</si>
  <si>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</si>
  <si>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</si>
  <si>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</si>
  <si>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</si>
  <si>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</si>
  <si>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</si>
  <si>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</si>
  <si>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</si>
  <si>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</si>
  <si>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</si>
  <si>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</si>
  <si>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</si>
  <si>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</si>
  <si>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</si>
  <si>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</si>
  <si>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</si>
  <si>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</si>
  <si>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</si>
  <si>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</si>
  <si>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</si>
  <si>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</si>
  <si>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</si>
  <si>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</si>
  <si>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</si>
  <si>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</si>
  <si>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</si>
  <si>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</si>
  <si>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</si>
  <si>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</si>
  <si>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</si>
  <si>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</si>
  <si>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</si>
  <si>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</si>
  <si>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</si>
  <si>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</si>
  <si>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</si>
  <si>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</si>
  <si>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</si>
  <si>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</si>
  <si>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</si>
  <si>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</si>
  <si>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</si>
  <si>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</si>
  <si>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</si>
  <si>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</si>
  <si>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</si>
  <si>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</si>
  <si>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</si>
  <si>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</si>
  <si>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</si>
  <si>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</si>
  <si>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</si>
  <si>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</si>
  <si>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</si>
  <si>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</si>
  <si>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</si>
  <si>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</si>
  <si>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</si>
  <si>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</si>
  <si>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</si>
  <si>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</si>
  <si>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</si>
  <si>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</si>
  <si>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</si>
  <si>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</si>
  <si>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</si>
  <si>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</si>
  <si>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</si>
  <si>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</si>
  <si>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</si>
  <si>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</si>
  <si>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</si>
  <si>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</si>
  <si>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Mois (Pour les diametres de soleil)</t>
  </si>
  <si>
    <t>TS=</t>
  </si>
  <si>
    <t>Date xls</t>
  </si>
  <si>
    <t>Mois: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</si>
  <si>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</si>
  <si>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</si>
  <si>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</si>
  <si>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</si>
  <si>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</si>
  <si>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</si>
  <si>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</si>
  <si>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</si>
  <si>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</si>
  <si>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</si>
  <si>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</si>
  <si>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</si>
  <si>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</si>
  <si>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</si>
  <si>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</si>
  <si>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</si>
  <si>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</si>
  <si>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</si>
  <si>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</si>
  <si>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</si>
  <si>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</si>
  <si>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</si>
  <si>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</si>
  <si>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</si>
  <si>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</si>
  <si>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</si>
  <si>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</si>
  <si>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</si>
  <si>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</si>
  <si>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</si>
  <si>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</si>
  <si>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</si>
  <si>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</si>
  <si>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</si>
  <si>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</si>
  <si>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</si>
  <si>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</si>
  <si>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</si>
  <si>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</si>
  <si>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</si>
  <si>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</si>
  <si>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</si>
  <si>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</si>
  <si>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</si>
  <si>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</si>
  <si>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</si>
  <si>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</si>
  <si>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</si>
  <si>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</si>
  <si>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</si>
  <si>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</si>
  <si>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</si>
  <si>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</si>
  <si>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</si>
  <si>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</si>
  <si>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</si>
  <si>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</si>
  <si>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</si>
  <si>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</si>
  <si>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</si>
  <si>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</si>
  <si>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</si>
  <si>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</si>
  <si>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</si>
  <si>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</si>
  <si>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</si>
  <si>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</si>
  <si>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</si>
  <si>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</si>
  <si>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</si>
  <si>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</si>
  <si>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</si>
  <si>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</si>
  <si>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</si>
  <si>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</si>
  <si>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</si>
  <si>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</si>
  <si>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</si>
  <si>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</si>
  <si>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</si>
  <si>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</si>
  <si>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</si>
  <si>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</si>
  <si>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</si>
  <si>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</si>
  <si>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</si>
  <si>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</si>
  <si>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</si>
  <si>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</si>
  <si>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</si>
  <si>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</si>
  <si>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</si>
  <si>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</si>
  <si>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</si>
  <si>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</si>
  <si>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</si>
  <si>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</si>
  <si>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</si>
  <si>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</si>
  <si>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</si>
  <si>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</si>
  <si>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</si>
  <si>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</si>
  <si>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</si>
  <si>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</si>
  <si>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</si>
  <si>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</si>
  <si>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</si>
  <si>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</si>
  <si>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</si>
  <si>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</si>
  <si>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</si>
  <si>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</si>
  <si>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</si>
  <si>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</si>
  <si>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</si>
  <si>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</si>
  <si>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</si>
  <si>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</si>
  <si>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</si>
  <si>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</si>
  <si>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</si>
  <si>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</si>
  <si>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</si>
  <si>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</si>
  <si>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</si>
  <si>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</si>
  <si>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</si>
  <si>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</si>
  <si>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</si>
  <si>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</si>
  <si>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</si>
  <si>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</si>
  <si>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</si>
  <si>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</si>
  <si>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</si>
  <si>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</si>
  <si>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</si>
  <si>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</si>
  <si>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</si>
  <si>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</si>
  <si>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</si>
  <si>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</si>
  <si>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</si>
  <si>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</si>
  <si>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</si>
  <si>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</si>
  <si>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</si>
  <si>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</si>
  <si>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</si>
  <si>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</si>
  <si>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</si>
  <si>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</si>
  <si>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</si>
  <si>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</si>
  <si>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</si>
  <si>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</si>
  <si>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</si>
  <si>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</si>
  <si>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</si>
  <si>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</si>
  <si>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</si>
  <si>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</si>
  <si>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</si>
  <si>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</si>
  <si>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</si>
  <si>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</si>
  <si>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</si>
  <si>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</si>
  <si>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</si>
  <si>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</si>
  <si>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</si>
  <si>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</si>
  <si>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</si>
  <si>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</si>
  <si>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</si>
  <si>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</si>
  <si>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</si>
  <si>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</si>
  <si>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</si>
  <si>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</si>
  <si>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</si>
  <si>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</si>
  <si>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</si>
  <si>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</si>
  <si>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</si>
  <si>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</si>
  <si>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</si>
  <si>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</si>
  <si>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</si>
  <si>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</si>
  <si>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</si>
  <si>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</si>
  <si>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</si>
  <si>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</si>
  <si>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</si>
  <si>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</si>
  <si>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</si>
  <si>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</si>
  <si>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</si>
  <si>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</si>
  <si>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</si>
  <si>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</si>
  <si>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</si>
  <si>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</si>
  <si>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</si>
  <si>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</si>
  <si>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</si>
  <si>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</si>
  <si>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</si>
  <si>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</si>
  <si>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</si>
  <si>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</si>
  <si>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</si>
  <si>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</si>
  <si>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</si>
  <si>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</si>
  <si>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</si>
  <si>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</si>
  <si>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</si>
  <si>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</si>
  <si>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</si>
  <si>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</si>
  <si>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</si>
  <si>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</si>
  <si>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</si>
  <si>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</si>
  <si>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</si>
  <si>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</si>
  <si>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</si>
  <si>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</si>
  <si>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</si>
  <si>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</si>
  <si>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</si>
  <si>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</si>
  <si>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</si>
  <si>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</si>
  <si>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</si>
  <si>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</si>
  <si>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</si>
  <si>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</si>
  <si>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</si>
  <si>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</si>
  <si>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</si>
  <si>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</si>
  <si>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</si>
  <si>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</si>
  <si>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</si>
  <si>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</si>
  <si>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</si>
  <si>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</si>
  <si>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</si>
  <si>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</si>
  <si>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</si>
  <si>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</si>
  <si>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</si>
  <si>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</si>
  <si>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</si>
  <si>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</si>
  <si>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</si>
  <si>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</si>
  <si>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</si>
  <si>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</si>
  <si>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</si>
  <si>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</si>
  <si>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</si>
  <si>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</si>
  <si>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</si>
  <si>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</si>
  <si>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</si>
  <si>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</si>
  <si>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</si>
  <si>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</si>
  <si>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</si>
  <si>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</si>
  <si>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</si>
  <si>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</si>
  <si>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</si>
  <si>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</si>
  <si>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</si>
  <si>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</si>
  <si>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</si>
  <si>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</si>
  <si>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</si>
  <si>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</si>
  <si>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</si>
  <si>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</si>
  <si>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</si>
  <si>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</si>
  <si>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</si>
  <si>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</si>
  <si>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</si>
  <si>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</si>
  <si>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</si>
  <si>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</si>
  <si>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</si>
  <si>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</si>
  <si>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</si>
  <si>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</si>
  <si>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</si>
  <si>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</si>
  <si>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</si>
  <si>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</si>
  <si>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</si>
  <si>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</si>
  <si>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</si>
  <si>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</si>
  <si>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</si>
  <si>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</si>
  <si>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</si>
  <si>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</si>
  <si>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</si>
  <si>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</si>
  <si>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</si>
  <si>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</si>
  <si>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</si>
  <si>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</si>
  <si>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</si>
  <si>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</si>
  <si>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</si>
  <si>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</si>
  <si>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</si>
  <si>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</si>
  <si>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</si>
  <si>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</si>
  <si>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</si>
  <si>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</si>
  <si>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</si>
  <si>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Notes</t>
  </si>
  <si>
    <t>Rq</t>
  </si>
  <si>
    <t>Ordre</t>
  </si>
  <si>
    <t>1. Hauteur de lune</t>
  </si>
  <si>
    <t>2. Hauteur du soleil</t>
  </si>
  <si>
    <t>3. distance Lune-soleil</t>
  </si>
  <si>
    <t>Methode</t>
  </si>
  <si>
    <t>Ephemeride</t>
  </si>
  <si>
    <t>Du coup T = (Dv - b) / a ….</t>
  </si>
  <si>
    <t>Date</t>
  </si>
  <si>
    <t>mois</t>
  </si>
  <si>
    <t>D</t>
  </si>
  <si>
    <t>Di</t>
  </si>
  <si>
    <t>81°49.5</t>
  </si>
  <si>
    <t>Diametre Soleil</t>
  </si>
  <si>
    <t>Diametre lune</t>
  </si>
  <si>
    <t>49°40.5</t>
  </si>
  <si>
    <t>32°59.0</t>
  </si>
  <si>
    <t>Ha=Hv-R+P</t>
  </si>
  <si>
    <t>Hv=Hs+SD-Dip</t>
  </si>
  <si>
    <t>Cos(Dv)</t>
  </si>
  <si>
    <t>cos Ha</t>
  </si>
  <si>
    <t>cos Hv</t>
  </si>
  <si>
    <t xml:space="preserve">Dv </t>
  </si>
  <si>
    <t>Da</t>
  </si>
  <si>
    <t>sin Hv</t>
  </si>
  <si>
    <t>sin Ha</t>
  </si>
  <si>
    <t>Dv=Di
+SDLune+SDSoleil</t>
  </si>
  <si>
    <t>en Rad</t>
  </si>
  <si>
    <t>en rad</t>
  </si>
  <si>
    <t>sin Da</t>
  </si>
  <si>
    <t>cos Da</t>
  </si>
  <si>
    <t>sin Di</t>
  </si>
  <si>
    <t>cos Di</t>
  </si>
  <si>
    <t>sin HvL * sin HvS</t>
  </si>
  <si>
    <t xml:space="preserve">cos HvL * cos HvS </t>
  </si>
  <si>
    <t>sin HaL * sin HaS</t>
  </si>
  <si>
    <t>cos HaL * cos HaS</t>
  </si>
  <si>
    <t>Distance lunaire ephemerides du 23 avril 2007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</si>
  <si>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</si>
  <si>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</si>
  <si>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</si>
  <si>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</si>
  <si>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</si>
  <si>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</si>
  <si>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</si>
  <si>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</si>
  <si>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</si>
  <si>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x</t>
  </si>
  <si>
    <t>y</t>
  </si>
  <si>
    <t>30/03/2025</t>
  </si>
  <si>
    <t>17:14:0</t>
  </si>
  <si>
    <t>5:54</t>
  </si>
  <si>
    <t>54°54.0</t>
  </si>
  <si>
    <t>Horizon artificiel - Colimation</t>
  </si>
  <si>
    <t>48°52.53</t>
  </si>
  <si>
    <t>2°05.67</t>
  </si>
  <si>
    <t>04°01.3</t>
  </si>
  <si>
    <t>04°02.3</t>
  </si>
  <si>
    <t>43°55.1</t>
  </si>
  <si>
    <t>58°55.3</t>
  </si>
  <si>
    <t>Precautions</t>
  </si>
  <si>
    <t>si &lt; 20°</t>
  </si>
  <si>
    <t>Les calculs seront trop imprecis</t>
  </si>
  <si>
    <t>20° &lt; . &lt; 30°</t>
  </si>
  <si>
    <t>Precision a la minute</t>
  </si>
  <si>
    <t>40° &lt; .</t>
  </si>
  <si>
    <t>Bonne precision</t>
  </si>
  <si>
    <t>1. Valueur des angles</t>
  </si>
  <si>
    <t>2. Ordre des mesures pour plus de precision</t>
  </si>
  <si>
    <t>Pour les astre lune et soleil</t>
  </si>
  <si>
    <t xml:space="preserve">Hv (Hv = Hi + Depression + 1/2 Diametre) </t>
  </si>
  <si>
    <t>⤷</t>
  </si>
  <si>
    <t>Ha (Ha = Hv + refraction + parallaxe)</t>
  </si>
  <si>
    <t>3. Memo de calcul</t>
  </si>
  <si>
    <t>Distance lunaire</t>
  </si>
  <si>
    <t>Da (Da = Di - les deux 1/2 diametres)</t>
  </si>
  <si>
    <t xml:space="preserve">cos(Dv) = … </t>
  </si>
  <si>
    <t>==&gt; Dv</t>
  </si>
  <si>
    <t>Equation horaire de la droite lunaire: Dv = a T + b</t>
  </si>
  <si>
    <t>A</t>
  </si>
  <si>
    <t>B</t>
  </si>
  <si>
    <t>C</t>
  </si>
  <si>
    <t>y=ax+b</t>
  </si>
  <si>
    <t>err</t>
  </si>
  <si>
    <t>Pi lune</t>
  </si>
  <si>
    <t>Lune-Soleil</t>
  </si>
  <si>
    <t>23/04/2007</t>
  </si>
  <si>
    <t>date (as TS)</t>
  </si>
  <si>
    <t>date (as XLS)</t>
  </si>
  <si>
    <t>Sun</t>
  </si>
  <si>
    <t>TangentLuneDessus</t>
  </si>
  <si>
    <t>TangentLuneDessous</t>
  </si>
  <si>
    <t>P  (= asin(sin(HP) * cos(Hv)))</t>
  </si>
  <si>
    <r>
      <rPr>
        <b/>
        <sz val="11"/>
        <color rgb="FFFA7D00"/>
        <rFont val="Symbol"/>
        <family val="1"/>
        <charset val="2"/>
      </rPr>
      <t>P</t>
    </r>
    <r>
      <rPr>
        <b/>
        <sz val="11"/>
        <color rgb="FFFA7D00"/>
        <rFont val="Calibri"/>
        <family val="2"/>
      </rPr>
      <t xml:space="preserve"> lune</t>
    </r>
    <r>
      <rPr>
        <b/>
        <sz val="11"/>
        <color rgb="FFFA7D00"/>
        <rFont val="Calibri"/>
        <family val="1"/>
        <charset val="2"/>
      </rPr>
      <t xml:space="preserve"> (en °)</t>
    </r>
  </si>
  <si>
    <r>
      <rPr>
        <b/>
        <sz val="11"/>
        <color rgb="FFFA7D00"/>
        <rFont val="Symbol"/>
        <family val="1"/>
        <charset val="2"/>
      </rPr>
      <t>P</t>
    </r>
    <r>
      <rPr>
        <b/>
        <sz val="11"/>
        <color rgb="FFFA7D00"/>
        <rFont val="Calibri"/>
        <family val="2"/>
      </rPr>
      <t xml:space="preserve"> Sun</t>
    </r>
    <r>
      <rPr>
        <b/>
        <sz val="11"/>
        <color rgb="FFFA7D00"/>
        <rFont val="Calibri"/>
        <family val="1"/>
        <charset val="2"/>
      </rPr>
      <t xml:space="preserve"> (en °)</t>
    </r>
  </si>
  <si>
    <t>A + (B - C) * D / E</t>
  </si>
  <si>
    <t>Position estimée (pour une fourchette horaire)</t>
  </si>
  <si>
    <t>Heure estimée</t>
  </si>
  <si>
    <t>Lat. estime</t>
  </si>
  <si>
    <t>Long. Estime</t>
  </si>
  <si>
    <t>Lat (N + / S-)</t>
  </si>
  <si>
    <t>Long (E+ / W-)</t>
  </si>
  <si>
    <t>-8°</t>
  </si>
  <si>
    <t>+49°</t>
  </si>
  <si>
    <t>Heure meridienne estimee</t>
  </si>
  <si>
    <t>H oeil(en m)</t>
  </si>
  <si>
    <t>SD-Dip</t>
  </si>
  <si>
    <t>y = ax + b  (T = a * DL + b)</t>
  </si>
  <si>
    <t>DL</t>
  </si>
  <si>
    <t>Verif</t>
  </si>
  <si>
    <t>DT calcule</t>
  </si>
  <si>
    <t>Solution</t>
  </si>
  <si>
    <t>T(UT)</t>
  </si>
  <si>
    <t>Deviation du compas</t>
  </si>
  <si>
    <t>1. chercher un endroit a magnetique sur le bateau</t>
  </si>
  <si>
    <t>prendre un compas de relevement</t>
  </si>
  <si>
    <t>prendre un amer a &gt; 3 milles</t>
  </si>
  <si>
    <t>faire un 360° pas trop largue</t>
  </si>
  <si>
    <t>==&gt; le relevement doit etre constant</t>
  </si>
  <si>
    <t>2. prendre un cap sur un alignement</t>
  </si>
  <si>
    <t>Correction du W du compas de relevement</t>
  </si>
  <si>
    <t xml:space="preserve">3. pour chaque cap </t>
  </si>
  <si>
    <t>note la diff entre compas de relevement et compas de navigation 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</si>
</sst>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98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sz val="11"/>
      <color theme="2"/>
      <name val="Calibri"/>
      <family val="2"/>
      <scheme val="minor"/>
    </font>
    <font>
      <sz val="11"/>
      <name val="Cambria Math"/>
      <family val="1"/>
    </font>
    <font>
      <b/>
      <sz val="14"/>
      <color theme="2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1"/>
      <color rgb="FFFA7D00"/>
      <name val="Calibri"/>
      <family val="2"/>
    </font>
    <font>
      <b/>
      <sz val="11"/>
      <color rgb="FFFA7D00"/>
      <name val="Calibri"/>
      <family val="1"/>
      <charset val="2"/>
    </font>
  </fonts>
  <fills count="5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1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rgb="FF7F7F7F"/>
      </right>
      <top/>
      <bottom/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5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601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0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6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5" xfId="11" applyNumberFormat="1" applyFill="1" applyAlignment="1" applyProtection="1"/>
    <xf numFmtId="0" fontId="49" fillId="7" borderId="115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2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6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7" xfId="0" applyNumberFormat="1" applyBorder="1"/>
    <xf numFmtId="164" fontId="0" fillId="0" borderId="127" xfId="0" applyNumberFormat="1" applyBorder="1" applyAlignment="1">
      <alignment horizontal="center"/>
    </xf>
    <xf numFmtId="0" fontId="0" fillId="0" borderId="127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8" xfId="0" applyNumberFormat="1" applyFont="1" applyBorder="1" applyAlignment="1">
      <alignment horizontal="center" vertical="center"/>
    </xf>
    <xf numFmtId="166" fontId="73" fillId="2" borderId="129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91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0" fontId="0" fillId="7" borderId="25" xfId="5" quotePrefix="1" applyFont="1" applyAlignment="1" applyProtection="1">
      <alignment horizontal="center"/>
    </xf>
    <xf numFmtId="164" fontId="10" fillId="0" borderId="0" xfId="0" applyNumberFormat="1" applyFont="1" applyProtection="1"/>
    <xf numFmtId="0" fontId="0" fillId="0" borderId="0" xfId="0" applyProtection="1"/>
    <xf numFmtId="164" fontId="25" fillId="0" borderId="0" xfId="0" applyNumberFormat="1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4" xfId="0" applyNumberFormat="1" applyFont="1" applyFill="1" applyBorder="1" applyProtection="1"/>
    <xf numFmtId="164" fontId="10" fillId="9" borderId="15" xfId="0" applyNumberFormat="1" applyFont="1" applyFill="1" applyBorder="1" applyProtection="1"/>
    <xf numFmtId="164" fontId="10" fillId="25" borderId="15" xfId="0" applyNumberFormat="1" applyFont="1" applyFill="1" applyBorder="1" applyAlignment="1" applyProtection="1">
      <alignment horizontal="center"/>
    </xf>
    <xf numFmtId="164" fontId="10" fillId="25" borderId="15" xfId="0" applyNumberFormat="1" applyFont="1" applyFill="1" applyBorder="1" applyProtection="1"/>
    <xf numFmtId="1" fontId="10" fillId="9" borderId="15" xfId="0" applyNumberFormat="1" applyFont="1" applyFill="1" applyBorder="1" applyProtection="1"/>
    <xf numFmtId="0" fontId="0" fillId="0" borderId="0" xfId="0" quotePrefix="1" applyProtection="1"/>
    <xf numFmtId="164" fontId="10" fillId="0" borderId="0" xfId="0" applyNumberFormat="1" applyFont="1" applyAlignment="1" applyProtection="1">
      <alignment horizontal="center" vertical="center"/>
    </xf>
    <xf numFmtId="0" fontId="18" fillId="0" borderId="0" xfId="0" applyFont="1" applyProtection="1"/>
    <xf numFmtId="164" fontId="10" fillId="9" borderId="22" xfId="0" applyNumberFormat="1" applyFont="1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25" fillId="0" borderId="0" xfId="0" applyFont="1" applyProtection="1"/>
    <xf numFmtId="0" fontId="18" fillId="0" borderId="0" xfId="0" applyFont="1" applyAlignment="1" applyProtection="1">
      <alignment horizontal="right" vertical="center"/>
    </xf>
    <xf numFmtId="0" fontId="0" fillId="12" borderId="2" xfId="0" applyFill="1" applyBorder="1" applyProtection="1"/>
    <xf numFmtId="164" fontId="10" fillId="4" borderId="0" xfId="0" applyNumberFormat="1" applyFont="1" applyFill="1" applyAlignment="1" applyProtection="1">
      <alignment horizontal="left"/>
    </xf>
    <xf numFmtId="164" fontId="31" fillId="0" borderId="0" xfId="0" applyNumberFormat="1" applyFont="1" applyAlignment="1" applyProtection="1">
      <alignment horizontal="center" vertical="center"/>
    </xf>
    <xf numFmtId="164" fontId="10" fillId="21" borderId="15" xfId="0" applyNumberFormat="1" applyFont="1" applyFill="1" applyBorder="1" applyProtection="1"/>
    <xf numFmtId="164" fontId="10" fillId="9" borderId="0" xfId="0" applyNumberFormat="1" applyFont="1" applyFill="1" applyProtection="1"/>
    <xf numFmtId="0" fontId="18" fillId="9" borderId="0" xfId="0" applyFont="1" applyFill="1" applyProtection="1"/>
    <xf numFmtId="164" fontId="10" fillId="9" borderId="2" xfId="0" applyNumberFormat="1" applyFont="1" applyFill="1" applyBorder="1" applyProtection="1"/>
    <xf numFmtId="164" fontId="10" fillId="9" borderId="2" xfId="0" quotePrefix="1" applyNumberFormat="1" applyFont="1" applyFill="1" applyBorder="1" applyProtection="1"/>
    <xf numFmtId="164" fontId="10" fillId="0" borderId="0" xfId="0" quotePrefix="1" applyNumberFormat="1" applyFont="1" applyProtection="1"/>
    <xf numFmtId="164" fontId="10" fillId="0" borderId="2" xfId="0" quotePrefix="1" applyNumberFormat="1" applyFont="1" applyBorder="1" applyProtection="1"/>
    <xf numFmtId="164" fontId="10" fillId="0" borderId="43" xfId="0" quotePrefix="1" applyNumberFormat="1" applyFont="1" applyBorder="1" applyProtection="1"/>
    <xf numFmtId="164" fontId="10" fillId="0" borderId="56" xfId="0" applyNumberFormat="1" applyFont="1" applyBorder="1" applyAlignment="1" applyProtection="1">
      <alignment horizontal="center"/>
    </xf>
    <xf numFmtId="164" fontId="10" fillId="9" borderId="56" xfId="0" applyNumberFormat="1" applyFont="1" applyFill="1" applyBorder="1" applyProtection="1"/>
    <xf numFmtId="164" fontId="10" fillId="0" borderId="0" xfId="0" quotePrefix="1" applyNumberFormat="1" applyFont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6" xfId="0" applyNumberFormat="1" applyFont="1" applyFill="1" applyBorder="1" applyProtection="1"/>
    <xf numFmtId="164" fontId="10" fillId="0" borderId="0" xfId="0" applyNumberFormat="1" applyFont="1" applyAlignment="1" applyProtection="1">
      <alignment vertical="center"/>
    </xf>
    <xf numFmtId="164" fontId="0" fillId="0" borderId="0" xfId="0" applyNumberFormat="1" applyProtection="1"/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4" fontId="13" fillId="27" borderId="2" xfId="0" applyNumberFormat="1" applyFont="1" applyFill="1" applyBorder="1" applyAlignment="1" applyProtection="1">
      <alignment horizontal="left" vertical="center"/>
    </xf>
    <xf numFmtId="0" fontId="0" fillId="30" borderId="0" xfId="0" applyFill="1" applyProtection="1"/>
    <xf numFmtId="164" fontId="0" fillId="30" borderId="0" xfId="0" applyNumberFormat="1" applyFill="1" applyProtection="1"/>
    <xf numFmtId="0" fontId="55" fillId="30" borderId="0" xfId="0" applyFont="1" applyFill="1" applyProtection="1"/>
    <xf numFmtId="0" fontId="0" fillId="25" borderId="0" xfId="0" applyFill="1" applyProtection="1"/>
    <xf numFmtId="0" fontId="0" fillId="28" borderId="0" xfId="0" applyFill="1" applyProtection="1"/>
    <xf numFmtId="164" fontId="0" fillId="28" borderId="0" xfId="0" applyNumberFormat="1" applyFill="1" applyProtection="1"/>
    <xf numFmtId="0" fontId="55" fillId="28" borderId="0" xfId="0" applyFont="1" applyFill="1" applyProtection="1"/>
    <xf numFmtId="164" fontId="0" fillId="25" borderId="0" xfId="0" applyNumberFormat="1" applyFill="1" applyProtection="1"/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4" fontId="69" fillId="0" borderId="0" xfId="0" applyNumberFormat="1" applyFont="1" applyAlignment="1" applyProtection="1">
      <alignment horizontal="center"/>
    </xf>
    <xf numFmtId="0" fontId="0" fillId="0" borderId="127" xfId="0" applyBorder="1" applyProtection="1"/>
    <xf numFmtId="164" fontId="0" fillId="0" borderId="127" xfId="0" applyNumberFormat="1" applyBorder="1" applyAlignment="1" applyProtection="1">
      <alignment horizontal="center"/>
    </xf>
    <xf numFmtId="164" fontId="0" fillId="0" borderId="127" xfId="0" applyNumberFormat="1" applyBorder="1" applyProtection="1"/>
    <xf numFmtId="164" fontId="0" fillId="35" borderId="0" xfId="0" applyNumberFormat="1" applyFill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4" fontId="71" fillId="0" borderId="0" xfId="0" applyNumberFormat="1" applyFont="1" applyProtection="1"/>
    <xf numFmtId="168" fontId="0" fillId="0" borderId="0" xfId="0" applyNumberFormat="1" applyProtection="1"/>
    <xf numFmtId="164" fontId="10" fillId="9" borderId="14" xfId="0" applyNumberFormat="1" applyFont="1" applyFill="1" applyBorder="1" applyAlignment="1" applyProtection="1">
      <alignment horizontal="left" vertical="center"/>
    </xf>
    <xf numFmtId="164" fontId="10" fillId="9" borderId="15" xfId="0" applyNumberFormat="1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right"/>
    </xf>
    <xf numFmtId="0" fontId="10" fillId="0" borderId="0" xfId="0" applyFont="1" applyProtection="1"/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90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164" fontId="0" fillId="0" borderId="0" xfId="0" applyNumberFormat="1" applyBorder="1" applyProtection="1"/>
    <xf numFmtId="0" fontId="71" fillId="34" borderId="6" xfId="0" applyFont="1" applyFill="1" applyBorder="1" applyAlignment="1" applyProtection="1"/>
    <xf numFmtId="0" fontId="71" fillId="34" borderId="6" xfId="0" applyFont="1" applyFill="1" applyBorder="1" applyAlignment="1" applyProtection="1">
      <alignment horizontal="center"/>
    </xf>
    <xf numFmtId="0" fontId="18" fillId="0" borderId="0" xfId="0" applyFont="1" applyProtection="1"/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10" fillId="0" borderId="0" xfId="0" applyNumberFormat="1" applyFont="1" applyAlignment="1" applyProtection="1">
      <alignment horizontal="center"/>
    </xf>
    <xf numFmtId="2" fontId="10" fillId="7" borderId="2" xfId="5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2" fontId="15" fillId="2" borderId="7" xfId="1" applyNumberFormat="1" applyFont="1" applyBorder="1" applyAlignment="1" applyProtection="1"/>
    <xf numFmtId="0" fontId="18" fillId="0" borderId="0" xfId="0" applyFont="1" applyProtection="1"/>
    <xf numFmtId="0" fontId="18" fillId="0" borderId="0" xfId="0" applyFont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 applyAlignment="1" applyProtection="1"/>
    <xf numFmtId="0" fontId="18" fillId="38" borderId="0" xfId="0" applyFont="1" applyFill="1"/>
    <xf numFmtId="0" fontId="71" fillId="34" borderId="23" xfId="0" applyFont="1" applyFill="1" applyBorder="1" applyAlignment="1" applyProtection="1"/>
    <xf numFmtId="164" fontId="0" fillId="0" borderId="0" xfId="0" applyNumberFormat="1" applyBorder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71" fillId="46" borderId="142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9" xfId="5" applyNumberFormat="1" applyFont="1" applyFill="1" applyBorder="1" applyAlignment="1" applyProtection="1"/>
    <xf numFmtId="164" fontId="71" fillId="46" borderId="140" xfId="5" applyNumberFormat="1" applyFont="1" applyFill="1" applyBorder="1" applyAlignment="1" applyProtection="1"/>
    <xf numFmtId="164" fontId="10" fillId="25" borderId="15" xfId="0" applyNumberFormat="1" applyFont="1" applyFill="1" applyBorder="1" applyAlignment="1" applyProtection="1">
      <alignment horizontal="left" vertic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0" fontId="88" fillId="0" borderId="0" xfId="0" applyFont="1" applyProtection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 applyProtection="1">
      <alignment vertical="center"/>
    </xf>
    <xf numFmtId="164" fontId="10" fillId="4" borderId="14" xfId="0" applyNumberFormat="1" applyFont="1" applyFill="1" applyBorder="1" applyProtection="1"/>
    <xf numFmtId="164" fontId="10" fillId="4" borderId="15" xfId="0" applyNumberFormat="1" applyFont="1" applyFill="1" applyBorder="1" applyProtection="1"/>
    <xf numFmtId="164" fontId="10" fillId="4" borderId="16" xfId="0" applyNumberFormat="1" applyFont="1" applyFill="1" applyBorder="1" applyProtection="1"/>
    <xf numFmtId="164" fontId="10" fillId="4" borderId="22" xfId="0" applyNumberFormat="1" applyFont="1" applyFill="1" applyBorder="1" applyProtection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Font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0" fontId="0" fillId="0" borderId="0" xfId="0" applyFill="1" applyBorder="1" applyProtection="1"/>
    <xf numFmtId="164" fontId="4" fillId="51" borderId="0" xfId="3" applyNumberFormat="1" applyFill="1" applyBorder="1" applyProtection="1"/>
    <xf numFmtId="0" fontId="0" fillId="51" borderId="0" xfId="0" applyFill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 applyProtection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18" fillId="0" borderId="0" xfId="0" applyFont="1" applyProtection="1"/>
    <xf numFmtId="0" fontId="0" fillId="0" borderId="2" xfId="0" applyBorder="1" applyAlignment="1">
      <alignment horizontal="center"/>
    </xf>
    <xf numFmtId="0" fontId="18" fillId="0" borderId="0" xfId="0" applyFont="1"/>
    <xf numFmtId="0" fontId="0" fillId="53" borderId="0" xfId="0" applyFill="1"/>
    <xf numFmtId="0" fontId="62" fillId="53" borderId="0" xfId="0" applyFont="1" applyFill="1"/>
    <xf numFmtId="0" fontId="62" fillId="53" borderId="0" xfId="0" applyFont="1" applyFill="1" applyAlignment="1">
      <alignment horizontal="center"/>
    </xf>
    <xf numFmtId="0" fontId="93" fillId="53" borderId="0" xfId="0" applyFont="1" applyFill="1" applyAlignment="1">
      <alignment horizontal="center" vertical="top"/>
    </xf>
    <xf numFmtId="0" fontId="62" fillId="53" borderId="0" xfId="0" applyFont="1" applyFill="1" applyAlignment="1">
      <alignment vertical="top"/>
    </xf>
    <xf numFmtId="0" fontId="62" fillId="35" borderId="0" xfId="0" applyFont="1" applyFill="1"/>
    <xf numFmtId="0" fontId="0" fillId="53" borderId="0" xfId="0" applyFill="1" applyAlignment="1">
      <alignment horizontal="center"/>
    </xf>
    <xf numFmtId="0" fontId="62" fillId="53" borderId="0" xfId="0" applyFont="1" applyFill="1" applyAlignment="1">
      <alignment horizontal="left" vertical="top"/>
    </xf>
    <xf numFmtId="0" fontId="62" fillId="53" borderId="0" xfId="0" applyFont="1" applyFill="1" applyAlignment="1">
      <alignment horizontal="left"/>
    </xf>
    <xf numFmtId="0" fontId="0" fillId="53" borderId="0" xfId="0" applyFill="1" applyAlignment="1">
      <alignment horizontal="left"/>
    </xf>
    <xf numFmtId="0" fontId="0" fillId="53" borderId="0" xfId="0" quotePrefix="1" applyFill="1"/>
    <xf numFmtId="0" fontId="0" fillId="53" borderId="11" xfId="0" applyFill="1" applyBorder="1"/>
    <xf numFmtId="0" fontId="62" fillId="53" borderId="11" xfId="0" applyFont="1" applyFill="1" applyBorder="1"/>
    <xf numFmtId="0" fontId="92" fillId="53" borderId="11" xfId="0" applyFont="1" applyFill="1" applyBorder="1"/>
    <xf numFmtId="0" fontId="62" fillId="26" borderId="0" xfId="0" applyFont="1" applyFill="1"/>
    <xf numFmtId="0" fontId="93" fillId="26" borderId="0" xfId="0" applyFont="1" applyFill="1" applyAlignment="1">
      <alignment horizontal="center" vertical="top"/>
    </xf>
    <xf numFmtId="0" fontId="0" fillId="26" borderId="0" xfId="0" applyFill="1"/>
    <xf numFmtId="0" fontId="3" fillId="13" borderId="1" xfId="2"/>
    <xf numFmtId="0" fontId="18" fillId="0" borderId="0" xfId="0" applyFont="1" applyProtection="1"/>
    <xf numFmtId="0" fontId="0" fillId="25" borderId="0" xfId="0" applyFill="1" applyAlignment="1" applyProtection="1">
      <alignment horizontal="center" vertical="center"/>
    </xf>
    <xf numFmtId="164" fontId="13" fillId="3" borderId="5" xfId="0" applyNumberFormat="1" applyFont="1" applyFill="1" applyBorder="1" applyAlignment="1" applyProtection="1">
      <alignment horizontal="center"/>
    </xf>
    <xf numFmtId="164" fontId="13" fillId="3" borderId="23" xfId="0" applyNumberFormat="1" applyFont="1" applyFill="1" applyBorder="1" applyAlignment="1" applyProtection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 applyProtection="1">
      <alignment horizontal="left" vertical="center"/>
    </xf>
    <xf numFmtId="164" fontId="22" fillId="6" borderId="24" xfId="4" applyNumberFormat="1" applyFont="1" applyAlignment="1" applyProtection="1">
      <alignment horizontal="center"/>
    </xf>
    <xf numFmtId="168" fontId="1" fillId="2" borderId="5" xfId="1" applyNumberFormat="1" applyFont="1" applyBorder="1" applyAlignment="1" applyProtection="1">
      <alignment horizontal="center"/>
    </xf>
    <xf numFmtId="168" fontId="1" fillId="2" borderId="23" xfId="1" applyNumberFormat="1" applyFon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 applyProtection="1">
      <alignment horizontal="left"/>
    </xf>
    <xf numFmtId="164" fontId="10" fillId="0" borderId="2" xfId="0" applyNumberFormat="1" applyFont="1" applyBorder="1" applyAlignment="1" applyProtection="1">
      <alignment horizontal="left"/>
    </xf>
    <xf numFmtId="164" fontId="10" fillId="0" borderId="0" xfId="0" quotePrefix="1" applyNumberFormat="1" applyFont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164" fontId="20" fillId="11" borderId="15" xfId="6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0" fillId="9" borderId="0" xfId="0" applyNumberFormat="1" applyFont="1" applyFill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55" xfId="1" applyNumberFormat="1" applyFont="1" applyBorder="1" applyAlignment="1" applyProtection="1">
      <alignment horizont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4" fontId="15" fillId="2" borderId="103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 applyProtection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 applyProtection="1">
      <alignment horizontal="center" vertical="center"/>
    </xf>
    <xf numFmtId="164" fontId="10" fillId="0" borderId="11" xfId="0" applyNumberFormat="1" applyFont="1" applyBorder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15" fillId="2" borderId="35" xfId="1" applyNumberFormat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7" fillId="17" borderId="0" xfId="0" applyNumberFormat="1" applyFont="1" applyFill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 applyProtection="1">
      <alignment horizontal="center" vertical="center"/>
    </xf>
    <xf numFmtId="164" fontId="30" fillId="9" borderId="15" xfId="0" applyNumberFormat="1" applyFont="1" applyFill="1" applyBorder="1" applyAlignment="1" applyProtection="1">
      <alignment horizontal="center"/>
    </xf>
    <xf numFmtId="0" fontId="10" fillId="15" borderId="2" xfId="8" applyFont="1" applyBorder="1" applyAlignment="1" applyProtection="1">
      <alignment horizontal="right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4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5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 applyProtection="1">
      <alignment horizontal="center"/>
    </xf>
    <xf numFmtId="164" fontId="6" fillId="6" borderId="24" xfId="4" applyNumberFormat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28" fillId="5" borderId="153" xfId="3" applyFont="1" applyBorder="1" applyAlignment="1" applyProtection="1">
      <alignment horizontal="center" vertical="center"/>
    </xf>
    <xf numFmtId="0" fontId="28" fillId="5" borderId="154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71" fillId="4" borderId="2" xfId="0" applyNumberFormat="1" applyFont="1" applyFill="1" applyBorder="1" applyAlignment="1" applyProtection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/>
    </xf>
    <xf numFmtId="164" fontId="15" fillId="2" borderId="119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100" xfId="8" applyFont="1" applyFill="1" applyBorder="1" applyAlignment="1" applyProtection="1">
      <alignment horizontal="right"/>
    </xf>
    <xf numFmtId="0" fontId="13" fillId="16" borderId="101" xfId="8" applyFont="1" applyFill="1" applyBorder="1" applyAlignment="1" applyProtection="1">
      <alignment horizontal="right"/>
    </xf>
    <xf numFmtId="0" fontId="13" fillId="16" borderId="102" xfId="8" applyFont="1" applyFill="1" applyBorder="1" applyAlignment="1" applyProtection="1">
      <alignment horizontal="right"/>
    </xf>
    <xf numFmtId="0" fontId="3" fillId="13" borderId="124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9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4" fontId="10" fillId="9" borderId="15" xfId="0" applyNumberFormat="1" applyFont="1" applyFill="1" applyBorder="1" applyAlignment="1" applyProtection="1">
      <alignment horizontal="center"/>
    </xf>
    <xf numFmtId="164" fontId="10" fillId="9" borderId="89" xfId="0" applyNumberFormat="1" applyFont="1" applyFill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8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9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5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9" xfId="1" applyNumberFormat="1" applyFont="1" applyBorder="1" applyAlignment="1" applyProtection="1">
      <alignment horizontal="center"/>
    </xf>
    <xf numFmtId="164" fontId="22" fillId="6" borderId="106" xfId="4" applyNumberFormat="1" applyFont="1" applyBorder="1" applyAlignment="1" applyProtection="1">
      <alignment horizontal="left"/>
    </xf>
    <xf numFmtId="164" fontId="19" fillId="13" borderId="135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50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8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56" fillId="27" borderId="2" xfId="0" applyNumberFormat="1" applyFont="1" applyFill="1" applyBorder="1" applyAlignment="1" applyProtection="1">
      <alignment horizontal="left"/>
    </xf>
    <xf numFmtId="0" fontId="56" fillId="27" borderId="2" xfId="0" applyFont="1" applyFill="1" applyBorder="1" applyAlignment="1" applyProtection="1">
      <alignment horizontal="left"/>
    </xf>
    <xf numFmtId="0" fontId="0" fillId="7" borderId="113" xfId="5" quotePrefix="1" applyFont="1" applyBorder="1" applyAlignment="1" applyProtection="1">
      <alignment horizontal="center"/>
    </xf>
    <xf numFmtId="0" fontId="0" fillId="7" borderId="114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 applyProtection="1">
      <alignment horizontal="center" vertical="center"/>
    </xf>
    <xf numFmtId="164" fontId="56" fillId="27" borderId="2" xfId="0" applyNumberFormat="1" applyFon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/>
    </xf>
    <xf numFmtId="0" fontId="0" fillId="4" borderId="29" xfId="0" applyFill="1" applyBorder="1" applyAlignment="1" applyProtection="1">
      <alignment horizontal="center" vertical="center"/>
    </xf>
    <xf numFmtId="164" fontId="69" fillId="4" borderId="29" xfId="0" applyNumberFormat="1" applyFont="1" applyFill="1" applyBorder="1" applyAlignment="1" applyProtection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4" fontId="10" fillId="0" borderId="0" xfId="0" applyNumberFormat="1" applyFont="1" applyAlignment="1" applyProtection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15" fillId="2" borderId="120" xfId="1" applyNumberFormat="1" applyFont="1" applyBorder="1" applyAlignment="1" applyProtection="1">
      <alignment horizontal="center" vertical="center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 applyProtection="1">
      <alignment horizontal="center"/>
    </xf>
    <xf numFmtId="0" fontId="18" fillId="12" borderId="2" xfId="0" applyFont="1" applyFill="1" applyBorder="1" applyAlignment="1" applyProtection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 applyProtection="1">
      <alignment horizontal="center"/>
    </xf>
    <xf numFmtId="0" fontId="18" fillId="3" borderId="23" xfId="0" applyFont="1" applyFill="1" applyBorder="1" applyAlignment="1" applyProtection="1">
      <alignment horizontal="center"/>
    </xf>
    <xf numFmtId="0" fontId="18" fillId="3" borderId="6" xfId="0" applyFont="1" applyFill="1" applyBorder="1" applyAlignment="1" applyProtection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 applyProtection="1">
      <alignment horizontal="center"/>
    </xf>
    <xf numFmtId="164" fontId="0" fillId="21" borderId="2" xfId="0" applyNumberFormat="1" applyFill="1" applyBorder="1" applyAlignment="1" applyProtection="1">
      <alignment horizontal="center"/>
    </xf>
    <xf numFmtId="0" fontId="71" fillId="34" borderId="28" xfId="0" applyFont="1" applyFill="1" applyBorder="1" applyAlignment="1" applyProtection="1">
      <alignment horizontal="center"/>
    </xf>
    <xf numFmtId="164" fontId="71" fillId="34" borderId="2" xfId="0" applyNumberFormat="1" applyFont="1" applyFill="1" applyBorder="1" applyAlignment="1" applyProtection="1">
      <alignment horizontal="center"/>
    </xf>
    <xf numFmtId="0" fontId="18" fillId="12" borderId="28" xfId="0" applyFont="1" applyFill="1" applyBorder="1" applyAlignment="1" applyProtection="1">
      <alignment horizontal="left" vertical="center"/>
    </xf>
    <xf numFmtId="164" fontId="0" fillId="4" borderId="2" xfId="0" applyNumberForma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10" fillId="25" borderId="2" xfId="0" applyNumberFormat="1" applyFont="1" applyFill="1" applyBorder="1" applyAlignment="1" applyProtection="1">
      <alignment horizontal="center" vertical="center"/>
    </xf>
    <xf numFmtId="164" fontId="10" fillId="25" borderId="28" xfId="0" applyNumberFormat="1" applyFont="1" applyFill="1" applyBorder="1" applyAlignment="1" applyProtection="1">
      <alignment horizontal="center" vertical="center"/>
    </xf>
    <xf numFmtId="164" fontId="71" fillId="34" borderId="5" xfId="0" applyNumberFormat="1" applyFont="1" applyFill="1" applyBorder="1" applyAlignment="1" applyProtection="1">
      <alignment horizontal="center"/>
    </xf>
    <xf numFmtId="164" fontId="71" fillId="34" borderId="23" xfId="0" applyNumberFormat="1" applyFont="1" applyFill="1" applyBorder="1" applyAlignment="1" applyProtection="1">
      <alignment horizontal="center"/>
    </xf>
    <xf numFmtId="164" fontId="71" fillId="34" borderId="6" xfId="0" applyNumberFormat="1" applyFont="1" applyFill="1" applyBorder="1" applyAlignment="1" applyProtection="1">
      <alignment horizontal="center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34" borderId="29" xfId="0" applyNumberFormat="1" applyFont="1" applyFill="1" applyBorder="1" applyAlignment="1" applyProtection="1">
      <alignment horizontal="center"/>
    </xf>
    <xf numFmtId="164" fontId="82" fillId="44" borderId="5" xfId="0" applyNumberFormat="1" applyFont="1" applyFill="1" applyBorder="1" applyAlignment="1" applyProtection="1">
      <alignment horizontal="center"/>
    </xf>
    <xf numFmtId="164" fontId="82" fillId="44" borderId="6" xfId="0" applyNumberFormat="1" applyFont="1" applyFill="1" applyBorder="1" applyAlignment="1" applyProtection="1">
      <alignment horizontal="center"/>
    </xf>
    <xf numFmtId="164" fontId="0" fillId="25" borderId="2" xfId="0" applyNumberFormat="1" applyFill="1" applyBorder="1" applyAlignment="1" applyProtection="1">
      <alignment horizontal="center"/>
    </xf>
    <xf numFmtId="164" fontId="0" fillId="25" borderId="7" xfId="0" applyNumberFormat="1" applyFill="1" applyBorder="1" applyAlignment="1" applyProtection="1">
      <alignment horizontal="center" vertical="center"/>
    </xf>
    <xf numFmtId="164" fontId="0" fillId="25" borderId="9" xfId="0" applyNumberFormat="1" applyFill="1" applyBorder="1" applyAlignment="1" applyProtection="1">
      <alignment horizontal="center" vertical="center"/>
    </xf>
    <xf numFmtId="164" fontId="0" fillId="25" borderId="45" xfId="0" applyNumberFormat="1" applyFill="1" applyBorder="1" applyAlignment="1" applyProtection="1">
      <alignment horizontal="center" vertical="center"/>
    </xf>
    <xf numFmtId="164" fontId="0" fillId="25" borderId="4" xfId="0" applyNumberFormat="1" applyFill="1" applyBorder="1" applyAlignment="1" applyProtection="1">
      <alignment horizontal="center" vertical="center"/>
    </xf>
    <xf numFmtId="164" fontId="0" fillId="25" borderId="10" xfId="0" applyNumberFormat="1" applyFill="1" applyBorder="1" applyAlignment="1" applyProtection="1">
      <alignment horizontal="center" vertical="center"/>
    </xf>
    <xf numFmtId="164" fontId="0" fillId="25" borderId="12" xfId="0" applyNumberFormat="1" applyFill="1" applyBorder="1" applyAlignment="1" applyProtection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2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0" fillId="25" borderId="2" xfId="0" applyNumberFormat="1" applyFill="1" applyBorder="1" applyAlignment="1" applyProtection="1">
      <alignment horizontal="center" vertical="center"/>
    </xf>
    <xf numFmtId="164" fontId="82" fillId="44" borderId="23" xfId="0" applyNumberFormat="1" applyFont="1" applyFill="1" applyBorder="1" applyAlignment="1" applyProtection="1">
      <alignment horizontal="center"/>
    </xf>
    <xf numFmtId="164" fontId="82" fillId="44" borderId="2" xfId="0" applyNumberFormat="1" applyFont="1" applyFill="1" applyBorder="1" applyAlignment="1" applyProtection="1">
      <alignment horizontal="center"/>
    </xf>
    <xf numFmtId="164" fontId="61" fillId="44" borderId="5" xfId="0" applyNumberFormat="1" applyFont="1" applyFill="1" applyBorder="1" applyAlignment="1" applyProtection="1">
      <alignment horizontal="center"/>
    </xf>
    <xf numFmtId="164" fontId="61" fillId="44" borderId="6" xfId="0" applyNumberFormat="1" applyFont="1" applyFill="1" applyBorder="1" applyAlignment="1" applyProtection="1">
      <alignment horizontal="center"/>
    </xf>
    <xf numFmtId="164" fontId="71" fillId="34" borderId="2" xfId="0" applyNumberFormat="1" applyFont="1" applyFill="1" applyBorder="1" applyAlignment="1" applyProtection="1">
      <alignment horizontal="center" vertical="center"/>
    </xf>
    <xf numFmtId="164" fontId="30" fillId="44" borderId="0" xfId="0" applyNumberFormat="1" applyFont="1" applyFill="1" applyAlignment="1" applyProtection="1">
      <alignment horizontal="left" vertical="center"/>
    </xf>
    <xf numFmtId="164" fontId="30" fillId="44" borderId="4" xfId="0" applyNumberFormat="1" applyFont="1" applyFill="1" applyBorder="1" applyAlignment="1" applyProtection="1">
      <alignment horizontal="left" vertical="center"/>
    </xf>
    <xf numFmtId="164" fontId="71" fillId="34" borderId="28" xfId="0" applyNumberFormat="1" applyFont="1" applyFill="1" applyBorder="1" applyAlignment="1" applyProtection="1">
      <alignment horizontal="center"/>
    </xf>
    <xf numFmtId="164" fontId="71" fillId="46" borderId="5" xfId="0" applyNumberFormat="1" applyFont="1" applyFill="1" applyBorder="1" applyAlignment="1" applyProtection="1">
      <alignment horizontal="center"/>
    </xf>
    <xf numFmtId="164" fontId="71" fillId="46" borderId="23" xfId="0" applyNumberFormat="1" applyFont="1" applyFill="1" applyBorder="1" applyAlignment="1" applyProtection="1">
      <alignment horizontal="center"/>
    </xf>
    <xf numFmtId="164" fontId="71" fillId="46" borderId="6" xfId="0" applyNumberFormat="1" applyFont="1" applyFill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</xf>
    <xf numFmtId="164" fontId="10" fillId="7" borderId="92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8" xfId="0" applyNumberFormat="1" applyFill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4" fontId="22" fillId="6" borderId="147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0" fillId="4" borderId="29" xfId="0" applyNumberFormat="1" applyFill="1" applyBorder="1" applyAlignment="1" applyProtection="1">
      <alignment horizont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7" xfId="2" quotePrefix="1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</xf>
    <xf numFmtId="164" fontId="56" fillId="4" borderId="2" xfId="0" applyNumberFormat="1" applyFont="1" applyFill="1" applyBorder="1" applyAlignment="1" applyProtection="1">
      <alignment horizontal="center" textRotation="255"/>
    </xf>
    <xf numFmtId="164" fontId="20" fillId="11" borderId="4" xfId="6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 applyProtection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 applyProtection="1">
      <alignment horizontal="center" vertical="center"/>
    </xf>
    <xf numFmtId="0" fontId="88" fillId="39" borderId="0" xfId="0" applyFont="1" applyFill="1" applyBorder="1" applyAlignment="1" applyProtection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 wrapText="1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left"/>
    </xf>
    <xf numFmtId="164" fontId="0" fillId="47" borderId="2" xfId="0" applyNumberFormat="1" applyFill="1" applyBorder="1" applyAlignment="1" applyProtection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5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51" xfId="4" applyNumberFormat="1" applyFon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 applyProtection="1">
      <alignment horizontal="center"/>
    </xf>
    <xf numFmtId="164" fontId="0" fillId="25" borderId="23" xfId="0" applyNumberFormat="1" applyFill="1" applyBorder="1" applyAlignment="1" applyProtection="1">
      <alignment horizontal="center"/>
    </xf>
    <xf numFmtId="164" fontId="0" fillId="25" borderId="6" xfId="0" applyNumberFormat="1" applyFill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3" fillId="3" borderId="6" xfId="0" applyNumberFormat="1" applyFont="1" applyFill="1" applyBorder="1" applyAlignment="1" applyProtection="1">
      <alignment horizontal="center"/>
    </xf>
    <xf numFmtId="164" fontId="10" fillId="9" borderId="14" xfId="0" applyNumberFormat="1" applyFont="1" applyFill="1" applyBorder="1" applyAlignment="1" applyProtection="1">
      <alignment horizontal="left"/>
    </xf>
    <xf numFmtId="164" fontId="10" fillId="9" borderId="15" xfId="0" applyNumberFormat="1" applyFont="1" applyFill="1" applyBorder="1" applyAlignment="1" applyProtection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15" fillId="2" borderId="121" xfId="1" applyNumberFormat="1" applyFont="1" applyBorder="1" applyAlignment="1" applyProtection="1">
      <alignment horizontal="center"/>
    </xf>
    <xf numFmtId="164" fontId="15" fillId="2" borderId="122" xfId="1" applyNumberFormat="1" applyFont="1" applyBorder="1" applyAlignment="1" applyProtection="1">
      <alignment horizontal="center"/>
    </xf>
    <xf numFmtId="164" fontId="15" fillId="2" borderId="123" xfId="1" applyNumberFormat="1" applyFont="1" applyBorder="1" applyAlignment="1" applyProtection="1">
      <alignment horizontal="center"/>
    </xf>
    <xf numFmtId="164" fontId="22" fillId="6" borderId="109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0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4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5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 applyProtection="1">
      <alignment horizontal="left"/>
    </xf>
    <xf numFmtId="164" fontId="13" fillId="4" borderId="15" xfId="0" applyNumberFormat="1" applyFont="1" applyFill="1" applyBorder="1" applyAlignment="1" applyProtection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6" xfId="0" applyNumberFormat="1" applyBorder="1" applyAlignment="1" applyProtection="1">
      <alignment horizontal="center"/>
    </xf>
    <xf numFmtId="169" fontId="0" fillId="0" borderId="0" xfId="0" applyNumberFormat="1" applyAlignment="1" applyProtection="1">
      <alignment horizontal="center"/>
    </xf>
    <xf numFmtId="164" fontId="10" fillId="15" borderId="86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7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 applyProtection="1">
      <alignment horizontal="center" vertical="center"/>
    </xf>
    <xf numFmtId="0" fontId="0" fillId="26" borderId="2" xfId="0" applyFill="1" applyBorder="1" applyAlignment="1" applyProtection="1">
      <alignment horizontal="center" vertical="center"/>
    </xf>
    <xf numFmtId="0" fontId="0" fillId="26" borderId="7" xfId="0" applyFill="1" applyBorder="1" applyAlignment="1" applyProtection="1">
      <alignment horizontal="center" vertical="center"/>
    </xf>
    <xf numFmtId="0" fontId="0" fillId="26" borderId="8" xfId="0" applyFill="1" applyBorder="1" applyAlignment="1" applyProtection="1">
      <alignment horizontal="center" vertical="center"/>
    </xf>
    <xf numFmtId="0" fontId="0" fillId="26" borderId="9" xfId="0" applyFill="1" applyBorder="1" applyAlignment="1" applyProtection="1">
      <alignment horizontal="center" vertical="center"/>
    </xf>
    <xf numFmtId="0" fontId="0" fillId="26" borderId="10" xfId="0" applyFill="1" applyBorder="1" applyAlignment="1" applyProtection="1">
      <alignment horizontal="center" vertical="center"/>
    </xf>
    <xf numFmtId="0" fontId="0" fillId="26" borderId="11" xfId="0" applyFill="1" applyBorder="1" applyAlignment="1" applyProtection="1">
      <alignment horizontal="center" vertical="center"/>
    </xf>
    <xf numFmtId="0" fontId="0" fillId="26" borderId="12" xfId="0" applyFill="1" applyBorder="1" applyAlignment="1" applyProtection="1">
      <alignment horizontal="center" vertical="center"/>
    </xf>
    <xf numFmtId="0" fontId="42" fillId="26" borderId="5" xfId="0" applyFont="1" applyFill="1" applyBorder="1" applyAlignment="1" applyProtection="1">
      <alignment horizontal="center" vertical="center"/>
    </xf>
    <xf numFmtId="0" fontId="42" fillId="26" borderId="23" xfId="0" applyFont="1" applyFill="1" applyBorder="1" applyAlignment="1" applyProtection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5" fillId="2" borderId="98" xfId="1" applyNumberFormat="1" applyFont="1" applyBorder="1" applyAlignment="1" applyProtection="1">
      <alignment horizontal="center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9" xfId="1" applyNumberFormat="1" applyFont="1" applyBorder="1" applyAlignment="1" applyProtection="1">
      <alignment horizontal="center"/>
    </xf>
    <xf numFmtId="0" fontId="19" fillId="13" borderId="95" xfId="2" quotePrefix="1" applyFont="1" applyBorder="1" applyAlignment="1" applyProtection="1">
      <alignment horizontal="center"/>
      <protection locked="0"/>
    </xf>
    <xf numFmtId="0" fontId="19" fillId="13" borderId="96" xfId="2" quotePrefix="1" applyFont="1" applyBorder="1" applyAlignment="1" applyProtection="1">
      <alignment horizontal="center"/>
      <protection locked="0"/>
    </xf>
    <xf numFmtId="0" fontId="19" fillId="13" borderId="97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69" fillId="4" borderId="2" xfId="0" applyNumberFormat="1" applyFont="1" applyFill="1" applyBorder="1" applyAlignment="1" applyProtection="1">
      <alignment horizontal="center" vertical="center"/>
    </xf>
    <xf numFmtId="0" fontId="71" fillId="34" borderId="5" xfId="0" applyFont="1" applyFill="1" applyBorder="1" applyAlignment="1" applyProtection="1">
      <alignment horizontal="center"/>
    </xf>
    <xf numFmtId="0" fontId="71" fillId="34" borderId="23" xfId="0" applyFont="1" applyFill="1" applyBorder="1" applyAlignment="1" applyProtection="1">
      <alignment horizontal="center"/>
    </xf>
    <xf numFmtId="164" fontId="56" fillId="34" borderId="23" xfId="0" applyNumberFormat="1" applyFont="1" applyFill="1" applyBorder="1" applyAlignment="1" applyProtection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 applyProtection="1">
      <alignment horizontal="center"/>
    </xf>
    <xf numFmtId="164" fontId="56" fillId="34" borderId="6" xfId="0" applyNumberFormat="1" applyFont="1" applyFill="1" applyBorder="1" applyAlignment="1" applyProtection="1">
      <alignment horizontal="center"/>
    </xf>
    <xf numFmtId="164" fontId="0" fillId="4" borderId="57" xfId="0" applyNumberFormat="1" applyFill="1" applyBorder="1" applyAlignment="1" applyProtection="1">
      <alignment horizontal="center"/>
    </xf>
    <xf numFmtId="164" fontId="0" fillId="4" borderId="5" xfId="0" applyNumberFormat="1" applyFill="1" applyBorder="1" applyAlignment="1" applyProtection="1">
      <alignment horizontal="center"/>
    </xf>
    <xf numFmtId="164" fontId="0" fillId="4" borderId="23" xfId="0" applyNumberFormat="1" applyFill="1" applyBorder="1" applyAlignment="1" applyProtection="1">
      <alignment horizontal="center"/>
    </xf>
    <xf numFmtId="164" fontId="85" fillId="34" borderId="2" xfId="0" applyNumberFormat="1" applyFont="1" applyFill="1" applyBorder="1" applyAlignment="1" applyProtection="1">
      <alignment horizontal="center"/>
    </xf>
    <xf numFmtId="164" fontId="18" fillId="34" borderId="2" xfId="0" applyNumberFormat="1" applyFont="1" applyFill="1" applyBorder="1" applyAlignment="1" applyProtection="1">
      <alignment horizontal="center"/>
    </xf>
    <xf numFmtId="164" fontId="71" fillId="34" borderId="7" xfId="0" applyNumberFormat="1" applyFont="1" applyFill="1" applyBorder="1" applyAlignment="1" applyProtection="1">
      <alignment horizontal="center" vertical="center"/>
    </xf>
    <xf numFmtId="164" fontId="71" fillId="34" borderId="8" xfId="0" applyNumberFormat="1" applyFont="1" applyFill="1" applyBorder="1" applyAlignment="1" applyProtection="1">
      <alignment horizontal="center" vertical="center"/>
    </xf>
    <xf numFmtId="164" fontId="71" fillId="34" borderId="10" xfId="0" applyNumberFormat="1" applyFont="1" applyFill="1" applyBorder="1" applyAlignment="1" applyProtection="1">
      <alignment horizontal="center" vertical="center"/>
    </xf>
    <xf numFmtId="164" fontId="71" fillId="34" borderId="11" xfId="0" applyNumberFormat="1" applyFont="1" applyFill="1" applyBorder="1" applyAlignment="1" applyProtection="1">
      <alignment horizontal="center" vertic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 applyProtection="1">
      <alignment horizontal="center"/>
    </xf>
    <xf numFmtId="164" fontId="71" fillId="33" borderId="9" xfId="0" applyNumberFormat="1" applyFont="1" applyFill="1" applyBorder="1" applyAlignment="1" applyProtection="1">
      <alignment horizontal="center"/>
    </xf>
    <xf numFmtId="164" fontId="71" fillId="33" borderId="6" xfId="0" applyNumberFormat="1" applyFont="1" applyFill="1" applyBorder="1" applyAlignment="1" applyProtection="1">
      <alignment horizontal="center"/>
    </xf>
    <xf numFmtId="164" fontId="71" fillId="33" borderId="2" xfId="0" applyNumberFormat="1" applyFont="1" applyFill="1" applyBorder="1" applyAlignment="1" applyProtection="1">
      <alignment horizontal="center"/>
    </xf>
    <xf numFmtId="164" fontId="71" fillId="33" borderId="29" xfId="0" applyNumberFormat="1" applyFont="1" applyFill="1" applyBorder="1" applyAlignment="1" applyProtection="1">
      <alignment horizontal="center"/>
    </xf>
    <xf numFmtId="164" fontId="30" fillId="45" borderId="0" xfId="0" applyNumberFormat="1" applyFont="1" applyFill="1" applyAlignment="1" applyProtection="1">
      <alignment horizontal="left" vertical="center"/>
    </xf>
    <xf numFmtId="164" fontId="30" fillId="45" borderId="4" xfId="0" applyNumberFormat="1" applyFont="1" applyFill="1" applyBorder="1" applyAlignment="1" applyProtection="1">
      <alignment horizontal="left" vertical="center"/>
    </xf>
    <xf numFmtId="164" fontId="82" fillId="45" borderId="2" xfId="0" applyNumberFormat="1" applyFont="1" applyFill="1" applyBorder="1" applyAlignment="1" applyProtection="1">
      <alignment horizontal="center"/>
    </xf>
    <xf numFmtId="164" fontId="82" fillId="45" borderId="5" xfId="0" applyNumberFormat="1" applyFont="1" applyFill="1" applyBorder="1" applyAlignment="1" applyProtection="1">
      <alignment horizontal="center"/>
    </xf>
    <xf numFmtId="164" fontId="82" fillId="45" borderId="23" xfId="0" applyNumberFormat="1" applyFont="1" applyFill="1" applyBorder="1" applyAlignment="1" applyProtection="1">
      <alignment horizontal="center"/>
    </xf>
    <xf numFmtId="164" fontId="82" fillId="45" borderId="6" xfId="0" applyNumberFormat="1" applyFont="1" applyFill="1" applyBorder="1" applyAlignment="1" applyProtection="1">
      <alignment horizontal="center"/>
    </xf>
    <xf numFmtId="164" fontId="71" fillId="45" borderId="7" xfId="0" applyNumberFormat="1" applyFont="1" applyFill="1" applyBorder="1" applyAlignment="1" applyProtection="1">
      <alignment horizontal="center"/>
    </xf>
    <xf numFmtId="164" fontId="71" fillId="45" borderId="8" xfId="0" applyNumberFormat="1" applyFont="1" applyFill="1" applyBorder="1" applyAlignment="1" applyProtection="1">
      <alignment horizontal="center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 applyProtection="1">
      <alignment horizontal="center" vertical="center"/>
    </xf>
    <xf numFmtId="0" fontId="1" fillId="2" borderId="116" xfId="1" applyBorder="1" applyAlignment="1" applyProtection="1">
      <alignment horizontal="center" vertical="center"/>
    </xf>
    <xf numFmtId="0" fontId="1" fillId="2" borderId="117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8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0" fontId="59" fillId="7" borderId="2" xfId="5" applyFont="1" applyBorder="1" applyAlignment="1" applyProtection="1">
      <alignment horizontal="center"/>
    </xf>
    <xf numFmtId="49" fontId="40" fillId="13" borderId="116" xfId="2" applyNumberFormat="1" applyFont="1" applyBorder="1" applyAlignment="1" applyProtection="1">
      <alignment horizontal="center" vertical="center"/>
    </xf>
    <xf numFmtId="49" fontId="40" fillId="13" borderId="125" xfId="2" applyNumberFormat="1" applyFont="1" applyBorder="1" applyAlignment="1" applyProtection="1">
      <alignment horizontal="center" vertical="center"/>
    </xf>
    <xf numFmtId="44" fontId="56" fillId="15" borderId="107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8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7" xfId="8" applyNumberFormat="1" applyFont="1" applyBorder="1" applyAlignment="1" applyProtection="1">
      <alignment horizontal="center" vertical="center" wrapText="1"/>
    </xf>
    <xf numFmtId="164" fontId="10" fillId="15" borderId="108" xfId="8" applyNumberFormat="1" applyFont="1" applyBorder="1" applyAlignment="1" applyProtection="1">
      <alignment horizontal="center" vertical="center" wrapText="1"/>
    </xf>
    <xf numFmtId="164" fontId="13" fillId="27" borderId="2" xfId="0" applyNumberFormat="1" applyFont="1" applyFill="1" applyBorder="1" applyAlignment="1">
      <alignment horizontal="left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0" fillId="3" borderId="25" xfId="5" applyNumberFormat="1" applyFont="1" applyFill="1" applyAlignment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10" fillId="0" borderId="2" xfId="0" applyNumberFormat="1" applyFont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0" fontId="18" fillId="12" borderId="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89" xfId="0" applyNumberFormat="1" applyFont="1" applyFill="1" applyBorder="1" applyAlignment="1">
      <alignment horizont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4" fontId="26" fillId="17" borderId="0" xfId="0" applyNumberFormat="1" applyFont="1" applyFill="1" applyAlignment="1">
      <alignment horizontal="center" vertical="center"/>
    </xf>
    <xf numFmtId="164" fontId="27" fillId="17" borderId="0" xfId="0" applyNumberFormat="1" applyFont="1" applyFill="1" applyAlignment="1">
      <alignment horizontal="center" vertic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6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6" xfId="5" applyNumberFormat="1" applyFont="1" applyBorder="1" applyAlignment="1" applyProtection="1">
      <alignment horizontal="center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0" fillId="25" borderId="29" xfId="0" applyNumberFormat="1" applyFill="1" applyBorder="1" applyAlignment="1" applyProtection="1">
      <alignment horizontal="center"/>
    </xf>
    <xf numFmtId="164" fontId="71" fillId="45" borderId="5" xfId="0" applyNumberFormat="1" applyFont="1" applyFill="1" applyBorder="1" applyAlignment="1" applyProtection="1">
      <alignment horizontal="center"/>
    </xf>
    <xf numFmtId="164" fontId="71" fillId="45" borderId="23" xfId="0" applyNumberFormat="1" applyFont="1" applyFill="1" applyBorder="1" applyAlignment="1" applyProtection="1">
      <alignment horizontal="center"/>
    </xf>
    <xf numFmtId="164" fontId="71" fillId="45" borderId="6" xfId="0" applyNumberFormat="1" applyFont="1" applyFill="1" applyBorder="1" applyAlignment="1" applyProtection="1">
      <alignment horizontal="center"/>
    </xf>
    <xf numFmtId="164" fontId="0" fillId="0" borderId="29" xfId="0" applyNumberFormat="1" applyBorder="1" applyAlignment="1" applyProtection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1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164" fontId="10" fillId="15" borderId="107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9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164" fontId="0" fillId="0" borderId="2" xfId="0" applyNumberFormat="1" applyBorder="1" applyAlignment="1">
      <alignment horizont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4" fillId="5" borderId="105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0" fontId="1" fillId="2" borderId="86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6" xfId="4" applyBorder="1" applyAlignment="1">
      <alignment horizontal="center"/>
    </xf>
    <xf numFmtId="0" fontId="6" fillId="6" borderId="136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4" fontId="57" fillId="27" borderId="2" xfId="0" applyNumberFormat="1" applyFont="1" applyFill="1" applyBorder="1" applyAlignment="1">
      <alignment horizontal="center" vertic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0" fontId="0" fillId="12" borderId="2" xfId="0" applyFill="1" applyBorder="1" applyAlignment="1">
      <alignment horizontal="center" vertical="center"/>
    </xf>
    <xf numFmtId="164" fontId="21" fillId="5" borderId="29" xfId="3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65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71" fillId="34" borderId="28" xfId="0" applyNumberFormat="1" applyFont="1" applyFill="1" applyBorder="1" applyAlignment="1">
      <alignment horizontal="center"/>
    </xf>
    <xf numFmtId="164" fontId="71" fillId="46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0" fillId="25" borderId="28" xfId="0" applyNumberFormat="1" applyFill="1" applyBorder="1" applyAlignment="1">
      <alignment horizontal="center"/>
    </xf>
    <xf numFmtId="164" fontId="10" fillId="15" borderId="2" xfId="8" applyNumberFormat="1" applyFont="1" applyBorder="1" applyAlignment="1" applyProtection="1">
      <alignment horizontal="right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10" fillId="3" borderId="2" xfId="0" applyNumberFormat="1" applyFont="1" applyFill="1" applyBorder="1" applyAlignment="1">
      <alignment horizontal="center" vertical="center"/>
    </xf>
    <xf numFmtId="164" fontId="71" fillId="34" borderId="130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131" xfId="0" applyNumberFormat="1" applyFont="1" applyFill="1" applyBorder="1" applyAlignment="1">
      <alignment horizontal="center"/>
    </xf>
    <xf numFmtId="164" fontId="69" fillId="4" borderId="2" xfId="0" applyNumberFormat="1" applyFont="1" applyFill="1" applyBorder="1" applyAlignment="1">
      <alignment horizontal="center" vertical="center"/>
    </xf>
    <xf numFmtId="0" fontId="77" fillId="4" borderId="137" xfId="0" applyFont="1" applyFill="1" applyBorder="1" applyAlignment="1">
      <alignment horizontal="center"/>
    </xf>
    <xf numFmtId="0" fontId="77" fillId="4" borderId="107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0" fontId="77" fillId="4" borderId="93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0" fillId="0" borderId="9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3" xfId="0" applyFill="1" applyBorder="1" applyAlignment="1">
      <alignment horizontal="center"/>
    </xf>
    <xf numFmtId="164" fontId="0" fillId="21" borderId="130" xfId="0" applyNumberFormat="1" applyFill="1" applyBorder="1" applyAlignment="1">
      <alignment horizontal="center"/>
    </xf>
    <xf numFmtId="164" fontId="0" fillId="21" borderId="131" xfId="0" applyNumberFormat="1" applyFill="1" applyBorder="1" applyAlignment="1">
      <alignment horizontal="center"/>
    </xf>
    <xf numFmtId="0" fontId="71" fillId="34" borderId="130" xfId="0" applyFont="1" applyFill="1" applyBorder="1" applyAlignment="1">
      <alignment horizontal="center"/>
    </xf>
    <xf numFmtId="0" fontId="71" fillId="34" borderId="131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/>
    </xf>
    <xf numFmtId="164" fontId="71" fillId="0" borderId="91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71" fillId="0" borderId="90" xfId="0" applyNumberFormat="1" applyFont="1" applyBorder="1" applyAlignment="1">
      <alignment horizontal="center"/>
    </xf>
    <xf numFmtId="164" fontId="0" fillId="9" borderId="90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91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0" fillId="25" borderId="90" xfId="0" applyNumberFormat="1" applyFill="1" applyBorder="1" applyAlignment="1">
      <alignment horizontal="center"/>
    </xf>
    <xf numFmtId="164" fontId="0" fillId="25" borderId="91" xfId="0" applyNumberFormat="1" applyFill="1" applyBorder="1" applyAlignment="1">
      <alignment horizontal="center"/>
    </xf>
    <xf numFmtId="164" fontId="71" fillId="0" borderId="5" xfId="0" applyNumberFormat="1" applyFont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10" fillId="25" borderId="134" xfId="0" applyNumberFormat="1" applyFont="1" applyFill="1" applyBorder="1" applyAlignment="1">
      <alignment horizontal="center" vertic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0" fillId="25" borderId="5" xfId="0" applyNumberFormat="1" applyFill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91" xfId="0" applyNumberFormat="1" applyFont="1" applyFill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71" fillId="46" borderId="25" xfId="5" applyNumberFormat="1" applyFont="1" applyFill="1" applyAlignment="1">
      <alignment horizont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3" xfId="5" applyNumberFormat="1" applyFont="1" applyFill="1" applyBorder="1" applyAlignment="1" applyProtection="1">
      <alignment horizontal="center"/>
    </xf>
    <xf numFmtId="164" fontId="71" fillId="46" borderId="140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8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30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31" xfId="0" applyNumberFormat="1" applyFont="1" applyFill="1" applyBorder="1" applyAlignment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71" fillId="46" borderId="145" xfId="5" quotePrefix="1" applyNumberFormat="1" applyFont="1" applyFill="1" applyBorder="1" applyAlignment="1" applyProtection="1">
      <alignment horizontal="center"/>
    </xf>
    <xf numFmtId="164" fontId="71" fillId="46" borderId="146" xfId="5" quotePrefix="1" applyNumberFormat="1" applyFont="1" applyFill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10" fillId="15" borderId="0" xfId="8" applyNumberFormat="1" applyFont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8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0" fillId="9" borderId="101" xfId="0" applyNumberFormat="1" applyFont="1" applyFill="1" applyBorder="1" applyAlignment="1">
      <alignment horizont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0" fontId="94" fillId="51" borderId="0" xfId="0" applyFont="1" applyFill="1" applyAlignment="1">
      <alignment horizontal="center" vertical="center"/>
    </xf>
    <xf numFmtId="0" fontId="95" fillId="51" borderId="0" xfId="0" applyFont="1" applyFill="1" applyAlignment="1">
      <alignment horizontal="center"/>
    </xf>
    <xf numFmtId="0" fontId="11" fillId="52" borderId="2" xfId="0" applyFont="1" applyFill="1" applyBorder="1" applyAlignment="1">
      <alignment horizontal="center" vertical="center"/>
    </xf>
    <xf numFmtId="0" fontId="11" fillId="39" borderId="5" xfId="0" applyFont="1" applyFill="1" applyBorder="1" applyAlignment="1">
      <alignment horizontal="center" vertical="center"/>
    </xf>
    <xf numFmtId="0" fontId="11" fillId="39" borderId="6" xfId="0" applyFont="1" applyFill="1" applyBorder="1" applyAlignment="1">
      <alignment horizontal="center" vertical="center"/>
    </xf>
    <xf numFmtId="0" fontId="11" fillId="33" borderId="5" xfId="0" applyFont="1" applyFill="1" applyBorder="1" applyAlignment="1">
      <alignment horizontal="center" vertical="center"/>
    </xf>
    <xf numFmtId="0" fontId="11" fillId="33" borderId="6" xfId="0" applyFont="1" applyFill="1" applyBorder="1" applyAlignment="1">
      <alignment horizontal="center" vertic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0" fillId="0" borderId="0" xfId="0" applyAlignment="1"/>
    <xf numFmtId="164" fontId="91" fillId="15" borderId="8" xfId="8" applyNumberFormat="1" applyFont="1" applyBorder="1" applyAlignment="1" applyProtection="1">
      <alignment horizontal="center" vertical="center" wrapText="1"/>
    </xf>
    <xf numFmtId="164" fontId="91" fillId="15" borderId="9" xfId="8" applyNumberFormat="1" applyFont="1" applyBorder="1" applyAlignment="1" applyProtection="1">
      <alignment horizontal="center" vertical="center" wrapText="1"/>
    </xf>
    <xf numFmtId="164" fontId="91" fillId="15" borderId="10" xfId="8" applyNumberFormat="1" applyFont="1" applyBorder="1" applyAlignment="1" applyProtection="1">
      <alignment horizontal="center" vertical="center" wrapText="1"/>
    </xf>
    <xf numFmtId="164" fontId="91" fillId="15" borderId="11" xfId="8" applyNumberFormat="1" applyFont="1" applyBorder="1" applyAlignment="1" applyProtection="1">
      <alignment horizontal="center" vertical="center" wrapText="1"/>
    </xf>
    <xf numFmtId="164" fontId="91" fillId="15" borderId="12" xfId="8" applyNumberFormat="1" applyFont="1" applyBorder="1" applyAlignment="1" applyProtection="1">
      <alignment horizontal="center" vertical="center" wrapText="1"/>
    </xf>
    <xf numFmtId="164" fontId="1" fillId="2" borderId="1" xfId="1" quotePrefix="1" applyNumberFormat="1" applyAlignment="1" applyProtection="1">
      <alignment horizontal="center" vertical="center"/>
      <protection locked="0"/>
    </xf>
    <xf numFmtId="164" fontId="1" fillId="2" borderId="1" xfId="1" applyNumberFormat="1" applyAlignment="1" applyProtection="1">
      <alignment horizontal="center" vertical="center"/>
      <protection locked="0"/>
    </xf>
    <xf numFmtId="0" fontId="1" fillId="2" borderId="1" xfId="1" applyAlignment="1"/>
    <xf numFmtId="0" fontId="3" fillId="13" borderId="1" xfId="2" applyAlignment="1">
      <alignment horizontal="center" vertical="center"/>
    </xf>
    <xf numFmtId="0" fontId="1" fillId="2" borderId="1" xfId="1" applyAlignment="1">
      <alignment horizontal="center"/>
    </xf>
    <xf numFmtId="0" fontId="1" fillId="2" borderId="1" xfId="1" quotePrefix="1" applyAlignment="1">
      <alignment horizontal="center" vertical="center"/>
    </xf>
    <xf numFmtId="0" fontId="1" fillId="2" borderId="157" xfId="1" quotePrefix="1" applyBorder="1" applyAlignment="1">
      <alignment horizontal="center" vertical="center"/>
    </xf>
    <xf numFmtId="0" fontId="1" fillId="2" borderId="1" xfId="1" applyAlignment="1">
      <alignment horizontal="center" vertical="center"/>
    </xf>
    <xf numFmtId="0" fontId="6" fillId="6" borderId="24" xfId="4" applyAlignment="1">
      <alignment horizontal="center" vertical="center"/>
    </xf>
    <xf numFmtId="0" fontId="6" fillId="6" borderId="24" xfId="4" applyAlignment="1">
      <alignment vertical="center"/>
    </xf>
    <xf numFmtId="0" fontId="3" fillId="13" borderId="1" xfId="2" applyAlignment="1">
      <alignment horizontal="center"/>
    </xf>
    <xf numFmtId="0" fontId="8" fillId="11" borderId="0" xfId="6"/>
    <xf numFmtId="0" fontId="3" fillId="13" borderId="1" xfId="2" applyAlignment="1" applyProtection="1">
      <alignment horizontal="right" vertical="center"/>
      <protection locked="0"/>
    </xf>
    <xf numFmtId="0" fontId="1" fillId="2" borderId="3" xfId="1" applyBorder="1" applyAlignment="1">
      <alignment horizontal="center" vertical="center"/>
    </xf>
    <xf numFmtId="0" fontId="1" fillId="2" borderId="36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35" xfId="1" quotePrefix="1" applyBorder="1" applyAlignment="1">
      <alignment horizontal="center" vertical="center"/>
    </xf>
    <xf numFmtId="0" fontId="6" fillId="6" borderId="79" xfId="4" applyBorder="1" applyAlignment="1">
      <alignment horizontal="center" vertical="center"/>
    </xf>
    <xf numFmtId="0" fontId="1" fillId="2" borderId="3" xfId="1" quotePrefix="1" applyBorder="1" applyAlignment="1">
      <alignment horizontal="center" vertical="center"/>
    </xf>
    <xf numFmtId="0" fontId="1" fillId="2" borderId="3" xfId="1" applyBorder="1" applyAlignment="1">
      <alignment vertical="center"/>
    </xf>
    <xf numFmtId="0" fontId="1" fillId="2" borderId="3" xfId="1" applyBorder="1" applyAlignment="1">
      <alignment vertical="center" wrapText="1"/>
    </xf>
    <xf numFmtId="0" fontId="1" fillId="2" borderId="117" xfId="1" quotePrefix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53" borderId="2" xfId="0" applyFont="1" applyFill="1" applyBorder="1" applyAlignment="1">
      <alignment horizontal="center"/>
    </xf>
    <xf numFmtId="0" fontId="11" fillId="45" borderId="2" xfId="0" applyFont="1" applyFill="1" applyBorder="1" applyAlignment="1">
      <alignment horizontal="center"/>
    </xf>
    <xf numFmtId="0" fontId="11" fillId="45" borderId="2" xfId="0" applyFont="1" applyFill="1" applyBorder="1" applyAlignment="1">
      <alignment horizontal="center"/>
    </xf>
    <xf numFmtId="0" fontId="11" fillId="45" borderId="2" xfId="0" applyFont="1" applyFill="1" applyBorder="1" applyAlignment="1">
      <alignment horizontal="center" vertical="center"/>
    </xf>
    <xf numFmtId="0" fontId="11" fillId="53" borderId="2" xfId="0" applyFont="1" applyFill="1" applyBorder="1" applyAlignment="1">
      <alignment horizontal="center" vertical="center"/>
    </xf>
    <xf numFmtId="0" fontId="11" fillId="54" borderId="2" xfId="0" applyFont="1" applyFill="1" applyBorder="1" applyAlignment="1">
      <alignment horizontal="center"/>
    </xf>
    <xf numFmtId="0" fontId="11" fillId="54" borderId="2" xfId="0" applyFont="1" applyFill="1" applyBorder="1" applyAlignment="1">
      <alignment horizontal="center" vertical="center"/>
    </xf>
    <xf numFmtId="0" fontId="97" fillId="2" borderId="1" xfId="1" applyFont="1" applyAlignment="1"/>
    <xf numFmtId="0" fontId="8" fillId="11" borderId="45" xfId="6" applyBorder="1" applyAlignment="1">
      <alignment horizontal="center" vertical="center"/>
    </xf>
    <xf numFmtId="0" fontId="8" fillId="11" borderId="37" xfId="6" applyBorder="1" applyAlignment="1">
      <alignment horizontal="center" vertical="center"/>
    </xf>
    <xf numFmtId="0" fontId="8" fillId="11" borderId="2" xfId="6" applyBorder="1" applyAlignment="1">
      <alignment horizontal="right"/>
    </xf>
    <xf numFmtId="0" fontId="8" fillId="11" borderId="2" xfId="6" applyBorder="1" applyAlignment="1">
      <alignment horizontal="center"/>
    </xf>
    <xf numFmtId="0" fontId="8" fillId="11" borderId="3" xfId="6" applyBorder="1" applyAlignment="1">
      <alignment horizontal="center" vertical="center"/>
    </xf>
    <xf numFmtId="0" fontId="8" fillId="11" borderId="1" xfId="6" applyBorder="1" applyAlignment="1">
      <alignment horizontal="center" vertical="center"/>
    </xf>
    <xf numFmtId="0" fontId="8" fillId="11" borderId="3" xfId="6" applyBorder="1" applyAlignment="1">
      <alignment horizontal="right" vertical="center"/>
    </xf>
    <xf numFmtId="0" fontId="8" fillId="11" borderId="1" xfId="6" applyBorder="1" applyAlignment="1">
      <alignment vertical="center"/>
    </xf>
    <xf numFmtId="0" fontId="0" fillId="0" borderId="0" xfId="0" quotePrefix="1" applyAlignment="1">
      <alignment horizontal="center"/>
    </xf>
    <xf numFmtId="0" fontId="6" fillId="6" borderId="24" xfId="4"/>
    <xf numFmtId="0" fontId="1" fillId="2" borderId="3" xfId="1" applyBorder="1"/>
    <xf numFmtId="0" fontId="0" fillId="25" borderId="14" xfId="0" applyFill="1" applyBorder="1" applyAlignment="1">
      <alignment horizontal="center" vertical="center"/>
    </xf>
    <xf numFmtId="0" fontId="0" fillId="25" borderId="16" xfId="0" applyFill="1" applyBorder="1" applyAlignment="1">
      <alignment horizontal="center" vertical="center"/>
    </xf>
    <xf numFmtId="0" fontId="97" fillId="2" borderId="104" xfId="1" applyFont="1" applyBorder="1" applyAlignment="1"/>
    <xf numFmtId="0" fontId="1" fillId="2" borderId="104" xfId="1" applyBorder="1" applyAlignment="1"/>
    <xf numFmtId="14" fontId="3" fillId="13" borderId="1" xfId="2" quotePrefix="1" applyNumberFormat="1" applyAlignment="1">
      <alignment horizontal="center" vertical="center"/>
    </xf>
    <xf numFmtId="0" fontId="11" fillId="45" borderId="28" xfId="0" applyFont="1" applyFill="1" applyBorder="1" applyAlignment="1">
      <alignment horizontal="center" vertical="center"/>
    </xf>
    <xf numFmtId="0" fontId="11" fillId="45" borderId="57" xfId="0" applyFont="1" applyFill="1" applyBorder="1" applyAlignment="1">
      <alignment horizontal="center" vertical="center"/>
    </xf>
    <xf numFmtId="0" fontId="11" fillId="45" borderId="29" xfId="0" applyFont="1" applyFill="1" applyBorder="1" applyAlignment="1">
      <alignment horizontal="center" vertical="center"/>
    </xf>
    <xf numFmtId="0" fontId="8" fillId="11" borderId="43" xfId="6" quotePrefix="1" applyBorder="1" applyAlignment="1">
      <alignment horizontal="center" vertical="center"/>
    </xf>
    <xf numFmtId="0" fontId="8" fillId="11" borderId="1" xfId="6" quotePrefix="1" applyBorder="1" applyAlignment="1">
      <alignment horizontal="center" vertical="center"/>
    </xf>
    <xf numFmtId="0" fontId="8" fillId="11" borderId="158" xfId="6" applyBorder="1" applyAlignment="1">
      <alignment horizontal="center" vertical="center"/>
    </xf>
    <xf numFmtId="0" fontId="8" fillId="11" borderId="159" xfId="6" applyBorder="1" applyAlignment="1">
      <alignment horizontal="center" vertical="center"/>
    </xf>
    <xf numFmtId="0" fontId="8" fillId="11" borderId="160" xfId="6" applyBorder="1" applyAlignment="1">
      <alignment horizontal="center" vertical="center"/>
    </xf>
    <xf numFmtId="0" fontId="8" fillId="11" borderId="19" xfId="6" applyBorder="1" applyAlignment="1">
      <alignment horizontal="center" vertical="center"/>
    </xf>
    <xf numFmtId="0" fontId="8" fillId="11" borderId="21" xfId="6" applyBorder="1" applyAlignment="1">
      <alignment horizontal="center" vertical="center"/>
    </xf>
    <xf numFmtId="0" fontId="8" fillId="11" borderId="86" xfId="6" applyBorder="1" applyAlignment="1">
      <alignment horizontal="center" vertical="center"/>
    </xf>
    <xf numFmtId="0" fontId="8" fillId="11" borderId="17" xfId="6" applyBorder="1" applyAlignment="1">
      <alignment horizontal="center" vertical="center"/>
    </xf>
    <xf numFmtId="0" fontId="8" fillId="11" borderId="18" xfId="6" applyBorder="1" applyAlignment="1">
      <alignment horizontal="center" vertical="center"/>
    </xf>
    <xf numFmtId="0" fontId="8" fillId="11" borderId="24" xfId="6" applyBorder="1" applyAlignment="1">
      <alignment horizontal="center" vertical="center"/>
    </xf>
    <xf numFmtId="0" fontId="8" fillId="11" borderId="79" xfId="6" applyBorder="1" applyAlignment="1">
      <alignment horizontal="center" vertical="center"/>
    </xf>
    <xf numFmtId="0" fontId="8" fillId="11" borderId="2" xfId="6" applyBorder="1" applyAlignment="1">
      <alignment horizontal="center"/>
    </xf>
    <xf numFmtId="0" fontId="8" fillId="11" borderId="46" xfId="6" applyBorder="1" applyAlignment="1">
      <alignment horizontal="center" vertical="center"/>
    </xf>
    <xf numFmtId="0" fontId="8" fillId="11" borderId="44" xfId="6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5" xfId="0" applyBorder="1" applyAlignment="1"/>
    <xf numFmtId="0" fontId="0" fillId="0" borderId="16" xfId="0" applyBorder="1"/>
    <xf numFmtId="0" fontId="0" fillId="0" borderId="2" xfId="0" quotePrefix="1" applyBorder="1" applyAlignment="1">
      <alignment horizontal="center"/>
    </xf>
    <xf numFmtId="0" fontId="86" fillId="11" borderId="1" xfId="12" applyFill="1" applyBorder="1" applyAlignment="1">
      <alignment horizontal="center"/>
    </xf>
    <xf numFmtId="0" fontId="6" fillId="6" borderId="24" xfId="4" applyAlignment="1">
      <alignment horizontal="center" vertical="center"/>
    </xf>
    <xf numFmtId="0" fontId="4" fillId="5" borderId="2" xfId="3" applyBorder="1" applyAlignment="1">
      <alignment horizontal="center"/>
    </xf>
    <xf numFmtId="0" fontId="3" fillId="7" borderId="25" xfId="5" applyFont="1" applyAlignment="1">
      <alignment horizontal="center"/>
    </xf>
    <xf numFmtId="20" fontId="3" fillId="7" borderId="25" xfId="5" applyNumberFormat="1" applyFont="1" applyAlignment="1">
      <alignment horizontal="center" vertical="center"/>
    </xf>
    <xf numFmtId="0" fontId="3" fillId="7" borderId="25" xfId="5" applyFont="1" applyAlignment="1"/>
    <xf numFmtId="0" fontId="0" fillId="7" borderId="25" xfId="5" applyFont="1"/>
    <xf numFmtId="0" fontId="3" fillId="7" borderId="25" xfId="5" quotePrefix="1" applyFont="1" applyAlignment="1">
      <alignment horizontal="center" vertical="center"/>
    </xf>
    <xf numFmtId="0" fontId="4" fillId="5" borderId="2" xfId="3" applyBorder="1" applyAlignment="1">
      <alignment horizontal="center" vertical="center"/>
    </xf>
    <xf numFmtId="0" fontId="4" fillId="3" borderId="2" xfId="3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5" fillId="51" borderId="0" xfId="0" applyFont="1" applyFill="1" applyAlignment="1">
      <alignment horizontal="center" vertical="center"/>
    </xf>
    <xf numFmtId="0" fontId="4" fillId="5" borderId="0" xfId="3" quotePrefix="1"/>
    <xf numFmtId="0" fontId="4" fillId="5" borderId="0" xfId="3"/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FF00"/>
      <color rgb="FFC5FFC5"/>
      <color rgb="FFD5FFDA"/>
      <color rgb="FFFFFFCC"/>
      <color rgb="FFCCFFFF"/>
      <color rgb="FFFF99FF"/>
      <color rgb="FFFBB7FB"/>
      <color rgb="FFEBFFED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Brouillon!$D$17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Brouillon!$E$16:$S$16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Brouillon!$E$17:$S$17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A3-4470-B313-CD8BD7578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5605328"/>
        <c:axId val="1585586192"/>
      </c:scatterChart>
      <c:valAx>
        <c:axId val="1585605328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586192"/>
        <c:crosses val="autoZero"/>
        <c:crossBetween val="midCat"/>
      </c:valAx>
      <c:valAx>
        <c:axId val="1585586192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60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161</xdr:row>
      <xdr:rowOff>45528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166</xdr:row>
      <xdr:rowOff>104775</xdr:rowOff>
    </xdr:from>
    <xdr:to>
      <xdr:col>28</xdr:col>
      <xdr:colOff>117155</xdr:colOff>
      <xdr:row>190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208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51</xdr:row>
      <xdr:rowOff>137098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121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139</xdr:row>
      <xdr:rowOff>123825</xdr:rowOff>
    </xdr:from>
    <xdr:to>
      <xdr:col>18</xdr:col>
      <xdr:colOff>361950</xdr:colOff>
      <xdr:row>140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164</xdr:row>
      <xdr:rowOff>200025</xdr:rowOff>
    </xdr:from>
    <xdr:to>
      <xdr:col>35</xdr:col>
      <xdr:colOff>482159</xdr:colOff>
      <xdr:row>174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189</xdr:row>
      <xdr:rowOff>209550</xdr:rowOff>
    </xdr:from>
    <xdr:to>
      <xdr:col>28</xdr:col>
      <xdr:colOff>126680</xdr:colOff>
      <xdr:row>212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100</xdr:row>
      <xdr:rowOff>9525</xdr:rowOff>
    </xdr:from>
    <xdr:to>
      <xdr:col>35</xdr:col>
      <xdr:colOff>915273</xdr:colOff>
      <xdr:row>124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117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243</xdr:row>
      <xdr:rowOff>0</xdr:rowOff>
    </xdr:from>
    <xdr:to>
      <xdr:col>14</xdr:col>
      <xdr:colOff>0</xdr:colOff>
      <xdr:row>243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202</xdr:row>
      <xdr:rowOff>19051</xdr:rowOff>
    </xdr:from>
    <xdr:to>
      <xdr:col>13</xdr:col>
      <xdr:colOff>116649</xdr:colOff>
      <xdr:row>205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199</xdr:row>
          <xdr:rowOff>57150</xdr:rowOff>
        </xdr:from>
        <xdr:to>
          <xdr:col>7</xdr:col>
          <xdr:colOff>361950</xdr:colOff>
          <xdr:row>200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245</xdr:row>
      <xdr:rowOff>57150</xdr:rowOff>
    </xdr:from>
    <xdr:to>
      <xdr:col>4</xdr:col>
      <xdr:colOff>400051</xdr:colOff>
      <xdr:row>247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255</xdr:row>
      <xdr:rowOff>95250</xdr:rowOff>
    </xdr:from>
    <xdr:to>
      <xdr:col>13</xdr:col>
      <xdr:colOff>457199</xdr:colOff>
      <xdr:row>255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0</xdr:row>
      <xdr:rowOff>343857</xdr:rowOff>
    </xdr:from>
    <xdr:to>
      <xdr:col>10</xdr:col>
      <xdr:colOff>591384</xdr:colOff>
      <xdr:row>14</xdr:row>
      <xdr:rowOff>162493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2400" y="343857"/>
          <a:ext cx="3915609" cy="2666611"/>
        </a:xfrm>
        <a:prstGeom prst="rect">
          <a:avLst/>
        </a:prstGeom>
      </xdr:spPr>
    </xdr:pic>
    <xdr:clientData/>
  </xdr:twoCellAnchor>
  <xdr:twoCellAnchor>
    <xdr:from>
      <xdr:col>7</xdr:col>
      <xdr:colOff>66675</xdr:colOff>
      <xdr:row>81</xdr:row>
      <xdr:rowOff>114300</xdr:rowOff>
    </xdr:from>
    <xdr:to>
      <xdr:col>7</xdr:col>
      <xdr:colOff>400050</xdr:colOff>
      <xdr:row>85</xdr:row>
      <xdr:rowOff>142875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C9B1685B-5178-4197-8F46-3217A0D5BD1D}"/>
            </a:ext>
          </a:extLst>
        </xdr:cNvPr>
        <xdr:cNvSpPr/>
      </xdr:nvSpPr>
      <xdr:spPr>
        <a:xfrm>
          <a:off x="5181600" y="16516350"/>
          <a:ext cx="333375" cy="7905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523875</xdr:colOff>
      <xdr:row>15</xdr:row>
      <xdr:rowOff>9526</xdr:rowOff>
    </xdr:from>
    <xdr:to>
      <xdr:col>11</xdr:col>
      <xdr:colOff>29627</xdr:colOff>
      <xdr:row>24</xdr:row>
      <xdr:rowOff>132086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BBEFAD-C49B-4FC8-86A9-371733C92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1925" y="308610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11</xdr:col>
      <xdr:colOff>233809</xdr:colOff>
      <xdr:row>12</xdr:row>
      <xdr:rowOff>47625</xdr:rowOff>
    </xdr:from>
    <xdr:to>
      <xdr:col>13</xdr:col>
      <xdr:colOff>1886990</xdr:colOff>
      <xdr:row>24</xdr:row>
      <xdr:rowOff>124547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2DF3A3-0AAD-47DB-8F03-58483DBC4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0034" y="2514600"/>
          <a:ext cx="3682006" cy="255342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271462</xdr:colOff>
      <xdr:row>20</xdr:row>
      <xdr:rowOff>9525</xdr:rowOff>
    </xdr:from>
    <xdr:to>
      <xdr:col>24</xdr:col>
      <xdr:colOff>576262</xdr:colOff>
      <xdr:row>34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61177AB-33C5-438B-BF4D-C79F311597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opLeftCell="A152" zoomScaleNormal="100" workbookViewId="0">
      <selection activeCell="T159" sqref="T159"/>
    </sheetView>
  </sheetViews>
  <sheetFormatPr defaultColWidth="5.140625" defaultRowHeight="17.25" customHeight="1" outlineLevelRow="1" outlineLevelCol="1"/>
  <cols>
    <col min="1" max="1" width="6.42578125" style="246" customWidth="1"/>
    <col min="2" max="2" width="7.5703125" style="246" customWidth="1"/>
    <col min="3" max="7" width="7" style="249" customWidth="1"/>
    <col min="8" max="9" width="7" style="246" customWidth="1"/>
    <col min="10" max="10" width="6.42578125" style="246" customWidth="1"/>
    <col min="11" max="11" width="8" style="246" customWidth="1"/>
    <col min="12" max="13" width="6.42578125" style="246" customWidth="1"/>
    <col min="14" max="15" width="7.28515625" style="246" customWidth="1"/>
    <col min="16" max="19" width="6.42578125" style="246" customWidth="1"/>
    <col min="20" max="20" width="7.28515625" style="246" customWidth="1"/>
    <col min="21" max="21" width="6.42578125" style="246" customWidth="1"/>
    <col min="22" max="22" width="7.28515625" style="246" customWidth="1"/>
    <col min="23" max="27" width="6.42578125" style="246" customWidth="1"/>
    <col min="28" max="28" width="1.28515625" style="61" customWidth="1" outlineLevel="1"/>
    <col min="29" max="29" width="21.28515625" style="247" customWidth="1" outlineLevel="1"/>
    <col min="30" max="30" width="15.5703125" style="247" customWidth="1" outlineLevel="1"/>
    <col min="31" max="31" width="9.5703125" style="247" customWidth="1" outlineLevel="1"/>
    <col min="32" max="46" width="19" style="247" customWidth="1" outlineLevel="1"/>
    <col min="47" max="65" width="15.85546875" style="247" customWidth="1" outlineLevel="1"/>
    <col min="66" max="66" width="15.85546875" style="248" customWidth="1" outlineLevel="1"/>
    <col min="67" max="16384" width="5.140625" style="246"/>
  </cols>
  <sheetData>
    <row r="1" spans="2:66" ht="17.25" customHeight="1">
      <c r="C1" s="605" t="s">
        <v>132</v>
      </c>
      <c r="D1" s="605"/>
      <c r="E1" s="605"/>
      <c r="F1" s="605"/>
      <c r="G1" s="593" t="s">
        <v>133</v>
      </c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593"/>
      <c r="X1" s="593"/>
      <c r="Y1" s="593"/>
    </row>
    <row r="2" spans="2:66" ht="17.25" customHeight="1">
      <c r="C2" s="605"/>
      <c r="D2" s="605"/>
      <c r="E2" s="605"/>
      <c r="F2" s="605"/>
      <c r="G2" s="593"/>
      <c r="H2" s="593"/>
      <c r="I2" s="593"/>
      <c r="J2" s="593"/>
      <c r="K2" s="593"/>
      <c r="L2" s="593"/>
      <c r="M2" s="593"/>
      <c r="N2" s="593"/>
      <c r="O2" s="593"/>
      <c r="P2" s="593"/>
      <c r="Q2" s="593"/>
      <c r="R2" s="593"/>
      <c r="S2" s="593"/>
      <c r="T2" s="593"/>
      <c r="U2" s="593"/>
      <c r="V2" s="593"/>
      <c r="W2" s="593"/>
      <c r="X2" s="593"/>
      <c r="Y2" s="593"/>
    </row>
    <row r="3" spans="2:66" ht="17.25" customHeight="1">
      <c r="C3" s="605"/>
      <c r="D3" s="605"/>
      <c r="E3" s="605"/>
      <c r="F3" s="605"/>
      <c r="G3" s="602" t="s">
        <v>137</v>
      </c>
      <c r="H3" s="602"/>
      <c r="I3" s="602"/>
      <c r="J3" s="603" t="s">
        <v>136</v>
      </c>
      <c r="K3" s="603"/>
      <c r="L3" s="603"/>
      <c r="N3" s="617" t="s">
        <v>227</v>
      </c>
      <c r="O3" s="617"/>
      <c r="P3" s="617"/>
      <c r="Q3" s="569" t="s">
        <v>192</v>
      </c>
      <c r="R3" s="569"/>
      <c r="S3" s="569"/>
    </row>
    <row r="4" spans="2:66" ht="17.25" customHeight="1">
      <c r="C4" s="605"/>
      <c r="D4" s="605"/>
      <c r="E4" s="605"/>
      <c r="F4" s="605"/>
      <c r="G4" s="485"/>
      <c r="H4" s="485"/>
      <c r="I4" s="485"/>
      <c r="J4" s="604"/>
      <c r="K4" s="604"/>
      <c r="L4" s="604"/>
      <c r="N4" s="617"/>
      <c r="O4" s="617"/>
      <c r="P4" s="617"/>
      <c r="Q4" s="569"/>
      <c r="R4" s="569"/>
      <c r="S4" s="569"/>
    </row>
    <row r="6" spans="2:66" ht="17.25" customHeight="1" thickBot="1"/>
    <row r="7" spans="2:66" ht="17.25" customHeight="1" thickBot="1">
      <c r="B7" s="250" t="s">
        <v>0</v>
      </c>
      <c r="C7" s="251"/>
      <c r="D7" s="251"/>
      <c r="E7" s="94" t="str" cm="1">
        <f t="array" ref="E7">dateDecimale2txt(dateConvert2Decimal(E8),0)</f>
        <v>2025/03/30</v>
      </c>
      <c r="F7" s="94"/>
      <c r="G7" s="252"/>
      <c r="H7" s="253"/>
      <c r="I7" s="94" t="str" cm="1">
        <f t="array" ref="I7">heureDecimal2Txt(E11)</f>
        <v>15:19:54.00(15.3316)</v>
      </c>
      <c r="J7" s="94"/>
      <c r="K7" s="94"/>
      <c r="L7" s="251"/>
      <c r="M7" s="251"/>
      <c r="N7" s="251" t="s">
        <v>315</v>
      </c>
      <c r="O7" s="251"/>
      <c r="P7" s="251"/>
      <c r="Q7" s="251"/>
      <c r="R7" s="251"/>
      <c r="S7" s="251" t="s">
        <v>316</v>
      </c>
      <c r="T7" s="564">
        <f>dateConvert2Decimal(E8)</f>
        <v>1743292800</v>
      </c>
      <c r="U7" s="564"/>
      <c r="V7" s="564"/>
      <c r="W7" s="251" t="s">
        <v>317</v>
      </c>
      <c r="X7" s="526">
        <f>(T7/86400)+DATE(1970,1,1)</f>
        <v>45746</v>
      </c>
      <c r="Y7" s="526"/>
      <c r="Z7" s="251" t="s">
        <v>318</v>
      </c>
      <c r="AA7" s="254">
        <f>INT(MONTH(X7))</f>
        <v>3</v>
      </c>
      <c r="AB7" s="62"/>
    </row>
    <row r="8" spans="2:66" ht="17.25" customHeight="1">
      <c r="C8" s="594" t="s">
        <v>1</v>
      </c>
      <c r="D8" s="595"/>
      <c r="E8" s="585" t="s">
        <v>697</v>
      </c>
      <c r="F8" s="586"/>
      <c r="G8" s="586"/>
      <c r="H8" s="249"/>
      <c r="I8" s="570"/>
      <c r="J8" s="570"/>
      <c r="K8" s="570"/>
      <c r="L8" s="570"/>
      <c r="M8" s="570"/>
      <c r="N8" s="570"/>
      <c r="O8" s="570"/>
      <c r="AC8" s="3" t="s">
        <v>162</v>
      </c>
      <c r="AD8" s="3" cm="1">
        <f t="array" ref="AD8">heureConvert2Decimal(I11)</f>
        <v>17.233333333333334</v>
      </c>
    </row>
    <row r="9" spans="2:66" ht="17.25" customHeight="1" thickBot="1">
      <c r="C9" s="596" t="s">
        <v>11</v>
      </c>
      <c r="D9" s="597"/>
      <c r="E9" s="596" t="s">
        <v>2</v>
      </c>
      <c r="F9" s="608"/>
      <c r="G9" s="608"/>
      <c r="H9" s="597"/>
      <c r="I9" s="582" t="s">
        <v>229</v>
      </c>
      <c r="J9" s="582"/>
      <c r="K9" s="582"/>
      <c r="L9" s="582" t="s">
        <v>225</v>
      </c>
      <c r="M9" s="582"/>
      <c r="N9" s="582"/>
      <c r="O9" s="582"/>
      <c r="P9" s="582"/>
      <c r="Q9" s="582" t="s">
        <v>226</v>
      </c>
      <c r="R9" s="582"/>
      <c r="S9" s="582"/>
      <c r="T9" s="582"/>
      <c r="U9" s="582"/>
      <c r="V9" s="688" t="s">
        <v>122</v>
      </c>
      <c r="W9" s="689"/>
      <c r="X9" s="689"/>
      <c r="Y9" s="690"/>
      <c r="AB9" s="63"/>
      <c r="AC9" s="3" t="s">
        <v>163</v>
      </c>
      <c r="AD9" s="67">
        <f>L11</f>
        <v>-2</v>
      </c>
    </row>
    <row r="10" spans="2:66" ht="17.25" customHeight="1">
      <c r="C10" s="598"/>
      <c r="D10" s="599"/>
      <c r="E10" s="600"/>
      <c r="F10" s="609"/>
      <c r="G10" s="609"/>
      <c r="H10" s="601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691"/>
      <c r="W10" s="692"/>
      <c r="X10" s="692"/>
      <c r="Y10" s="693"/>
      <c r="AC10" s="3" t="s">
        <v>164</v>
      </c>
      <c r="AD10" s="3">
        <f>Q11/3600</f>
        <v>0</v>
      </c>
    </row>
    <row r="11" spans="2:66" ht="17.25" customHeight="1" thickBot="1">
      <c r="C11" s="600"/>
      <c r="D11" s="601"/>
      <c r="E11" s="700">
        <f>AD8+AD9+AD10+AD11</f>
        <v>15.331666666666667</v>
      </c>
      <c r="F11" s="701"/>
      <c r="G11" s="701"/>
      <c r="H11" s="702"/>
      <c r="I11" s="512" t="s">
        <v>698</v>
      </c>
      <c r="J11" s="512"/>
      <c r="K11" s="512"/>
      <c r="L11" s="686">
        <v>-2</v>
      </c>
      <c r="M11" s="686"/>
      <c r="N11" s="686"/>
      <c r="O11" s="686"/>
      <c r="P11" s="686"/>
      <c r="Q11" s="686">
        <v>0</v>
      </c>
      <c r="R11" s="686"/>
      <c r="S11" s="686"/>
      <c r="T11" s="686"/>
      <c r="U11" s="687"/>
      <c r="V11" s="685" t="s">
        <v>699</v>
      </c>
      <c r="W11" s="685"/>
      <c r="X11" s="685"/>
      <c r="Y11" s="685"/>
      <c r="AC11" s="3" t="s">
        <v>29</v>
      </c>
      <c r="AD11" s="3" cm="1">
        <f t="array" ref="AD11">heureConvert2Decimal(V11) / 60</f>
        <v>9.8333333333333342E-2</v>
      </c>
    </row>
    <row r="12" spans="2:66" s="247" customFormat="1" ht="17.25" customHeight="1" thickTop="1" thickBot="1">
      <c r="B12" s="246"/>
      <c r="E12" s="694" t="str" cm="1">
        <f t="array" ref="E12">heureDecimal2Txt(E11)</f>
        <v>15:19:54.00(15.3316)</v>
      </c>
      <c r="F12" s="695"/>
      <c r="G12" s="695"/>
      <c r="H12" s="696"/>
      <c r="I12" s="255"/>
      <c r="J12" s="255"/>
      <c r="K12" s="255"/>
      <c r="V12" s="255"/>
      <c r="W12" s="255"/>
      <c r="X12" s="255"/>
      <c r="Y12" s="255"/>
      <c r="Z12" s="246"/>
      <c r="AA12" s="246"/>
      <c r="AB12" s="61"/>
      <c r="BN12" s="248"/>
    </row>
    <row r="13" spans="2:66" ht="17.25" customHeight="1" thickTop="1" thickBot="1">
      <c r="C13" s="256"/>
      <c r="D13" s="256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</row>
    <row r="14" spans="2:66" ht="17.25" customHeight="1" thickBot="1">
      <c r="B14" s="250" t="s">
        <v>18</v>
      </c>
      <c r="C14" s="251"/>
      <c r="D14" s="251"/>
      <c r="E14" s="251"/>
      <c r="F14" s="251"/>
      <c r="G14" s="251"/>
      <c r="H14" s="251"/>
      <c r="I14" s="251"/>
      <c r="J14" s="251"/>
      <c r="K14" s="251"/>
      <c r="L14" s="251"/>
      <c r="M14" s="258"/>
      <c r="N14" s="258"/>
      <c r="O14" s="258"/>
      <c r="P14" s="251"/>
      <c r="Q14" s="251"/>
      <c r="R14" s="251"/>
      <c r="S14" s="251"/>
      <c r="T14" s="251"/>
      <c r="U14" s="251"/>
      <c r="V14" s="251"/>
      <c r="W14" s="251"/>
      <c r="X14" s="251"/>
      <c r="Y14" s="251"/>
      <c r="Z14" s="251"/>
      <c r="AA14" s="251"/>
      <c r="AB14" s="62"/>
    </row>
    <row r="15" spans="2:66" s="16" customFormat="1" ht="15" customHeight="1" thickBot="1">
      <c r="B15"/>
      <c r="C15" s="677" t="s">
        <v>165</v>
      </c>
      <c r="D15" s="678"/>
      <c r="E15" s="678"/>
      <c r="F15" s="678"/>
      <c r="G15" s="678"/>
      <c r="H15" s="678"/>
      <c r="I15" s="679"/>
      <c r="J15" s="680" t="s">
        <v>166</v>
      </c>
      <c r="K15" s="681"/>
      <c r="L15" s="681"/>
      <c r="M15" s="681"/>
      <c r="N15" s="681"/>
      <c r="O15" s="682"/>
      <c r="P15"/>
      <c r="Q15"/>
      <c r="R15"/>
      <c r="S15"/>
      <c r="T15"/>
      <c r="U15"/>
      <c r="V15"/>
      <c r="W15"/>
      <c r="X15"/>
      <c r="Y15"/>
      <c r="Z15"/>
      <c r="AA15"/>
      <c r="AB15" s="61"/>
      <c r="AC15" s="68" t="s">
        <v>166</v>
      </c>
      <c r="AD15" s="68" t="s">
        <v>167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ht="15" customHeight="1" outlineLevel="1" thickTop="1" thickBot="1">
      <c r="C16" s="674" t="s">
        <v>127</v>
      </c>
      <c r="D16" s="675"/>
      <c r="E16" s="675"/>
      <c r="F16" s="675"/>
      <c r="G16" s="675"/>
      <c r="H16" s="675"/>
      <c r="I16" s="675"/>
      <c r="J16" s="528" cm="1">
        <f t="array" ref="J16">angleConvert2Decimal(M16)</f>
        <v>54.9</v>
      </c>
      <c r="K16" s="676"/>
      <c r="L16" s="676"/>
      <c r="M16" s="495" t="s">
        <v>700</v>
      </c>
      <c r="N16" s="650"/>
      <c r="O16" s="650"/>
      <c r="P16" s="494" t="str" cm="1">
        <f t="array" ref="P16">angleDecimal2Txt(J16)</f>
        <v>+54°54.00 (+54.8999) [+54°54'00.00]</v>
      </c>
      <c r="Q16" s="472"/>
      <c r="R16" s="472"/>
      <c r="S16" s="472"/>
      <c r="T16" s="472"/>
      <c r="U16" s="472"/>
      <c r="V16" s="472"/>
      <c r="W16" s="472"/>
      <c r="X16" s="472"/>
      <c r="Y16" s="257"/>
    </row>
    <row r="17" spans="2:40" ht="15" customHeight="1" outlineLevel="1" thickTop="1" thickBot="1">
      <c r="C17" s="533" t="s">
        <v>701</v>
      </c>
      <c r="D17" s="533"/>
      <c r="E17" s="533"/>
      <c r="F17" s="533"/>
      <c r="G17" s="533"/>
      <c r="H17" s="533"/>
      <c r="I17" s="533"/>
      <c r="J17" s="496" cm="1">
        <f t="array" ref="J17">angleConvert2Decimal(M17)</f>
        <v>0</v>
      </c>
      <c r="K17" s="497"/>
      <c r="L17" s="498"/>
      <c r="M17" s="495">
        <v>0</v>
      </c>
      <c r="N17" s="495"/>
      <c r="O17" s="495"/>
      <c r="P17" s="494" t="str" cm="1">
        <f t="array" ref="P17">angleDecimal2Txt(J17)</f>
        <v>+00°00.00 (+00.0000) [+00°00'00.00]</v>
      </c>
      <c r="Q17" s="472"/>
      <c r="R17" s="472"/>
      <c r="S17" s="472"/>
      <c r="T17" s="472"/>
      <c r="U17" s="472"/>
      <c r="V17" s="472"/>
      <c r="W17" s="472"/>
      <c r="X17" s="472"/>
      <c r="Y17" s="257"/>
    </row>
    <row r="18" spans="2:40" ht="15" customHeight="1" outlineLevel="1" thickTop="1" thickBot="1">
      <c r="C18" s="533" t="s">
        <v>135</v>
      </c>
      <c r="D18" s="533"/>
      <c r="E18" s="533"/>
      <c r="F18" s="533"/>
      <c r="G18" s="533"/>
      <c r="H18" s="533"/>
      <c r="I18" s="533"/>
      <c r="J18" s="683">
        <f>J16/2</f>
        <v>27.45</v>
      </c>
      <c r="K18" s="683"/>
      <c r="L18" s="683"/>
      <c r="M18" s="613">
        <v>0</v>
      </c>
      <c r="N18" s="613"/>
      <c r="O18" s="613"/>
      <c r="P18" s="472" t="str" cm="1">
        <f t="array" ref="P18">angleDecimal2Txt(J18)</f>
        <v>+27°27.00 (+27.4499) [+27°27'00.00]</v>
      </c>
      <c r="Q18" s="472"/>
      <c r="R18" s="472"/>
      <c r="S18" s="472"/>
      <c r="T18" s="472"/>
      <c r="U18" s="472"/>
      <c r="V18" s="472"/>
      <c r="W18" s="472"/>
      <c r="X18" s="472"/>
      <c r="Y18" s="257"/>
    </row>
    <row r="19" spans="2:40" ht="15" customHeight="1" thickTop="1" thickBot="1">
      <c r="C19" s="684" t="s">
        <v>19</v>
      </c>
      <c r="D19" s="684"/>
      <c r="E19" s="684"/>
      <c r="F19" s="684"/>
      <c r="G19" s="684"/>
      <c r="H19" s="684"/>
      <c r="I19" s="684"/>
      <c r="J19" s="671">
        <f>M19</f>
        <v>0</v>
      </c>
      <c r="K19" s="672"/>
      <c r="L19" s="673"/>
      <c r="M19" s="584">
        <v>0</v>
      </c>
      <c r="N19" s="584"/>
      <c r="O19" s="584"/>
      <c r="P19" s="257"/>
      <c r="Q19" s="257"/>
      <c r="R19" s="257"/>
      <c r="S19" s="257"/>
      <c r="T19" s="257"/>
      <c r="U19" s="257"/>
      <c r="V19" s="257"/>
      <c r="W19" s="257"/>
      <c r="X19" s="257"/>
      <c r="Y19" s="257"/>
    </row>
    <row r="20" spans="2:40" ht="15" customHeight="1" thickTop="1" thickBot="1">
      <c r="B20" s="257"/>
      <c r="C20" s="697" t="s">
        <v>549</v>
      </c>
      <c r="D20" s="698"/>
      <c r="E20" s="698"/>
      <c r="F20" s="698"/>
      <c r="G20" s="698"/>
      <c r="H20" s="698"/>
      <c r="I20" s="699"/>
      <c r="J20" s="496" cm="1">
        <f t="array" ref="J20">angleConvert2Decimal(M20)</f>
        <v>-0.2</v>
      </c>
      <c r="K20" s="497"/>
      <c r="L20" s="497"/>
      <c r="M20" s="583">
        <v>-0.2</v>
      </c>
      <c r="N20" s="584"/>
      <c r="O20" s="584"/>
      <c r="P20" s="472" t="str" cm="1">
        <f t="array" ref="P20">angleDecimal2Txt(J20)</f>
        <v>-00°12.00 (-00.2000) [-00°12'00.00]</v>
      </c>
      <c r="Q20" s="472"/>
      <c r="R20" s="472"/>
      <c r="S20" s="472"/>
      <c r="T20" s="472"/>
      <c r="U20" s="472"/>
      <c r="V20" s="472"/>
      <c r="W20" s="472"/>
      <c r="X20" s="472"/>
      <c r="Y20" s="257"/>
    </row>
    <row r="21" spans="2:40" ht="15" customHeight="1" thickTop="1" thickBot="1">
      <c r="C21" s="548" t="s">
        <v>26</v>
      </c>
      <c r="D21" s="548"/>
      <c r="E21" s="548"/>
      <c r="F21" s="548"/>
      <c r="G21" s="548"/>
      <c r="H21" s="548"/>
      <c r="I21" s="548"/>
      <c r="J21" s="496">
        <f>IF(J15=AC15,J18,angleConvert2Decimal(M21))</f>
        <v>27.45</v>
      </c>
      <c r="K21" s="497"/>
      <c r="L21" s="497"/>
      <c r="M21" s="583" t="s">
        <v>604</v>
      </c>
      <c r="N21" s="584"/>
      <c r="O21" s="584"/>
      <c r="P21" s="472" t="str" cm="1">
        <f t="array" ref="P21">angleDecimal2Txt(J21)</f>
        <v>+27°27.00 (+27.4499) [+27°27'00.00]</v>
      </c>
      <c r="Q21" s="472"/>
      <c r="R21" s="472"/>
      <c r="S21" s="472"/>
      <c r="T21" s="472"/>
      <c r="U21" s="472"/>
      <c r="V21" s="472"/>
      <c r="W21" s="472"/>
      <c r="X21" s="472"/>
      <c r="Y21" s="257"/>
    </row>
    <row r="22" spans="2:40" ht="15" hidden="1" customHeight="1" outlineLevel="1" thickTop="1">
      <c r="C22" s="624" t="s">
        <v>30</v>
      </c>
      <c r="D22" s="624"/>
      <c r="E22" s="624"/>
      <c r="F22" s="624"/>
      <c r="G22" s="624"/>
      <c r="H22" s="624"/>
      <c r="I22" s="624"/>
      <c r="J22" s="519" t="str">
        <f>M22</f>
        <v>Soleil</v>
      </c>
      <c r="K22" s="520"/>
      <c r="L22" s="521"/>
      <c r="M22" s="551" t="s">
        <v>31</v>
      </c>
      <c r="N22" s="552"/>
      <c r="O22" s="553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AG22" s="246"/>
      <c r="AH22" s="246"/>
    </row>
    <row r="23" spans="2:40" ht="15" customHeight="1" collapsed="1" thickTop="1">
      <c r="C23" s="649" t="s">
        <v>56</v>
      </c>
      <c r="D23" s="649"/>
      <c r="E23" s="649"/>
      <c r="F23" s="649"/>
      <c r="G23" s="649"/>
      <c r="H23" s="649"/>
      <c r="I23" s="649"/>
      <c r="J23" s="651" t="str">
        <f>M23</f>
        <v>BordInf</v>
      </c>
      <c r="K23" s="651"/>
      <c r="L23" s="651"/>
      <c r="M23" s="650" t="s">
        <v>57</v>
      </c>
      <c r="N23" s="650"/>
      <c r="O23" s="650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AC23"/>
      <c r="AD23"/>
      <c r="AE23"/>
      <c r="AF23"/>
      <c r="AG23" s="246"/>
      <c r="AH23" s="246"/>
    </row>
    <row r="24" spans="2:40" ht="15" customHeight="1" thickBot="1">
      <c r="C24" s="618" t="s">
        <v>151</v>
      </c>
      <c r="D24" s="619"/>
      <c r="E24" s="619"/>
      <c r="F24" s="638" t="s">
        <v>152</v>
      </c>
      <c r="G24" s="638"/>
      <c r="H24" s="638"/>
      <c r="I24" s="639"/>
      <c r="J24" s="481" cm="1">
        <f t="array" ref="J24">angleConvert2Decimal(M24)</f>
        <v>2.8833333333333302E-3</v>
      </c>
      <c r="K24" s="482"/>
      <c r="L24" s="483"/>
      <c r="M24" s="475">
        <f>P25</f>
        <v>2.8833333333333302E-3</v>
      </c>
      <c r="N24" s="476"/>
      <c r="O24" s="476"/>
      <c r="P24" s="566" t="s">
        <v>97</v>
      </c>
      <c r="Q24" s="567"/>
      <c r="R24" s="568"/>
      <c r="S24" s="257"/>
      <c r="T24" s="257"/>
      <c r="U24" s="257"/>
      <c r="V24" s="257"/>
      <c r="W24" s="257"/>
      <c r="X24" s="257"/>
      <c r="Y24" s="257"/>
      <c r="AC24"/>
      <c r="AD24"/>
      <c r="AE24"/>
      <c r="AF24"/>
      <c r="AG24" s="246"/>
      <c r="AH24" s="246"/>
    </row>
    <row r="25" spans="2:40" ht="15" customHeight="1" thickTop="1" thickBot="1">
      <c r="C25" s="620"/>
      <c r="D25" s="621"/>
      <c r="E25" s="621"/>
      <c r="F25" s="640"/>
      <c r="G25" s="640"/>
      <c r="H25" s="640"/>
      <c r="I25" s="641"/>
      <c r="J25" s="484"/>
      <c r="K25" s="485"/>
      <c r="L25" s="486"/>
      <c r="M25" s="477"/>
      <c r="N25" s="478"/>
      <c r="O25" s="478"/>
      <c r="P25" s="648" cm="1">
        <f t="array" ref="P25">astroHPSoleilEnDegre()</f>
        <v>2.8833333333333302E-3</v>
      </c>
      <c r="Q25" s="648"/>
      <c r="R25" s="648"/>
      <c r="S25" s="615" t="str" cm="1">
        <f t="array" ref="S25">angleDecimal2Txt(angleConvert2Decimal(P25))</f>
        <v>+00°00.17 (+00.0028) [+00°00'10.37]</v>
      </c>
      <c r="T25" s="615"/>
      <c r="U25" s="615"/>
      <c r="V25" s="615"/>
      <c r="W25" s="615"/>
      <c r="X25" s="616"/>
      <c r="Y25" s="257"/>
    </row>
    <row r="26" spans="2:40" ht="15" customHeight="1" thickTop="1" thickBot="1">
      <c r="C26" s="622"/>
      <c r="D26" s="623"/>
      <c r="E26" s="623"/>
      <c r="F26" s="642"/>
      <c r="G26" s="642"/>
      <c r="H26" s="642"/>
      <c r="I26" s="643"/>
      <c r="J26" s="487"/>
      <c r="K26" s="488"/>
      <c r="L26" s="489"/>
      <c r="M26" s="479"/>
      <c r="N26" s="480"/>
      <c r="O26" s="480"/>
      <c r="P26" s="565" t="str" cm="1">
        <f t="array" ref="P26">angleDecimal2Txt(J24)</f>
        <v>+00°00.17 (+00.0028) [+00°00'10.37]</v>
      </c>
      <c r="Q26" s="565"/>
      <c r="R26" s="565"/>
      <c r="S26" s="472"/>
      <c r="T26" s="472"/>
      <c r="U26" s="472"/>
      <c r="V26" s="472"/>
      <c r="W26" s="472"/>
      <c r="X26" s="472"/>
      <c r="Y26" s="257"/>
      <c r="AC26" s="259" t="s">
        <v>98</v>
      </c>
      <c r="AD26" s="260" t="s">
        <v>57</v>
      </c>
      <c r="AE26" s="260" t="s">
        <v>188</v>
      </c>
      <c r="AF26" s="260" t="s">
        <v>58</v>
      </c>
    </row>
    <row r="27" spans="2:40" ht="15" customHeight="1" thickTop="1" thickBot="1">
      <c r="C27" s="555" t="s">
        <v>100</v>
      </c>
      <c r="D27" s="556"/>
      <c r="E27" s="556"/>
      <c r="F27" s="556"/>
      <c r="G27" s="556"/>
      <c r="H27" s="556"/>
      <c r="I27" s="557"/>
      <c r="J27" s="481" cm="1">
        <f t="array" ref="J27">angleConvert2Decimal(M27)</f>
        <v>0.53666666699999999</v>
      </c>
      <c r="K27" s="482"/>
      <c r="L27" s="483"/>
      <c r="M27" s="475">
        <f>P28</f>
        <v>0.53666666699999999</v>
      </c>
      <c r="N27" s="476"/>
      <c r="O27" s="476"/>
      <c r="P27" s="635" t="s">
        <v>97</v>
      </c>
      <c r="Q27" s="636"/>
      <c r="R27" s="637"/>
      <c r="S27" s="257"/>
      <c r="T27" s="257"/>
      <c r="U27" s="257"/>
      <c r="V27" s="257"/>
      <c r="W27" s="257"/>
      <c r="X27" s="257"/>
      <c r="Y27" s="257"/>
      <c r="AC27"/>
      <c r="AD27"/>
      <c r="AE27"/>
      <c r="AF27"/>
    </row>
    <row r="28" spans="2:40" ht="15" customHeight="1" thickTop="1" thickBot="1">
      <c r="C28" s="558"/>
      <c r="D28" s="559"/>
      <c r="E28" s="559"/>
      <c r="F28" s="559"/>
      <c r="G28" s="559"/>
      <c r="H28" s="559"/>
      <c r="I28" s="560"/>
      <c r="J28" s="484"/>
      <c r="K28" s="485"/>
      <c r="L28" s="486"/>
      <c r="M28" s="477"/>
      <c r="N28" s="478"/>
      <c r="O28" s="478"/>
      <c r="P28" s="648" cm="1">
        <f t="array" ref="P28">astroDiametreSoleilEnDegre(AA7)</f>
        <v>0.53666666699999999</v>
      </c>
      <c r="Q28" s="648"/>
      <c r="R28" s="648"/>
      <c r="S28" s="615" t="str" cm="1">
        <f t="array" ref="S28">angleDecimal2Txt(angleConvert2Decimal(P28))</f>
        <v>+00°32.20 (+00.5366) [+00°32'12.00]</v>
      </c>
      <c r="T28" s="615"/>
      <c r="U28" s="615"/>
      <c r="V28" s="615"/>
      <c r="W28" s="615"/>
      <c r="X28" s="616"/>
      <c r="Y28" s="257"/>
      <c r="AC28"/>
      <c r="AD28"/>
      <c r="AE28"/>
      <c r="AF28"/>
      <c r="AG28"/>
      <c r="AH28"/>
      <c r="AI28"/>
      <c r="AJ28"/>
      <c r="AK28"/>
      <c r="AL28"/>
      <c r="AM28"/>
      <c r="AN28"/>
    </row>
    <row r="29" spans="2:40" ht="15" customHeight="1" thickTop="1" thickBot="1">
      <c r="C29" s="561"/>
      <c r="D29" s="562"/>
      <c r="E29" s="562"/>
      <c r="F29" s="562"/>
      <c r="G29" s="562"/>
      <c r="H29" s="562"/>
      <c r="I29" s="563"/>
      <c r="J29" s="487"/>
      <c r="K29" s="488"/>
      <c r="L29" s="489"/>
      <c r="M29" s="479"/>
      <c r="N29" s="480"/>
      <c r="O29" s="480"/>
      <c r="P29" s="565" t="str" cm="1">
        <f t="array" ref="P29">angleDecimal2Txt(J27)</f>
        <v>+00°32.20 (+00.5366) [+00°32'12.00]</v>
      </c>
      <c r="Q29" s="565"/>
      <c r="R29" s="565"/>
      <c r="S29" s="472"/>
      <c r="T29" s="472"/>
      <c r="U29" s="472"/>
      <c r="V29" s="472"/>
      <c r="W29" s="472"/>
      <c r="X29" s="472"/>
      <c r="Y29" s="257"/>
      <c r="AC29"/>
      <c r="AD29"/>
      <c r="AE29"/>
      <c r="AF29"/>
      <c r="AG29"/>
      <c r="AH29"/>
      <c r="AI29"/>
      <c r="AJ29"/>
      <c r="AK29"/>
      <c r="AL29"/>
      <c r="AM29"/>
      <c r="AN29"/>
    </row>
    <row r="30" spans="2:40" ht="17.25" customHeight="1" thickTop="1" thickBot="1"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AC30"/>
      <c r="AD30"/>
      <c r="AE30"/>
      <c r="AF30"/>
      <c r="AG30"/>
      <c r="AH30"/>
      <c r="AI30"/>
      <c r="AJ30"/>
      <c r="AK30"/>
      <c r="AL30"/>
      <c r="AM30"/>
      <c r="AN30"/>
    </row>
    <row r="31" spans="2:40" ht="17.25" customHeight="1" thickBot="1">
      <c r="B31" s="250" t="s">
        <v>199</v>
      </c>
      <c r="C31" s="251"/>
      <c r="D31" s="251"/>
      <c r="E31" s="251"/>
      <c r="F31" s="251"/>
      <c r="G31" s="251"/>
      <c r="H31" s="251"/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62"/>
    </row>
    <row r="32" spans="2:40" ht="17.25" customHeight="1" thickTop="1" thickBot="1">
      <c r="C32" s="647" t="s">
        <v>7</v>
      </c>
      <c r="D32" s="647"/>
      <c r="E32" s="647"/>
      <c r="F32" s="647"/>
      <c r="G32" s="629">
        <f>AD33</f>
        <v>48.875500000000002</v>
      </c>
      <c r="H32" s="630"/>
      <c r="I32" s="630"/>
      <c r="J32" s="511" t="s">
        <v>3</v>
      </c>
      <c r="K32" s="614" t="s">
        <v>702</v>
      </c>
      <c r="L32" s="511"/>
      <c r="M32" s="511"/>
      <c r="N32" s="511"/>
      <c r="O32" s="511"/>
      <c r="P32" s="549" t="str" cm="1">
        <f t="array" ref="P32">latitudeDecimal2Txt(G32)</f>
        <v>N 48°52.53 (N 48.8755) [N 48°52'31.80]</v>
      </c>
      <c r="Q32" s="549"/>
      <c r="R32" s="549"/>
      <c r="S32" s="549"/>
      <c r="T32" s="549"/>
      <c r="U32" s="549"/>
      <c r="V32" s="549"/>
      <c r="W32" s="549"/>
      <c r="X32" s="549"/>
      <c r="Y32" s="549"/>
      <c r="AC32" s="3" t="s">
        <v>168</v>
      </c>
      <c r="AD32" s="3">
        <f>VLOOKUP(J32,Outils!$C$9:$E$10,3)</f>
        <v>1</v>
      </c>
    </row>
    <row r="33" spans="1:66" ht="17.25" customHeight="1" thickTop="1" thickBot="1">
      <c r="A33" s="875" t="s">
        <v>129</v>
      </c>
      <c r="B33" s="385" t="s">
        <v>130</v>
      </c>
      <c r="C33" s="647"/>
      <c r="D33" s="647"/>
      <c r="E33" s="647"/>
      <c r="F33" s="647"/>
      <c r="G33" s="630"/>
      <c r="H33" s="630"/>
      <c r="I33" s="630"/>
      <c r="J33" s="511"/>
      <c r="K33" s="511"/>
      <c r="L33" s="511"/>
      <c r="M33" s="511"/>
      <c r="N33" s="511"/>
      <c r="O33" s="511"/>
      <c r="P33" s="549"/>
      <c r="Q33" s="549"/>
      <c r="R33" s="549"/>
      <c r="S33" s="549"/>
      <c r="T33" s="549"/>
      <c r="U33" s="549"/>
      <c r="V33" s="549"/>
      <c r="W33" s="549"/>
      <c r="X33" s="549"/>
      <c r="Y33" s="549"/>
      <c r="AC33" s="3" t="s">
        <v>169</v>
      </c>
      <c r="AD33" s="3" cm="1">
        <f t="array" ref="AD33">angleConvert2Decimal(K32)*AD32</f>
        <v>48.875500000000002</v>
      </c>
    </row>
    <row r="34" spans="1:66" ht="17.25" customHeight="1" thickTop="1" thickBot="1">
      <c r="A34" s="875"/>
      <c r="B34" s="385" t="s">
        <v>138</v>
      </c>
      <c r="C34" s="763" t="s">
        <v>8</v>
      </c>
      <c r="D34" s="763"/>
      <c r="E34" s="763"/>
      <c r="F34" s="763"/>
      <c r="G34" s="629">
        <f>AD35</f>
        <v>2.0945</v>
      </c>
      <c r="H34" s="630"/>
      <c r="I34" s="630"/>
      <c r="J34" s="511" t="s">
        <v>5</v>
      </c>
      <c r="K34" s="614" t="s">
        <v>703</v>
      </c>
      <c r="L34" s="511"/>
      <c r="M34" s="511"/>
      <c r="N34" s="511"/>
      <c r="O34" s="511"/>
      <c r="P34" s="549" t="str" cm="1">
        <f t="array" ref="P34">longitudeDecimal2Txt(G34)</f>
        <v>E 02°05.66 (E 02.0945) [E 02°05'40.19]</v>
      </c>
      <c r="Q34" s="549"/>
      <c r="R34" s="549"/>
      <c r="S34" s="549"/>
      <c r="T34" s="549"/>
      <c r="U34" s="549"/>
      <c r="V34" s="549"/>
      <c r="W34" s="549"/>
      <c r="X34" s="549"/>
      <c r="Y34" s="549"/>
      <c r="Z34" s="257"/>
      <c r="AC34" s="3" t="s">
        <v>170</v>
      </c>
      <c r="AD34" s="3">
        <f>VLOOKUP(J34,Outils!$D$9:$E$10,2)</f>
        <v>1</v>
      </c>
      <c r="BN34" s="261"/>
    </row>
    <row r="35" spans="1:66" ht="17.25" customHeight="1" thickTop="1" thickBot="1">
      <c r="C35" s="763"/>
      <c r="D35" s="763"/>
      <c r="E35" s="763"/>
      <c r="F35" s="763"/>
      <c r="G35" s="630"/>
      <c r="H35" s="630"/>
      <c r="I35" s="630"/>
      <c r="J35" s="511"/>
      <c r="K35" s="511"/>
      <c r="L35" s="511"/>
      <c r="M35" s="511"/>
      <c r="N35" s="511"/>
      <c r="O35" s="511"/>
      <c r="P35" s="549"/>
      <c r="Q35" s="549"/>
      <c r="R35" s="549"/>
      <c r="S35" s="549"/>
      <c r="T35" s="549"/>
      <c r="U35" s="549"/>
      <c r="V35" s="549"/>
      <c r="W35" s="549"/>
      <c r="X35" s="549"/>
      <c r="Y35" s="549"/>
      <c r="Z35" s="257"/>
      <c r="AC35" s="3" t="s">
        <v>171</v>
      </c>
      <c r="AD35" s="3" cm="1">
        <f t="array" ref="AD35">angleConvert2Decimal(K34)*AD34</f>
        <v>2.0945</v>
      </c>
      <c r="BN35" s="261"/>
    </row>
    <row r="36" spans="1:66" ht="17.25" customHeight="1" thickTop="1">
      <c r="B36" s="257"/>
      <c r="C36" s="246"/>
      <c r="D36" s="257"/>
      <c r="E36" s="257"/>
      <c r="F36" s="257"/>
      <c r="G36" s="257"/>
      <c r="H36" s="257"/>
      <c r="AG36" s="246"/>
      <c r="AH36" s="246"/>
      <c r="AI36" s="246"/>
      <c r="AJ36" s="246"/>
      <c r="AK36" s="246"/>
      <c r="AL36" s="246"/>
      <c r="AM36" s="246"/>
      <c r="AN36" s="246"/>
      <c r="AO36" s="246"/>
      <c r="AP36" s="246"/>
      <c r="AQ36" s="246"/>
      <c r="AR36" s="246"/>
      <c r="AS36" s="246"/>
      <c r="AT36" s="246"/>
      <c r="AU36" s="246"/>
      <c r="AV36" s="246"/>
      <c r="AW36" s="246"/>
      <c r="AX36" s="246"/>
      <c r="AY36" s="246"/>
      <c r="AZ36" s="246"/>
      <c r="BN36" s="261"/>
    </row>
    <row r="37" spans="1:66" ht="17.25" customHeight="1" thickBot="1">
      <c r="AG37" s="246"/>
      <c r="AH37" s="246"/>
      <c r="AI37" s="246"/>
      <c r="AJ37" s="246"/>
      <c r="AK37" s="246"/>
      <c r="AL37" s="246"/>
      <c r="AM37" s="246"/>
      <c r="AN37" s="246"/>
      <c r="AO37" s="246"/>
      <c r="AP37" s="246"/>
      <c r="AQ37" s="246"/>
      <c r="AR37" s="246"/>
      <c r="AS37" s="246"/>
      <c r="AT37" s="246"/>
      <c r="AU37" s="246"/>
      <c r="AV37" s="246"/>
      <c r="AW37" s="246"/>
      <c r="AX37" s="246"/>
      <c r="AY37" s="246"/>
      <c r="AZ37" s="246"/>
    </row>
    <row r="38" spans="1:66" ht="17.25" customHeight="1" thickBot="1">
      <c r="B38" s="250" t="s">
        <v>9</v>
      </c>
      <c r="C38" s="258"/>
      <c r="D38" s="258"/>
      <c r="E38" s="258"/>
      <c r="F38" s="534">
        <f>IF(G39=AD39,D42,IF(G39=AD38,D55,D49))</f>
        <v>4.0271944444444445</v>
      </c>
      <c r="G38" s="554"/>
      <c r="H38" s="554"/>
      <c r="I38" s="251"/>
      <c r="J38" s="251"/>
      <c r="K38" s="251" t="str" cm="1">
        <f t="array" ref="K38">latitudeDecimal2Txt(F38)</f>
        <v>N 04°01.63 (N 04.0271) [N 04°01'37.89]</v>
      </c>
      <c r="L38" s="251"/>
      <c r="M38" s="251"/>
      <c r="N38" s="251"/>
      <c r="O38" s="251"/>
      <c r="P38" s="251"/>
      <c r="Q38" s="251"/>
      <c r="R38" s="251"/>
      <c r="S38" s="251"/>
      <c r="T38" s="251"/>
      <c r="U38" s="251"/>
      <c r="V38" s="251"/>
      <c r="W38" s="251"/>
      <c r="X38" s="251"/>
      <c r="Y38" s="251"/>
      <c r="Z38" s="251"/>
      <c r="AA38" s="251"/>
      <c r="AB38" s="64"/>
      <c r="AD38" s="263" t="s">
        <v>545</v>
      </c>
      <c r="AG38" s="246"/>
      <c r="AH38" s="246"/>
      <c r="AI38" s="246"/>
      <c r="AJ38" s="246"/>
      <c r="AK38" s="246"/>
      <c r="AL38" s="246"/>
      <c r="AM38" s="246"/>
      <c r="AN38" s="246"/>
      <c r="AO38" s="246"/>
      <c r="AP38" s="246"/>
      <c r="AQ38" s="246"/>
      <c r="AR38" s="246"/>
      <c r="AS38" s="246"/>
      <c r="AT38" s="246"/>
      <c r="AU38" s="246"/>
      <c r="AV38" s="246"/>
      <c r="AW38" s="246"/>
      <c r="AX38" s="246"/>
      <c r="AY38" s="246"/>
      <c r="AZ38" s="246"/>
    </row>
    <row r="39" spans="1:66" s="262" customFormat="1" ht="17.25" customHeight="1">
      <c r="C39" s="607" t="s">
        <v>35</v>
      </c>
      <c r="D39" s="607"/>
      <c r="E39" s="607"/>
      <c r="F39" s="607"/>
      <c r="G39" s="610" t="s">
        <v>10</v>
      </c>
      <c r="H39" s="611"/>
      <c r="I39" s="612"/>
      <c r="AB39" s="65"/>
      <c r="AC39" s="715" t="s">
        <v>36</v>
      </c>
      <c r="AD39" s="263" t="s">
        <v>10</v>
      </c>
      <c r="AE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</row>
    <row r="40" spans="1:66" ht="17.25" customHeight="1">
      <c r="C40" s="876" t="s">
        <v>10</v>
      </c>
      <c r="D40" s="878" t="s">
        <v>9</v>
      </c>
      <c r="E40" s="656"/>
      <c r="F40" s="656"/>
      <c r="G40" s="656"/>
      <c r="H40" s="656"/>
      <c r="I40" s="504" t="s">
        <v>609</v>
      </c>
      <c r="J40" s="597"/>
      <c r="K40" s="504" t="s">
        <v>13</v>
      </c>
      <c r="L40" s="505"/>
      <c r="M40" s="506"/>
      <c r="N40" s="510" t="s">
        <v>15</v>
      </c>
      <c r="O40" s="510"/>
      <c r="P40" s="510"/>
      <c r="Q40" s="510"/>
      <c r="R40" s="510"/>
      <c r="S40" s="257"/>
      <c r="AC40" s="715"/>
      <c r="AD40" s="263" t="s">
        <v>14</v>
      </c>
      <c r="AF40" s="246"/>
      <c r="AG40" s="246"/>
      <c r="AH40" s="246"/>
      <c r="AI40" s="246"/>
      <c r="AJ40" s="246"/>
      <c r="AK40" s="246"/>
      <c r="AL40" s="246"/>
      <c r="AM40" s="246"/>
      <c r="AN40" s="246"/>
      <c r="AO40" s="246"/>
      <c r="AP40" s="246"/>
      <c r="AQ40" s="246"/>
      <c r="AR40" s="246"/>
      <c r="AS40" s="246"/>
      <c r="AT40" s="246"/>
      <c r="AU40" s="246"/>
      <c r="AV40" s="246"/>
      <c r="AW40" s="246"/>
      <c r="AX40" s="246"/>
      <c r="AY40" s="246"/>
      <c r="AZ40" s="246"/>
    </row>
    <row r="41" spans="1:66" ht="17.25" customHeight="1" thickBot="1">
      <c r="C41" s="876"/>
      <c r="D41" s="878"/>
      <c r="E41" s="656"/>
      <c r="F41" s="656"/>
      <c r="G41" s="656"/>
      <c r="H41" s="656"/>
      <c r="I41" s="600"/>
      <c r="J41" s="601"/>
      <c r="K41" s="507"/>
      <c r="L41" s="508"/>
      <c r="M41" s="509"/>
      <c r="N41" s="510"/>
      <c r="O41" s="510"/>
      <c r="P41" s="510"/>
      <c r="Q41" s="510"/>
      <c r="R41" s="510"/>
      <c r="S41" s="257"/>
      <c r="AD41" s="71" t="s">
        <v>73</v>
      </c>
      <c r="AE41" s="3" t="s">
        <v>180</v>
      </c>
      <c r="AG41" s="246"/>
      <c r="AH41" s="246"/>
      <c r="AI41" s="246"/>
      <c r="AJ41" s="246"/>
      <c r="AK41" s="246"/>
      <c r="AL41" s="246"/>
      <c r="AM41" s="246"/>
      <c r="AN41" s="246"/>
      <c r="AO41" s="246"/>
      <c r="AP41" s="246"/>
      <c r="AQ41" s="246"/>
      <c r="AR41" s="246"/>
      <c r="AS41" s="246"/>
      <c r="AT41" s="246"/>
      <c r="AU41" s="246"/>
      <c r="AV41" s="246"/>
      <c r="AW41" s="246"/>
      <c r="AX41" s="246"/>
      <c r="AY41" s="246"/>
      <c r="AZ41" s="246"/>
    </row>
    <row r="42" spans="1:66" ht="17.25" customHeight="1" thickTop="1" thickBot="1">
      <c r="C42" s="876"/>
      <c r="D42" s="482">
        <f>IF(G39=AD39,AD47,"---")</f>
        <v>4.0271944444444445</v>
      </c>
      <c r="E42" s="482"/>
      <c r="F42" s="482"/>
      <c r="G42" s="482"/>
      <c r="H42" s="483"/>
      <c r="I42" s="746">
        <f>E11</f>
        <v>15.331666666666667</v>
      </c>
      <c r="J42" s="747"/>
      <c r="K42" s="535">
        <v>15</v>
      </c>
      <c r="L42" s="536"/>
      <c r="M42" s="537"/>
      <c r="N42" s="511" t="s">
        <v>3</v>
      </c>
      <c r="O42" s="512" t="s">
        <v>704</v>
      </c>
      <c r="P42" s="513"/>
      <c r="Q42" s="513"/>
      <c r="R42" s="513"/>
      <c r="S42" s="549" t="str" cm="1">
        <f t="array" ref="S42">angleDecimal2Txt(AE42)</f>
        <v>+04°01.30 (+04.0216) [+04°01'18.00]</v>
      </c>
      <c r="T42" s="550"/>
      <c r="U42" s="550"/>
      <c r="V42" s="550"/>
      <c r="W42" s="550"/>
      <c r="AC42" s="3" t="s">
        <v>172</v>
      </c>
      <c r="AD42" s="3">
        <f>VLOOKUP(N42,Outils!$C$9:$E$10,3)</f>
        <v>1</v>
      </c>
      <c r="AE42" s="3" cm="1">
        <f t="array" ref="AE42">AD42*angleConvert2Decimal(O42)</f>
        <v>4.0216666666666665</v>
      </c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6"/>
      <c r="AS42" s="246"/>
      <c r="AT42" s="246"/>
      <c r="AU42" s="246"/>
      <c r="AV42" s="246"/>
      <c r="AW42" s="246"/>
      <c r="AX42" s="246"/>
      <c r="AY42" s="246"/>
      <c r="AZ42" s="246"/>
    </row>
    <row r="43" spans="1:66" ht="17.25" customHeight="1" thickTop="1" thickBot="1">
      <c r="C43" s="876"/>
      <c r="D43" s="485"/>
      <c r="E43" s="485"/>
      <c r="F43" s="485"/>
      <c r="G43" s="485"/>
      <c r="H43" s="486"/>
      <c r="I43" s="490"/>
      <c r="J43" s="877"/>
      <c r="K43" s="538"/>
      <c r="L43" s="539"/>
      <c r="M43" s="540"/>
      <c r="N43" s="511"/>
      <c r="O43" s="514"/>
      <c r="P43" s="514"/>
      <c r="Q43" s="514"/>
      <c r="R43" s="514"/>
      <c r="S43" s="550"/>
      <c r="T43" s="550"/>
      <c r="U43" s="550"/>
      <c r="V43" s="550"/>
      <c r="W43" s="550"/>
      <c r="AC43" s="3" t="s">
        <v>173</v>
      </c>
      <c r="AD43" s="3">
        <f>VLOOKUP(N44,Outils!$C$9:$E$10,3)</f>
        <v>1</v>
      </c>
      <c r="AE43" s="3" cm="1">
        <f t="array" ref="AE43">AD43*angleConvert2Decimal(O44)</f>
        <v>4.0383333333333331</v>
      </c>
      <c r="AG43" s="246"/>
      <c r="AH43" s="246"/>
      <c r="AI43" s="246"/>
      <c r="AJ43" s="246"/>
      <c r="AK43" s="246"/>
      <c r="AL43" s="246"/>
      <c r="AM43" s="246"/>
      <c r="AN43" s="246"/>
      <c r="AO43" s="246"/>
      <c r="AP43" s="246"/>
      <c r="AQ43" s="246"/>
      <c r="AR43" s="246"/>
      <c r="AS43" s="246"/>
      <c r="AT43" s="246"/>
      <c r="AU43" s="246"/>
      <c r="AV43" s="246"/>
      <c r="AW43" s="246"/>
      <c r="AX43" s="246"/>
      <c r="AY43" s="246"/>
      <c r="AZ43" s="246"/>
    </row>
    <row r="44" spans="1:66" ht="17.25" customHeight="1" thickTop="1" thickBot="1">
      <c r="C44" s="876"/>
      <c r="D44" s="485"/>
      <c r="E44" s="485"/>
      <c r="F44" s="485"/>
      <c r="G44" s="485"/>
      <c r="H44" s="486"/>
      <c r="I44" s="490"/>
      <c r="J44" s="877"/>
      <c r="K44" s="625">
        <v>16</v>
      </c>
      <c r="L44" s="626"/>
      <c r="M44" s="627"/>
      <c r="N44" s="511" t="s">
        <v>3</v>
      </c>
      <c r="O44" s="547" t="s">
        <v>705</v>
      </c>
      <c r="P44" s="514"/>
      <c r="Q44" s="514"/>
      <c r="R44" s="514"/>
      <c r="S44" s="549" t="str" cm="1">
        <f t="array" ref="S44">angleDecimal2Txt((AE43))</f>
        <v>+04°02.29 (+04.0383) [+04°02'18.00]</v>
      </c>
      <c r="T44" s="550"/>
      <c r="U44" s="550"/>
      <c r="V44" s="550"/>
      <c r="W44" s="550"/>
      <c r="AC44" s="3" t="s">
        <v>38</v>
      </c>
      <c r="AD44" s="5">
        <f>AE43-AE42</f>
        <v>1.6666666666666607E-2</v>
      </c>
    </row>
    <row r="45" spans="1:66" ht="17.25" customHeight="1" thickTop="1" thickBot="1">
      <c r="C45" s="876"/>
      <c r="D45" s="654" t="str" cm="1">
        <f t="array" ref="D45">latitudeDecimal2Txt(D42)</f>
        <v>N 04°01.63 (N 04.0271) [N 04°01'37.89]</v>
      </c>
      <c r="E45" s="470"/>
      <c r="F45" s="470"/>
      <c r="G45" s="470"/>
      <c r="H45" s="470"/>
      <c r="I45" s="748"/>
      <c r="J45" s="749"/>
      <c r="K45" s="538"/>
      <c r="L45" s="539"/>
      <c r="M45" s="540"/>
      <c r="N45" s="511"/>
      <c r="O45" s="514"/>
      <c r="P45" s="514"/>
      <c r="Q45" s="514"/>
      <c r="R45" s="514"/>
      <c r="S45" s="550"/>
      <c r="T45" s="550"/>
      <c r="U45" s="550"/>
      <c r="V45" s="550"/>
      <c r="W45" s="550"/>
      <c r="AC45" s="3" t="s">
        <v>174</v>
      </c>
      <c r="AD45" s="5">
        <f>K44-K42</f>
        <v>1</v>
      </c>
      <c r="AE45" s="246"/>
      <c r="AF45" s="246"/>
      <c r="AG45" s="246"/>
      <c r="AH45" s="246"/>
    </row>
    <row r="46" spans="1:66" ht="17.25" customHeight="1" thickTop="1">
      <c r="F46" s="246"/>
      <c r="G46" s="246"/>
      <c r="AC46" s="3" t="s">
        <v>39</v>
      </c>
      <c r="AD46" s="5">
        <f>I42-K42</f>
        <v>0.331666666666667</v>
      </c>
      <c r="AG46" s="246"/>
      <c r="AH46" s="246"/>
      <c r="AI46" s="246"/>
      <c r="AJ46" s="246"/>
      <c r="AK46" s="246"/>
      <c r="AL46" s="246"/>
      <c r="AM46" s="246"/>
      <c r="AN46" s="246"/>
      <c r="AO46" s="246"/>
      <c r="AP46" s="246"/>
      <c r="AQ46" s="246"/>
      <c r="AR46" s="246"/>
      <c r="AS46" s="246"/>
      <c r="AT46" s="246"/>
      <c r="AU46" s="246"/>
      <c r="AV46" s="246"/>
      <c r="AW46" s="246"/>
      <c r="AX46" s="246"/>
      <c r="AY46" s="246"/>
      <c r="AZ46" s="246"/>
    </row>
    <row r="47" spans="1:66" ht="17.25" customHeight="1">
      <c r="C47" s="655" t="s">
        <v>14</v>
      </c>
      <c r="D47" s="656" t="s">
        <v>9</v>
      </c>
      <c r="E47" s="656"/>
      <c r="F47" s="656"/>
      <c r="G47" s="656"/>
      <c r="H47" s="656"/>
      <c r="I47" s="504" t="s">
        <v>609</v>
      </c>
      <c r="J47" s="597"/>
      <c r="K47" s="504" t="s">
        <v>601</v>
      </c>
      <c r="L47" s="505"/>
      <c r="M47" s="506"/>
      <c r="N47" s="510" t="s">
        <v>16</v>
      </c>
      <c r="O47" s="510"/>
      <c r="P47" s="510"/>
      <c r="Q47" s="510"/>
      <c r="R47" s="510"/>
      <c r="S47" s="510" t="s">
        <v>131</v>
      </c>
      <c r="T47" s="510"/>
      <c r="U47" s="510"/>
      <c r="V47" s="510"/>
      <c r="W47" s="510"/>
      <c r="AA47" s="257"/>
      <c r="AC47" s="3" t="s">
        <v>37</v>
      </c>
      <c r="AD47" s="3">
        <f>AE42+(AD44/AD45)*AD46</f>
        <v>4.0271944444444445</v>
      </c>
      <c r="AG47" s="246"/>
      <c r="AH47" s="246"/>
      <c r="AI47" s="246"/>
      <c r="AJ47" s="246"/>
      <c r="AK47" s="246"/>
      <c r="AL47" s="246"/>
      <c r="AM47" s="246"/>
      <c r="AN47" s="246"/>
      <c r="AO47" s="246"/>
      <c r="AP47" s="246"/>
      <c r="AQ47" s="246"/>
      <c r="AR47" s="246"/>
      <c r="AS47" s="246"/>
      <c r="AT47" s="246"/>
      <c r="AU47" s="246"/>
      <c r="AV47" s="246"/>
      <c r="AW47" s="246"/>
      <c r="AX47" s="246"/>
      <c r="AY47" s="246"/>
      <c r="AZ47" s="246"/>
    </row>
    <row r="48" spans="1:66" ht="17.25" customHeight="1">
      <c r="C48" s="655"/>
      <c r="D48" s="656"/>
      <c r="E48" s="656"/>
      <c r="F48" s="656"/>
      <c r="G48" s="656"/>
      <c r="H48" s="656"/>
      <c r="I48" s="600"/>
      <c r="J48" s="601"/>
      <c r="K48" s="507"/>
      <c r="L48" s="508"/>
      <c r="M48" s="509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AA48" s="257"/>
      <c r="AF48" s="246"/>
      <c r="AG48" s="246"/>
      <c r="AH48" s="246"/>
      <c r="AI48" s="246"/>
      <c r="AJ48" s="246"/>
      <c r="AK48" s="246"/>
      <c r="AL48" s="246"/>
      <c r="AM48" s="246"/>
      <c r="AN48" s="246"/>
      <c r="AO48" s="246"/>
      <c r="AP48" s="246"/>
      <c r="AQ48" s="246"/>
      <c r="AR48" s="246"/>
      <c r="AS48" s="246"/>
      <c r="AT48" s="246"/>
      <c r="AU48" s="246"/>
      <c r="AV48" s="246"/>
      <c r="AW48" s="246"/>
      <c r="AX48" s="246"/>
      <c r="AY48" s="246"/>
      <c r="AZ48" s="246"/>
    </row>
    <row r="49" spans="1:52" ht="17.25" customHeight="1">
      <c r="C49" s="655"/>
      <c r="D49" s="482" t="str">
        <f>IF(G39=AD40,AD53,"---")</f>
        <v>---</v>
      </c>
      <c r="E49" s="482"/>
      <c r="F49" s="482"/>
      <c r="G49" s="482"/>
      <c r="H49" s="482"/>
      <c r="I49" s="652">
        <f>E11</f>
        <v>15.331666666666667</v>
      </c>
      <c r="J49" s="652"/>
      <c r="K49" s="499">
        <v>0</v>
      </c>
      <c r="L49" s="499"/>
      <c r="M49" s="717"/>
      <c r="N49" s="511" t="s">
        <v>3</v>
      </c>
      <c r="O49" s="720" t="s">
        <v>600</v>
      </c>
      <c r="P49" s="721"/>
      <c r="Q49" s="721"/>
      <c r="R49" s="721"/>
      <c r="S49" s="511" t="s">
        <v>3</v>
      </c>
      <c r="T49" s="720">
        <f>0.2/60</f>
        <v>3.3333333333333335E-3</v>
      </c>
      <c r="U49" s="721"/>
      <c r="V49" s="721"/>
      <c r="W49" s="721"/>
      <c r="AA49" s="257"/>
      <c r="AC49" s="3" t="s">
        <v>175</v>
      </c>
      <c r="AD49" s="3">
        <f>VLOOKUP(N49,Outils!$C$9:$E$10,3)</f>
        <v>1</v>
      </c>
      <c r="AF49" s="246"/>
      <c r="AG49" s="246"/>
      <c r="AH49" s="246"/>
      <c r="AI49" s="246"/>
      <c r="AJ49" s="246"/>
      <c r="AK49" s="246"/>
      <c r="AL49" s="246"/>
      <c r="AM49" s="246"/>
      <c r="AN49" s="246"/>
      <c r="AO49" s="246"/>
      <c r="AP49" s="246"/>
      <c r="AQ49" s="246"/>
      <c r="AR49" s="246"/>
      <c r="AS49" s="246"/>
      <c r="AT49" s="246"/>
      <c r="AU49" s="246"/>
      <c r="AV49" s="246"/>
      <c r="AW49" s="246"/>
      <c r="AX49" s="246"/>
      <c r="AY49" s="246"/>
      <c r="AZ49" s="246"/>
    </row>
    <row r="50" spans="1:52" ht="17.25" customHeight="1" thickBot="1">
      <c r="C50" s="655"/>
      <c r="D50" s="485"/>
      <c r="E50" s="485"/>
      <c r="F50" s="485"/>
      <c r="G50" s="485"/>
      <c r="H50" s="485"/>
      <c r="I50" s="652"/>
      <c r="J50" s="652"/>
      <c r="K50" s="501"/>
      <c r="L50" s="501"/>
      <c r="M50" s="718"/>
      <c r="N50" s="511"/>
      <c r="O50" s="511"/>
      <c r="P50" s="511"/>
      <c r="Q50" s="511"/>
      <c r="R50" s="511"/>
      <c r="S50" s="511"/>
      <c r="T50" s="511"/>
      <c r="U50" s="511"/>
      <c r="V50" s="511"/>
      <c r="W50" s="511"/>
      <c r="Z50" s="257"/>
      <c r="AA50" s="257"/>
      <c r="AC50" s="3" t="s">
        <v>176</v>
      </c>
      <c r="AD50" s="3" cm="1">
        <f t="array" ref="AD50">angleConvert2Decimal(O49)*AD49</f>
        <v>23.176666666666666</v>
      </c>
      <c r="AF50" s="246"/>
      <c r="AG50" s="246"/>
      <c r="AH50" s="246"/>
      <c r="AI50" s="246"/>
      <c r="AJ50" s="246"/>
      <c r="AK50" s="246"/>
      <c r="AL50" s="246"/>
      <c r="AM50" s="246"/>
      <c r="AN50" s="246"/>
      <c r="AO50" s="246"/>
      <c r="AP50" s="246"/>
      <c r="AQ50" s="246"/>
      <c r="AR50" s="246"/>
      <c r="AS50" s="246"/>
      <c r="AT50" s="246"/>
      <c r="AU50" s="246"/>
      <c r="AV50" s="246"/>
      <c r="AW50" s="246"/>
      <c r="AX50" s="246"/>
      <c r="AY50" s="246"/>
      <c r="AZ50" s="246"/>
    </row>
    <row r="51" spans="1:52" ht="17.25" customHeight="1" thickTop="1" thickBot="1">
      <c r="C51" s="655"/>
      <c r="D51" s="654" t="e" cm="1">
        <f t="array" ref="D51">latitudeDecimal2Txt(D49)</f>
        <v>#VALUE!</v>
      </c>
      <c r="E51" s="470"/>
      <c r="F51" s="470"/>
      <c r="G51" s="470"/>
      <c r="H51" s="737"/>
      <c r="I51" s="652"/>
      <c r="J51" s="652"/>
      <c r="K51" s="653" t="str" cm="1">
        <f t="array" ref="K51">heureDecimal2Txt(K49)</f>
        <v>00:00:00.00(00.0000)</v>
      </c>
      <c r="L51" s="653"/>
      <c r="M51" s="654"/>
      <c r="N51" s="472" t="str" cm="1">
        <f t="array" ref="N51">angleDecimal2Txt(AD50)</f>
        <v>+23°10.59 (+23.1766) [+23°10'36.00]</v>
      </c>
      <c r="O51" s="472"/>
      <c r="P51" s="472"/>
      <c r="Q51" s="472"/>
      <c r="R51" s="472"/>
      <c r="S51" s="472" t="str" cm="1">
        <f t="array" ref="S51">angleDecimal2Txt(AD52)</f>
        <v>+00°00.19 (+00.0033) [+00°00'11.99]</v>
      </c>
      <c r="T51" s="722"/>
      <c r="U51" s="722"/>
      <c r="V51" s="722"/>
      <c r="W51" s="722"/>
      <c r="Z51" s="257"/>
      <c r="AC51" s="3" t="s">
        <v>177</v>
      </c>
      <c r="AD51" s="3">
        <f>VLOOKUP(S49,Outils!$C$9:$E$10,3)</f>
        <v>1</v>
      </c>
      <c r="AF51" s="246"/>
      <c r="AG51" s="246"/>
      <c r="AH51" s="246"/>
      <c r="AI51" s="246"/>
      <c r="AJ51" s="246"/>
      <c r="AK51" s="246"/>
      <c r="AL51" s="246"/>
      <c r="AM51" s="246"/>
      <c r="AN51" s="246"/>
      <c r="AO51" s="246"/>
      <c r="AP51" s="246"/>
      <c r="AQ51" s="246"/>
      <c r="AR51" s="246"/>
      <c r="AS51" s="246"/>
      <c r="AT51" s="246"/>
      <c r="AU51" s="246"/>
      <c r="AV51" s="246"/>
      <c r="AW51" s="246"/>
      <c r="AX51" s="246"/>
      <c r="AY51" s="246"/>
    </row>
    <row r="52" spans="1:52" ht="17.25" customHeight="1" collapsed="1" thickTop="1">
      <c r="A52" s="264" t="s">
        <v>527</v>
      </c>
      <c r="F52" s="246"/>
      <c r="G52" s="246"/>
      <c r="I52"/>
      <c r="Z52" s="257"/>
      <c r="AC52" s="3" t="s">
        <v>178</v>
      </c>
      <c r="AD52" s="3" cm="1">
        <f t="array" ref="AD52">angleConvert2Decimal(T49)*AD51</f>
        <v>3.3333333333333301E-3</v>
      </c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46"/>
      <c r="AU52" s="246"/>
      <c r="AV52" s="246"/>
      <c r="AW52" s="246"/>
      <c r="AX52" s="246"/>
      <c r="AY52" s="246"/>
    </row>
    <row r="53" spans="1:52" ht="17.25" customHeight="1">
      <c r="C53" s="655" t="s">
        <v>610</v>
      </c>
      <c r="D53" s="656" t="s">
        <v>9</v>
      </c>
      <c r="E53" s="656"/>
      <c r="F53" s="656"/>
      <c r="G53" s="656"/>
      <c r="H53" s="656"/>
      <c r="I53" s="587" t="s">
        <v>546</v>
      </c>
      <c r="J53" s="588"/>
      <c r="K53" s="588"/>
      <c r="L53" s="588"/>
      <c r="M53" s="589"/>
      <c r="AC53" s="3" t="s">
        <v>179</v>
      </c>
      <c r="AD53" s="3">
        <f>AD50+AD52*(I49-K49)</f>
        <v>23.227772222222221</v>
      </c>
      <c r="AF53" s="246"/>
      <c r="AG53" s="246"/>
      <c r="AH53" s="246"/>
      <c r="AI53" s="246"/>
      <c r="AJ53" s="246"/>
      <c r="AK53" s="246"/>
      <c r="AL53" s="246"/>
      <c r="AM53" s="246"/>
      <c r="AN53" s="246"/>
      <c r="AO53" s="246"/>
      <c r="AP53" s="246"/>
      <c r="AQ53" s="246"/>
      <c r="AR53" s="246"/>
      <c r="AS53" s="246"/>
      <c r="AT53" s="246"/>
      <c r="AU53" s="246"/>
      <c r="AV53" s="246"/>
      <c r="AW53" s="246"/>
      <c r="AX53" s="246"/>
      <c r="AY53" s="246"/>
    </row>
    <row r="54" spans="1:52" ht="17.25" customHeight="1">
      <c r="C54" s="655"/>
      <c r="D54" s="656"/>
      <c r="E54" s="656"/>
      <c r="F54" s="656"/>
      <c r="G54" s="656"/>
      <c r="H54" s="656"/>
      <c r="I54" s="590"/>
      <c r="J54" s="591"/>
      <c r="K54" s="591"/>
      <c r="L54" s="591"/>
      <c r="M54" s="592"/>
      <c r="S54"/>
      <c r="T54"/>
      <c r="U54"/>
      <c r="V54"/>
      <c r="W54"/>
      <c r="X54"/>
      <c r="Y54"/>
      <c r="AC54" s="3"/>
      <c r="AD54" s="3"/>
      <c r="AF54" s="246"/>
      <c r="AG54" s="246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46"/>
      <c r="AW54" s="246"/>
      <c r="AX54" s="246"/>
      <c r="AY54" s="246"/>
    </row>
    <row r="55" spans="1:52" ht="17.25" customHeight="1">
      <c r="C55" s="655"/>
      <c r="D55" s="484" t="str">
        <f>IF(G39=AD38,AD56,"---")</f>
        <v>---</v>
      </c>
      <c r="E55" s="485"/>
      <c r="F55" s="485"/>
      <c r="G55" s="485"/>
      <c r="H55" s="485"/>
      <c r="I55" s="546" t="s">
        <v>3</v>
      </c>
      <c r="J55" s="646" t="s">
        <v>608</v>
      </c>
      <c r="K55" s="646"/>
      <c r="L55" s="646"/>
      <c r="M55" s="646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246"/>
      <c r="AG55" s="246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46"/>
      <c r="AW55" s="246"/>
      <c r="AX55" s="246"/>
      <c r="AY55" s="246"/>
    </row>
    <row r="56" spans="1:52" ht="17.25" customHeight="1" thickBot="1">
      <c r="C56" s="655"/>
      <c r="D56" s="657"/>
      <c r="E56" s="658"/>
      <c r="F56" s="658"/>
      <c r="G56" s="658"/>
      <c r="H56" s="658"/>
      <c r="I56" s="546"/>
      <c r="J56" s="646"/>
      <c r="K56" s="646"/>
      <c r="L56" s="646"/>
      <c r="M56" s="646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</row>
    <row r="57" spans="1:52" ht="17.25" customHeight="1" thickTop="1" thickBot="1">
      <c r="C57" s="655"/>
      <c r="D57" s="470" t="str" cm="1">
        <f t="array" ref="D57">latitudeDecimal2Txt(AD56)</f>
        <v>N 14°43.70 (N 14.7283) [N 14°43'42.00]</v>
      </c>
      <c r="E57" s="470"/>
      <c r="F57" s="470"/>
      <c r="G57" s="470"/>
      <c r="H57" s="470"/>
      <c r="I57"/>
      <c r="J57"/>
      <c r="K57"/>
      <c r="L57"/>
      <c r="N57"/>
      <c r="O57"/>
      <c r="U57"/>
      <c r="V57"/>
      <c r="W57"/>
      <c r="X57"/>
      <c r="Y57"/>
      <c r="AC57"/>
      <c r="AD57"/>
    </row>
    <row r="58" spans="1:52" ht="17.25" customHeight="1" thickTop="1" thickBot="1">
      <c r="C58"/>
      <c r="D58"/>
      <c r="E58"/>
      <c r="F58" s="246"/>
      <c r="G58" s="246"/>
      <c r="N58"/>
      <c r="O58"/>
      <c r="U58"/>
      <c r="V58"/>
      <c r="W58"/>
      <c r="X58"/>
      <c r="Y58"/>
      <c r="AC58"/>
      <c r="AD58"/>
    </row>
    <row r="59" spans="1:52" ht="17.25" customHeight="1" thickBot="1">
      <c r="A59" s="262"/>
      <c r="B59" s="250" t="s">
        <v>134</v>
      </c>
      <c r="C59" s="258"/>
      <c r="D59" s="258"/>
      <c r="E59" s="258"/>
      <c r="F59" s="534">
        <f>IF(G60=AD60,D63,IF(G60=AD59,D76,D70))</f>
        <v>48.894438888888899</v>
      </c>
      <c r="G59" s="554"/>
      <c r="H59" s="554"/>
      <c r="I59" s="251"/>
      <c r="J59" s="251"/>
      <c r="K59" s="251"/>
      <c r="L59" s="606">
        <f>F59-360</f>
        <v>-311.10556111111111</v>
      </c>
      <c r="M59" s="606"/>
      <c r="N59" s="251" t="s">
        <v>28</v>
      </c>
      <c r="O59" s="251"/>
      <c r="P59" s="251"/>
      <c r="Q59" s="251"/>
      <c r="R59" s="251"/>
      <c r="S59" s="251"/>
      <c r="T59" s="251"/>
      <c r="U59" s="251"/>
      <c r="V59" s="251"/>
      <c r="W59" s="251"/>
      <c r="X59" s="251"/>
      <c r="Y59" s="251"/>
      <c r="Z59" s="251"/>
      <c r="AA59" s="251"/>
      <c r="AB59" s="64"/>
      <c r="AD59" s="263" t="s">
        <v>544</v>
      </c>
    </row>
    <row r="60" spans="1:52" ht="17.25" customHeight="1">
      <c r="B60" s="262"/>
      <c r="C60" s="607" t="s">
        <v>35</v>
      </c>
      <c r="D60" s="607"/>
      <c r="E60" s="607"/>
      <c r="F60" s="607"/>
      <c r="G60" s="644" t="s">
        <v>10</v>
      </c>
      <c r="H60" s="644"/>
      <c r="I60" s="645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62"/>
      <c r="AA60" s="262"/>
      <c r="AB60" s="65"/>
      <c r="AC60" s="715" t="s">
        <v>36</v>
      </c>
      <c r="AD60" s="263" t="s">
        <v>10</v>
      </c>
    </row>
    <row r="61" spans="1:52" ht="17.25" customHeight="1">
      <c r="C61" s="876" t="s">
        <v>10</v>
      </c>
      <c r="D61" s="598" t="s">
        <v>401</v>
      </c>
      <c r="E61" s="880"/>
      <c r="F61" s="880"/>
      <c r="G61" s="880"/>
      <c r="H61" s="880"/>
      <c r="I61" s="505" t="s">
        <v>609</v>
      </c>
      <c r="J61" s="597"/>
      <c r="K61" s="504" t="s">
        <v>13</v>
      </c>
      <c r="L61" s="505"/>
      <c r="M61" s="506"/>
      <c r="N61" s="587" t="s">
        <v>15</v>
      </c>
      <c r="O61" s="588"/>
      <c r="P61" s="588"/>
      <c r="Q61" s="588"/>
      <c r="R61" s="589"/>
      <c r="S61" s="257"/>
      <c r="AC61" s="715"/>
      <c r="AD61" s="263" t="s">
        <v>14</v>
      </c>
    </row>
    <row r="62" spans="1:52" ht="17.25" customHeight="1" thickBot="1">
      <c r="C62" s="876"/>
      <c r="D62" s="600"/>
      <c r="E62" s="609"/>
      <c r="F62" s="609"/>
      <c r="G62" s="609"/>
      <c r="H62" s="609"/>
      <c r="I62" s="609"/>
      <c r="J62" s="601"/>
      <c r="K62" s="507"/>
      <c r="L62" s="508"/>
      <c r="M62" s="509"/>
      <c r="N62" s="762"/>
      <c r="O62" s="591"/>
      <c r="P62" s="591"/>
      <c r="Q62" s="591"/>
      <c r="R62" s="592"/>
      <c r="S62" s="257"/>
      <c r="AD62" s="71" t="s">
        <v>73</v>
      </c>
      <c r="AE62" s="3" t="s">
        <v>612</v>
      </c>
      <c r="AF62" s="3" t="s">
        <v>180</v>
      </c>
    </row>
    <row r="63" spans="1:52" ht="17.25" customHeight="1" thickTop="1" thickBot="1">
      <c r="C63" s="876"/>
      <c r="D63" s="481">
        <f>IF(G60=AD60,AF68,"---")</f>
        <v>48.894438888888899</v>
      </c>
      <c r="E63" s="482"/>
      <c r="F63" s="482"/>
      <c r="G63" s="482"/>
      <c r="H63" s="483"/>
      <c r="I63" s="746">
        <f>E11</f>
        <v>15.331666666666667</v>
      </c>
      <c r="J63" s="747"/>
      <c r="K63" s="544">
        <v>15</v>
      </c>
      <c r="L63" s="499"/>
      <c r="M63" s="500"/>
      <c r="N63" s="652" t="s">
        <v>5</v>
      </c>
      <c r="O63" s="732" t="s">
        <v>706</v>
      </c>
      <c r="P63" s="732"/>
      <c r="Q63" s="732"/>
      <c r="R63" s="733"/>
      <c r="S63" s="634" t="str" cm="1">
        <f t="array" ref="S63">angleDecimal2Txt(AF63)</f>
        <v>+43°55.10 (+43.9183) [+43°55'06.00]</v>
      </c>
      <c r="T63" s="634"/>
      <c r="U63" s="634"/>
      <c r="V63" s="634"/>
      <c r="W63" s="634"/>
      <c r="X63" s="634"/>
      <c r="Z63" s="247"/>
      <c r="AC63" s="3" t="s">
        <v>172</v>
      </c>
      <c r="AD63" s="3">
        <f>VLOOKUP(N63,Outils!$D$9:$E$10,2)</f>
        <v>1</v>
      </c>
      <c r="AE63" s="3" cm="1">
        <f t="array" ref="AE63">angleConvert2Decimal(O63)</f>
        <v>43.918333333333337</v>
      </c>
      <c r="AF63" s="3">
        <f>AE63*AD63</f>
        <v>43.918333333333337</v>
      </c>
    </row>
    <row r="64" spans="1:52" ht="17.25" customHeight="1" thickTop="1" thickBot="1">
      <c r="C64" s="876"/>
      <c r="D64" s="484"/>
      <c r="E64" s="485"/>
      <c r="F64" s="485"/>
      <c r="G64" s="485"/>
      <c r="H64" s="486"/>
      <c r="I64" s="490"/>
      <c r="J64" s="877"/>
      <c r="K64" s="545"/>
      <c r="L64" s="501"/>
      <c r="M64" s="502"/>
      <c r="N64" s="652"/>
      <c r="O64" s="734"/>
      <c r="P64" s="734"/>
      <c r="Q64" s="734"/>
      <c r="R64" s="735"/>
      <c r="S64" s="634"/>
      <c r="T64" s="634"/>
      <c r="U64" s="634"/>
      <c r="V64" s="634"/>
      <c r="W64" s="634"/>
      <c r="X64" s="634"/>
      <c r="Z64" s="247"/>
      <c r="AC64" s="3" t="s">
        <v>173</v>
      </c>
      <c r="AD64" s="3">
        <f>VLOOKUP(N65,Outils!$D$9:$E$10,2)</f>
        <v>1</v>
      </c>
      <c r="AE64" s="3" cm="1">
        <f t="array" ref="AE64">angleConvert2Decimal(O65)</f>
        <v>58.921666666666667</v>
      </c>
      <c r="AF64" s="3">
        <f>AD64*IF(AE64&lt;AE63,AE64+360,AE64)</f>
        <v>58.921666666666667</v>
      </c>
    </row>
    <row r="65" spans="1:66" ht="17.25" customHeight="1" thickTop="1" thickBot="1">
      <c r="C65" s="876"/>
      <c r="D65" s="484"/>
      <c r="E65" s="485"/>
      <c r="F65" s="485"/>
      <c r="G65" s="485"/>
      <c r="H65" s="486"/>
      <c r="I65" s="490"/>
      <c r="J65" s="877"/>
      <c r="K65" s="729">
        <v>16</v>
      </c>
      <c r="L65" s="730"/>
      <c r="M65" s="731"/>
      <c r="N65" s="652" t="s">
        <v>5</v>
      </c>
      <c r="O65" s="873" t="s">
        <v>707</v>
      </c>
      <c r="P65" s="873"/>
      <c r="Q65" s="873"/>
      <c r="R65" s="874"/>
      <c r="S65" s="634" t="str" cm="1">
        <f t="array" ref="S65">angleDecimal2Txt((AF64))</f>
        <v>+58°55.29 (+58.9216) [+58°55'18.00]</v>
      </c>
      <c r="T65" s="634"/>
      <c r="U65" s="634"/>
      <c r="V65" s="634"/>
      <c r="W65" s="634"/>
      <c r="X65" s="634"/>
      <c r="Z65" s="247"/>
      <c r="AC65" s="3" t="s">
        <v>38</v>
      </c>
      <c r="AD65" s="5">
        <f>AF64-AF63</f>
        <v>15.00333333333333</v>
      </c>
    </row>
    <row r="66" spans="1:66" ht="17.25" customHeight="1" thickTop="1" thickBot="1">
      <c r="C66" s="876"/>
      <c r="D66" s="470" t="str" cm="1">
        <f t="array" ref="D66">angleDecimal2Txt(D63)</f>
        <v>+48°53.66 (+48.8944) [+48°53'39.98]</v>
      </c>
      <c r="E66" s="470"/>
      <c r="F66" s="470"/>
      <c r="G66" s="470"/>
      <c r="H66" s="470"/>
      <c r="I66" s="748"/>
      <c r="J66" s="749"/>
      <c r="K66" s="545"/>
      <c r="L66" s="501"/>
      <c r="M66" s="502"/>
      <c r="N66" s="652"/>
      <c r="O66" s="734"/>
      <c r="P66" s="734"/>
      <c r="Q66" s="734"/>
      <c r="R66" s="735"/>
      <c r="S66" s="634"/>
      <c r="T66" s="634"/>
      <c r="U66" s="634"/>
      <c r="V66" s="634"/>
      <c r="W66" s="634"/>
      <c r="X66" s="634"/>
      <c r="Z66" s="247"/>
      <c r="AC66" s="3" t="s">
        <v>174</v>
      </c>
      <c r="AD66" s="5">
        <f>K65-K63</f>
        <v>1</v>
      </c>
      <c r="AE66" s="246"/>
    </row>
    <row r="67" spans="1:66" ht="17.25" customHeight="1" thickTop="1">
      <c r="F67" s="246"/>
      <c r="G67" s="246"/>
      <c r="Z67" s="247"/>
      <c r="AC67" s="3" t="s">
        <v>39</v>
      </c>
      <c r="AD67" s="5">
        <f>I63-K63</f>
        <v>0.331666666666667</v>
      </c>
    </row>
    <row r="68" spans="1:66" ht="17.25" customHeight="1">
      <c r="C68" s="881" t="s">
        <v>14</v>
      </c>
      <c r="D68" s="656" t="s">
        <v>401</v>
      </c>
      <c r="E68" s="656"/>
      <c r="F68" s="656"/>
      <c r="G68" s="656"/>
      <c r="H68" s="656"/>
      <c r="I68" s="882" t="s">
        <v>609</v>
      </c>
      <c r="J68" s="656"/>
      <c r="K68" s="505" t="s">
        <v>601</v>
      </c>
      <c r="L68" s="505"/>
      <c r="M68" s="506"/>
      <c r="N68" s="587" t="s">
        <v>16</v>
      </c>
      <c r="O68" s="588"/>
      <c r="P68" s="588"/>
      <c r="Q68" s="588"/>
      <c r="R68" s="589"/>
      <c r="S68" s="587" t="s">
        <v>94</v>
      </c>
      <c r="T68" s="588"/>
      <c r="U68" s="588"/>
      <c r="V68" s="588"/>
      <c r="W68" s="589"/>
      <c r="Z68" s="247"/>
      <c r="AA68" s="257"/>
      <c r="AC68" s="3" t="s">
        <v>268</v>
      </c>
      <c r="AD68" s="3">
        <f>IF(AF68&gt;360,AF68-360,AF68)</f>
        <v>48.894438888888899</v>
      </c>
      <c r="AE68" s="3" t="s">
        <v>37</v>
      </c>
      <c r="AF68" s="3">
        <f>(AF63+(AD65/AD66)*AD67)</f>
        <v>48.894438888888899</v>
      </c>
    </row>
    <row r="69" spans="1:66" ht="17.25" customHeight="1">
      <c r="C69" s="881"/>
      <c r="D69" s="656"/>
      <c r="E69" s="656"/>
      <c r="F69" s="656"/>
      <c r="G69" s="656"/>
      <c r="H69" s="656"/>
      <c r="I69" s="656"/>
      <c r="J69" s="656"/>
      <c r="K69" s="508"/>
      <c r="L69" s="508"/>
      <c r="M69" s="509"/>
      <c r="N69" s="762"/>
      <c r="O69" s="591"/>
      <c r="P69" s="591"/>
      <c r="Q69" s="591"/>
      <c r="R69" s="592"/>
      <c r="S69" s="762"/>
      <c r="T69" s="813"/>
      <c r="U69" s="813"/>
      <c r="V69" s="813"/>
      <c r="W69" s="814"/>
      <c r="Z69" s="247"/>
      <c r="AA69" s="257"/>
    </row>
    <row r="70" spans="1:66" ht="17.25" customHeight="1">
      <c r="C70" s="881"/>
      <c r="D70" s="879" t="str">
        <f>IF(G60=AD61,AF74,"---")</f>
        <v>---</v>
      </c>
      <c r="E70" s="879"/>
      <c r="F70" s="879"/>
      <c r="G70" s="879"/>
      <c r="H70" s="879"/>
      <c r="I70" s="652">
        <f>E11</f>
        <v>15.331666666666667</v>
      </c>
      <c r="J70" s="652"/>
      <c r="K70" s="499">
        <v>0</v>
      </c>
      <c r="L70" s="499"/>
      <c r="M70" s="500"/>
      <c r="N70" s="652" t="s">
        <v>5</v>
      </c>
      <c r="O70" s="536" t="s">
        <v>602</v>
      </c>
      <c r="P70" s="536"/>
      <c r="Q70" s="536"/>
      <c r="R70" s="536"/>
      <c r="S70" s="652" t="s">
        <v>5</v>
      </c>
      <c r="T70" s="761">
        <v>14.997999999999999</v>
      </c>
      <c r="U70" s="652"/>
      <c r="V70" s="652"/>
      <c r="W70" s="652"/>
      <c r="AA70" s="257"/>
      <c r="AC70" s="3" t="s">
        <v>175</v>
      </c>
      <c r="AD70" s="3">
        <f>VLOOKUP(N70,Outils!$D$9:$E$10,2)</f>
        <v>1</v>
      </c>
    </row>
    <row r="71" spans="1:66" ht="17.25" customHeight="1" collapsed="1" thickBot="1">
      <c r="C71" s="881"/>
      <c r="D71" s="879"/>
      <c r="E71" s="879"/>
      <c r="F71" s="879"/>
      <c r="G71" s="879"/>
      <c r="H71" s="879"/>
      <c r="I71" s="652"/>
      <c r="J71" s="652"/>
      <c r="K71" s="501"/>
      <c r="L71" s="501"/>
      <c r="M71" s="502"/>
      <c r="N71" s="652"/>
      <c r="O71" s="719"/>
      <c r="P71" s="719"/>
      <c r="Q71" s="719"/>
      <c r="R71" s="719"/>
      <c r="S71" s="652"/>
      <c r="T71" s="652"/>
      <c r="U71" s="652"/>
      <c r="V71" s="652"/>
      <c r="W71" s="652"/>
      <c r="Z71" s="257"/>
      <c r="AA71" s="257"/>
      <c r="AC71" s="3" t="s">
        <v>176</v>
      </c>
      <c r="AD71" s="3" cm="1">
        <f t="array" ref="AD71">angleConvert2Decimal(O70)*AD70</f>
        <v>180.03333333333333</v>
      </c>
    </row>
    <row r="72" spans="1:66" ht="17.25" customHeight="1" thickTop="1" thickBot="1">
      <c r="C72" s="881"/>
      <c r="D72" s="470" t="e" cm="1">
        <f t="array" ref="D72">angleDecimal2Txt(D70)</f>
        <v>#VALUE!</v>
      </c>
      <c r="E72" s="470"/>
      <c r="F72" s="470"/>
      <c r="G72" s="470"/>
      <c r="H72" s="470"/>
      <c r="I72" s="652"/>
      <c r="J72" s="652"/>
      <c r="K72" s="653" t="str" cm="1">
        <f t="array" ref="K72">heureDecimal2Txt(K70)</f>
        <v>00:00:00.00(00.0000)</v>
      </c>
      <c r="L72" s="653"/>
      <c r="M72" s="654"/>
      <c r="N72" s="565" t="str" cm="1">
        <f t="array" ref="N72">angleDecimal2Txt(AD71)</f>
        <v>+180°02.00 (+180.0333) [+180°02'00.00]</v>
      </c>
      <c r="O72" s="472"/>
      <c r="P72" s="472"/>
      <c r="Q72" s="472"/>
      <c r="R72" s="472"/>
      <c r="S72" s="565" t="str" cm="1">
        <f t="array" ref="S72">angleDecimal2Txt(AD73)</f>
        <v>+14°59.87 (+14.9979) [+14°59'52.79]</v>
      </c>
      <c r="T72" s="723"/>
      <c r="U72" s="723"/>
      <c r="V72" s="723"/>
      <c r="W72" s="723"/>
      <c r="Z72" s="257"/>
      <c r="AC72" s="3" t="s">
        <v>177</v>
      </c>
      <c r="AD72" s="3">
        <f>VLOOKUP(S70,Outils!$D$9:$E$10,2)</f>
        <v>1</v>
      </c>
    </row>
    <row r="73" spans="1:66" ht="17.25" customHeight="1" thickTop="1">
      <c r="A73" s="264" t="s">
        <v>527</v>
      </c>
      <c r="F73" s="246"/>
      <c r="G73" s="246"/>
      <c r="Z73" s="257"/>
      <c r="AC73" s="3" t="s">
        <v>178</v>
      </c>
      <c r="AD73" s="3" cm="1">
        <f t="array" ref="AD73">angleConvert2Decimal(T70)*AD72</f>
        <v>14.997999999999999</v>
      </c>
    </row>
    <row r="74" spans="1:66" ht="17.25" customHeight="1">
      <c r="C74" s="655" t="s">
        <v>610</v>
      </c>
      <c r="D74" s="656" t="s">
        <v>401</v>
      </c>
      <c r="E74" s="656"/>
      <c r="F74" s="656"/>
      <c r="G74" s="656"/>
      <c r="H74" s="656"/>
      <c r="I74" s="510" t="s">
        <v>546</v>
      </c>
      <c r="J74" s="510"/>
      <c r="K74" s="510"/>
      <c r="L74" s="510"/>
      <c r="M74" s="510"/>
      <c r="AC74" s="3" t="s">
        <v>268</v>
      </c>
      <c r="AD74" s="3">
        <f>IF(AF74&gt;360,AF74-360,AF74)</f>
        <v>49.977669999999989</v>
      </c>
      <c r="AE74" s="3" t="s">
        <v>37</v>
      </c>
      <c r="AF74" s="3">
        <f>MOD(AD71+AD73*(I70-K70),360)</f>
        <v>49.977669999999989</v>
      </c>
    </row>
    <row r="75" spans="1:66" ht="17.25" customHeight="1">
      <c r="C75" s="655"/>
      <c r="D75" s="656"/>
      <c r="E75" s="656"/>
      <c r="F75" s="656"/>
      <c r="G75" s="656"/>
      <c r="H75" s="656"/>
      <c r="I75" s="510"/>
      <c r="J75" s="510"/>
      <c r="K75" s="510"/>
      <c r="L75" s="510"/>
      <c r="M75" s="510"/>
      <c r="S75" s="257"/>
      <c r="T75" s="257"/>
      <c r="U75" s="257"/>
      <c r="V75" s="257"/>
      <c r="W75" s="257"/>
      <c r="X75" s="257"/>
      <c r="AC75" s="3"/>
      <c r="AD75" s="3"/>
    </row>
    <row r="76" spans="1:66" ht="17.25" customHeight="1">
      <c r="C76" s="655"/>
      <c r="D76" s="879" t="str">
        <f>IF(G60=AD59,AD77,"---")</f>
        <v>---</v>
      </c>
      <c r="E76" s="879"/>
      <c r="F76" s="879"/>
      <c r="G76" s="879"/>
      <c r="H76" s="879"/>
      <c r="I76" s="652" t="s">
        <v>5</v>
      </c>
      <c r="J76" s="646" t="s">
        <v>607</v>
      </c>
      <c r="K76" s="646"/>
      <c r="L76" s="646"/>
      <c r="M76" s="646"/>
      <c r="S76" s="343"/>
      <c r="T76" s="343"/>
      <c r="U76" s="343"/>
      <c r="V76" s="343"/>
      <c r="W76" s="343"/>
      <c r="X76" s="343"/>
      <c r="AC76" s="3" t="s">
        <v>175</v>
      </c>
      <c r="AD76" s="3">
        <f>VLOOKUP(I76,Outils!$D$9:$E$10,2)</f>
        <v>1</v>
      </c>
    </row>
    <row r="77" spans="1:66" ht="17.25" customHeight="1" thickBot="1">
      <c r="C77" s="655"/>
      <c r="D77" s="879"/>
      <c r="E77" s="879"/>
      <c r="F77" s="879"/>
      <c r="G77" s="879"/>
      <c r="H77" s="879"/>
      <c r="I77" s="652"/>
      <c r="J77" s="646"/>
      <c r="K77" s="646"/>
      <c r="L77" s="646"/>
      <c r="M77" s="646"/>
      <c r="S77" s="343"/>
      <c r="T77" s="343"/>
      <c r="U77" s="343"/>
      <c r="V77" s="343"/>
      <c r="W77" s="343"/>
      <c r="X77" s="343"/>
      <c r="AC77" s="3" t="s">
        <v>176</v>
      </c>
      <c r="AD77" s="3" cm="1">
        <f t="array" ref="AD77">angleConvert2Decimal(J76)*AD76</f>
        <v>306.29816666666665</v>
      </c>
    </row>
    <row r="78" spans="1:66" ht="17.25" customHeight="1" thickTop="1" thickBot="1">
      <c r="C78" s="655"/>
      <c r="D78" s="470" t="str" cm="1">
        <f t="array" ref="D78">angleDecimal2Txt(AD77)</f>
        <v>+306°17.88 (+306.2981) [+306°17'53.39]</v>
      </c>
      <c r="E78" s="470"/>
      <c r="F78" s="470"/>
      <c r="G78" s="470"/>
      <c r="H78" s="470"/>
      <c r="I78"/>
      <c r="J78"/>
      <c r="K78"/>
      <c r="L78"/>
      <c r="M78"/>
      <c r="S78" s="343"/>
      <c r="T78" s="343"/>
      <c r="U78" s="343"/>
      <c r="V78" s="343"/>
      <c r="W78" s="343"/>
      <c r="X78" s="343"/>
      <c r="AC78" s="3"/>
      <c r="AD78" s="3"/>
    </row>
    <row r="79" spans="1:66" ht="17.25" customHeight="1" thickTop="1" thickBot="1">
      <c r="C79"/>
      <c r="D79"/>
      <c r="E79"/>
      <c r="F79" s="246"/>
      <c r="G79" s="246"/>
      <c r="I79"/>
      <c r="J79"/>
      <c r="K79"/>
      <c r="L79"/>
      <c r="M79"/>
      <c r="S79" s="343"/>
      <c r="T79" s="343"/>
      <c r="U79" s="343"/>
      <c r="V79" s="343"/>
      <c r="W79" s="343"/>
      <c r="X79" s="343"/>
    </row>
    <row r="80" spans="1:66" s="257" customFormat="1" ht="17.25" customHeight="1" thickBot="1">
      <c r="A80" s="246"/>
      <c r="B80" s="250" t="s">
        <v>43</v>
      </c>
      <c r="C80" s="258"/>
      <c r="D80" s="258"/>
      <c r="E80" s="258"/>
      <c r="F80" s="534">
        <f>I81</f>
        <v>50.988938888888896</v>
      </c>
      <c r="G80" s="534"/>
      <c r="H80" s="534"/>
      <c r="I80" s="251"/>
      <c r="J80" s="736" t="s">
        <v>55</v>
      </c>
      <c r="K80" s="736"/>
      <c r="L80" s="736"/>
      <c r="M80" s="503" t="str">
        <f>J22</f>
        <v>Soleil</v>
      </c>
      <c r="N80" s="503"/>
      <c r="O80" s="503"/>
      <c r="P80" s="251"/>
      <c r="Q80" s="251"/>
      <c r="R80" s="251"/>
      <c r="S80" s="251"/>
      <c r="T80" s="251"/>
      <c r="U80" s="251"/>
      <c r="V80" s="251"/>
      <c r="W80" s="251"/>
      <c r="X80" s="251"/>
      <c r="Y80" s="251"/>
      <c r="Z80" s="251"/>
      <c r="AA80" s="251"/>
      <c r="AB80" s="64"/>
      <c r="AC80" s="247"/>
      <c r="AD80" s="247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61"/>
    </row>
    <row r="81" spans="1:30" ht="17.25" customHeight="1" thickTop="1" thickBot="1">
      <c r="C81" s="716" t="s">
        <v>21</v>
      </c>
      <c r="D81" s="716"/>
      <c r="E81" s="716"/>
      <c r="F81" s="716"/>
      <c r="G81" s="716"/>
      <c r="H81" s="716"/>
      <c r="I81" s="865">
        <f>AD82</f>
        <v>50.988938888888896</v>
      </c>
      <c r="J81" s="865"/>
      <c r="K81" s="865"/>
      <c r="L81" s="866"/>
      <c r="M81" s="265" t="s">
        <v>45</v>
      </c>
      <c r="N81" s="527">
        <f>AD81</f>
        <v>50.988938888888896</v>
      </c>
      <c r="O81" s="527"/>
      <c r="P81" s="527"/>
      <c r="Q81" s="527"/>
      <c r="R81" s="804" t="str" cm="1">
        <f t="array" ref="R81">angleDecimal2Txt(AD82)</f>
        <v>+50°59.33 (+50.9889) [+50°59'20.18]</v>
      </c>
      <c r="S81" s="862"/>
      <c r="T81" s="862"/>
      <c r="U81" s="862"/>
      <c r="V81" s="862"/>
      <c r="W81" s="863"/>
      <c r="AC81" s="3" t="s">
        <v>181</v>
      </c>
      <c r="AD81" s="5">
        <f>F59+G34</f>
        <v>50.988938888888896</v>
      </c>
    </row>
    <row r="82" spans="1:30" ht="17.25" customHeight="1" thickTop="1">
      <c r="A82" s="257"/>
      <c r="C82" s="257"/>
      <c r="D82" s="257"/>
      <c r="E82" s="257"/>
      <c r="F82" s="257"/>
      <c r="G82" s="257"/>
      <c r="H82" s="257"/>
      <c r="AB82" s="66"/>
      <c r="AC82" s="3" t="s">
        <v>182</v>
      </c>
      <c r="AD82" s="5" cm="1">
        <f t="array" ref="AD82">astroModuloEnDegre(AD81)</f>
        <v>50.988938888888896</v>
      </c>
    </row>
    <row r="83" spans="1:30" ht="17.25" customHeight="1" thickBot="1">
      <c r="B83" s="257"/>
      <c r="C83" s="246"/>
      <c r="D83" s="246"/>
      <c r="E83" s="246"/>
      <c r="F83" s="246"/>
      <c r="G83" s="246"/>
      <c r="AA83" s="257"/>
    </row>
    <row r="84" spans="1:30" ht="17.25" customHeight="1" thickBot="1">
      <c r="B84" s="250" t="s">
        <v>23</v>
      </c>
      <c r="C84" s="251"/>
      <c r="D84" s="704" t="s">
        <v>72</v>
      </c>
      <c r="E84" s="705"/>
      <c r="F84" s="554">
        <f>IF(G85=AD85,O122,O112)</f>
        <v>27.8894026573509</v>
      </c>
      <c r="G84" s="554"/>
      <c r="H84" s="554"/>
      <c r="I84" s="251"/>
      <c r="J84" s="251"/>
      <c r="K84" s="251"/>
      <c r="L84" s="251" t="s">
        <v>60</v>
      </c>
      <c r="M84" s="704">
        <f>O87</f>
        <v>27.45</v>
      </c>
      <c r="N84" s="704"/>
      <c r="O84" s="251"/>
      <c r="P84" s="266"/>
      <c r="Q84" s="251" t="s">
        <v>95</v>
      </c>
      <c r="R84" s="251"/>
      <c r="S84" s="725">
        <f>-O99+O94+O103</f>
        <v>0.23940265735090258</v>
      </c>
      <c r="T84" s="726"/>
      <c r="U84" s="727"/>
      <c r="V84" s="728" t="str" cm="1">
        <f t="array" ref="V84">angleDecimal2Txt(S84)</f>
        <v>+00°14.36 (+00.2394) [+00°14'21.84]</v>
      </c>
      <c r="W84" s="728"/>
      <c r="X84" s="728"/>
      <c r="Y84" s="728"/>
      <c r="Z84" s="728"/>
      <c r="AA84" s="251"/>
      <c r="AB84" s="64"/>
    </row>
    <row r="85" spans="1:30" ht="17.25" customHeight="1">
      <c r="C85" s="532" t="s">
        <v>35</v>
      </c>
      <c r="D85" s="532"/>
      <c r="E85" s="532"/>
      <c r="F85" s="532"/>
      <c r="G85" s="611" t="s">
        <v>51</v>
      </c>
      <c r="H85" s="611"/>
      <c r="I85" s="611"/>
      <c r="P85" s="246" t="s">
        <v>69</v>
      </c>
      <c r="V85" s="257"/>
      <c r="W85" s="257"/>
      <c r="X85" s="257"/>
      <c r="Y85" s="257"/>
      <c r="Z85" s="257"/>
      <c r="AC85" s="715" t="s">
        <v>36</v>
      </c>
      <c r="AD85" s="263" t="s">
        <v>50</v>
      </c>
    </row>
    <row r="86" spans="1:30" ht="17.25" customHeight="1" thickBot="1">
      <c r="C86" s="262"/>
      <c r="D86" s="262"/>
      <c r="E86" s="262"/>
      <c r="F86" s="779" t="s">
        <v>62</v>
      </c>
      <c r="G86" s="779"/>
      <c r="H86" s="810"/>
      <c r="I86" s="810"/>
      <c r="J86" s="724">
        <f>IF(G85=AD85,"---",O112)</f>
        <v>27.8894026573509</v>
      </c>
      <c r="K86" s="724"/>
      <c r="L86" s="724"/>
      <c r="M86" s="267"/>
      <c r="N86" s="267"/>
      <c r="O86" s="267"/>
      <c r="P86" s="267"/>
      <c r="Q86" s="267"/>
      <c r="R86" s="267"/>
      <c r="S86" s="267"/>
      <c r="T86" s="267"/>
      <c r="U86" s="267"/>
      <c r="V86" s="268"/>
      <c r="W86" s="268"/>
      <c r="X86" s="268"/>
      <c r="Y86" s="268"/>
      <c r="Z86" s="268"/>
      <c r="AC86" s="715"/>
      <c r="AD86" s="263" t="s">
        <v>51</v>
      </c>
    </row>
    <row r="87" spans="1:30" ht="17.25" customHeight="1" thickTop="1" thickBot="1">
      <c r="C87" s="246"/>
      <c r="D87" s="246"/>
      <c r="E87" s="246"/>
      <c r="F87" s="246"/>
      <c r="G87" s="246"/>
      <c r="H87" s="541" t="s">
        <v>47</v>
      </c>
      <c r="I87" s="542"/>
      <c r="J87" s="542"/>
      <c r="K87" s="542"/>
      <c r="L87" s="542"/>
      <c r="M87" s="542"/>
      <c r="N87" s="543"/>
      <c r="O87" s="525">
        <f>J21</f>
        <v>27.45</v>
      </c>
      <c r="P87" s="525"/>
      <c r="Q87" s="525"/>
      <c r="R87" s="525"/>
      <c r="S87" s="246" t="s">
        <v>54</v>
      </c>
      <c r="U87" s="472" t="str" cm="1">
        <f t="array" ref="U87">angleDecimal2Txt(O87)</f>
        <v>+27°27.00 (+27.4499) [+27°27'00.00]</v>
      </c>
      <c r="V87" s="472"/>
      <c r="W87" s="472"/>
      <c r="X87" s="472"/>
      <c r="Y87" s="472"/>
      <c r="Z87" s="472"/>
    </row>
    <row r="88" spans="1:30" ht="17.25" customHeight="1" thickTop="1" thickBot="1">
      <c r="C88" s="246"/>
      <c r="D88" s="246"/>
      <c r="E88" s="246"/>
      <c r="F88" s="246"/>
      <c r="G88" s="246"/>
      <c r="H88" s="541" t="s">
        <v>24</v>
      </c>
      <c r="I88" s="542"/>
      <c r="J88" s="542"/>
      <c r="K88" s="542"/>
      <c r="L88" s="542"/>
      <c r="M88" s="542"/>
      <c r="N88" s="543"/>
      <c r="O88" s="525">
        <f>J20</f>
        <v>-0.2</v>
      </c>
      <c r="P88" s="525"/>
      <c r="Q88" s="525"/>
      <c r="R88" s="525"/>
      <c r="S88" s="246" t="s">
        <v>54</v>
      </c>
      <c r="U88" s="472" t="str" cm="1">
        <f t="array" ref="U88">angleDecimal2Txt(O88)</f>
        <v>-00°12.00 (-00.2000) [-00°12'00.00]</v>
      </c>
      <c r="V88" s="472"/>
      <c r="W88" s="472"/>
      <c r="X88" s="472"/>
      <c r="Y88" s="472"/>
      <c r="Z88" s="472"/>
      <c r="AC88" s="3" t="s">
        <v>59</v>
      </c>
      <c r="AD88" s="5">
        <f>O88</f>
        <v>-0.2</v>
      </c>
    </row>
    <row r="89" spans="1:30" ht="17.25" customHeight="1" thickTop="1" thickBot="1">
      <c r="G89" s="246"/>
      <c r="H89" s="541" t="s">
        <v>68</v>
      </c>
      <c r="I89" s="542"/>
      <c r="J89" s="542"/>
      <c r="K89" s="542"/>
      <c r="L89" s="542"/>
      <c r="M89" s="542"/>
      <c r="N89" s="543"/>
      <c r="O89" s="651">
        <f>AD90</f>
        <v>0</v>
      </c>
      <c r="P89" s="651"/>
      <c r="Q89" s="651"/>
      <c r="R89" s="651"/>
      <c r="S89" s="246" t="s">
        <v>54</v>
      </c>
      <c r="U89" s="472" t="str" cm="1">
        <f t="array" ref="U89">angleDecimal2Txt(O89)</f>
        <v>+00°00.00 (+00.0000) [+00°00'00.00]</v>
      </c>
      <c r="V89" s="472"/>
      <c r="W89" s="472"/>
      <c r="X89" s="472"/>
      <c r="Y89" s="472"/>
      <c r="Z89" s="472"/>
      <c r="AC89" s="3" t="s">
        <v>46</v>
      </c>
      <c r="AD89" s="3">
        <f>J19</f>
        <v>0</v>
      </c>
    </row>
    <row r="90" spans="1:30" ht="17.25" customHeight="1" thickTop="1" thickBot="1">
      <c r="K90" s="257"/>
      <c r="L90" s="257"/>
      <c r="M90" s="709" t="s">
        <v>113</v>
      </c>
      <c r="N90" s="710"/>
      <c r="O90" s="710"/>
      <c r="P90" s="711"/>
      <c r="Q90" s="257"/>
      <c r="R90" s="257"/>
      <c r="U90" s="257"/>
      <c r="V90" s="257"/>
      <c r="W90" s="257"/>
      <c r="X90" s="257"/>
      <c r="Y90" s="257"/>
      <c r="Z90" s="257"/>
      <c r="AC90" s="72" t="s">
        <v>67</v>
      </c>
      <c r="AD90" s="3">
        <f>0.0293 * SQRT(AD89)</f>
        <v>0</v>
      </c>
    </row>
    <row r="91" spans="1:30" ht="17.25" customHeight="1" thickTop="1" thickBot="1">
      <c r="G91" s="246"/>
      <c r="H91" s="516" t="s">
        <v>392</v>
      </c>
      <c r="I91" s="517"/>
      <c r="J91" s="517"/>
      <c r="K91" s="517"/>
      <c r="L91" s="517"/>
      <c r="M91" s="517"/>
      <c r="N91" s="518"/>
      <c r="O91" s="528">
        <f>O87-O88-O89</f>
        <v>27.65</v>
      </c>
      <c r="P91" s="529"/>
      <c r="Q91" s="246" t="s">
        <v>54</v>
      </c>
      <c r="R91" s="742">
        <f>O91*Outils!F4</f>
        <v>0.48258353817643207</v>
      </c>
      <c r="S91" s="742"/>
      <c r="T91" s="37" t="s">
        <v>64</v>
      </c>
      <c r="U91" s="472" t="str" cm="1">
        <f t="array" ref="U91">angleDecimal2Txt(O91)</f>
        <v>+27°39.00 (+27.6499) [+27°39'00.00]</v>
      </c>
      <c r="V91" s="472"/>
      <c r="W91" s="472"/>
      <c r="X91" s="472"/>
      <c r="Y91" s="472"/>
      <c r="Z91" s="472"/>
    </row>
    <row r="92" spans="1:30" ht="17.25" customHeight="1" thickTop="1" thickBot="1">
      <c r="C92" s="246"/>
      <c r="D92" s="246"/>
      <c r="E92" s="246"/>
      <c r="F92" s="246"/>
      <c r="G92" s="246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U92" s="257"/>
      <c r="V92" s="257"/>
      <c r="W92" s="257"/>
      <c r="X92" s="257"/>
      <c r="Y92" s="257"/>
      <c r="Z92" s="257"/>
    </row>
    <row r="93" spans="1:30" ht="17.25" customHeight="1" thickTop="1" thickBot="1">
      <c r="A93" s="257"/>
      <c r="B93" s="257"/>
      <c r="C93" s="257"/>
      <c r="D93" s="257"/>
      <c r="E93" s="257"/>
      <c r="F93" s="246"/>
      <c r="G93" s="246"/>
      <c r="H93" s="519" t="s">
        <v>52</v>
      </c>
      <c r="I93" s="520"/>
      <c r="J93" s="520"/>
      <c r="K93" s="520"/>
      <c r="L93" s="520"/>
      <c r="M93" s="520"/>
      <c r="N93" s="521"/>
      <c r="O93" s="530">
        <f>J24</f>
        <v>2.8833333333333302E-3</v>
      </c>
      <c r="P93" s="531"/>
      <c r="Q93" s="531"/>
      <c r="R93" s="531"/>
      <c r="S93" s="246" t="s">
        <v>54</v>
      </c>
      <c r="U93" s="472" t="str" cm="1">
        <f t="array" ref="U93">angleDecimal2Txt(O93)</f>
        <v>+00°00.17 (+00.0028) [+00°00'10.37]</v>
      </c>
      <c r="V93" s="472"/>
      <c r="W93" s="472"/>
      <c r="X93" s="472"/>
      <c r="Y93" s="472"/>
      <c r="Z93" s="472"/>
      <c r="AC93" s="3" t="s">
        <v>183</v>
      </c>
      <c r="AD93" s="3">
        <f>O93*COS(R91)</f>
        <v>2.5540536096990787E-3</v>
      </c>
    </row>
    <row r="94" spans="1:30" ht="17.25" customHeight="1" thickTop="1" thickBot="1">
      <c r="A94" s="257"/>
      <c r="B94" s="257"/>
      <c r="C94" s="257"/>
      <c r="D94" s="257"/>
      <c r="E94" s="257"/>
      <c r="F94" s="246"/>
      <c r="G94" s="246"/>
      <c r="H94" s="714" t="s">
        <v>140</v>
      </c>
      <c r="I94" s="517"/>
      <c r="J94" s="517"/>
      <c r="K94" s="517"/>
      <c r="L94" s="517"/>
      <c r="M94" s="517"/>
      <c r="N94" s="518"/>
      <c r="O94" s="496">
        <f>AD93</f>
        <v>2.5540536096990787E-3</v>
      </c>
      <c r="P94" s="496"/>
      <c r="Q94" s="496"/>
      <c r="R94" s="496"/>
      <c r="S94" s="246" t="s">
        <v>54</v>
      </c>
      <c r="U94" s="472" t="str" cm="1">
        <f t="array" ref="U94">angleDecimal2Txt(O94)</f>
        <v>+00°00.15 (+00.0025) [+00°00'09.19]</v>
      </c>
      <c r="V94" s="472"/>
      <c r="W94" s="472"/>
      <c r="X94" s="472"/>
      <c r="Y94" s="472"/>
      <c r="Z94" s="472"/>
    </row>
    <row r="95" spans="1:30" ht="17.25" customHeight="1" thickTop="1">
      <c r="A95" s="257"/>
      <c r="B95" s="257"/>
      <c r="C95" s="257"/>
      <c r="D95" s="257"/>
      <c r="E95" s="257"/>
      <c r="F95" s="246"/>
      <c r="G95" s="246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</row>
    <row r="96" spans="1:30" ht="17.25" customHeight="1">
      <c r="A96" s="257"/>
      <c r="B96" s="257"/>
      <c r="C96" s="257"/>
      <c r="D96" s="257"/>
      <c r="F96" s="246"/>
      <c r="G96" s="246"/>
      <c r="H96" s="257"/>
      <c r="I96" s="257"/>
      <c r="J96" s="257"/>
      <c r="K96" s="257"/>
      <c r="L96" s="257"/>
      <c r="M96" s="257"/>
      <c r="N96" s="257"/>
      <c r="O96" s="257"/>
      <c r="S96" s="566" t="s">
        <v>126</v>
      </c>
      <c r="T96" s="567"/>
      <c r="U96" s="568"/>
      <c r="Y96" s="257"/>
      <c r="Z96" s="257"/>
      <c r="AC96" s="3" t="s">
        <v>49</v>
      </c>
      <c r="AD96" s="3" t="s">
        <v>185</v>
      </c>
    </row>
    <row r="97" spans="1:31" ht="17.25" customHeight="1">
      <c r="A97" s="257"/>
      <c r="B97" s="257"/>
      <c r="C97" s="257"/>
      <c r="D97" s="257"/>
      <c r="F97" s="246"/>
      <c r="G97" s="246"/>
      <c r="H97" s="519" t="s">
        <v>65</v>
      </c>
      <c r="I97" s="520"/>
      <c r="J97" s="520"/>
      <c r="K97" s="520"/>
      <c r="L97" s="520"/>
      <c r="M97" s="520"/>
      <c r="N97" s="521"/>
      <c r="O97" s="712">
        <f>S97</f>
        <v>10</v>
      </c>
      <c r="P97" s="713"/>
      <c r="Q97" s="713"/>
      <c r="R97" s="713"/>
      <c r="S97" s="706">
        <v>10</v>
      </c>
      <c r="T97" s="707"/>
      <c r="U97" s="708"/>
      <c r="Y97" s="257"/>
      <c r="Z97" s="257"/>
      <c r="AC97" s="3" t="s">
        <v>186</v>
      </c>
      <c r="AD97" s="3">
        <f>1/TAN((O91 + 7.31 / (O91 + 4.4)) * Outils!F4)</f>
        <v>1.8904197712318409</v>
      </c>
    </row>
    <row r="98" spans="1:31" ht="17.25" customHeight="1" thickBot="1">
      <c r="A98" s="257"/>
      <c r="B98" s="257"/>
      <c r="C98" s="257"/>
      <c r="D98" s="257"/>
      <c r="E98" s="257"/>
      <c r="F98" s="246"/>
      <c r="G98" s="246"/>
      <c r="H98" s="519" t="s">
        <v>66</v>
      </c>
      <c r="I98" s="520"/>
      <c r="J98" s="520"/>
      <c r="K98" s="520"/>
      <c r="L98" s="520"/>
      <c r="M98" s="520"/>
      <c r="N98" s="521"/>
      <c r="O98" s="712">
        <f>S98</f>
        <v>1010</v>
      </c>
      <c r="P98" s="713"/>
      <c r="Q98" s="713"/>
      <c r="R98" s="713"/>
      <c r="S98" s="706">
        <v>1010</v>
      </c>
      <c r="T98" s="707"/>
      <c r="U98" s="708"/>
      <c r="Y98" s="257"/>
      <c r="Z98" s="257"/>
      <c r="AC98" s="3" t="s">
        <v>187</v>
      </c>
      <c r="AD98" s="3">
        <f>AD97/60</f>
        <v>3.150699618719735E-2</v>
      </c>
    </row>
    <row r="99" spans="1:31" ht="17.25" customHeight="1" thickTop="1" thickBot="1">
      <c r="A99" s="257"/>
      <c r="B99" s="257"/>
      <c r="C99" s="257"/>
      <c r="D99" s="257"/>
      <c r="E99" s="257"/>
      <c r="F99" s="246"/>
      <c r="G99" s="246"/>
      <c r="H99" s="714" t="s">
        <v>141</v>
      </c>
      <c r="I99" s="517"/>
      <c r="J99" s="517"/>
      <c r="K99" s="517"/>
      <c r="L99" s="517"/>
      <c r="M99" s="517"/>
      <c r="N99" s="518"/>
      <c r="O99" s="496">
        <f>AD100</f>
        <v>3.1484729758796508E-2</v>
      </c>
      <c r="P99" s="496"/>
      <c r="Q99" s="496"/>
      <c r="R99" s="496"/>
      <c r="S99" s="246" t="s">
        <v>54</v>
      </c>
      <c r="U99" s="472" t="str" cm="1">
        <f t="array" ref="U99">angleDecimal2Txt(O99)</f>
        <v>+00°01.88 (+00.0314) [+00°01'53.34]</v>
      </c>
      <c r="V99" s="472"/>
      <c r="W99" s="472"/>
      <c r="X99" s="472"/>
      <c r="Y99" s="472"/>
      <c r="Z99" s="472"/>
      <c r="AC99" s="3" t="s">
        <v>96</v>
      </c>
      <c r="AD99" s="3">
        <f xml:space="preserve"> 0.28 * O98 / (273 + O97)</f>
        <v>0.99929328621908131</v>
      </c>
    </row>
    <row r="100" spans="1:31" ht="17.25" customHeight="1" thickTop="1">
      <c r="A100" s="257"/>
      <c r="B100" s="257"/>
      <c r="C100" s="257"/>
      <c r="D100" s="257"/>
      <c r="E100" s="257"/>
      <c r="F100" s="246"/>
      <c r="G100" s="246"/>
      <c r="H100" s="257"/>
      <c r="I100" s="257"/>
      <c r="J100" s="257"/>
      <c r="K100" s="257"/>
      <c r="L100" s="257"/>
      <c r="M100" s="257"/>
      <c r="N100" s="257"/>
      <c r="O100" s="257"/>
      <c r="Y100" s="257"/>
      <c r="Z100" s="257"/>
      <c r="AC100" s="3" t="s">
        <v>184</v>
      </c>
      <c r="AD100" s="3">
        <f>AD99*AD98</f>
        <v>3.1484729758796508E-2</v>
      </c>
    </row>
    <row r="101" spans="1:31" ht="17.25" customHeight="1">
      <c r="A101" s="257"/>
      <c r="B101" s="257"/>
      <c r="C101" s="257"/>
      <c r="D101" s="257"/>
      <c r="E101" s="257"/>
      <c r="F101" s="246"/>
      <c r="G101" s="246"/>
      <c r="H101" s="519" t="s">
        <v>100</v>
      </c>
      <c r="I101" s="520"/>
      <c r="J101" s="520"/>
      <c r="K101" s="520"/>
      <c r="L101" s="520"/>
      <c r="M101" s="520"/>
      <c r="N101" s="521"/>
      <c r="O101" s="745">
        <f>J27</f>
        <v>0.53666666699999999</v>
      </c>
      <c r="P101" s="745"/>
      <c r="Q101" s="745"/>
      <c r="R101" s="745"/>
    </row>
    <row r="102" spans="1:31" ht="17.25" customHeight="1" thickBot="1">
      <c r="B102" s="257"/>
      <c r="C102" s="257"/>
      <c r="D102" s="257"/>
      <c r="H102" s="519" t="s">
        <v>70</v>
      </c>
      <c r="I102" s="520"/>
      <c r="J102" s="520"/>
      <c r="K102" s="520"/>
      <c r="L102" s="520"/>
      <c r="M102" s="520"/>
      <c r="N102" s="521"/>
      <c r="O102" s="745" t="str">
        <f>J23</f>
        <v>BordInf</v>
      </c>
      <c r="P102" s="745"/>
      <c r="Q102" s="745"/>
      <c r="R102" s="745"/>
      <c r="AC102" s="3" t="s">
        <v>30</v>
      </c>
      <c r="AD102" s="469" t="str">
        <f>J22</f>
        <v>Soleil</v>
      </c>
      <c r="AE102" s="469"/>
    </row>
    <row r="103" spans="1:31" ht="17.25" customHeight="1" thickTop="1" thickBot="1">
      <c r="H103" s="714" t="s">
        <v>71</v>
      </c>
      <c r="I103" s="517"/>
      <c r="J103" s="517"/>
      <c r="K103" s="517"/>
      <c r="L103" s="517"/>
      <c r="M103" s="517"/>
      <c r="N103" s="518"/>
      <c r="O103" s="527">
        <f>AD104</f>
        <v>0.26833333349999999</v>
      </c>
      <c r="P103" s="527"/>
      <c r="Q103" s="527"/>
      <c r="R103" s="527"/>
      <c r="S103" s="246" t="s">
        <v>54</v>
      </c>
      <c r="U103" s="472" t="str" cm="1">
        <f t="array" ref="U103">angleDecimal2Txt(O103)</f>
        <v>+00°16.10 (+00.2683) [+00°16'06.00]</v>
      </c>
      <c r="V103" s="472"/>
      <c r="W103" s="472"/>
      <c r="X103" s="472"/>
      <c r="Y103" s="472"/>
      <c r="Z103" s="472"/>
      <c r="AC103" s="3" t="s">
        <v>190</v>
      </c>
      <c r="AD103" s="469" t="str">
        <f>O102</f>
        <v>BordInf</v>
      </c>
      <c r="AE103" s="469"/>
    </row>
    <row r="104" spans="1:31" ht="17.25" customHeight="1" thickTop="1"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C104" s="3" t="s">
        <v>191</v>
      </c>
      <c r="AD104" s="703" cm="1">
        <f t="array" ref="AD104">astroDiametreSoleilEnDegre(AA7,AD103)</f>
        <v>0.26833333349999999</v>
      </c>
      <c r="AE104" s="703"/>
    </row>
    <row r="105" spans="1:31" ht="17.25" customHeight="1">
      <c r="G105" s="793" t="s">
        <v>107</v>
      </c>
      <c r="H105" s="794"/>
      <c r="I105" s="794"/>
      <c r="J105" s="794"/>
      <c r="K105" s="794"/>
      <c r="L105" s="794"/>
      <c r="M105" s="794"/>
      <c r="N105" s="794"/>
      <c r="O105" s="794"/>
      <c r="P105" s="794"/>
      <c r="Q105" s="794"/>
      <c r="R105" s="794"/>
      <c r="S105" s="795"/>
      <c r="T105" s="257"/>
      <c r="U105" s="257"/>
      <c r="V105" s="257"/>
      <c r="W105" s="257"/>
      <c r="X105" s="257"/>
      <c r="Y105" s="257"/>
      <c r="Z105" s="257"/>
      <c r="AC105"/>
      <c r="AD105"/>
      <c r="AE105"/>
    </row>
    <row r="106" spans="1:31" ht="17.25" customHeight="1">
      <c r="G106" s="746" t="s">
        <v>115</v>
      </c>
      <c r="H106" s="747"/>
      <c r="I106" s="790" t="s">
        <v>110</v>
      </c>
      <c r="J106" s="791"/>
      <c r="K106" s="791"/>
      <c r="L106" s="791"/>
      <c r="M106" s="791"/>
      <c r="N106" s="792"/>
      <c r="O106" s="796">
        <f>(O94-O99-O89+O101/2) * 60</f>
        <v>14.364159441054154</v>
      </c>
      <c r="P106" s="788"/>
      <c r="Q106" s="788"/>
      <c r="R106" s="788"/>
      <c r="S106" s="743" t="s">
        <v>108</v>
      </c>
      <c r="T106" s="257"/>
      <c r="U106" s="257"/>
      <c r="V106" s="257"/>
      <c r="W106" s="257"/>
      <c r="X106" s="257"/>
      <c r="Y106" s="257"/>
      <c r="Z106" s="257"/>
    </row>
    <row r="107" spans="1:31" ht="17.25" customHeight="1">
      <c r="G107" s="748"/>
      <c r="H107" s="749"/>
      <c r="I107" s="801" t="s">
        <v>114</v>
      </c>
      <c r="J107" s="802"/>
      <c r="K107" s="802"/>
      <c r="L107" s="802"/>
      <c r="M107" s="802"/>
      <c r="N107" s="803"/>
      <c r="O107" s="797"/>
      <c r="P107" s="789"/>
      <c r="Q107" s="789"/>
      <c r="R107" s="789"/>
      <c r="S107" s="744"/>
      <c r="T107" s="257"/>
      <c r="U107" s="257"/>
      <c r="V107" s="257"/>
      <c r="W107" s="257"/>
      <c r="X107" s="257"/>
      <c r="Y107" s="257"/>
      <c r="Z107" s="257"/>
    </row>
    <row r="108" spans="1:31" ht="17.25" customHeight="1">
      <c r="H108" s="257"/>
      <c r="I108" s="790" t="s">
        <v>111</v>
      </c>
      <c r="J108" s="791"/>
      <c r="K108" s="791"/>
      <c r="L108" s="791"/>
      <c r="M108" s="791"/>
      <c r="N108" s="792"/>
      <c r="O108" s="788">
        <f>(O94-O99+O101/2)*60</f>
        <v>14.364159441054154</v>
      </c>
      <c r="P108" s="788"/>
      <c r="Q108" s="788"/>
      <c r="R108" s="788"/>
      <c r="S108" s="743" t="s">
        <v>108</v>
      </c>
      <c r="T108" s="257"/>
      <c r="U108" s="257"/>
      <c r="V108" s="257"/>
      <c r="W108" s="257"/>
      <c r="X108" s="257"/>
      <c r="Y108" s="257"/>
      <c r="Z108" s="257"/>
    </row>
    <row r="109" spans="1:31" ht="17.25" customHeight="1">
      <c r="H109" s="257"/>
      <c r="I109" s="801" t="s">
        <v>112</v>
      </c>
      <c r="J109" s="802"/>
      <c r="K109" s="802"/>
      <c r="L109" s="802"/>
      <c r="M109" s="802"/>
      <c r="N109" s="803"/>
      <c r="O109" s="789"/>
      <c r="P109" s="789"/>
      <c r="Q109" s="789"/>
      <c r="R109" s="789"/>
      <c r="S109" s="744"/>
      <c r="T109" s="257"/>
      <c r="U109" s="257"/>
      <c r="V109" s="257"/>
      <c r="W109" s="257"/>
      <c r="X109" s="257"/>
      <c r="Y109" s="257"/>
      <c r="Z109" s="257"/>
    </row>
    <row r="110" spans="1:31" ht="17.25" customHeight="1">
      <c r="H110" s="257"/>
      <c r="I110" s="522" t="s">
        <v>71</v>
      </c>
      <c r="J110" s="523"/>
      <c r="K110" s="523"/>
      <c r="L110" s="523"/>
      <c r="M110" s="523"/>
      <c r="N110" s="524"/>
      <c r="O110" s="780">
        <f>O103*60</f>
        <v>16.100000009999999</v>
      </c>
      <c r="P110" s="781"/>
      <c r="Q110" s="781"/>
      <c r="R110" s="781"/>
      <c r="S110" s="73" t="s">
        <v>108</v>
      </c>
      <c r="T110" s="257"/>
      <c r="U110" s="257"/>
      <c r="V110" s="257"/>
      <c r="W110" s="257"/>
      <c r="X110" s="257"/>
      <c r="Y110" s="257"/>
      <c r="Z110" s="257"/>
    </row>
    <row r="111" spans="1:31" ht="17.25" customHeight="1" thickBot="1">
      <c r="H111" s="257"/>
      <c r="I111" s="257"/>
      <c r="J111" s="257"/>
      <c r="K111" s="257"/>
      <c r="L111" s="257"/>
      <c r="M111" s="257"/>
      <c r="N111" s="257"/>
      <c r="O111" s="257"/>
      <c r="P111" s="257"/>
      <c r="Q111" s="257"/>
      <c r="R111" s="257"/>
    </row>
    <row r="112" spans="1:31" ht="17.25" customHeight="1" thickTop="1" thickBot="1">
      <c r="H112" s="798" t="s">
        <v>393</v>
      </c>
      <c r="I112" s="799"/>
      <c r="J112" s="799"/>
      <c r="K112" s="799"/>
      <c r="L112" s="799"/>
      <c r="M112" s="799"/>
      <c r="N112" s="800"/>
      <c r="O112" s="529">
        <f>O91-O99+O94+O103</f>
        <v>27.8894026573509</v>
      </c>
      <c r="P112" s="496"/>
      <c r="Q112" s="496"/>
      <c r="R112" s="496"/>
      <c r="S112" s="246" t="s">
        <v>54</v>
      </c>
      <c r="U112" s="472" t="str" cm="1">
        <f t="array" ref="U112">angleDecimal2Txt(O112)</f>
        <v>+27°53.36 (+27.8894) [+27°53'21.84]</v>
      </c>
      <c r="V112" s="472"/>
      <c r="W112" s="472"/>
      <c r="X112" s="472"/>
      <c r="Y112" s="472"/>
      <c r="Z112" s="472"/>
    </row>
    <row r="113" spans="2:31" ht="17.25" customHeight="1" thickTop="1"/>
    <row r="114" spans="2:31" ht="17.25" customHeight="1">
      <c r="F114" s="779" t="s">
        <v>63</v>
      </c>
      <c r="G114" s="779"/>
      <c r="H114" s="779"/>
      <c r="I114" s="779"/>
      <c r="J114" s="496" t="str">
        <f>IF(G85=AD85,O122,"---")</f>
        <v>---</v>
      </c>
      <c r="K114" s="496"/>
      <c r="L114" s="496"/>
      <c r="M114" s="267"/>
      <c r="N114" s="267"/>
      <c r="O114" s="267"/>
      <c r="P114" s="267"/>
      <c r="Q114" s="267"/>
      <c r="R114" s="267"/>
      <c r="S114" s="267"/>
      <c r="T114" s="267"/>
      <c r="U114" s="267"/>
      <c r="V114" s="267"/>
      <c r="W114" s="267"/>
      <c r="X114" s="267"/>
      <c r="Y114" s="267"/>
      <c r="Z114" s="267"/>
    </row>
    <row r="115" spans="2:31" ht="17.25" customHeight="1">
      <c r="F115" s="247"/>
      <c r="G115" s="247"/>
      <c r="H115" s="247"/>
      <c r="I115" s="247"/>
      <c r="J115" s="247"/>
      <c r="K115" s="247"/>
      <c r="L115" s="247"/>
    </row>
    <row r="116" spans="2:31" ht="17.25" customHeight="1">
      <c r="F116" s="247"/>
      <c r="G116" s="247"/>
      <c r="H116" s="247"/>
      <c r="I116" s="247"/>
      <c r="J116" s="247"/>
      <c r="K116" s="247"/>
      <c r="L116" s="247"/>
      <c r="T116" s="269" t="s">
        <v>82</v>
      </c>
      <c r="U116" s="491" t="s">
        <v>33</v>
      </c>
      <c r="V116" s="491"/>
    </row>
    <row r="117" spans="2:31" ht="17.25" customHeight="1">
      <c r="T117" s="270" t="s">
        <v>78</v>
      </c>
      <c r="U117" s="491" t="s">
        <v>80</v>
      </c>
      <c r="V117" s="491"/>
    </row>
    <row r="118" spans="2:31" ht="17.25" customHeight="1">
      <c r="H118" s="246" t="s">
        <v>72</v>
      </c>
      <c r="I118" s="271" t="s">
        <v>74</v>
      </c>
      <c r="J118" s="246" t="s">
        <v>60</v>
      </c>
      <c r="K118" s="493" t="s">
        <v>75</v>
      </c>
      <c r="L118" s="246" t="s">
        <v>59</v>
      </c>
      <c r="N118" s="493" t="s">
        <v>77</v>
      </c>
      <c r="O118" s="271" t="s">
        <v>231</v>
      </c>
      <c r="Q118" s="493" t="s">
        <v>77</v>
      </c>
      <c r="R118" s="246" t="s">
        <v>232</v>
      </c>
      <c r="T118" s="272" t="s">
        <v>79</v>
      </c>
      <c r="U118" s="492" t="s">
        <v>81</v>
      </c>
      <c r="V118" s="492"/>
      <c r="Z118" s="247"/>
      <c r="AA118" s="247"/>
    </row>
    <row r="119" spans="2:31" ht="17.25" customHeight="1" thickBot="1">
      <c r="I119" s="271"/>
      <c r="J119" s="42">
        <f>O87</f>
        <v>27.45</v>
      </c>
      <c r="K119" s="493"/>
      <c r="L119" s="782">
        <f>O88</f>
        <v>-0.2</v>
      </c>
      <c r="M119" s="783"/>
      <c r="N119" s="493"/>
      <c r="O119" s="786" t="s">
        <v>146</v>
      </c>
      <c r="P119" s="787"/>
      <c r="Q119" s="493"/>
      <c r="R119" s="102" t="s">
        <v>79</v>
      </c>
      <c r="V119" s="247"/>
      <c r="W119" s="247"/>
      <c r="X119" s="247"/>
      <c r="Y119" s="247"/>
      <c r="Z119" s="247"/>
      <c r="AA119" s="247"/>
    </row>
    <row r="120" spans="2:31" ht="17.25" customHeight="1" thickTop="1" thickBot="1">
      <c r="I120" s="271"/>
      <c r="J120" s="247"/>
      <c r="K120" s="271" t="s">
        <v>230</v>
      </c>
      <c r="L120" s="784" cm="1">
        <f t="array" ref="L120">angleConvert2Decimal(L119)</f>
        <v>-0.2</v>
      </c>
      <c r="M120" s="785"/>
      <c r="O120" s="740" cm="1">
        <f t="array" ref="O120">angleConvert2Decimal(O119)</f>
        <v>0.17166666666666669</v>
      </c>
      <c r="P120" s="741"/>
      <c r="Q120" s="255"/>
      <c r="R120" s="93" cm="1">
        <f t="array" ref="R120">angleConvert2Decimal(R119)</f>
        <v>-0.53333333333333333</v>
      </c>
      <c r="S120" s="247"/>
      <c r="T120" s="7" t="s">
        <v>103</v>
      </c>
      <c r="U120" s="7"/>
      <c r="V120" s="7">
        <f>R120+O120</f>
        <v>-0.36166666666666664</v>
      </c>
      <c r="W120" s="804" t="str" cm="1">
        <f t="array" ref="W120">angleDecimal2Txt(V120)</f>
        <v>-00°21.69 (-00.3616) [-00°21'42.00]</v>
      </c>
      <c r="X120" s="805"/>
      <c r="Y120" s="805"/>
      <c r="Z120" s="805"/>
      <c r="AA120" s="494"/>
    </row>
    <row r="121" spans="2:31" ht="17.25" customHeight="1" thickTop="1" thickBot="1">
      <c r="I121" s="271"/>
      <c r="K121" s="271"/>
      <c r="N121" s="271"/>
      <c r="Q121" s="271"/>
      <c r="R121" s="273"/>
    </row>
    <row r="122" spans="2:31" ht="17.25" customHeight="1" thickTop="1" thickBot="1">
      <c r="H122" s="798" t="s">
        <v>145</v>
      </c>
      <c r="I122" s="799"/>
      <c r="J122" s="799"/>
      <c r="K122" s="799"/>
      <c r="L122" s="799"/>
      <c r="M122" s="799"/>
      <c r="N122" s="800"/>
      <c r="O122" s="529">
        <f>J119-L120+O120+R120</f>
        <v>27.28833333333333</v>
      </c>
      <c r="P122" s="496"/>
      <c r="Q122" s="496"/>
      <c r="R122" s="496"/>
      <c r="S122" s="246" t="s">
        <v>54</v>
      </c>
      <c r="U122" s="472" t="str" cm="1">
        <f t="array" ref="U122">angleDecimal2Txt(O122)</f>
        <v>+27°17.29 (+27.2883) [+27°17'17.99]</v>
      </c>
      <c r="V122" s="472"/>
      <c r="W122" s="472"/>
      <c r="X122" s="472"/>
      <c r="Y122" s="472"/>
      <c r="Z122" s="472"/>
    </row>
    <row r="123" spans="2:31" ht="17.25" customHeight="1" thickTop="1" thickBot="1">
      <c r="D123" s="274"/>
      <c r="AC123"/>
      <c r="AD123"/>
      <c r="AE123"/>
    </row>
    <row r="124" spans="2:31" ht="17.25" customHeight="1" thickBot="1">
      <c r="B124" s="250" t="s">
        <v>44</v>
      </c>
      <c r="C124" s="251"/>
      <c r="D124" s="275"/>
      <c r="E124" s="251"/>
      <c r="F124" s="251"/>
      <c r="G124" s="251"/>
      <c r="H124" s="251"/>
      <c r="I124" s="251"/>
      <c r="J124" s="251"/>
      <c r="K124" s="251"/>
      <c r="L124" s="251"/>
      <c r="M124" s="251"/>
      <c r="N124" s="251"/>
      <c r="O124" s="251"/>
      <c r="P124" s="251"/>
      <c r="Q124" s="251"/>
      <c r="R124" s="251"/>
      <c r="S124" s="251"/>
      <c r="T124" s="251"/>
      <c r="U124" s="251"/>
      <c r="V124" s="251"/>
      <c r="W124" s="251"/>
      <c r="X124" s="251"/>
      <c r="Y124" s="251"/>
      <c r="Z124" s="251"/>
      <c r="AA124" s="251"/>
      <c r="AB124" s="62"/>
      <c r="AC124"/>
      <c r="AD124"/>
      <c r="AE124"/>
    </row>
    <row r="125" spans="2:31" ht="17.25" customHeight="1">
      <c r="C125" s="246"/>
      <c r="D125" s="246"/>
      <c r="E125" s="246"/>
      <c r="F125" s="246"/>
      <c r="G125" s="246"/>
      <c r="O125" s="632" t="s">
        <v>347</v>
      </c>
      <c r="P125" s="632"/>
      <c r="Q125" s="632"/>
      <c r="R125" s="632"/>
      <c r="S125" s="632"/>
      <c r="T125" s="632"/>
      <c r="U125" s="632"/>
      <c r="V125" s="632"/>
      <c r="W125" s="632"/>
      <c r="X125" s="632"/>
      <c r="Y125" s="632"/>
      <c r="Z125" s="632"/>
      <c r="AA125" s="632"/>
      <c r="AC125"/>
      <c r="AD125"/>
      <c r="AE125"/>
    </row>
    <row r="126" spans="2:31" ht="17.25" customHeight="1">
      <c r="C126" s="257"/>
      <c r="D126" s="257"/>
      <c r="E126" s="750" t="s">
        <v>22</v>
      </c>
      <c r="F126" s="751"/>
      <c r="G126" s="751"/>
      <c r="H126" s="751"/>
      <c r="I126" s="481" cm="1">
        <f t="array" ref="I126">astroCalculHc(Q127,Q126,Q128)</f>
        <v>27.767304808145969</v>
      </c>
      <c r="J126" s="482"/>
      <c r="K126" s="482"/>
      <c r="L126" s="482"/>
      <c r="M126" s="483"/>
      <c r="O126" s="525" t="s">
        <v>84</v>
      </c>
      <c r="P126" s="525"/>
      <c r="Q126" s="525">
        <f>F38</f>
        <v>4.0271944444444445</v>
      </c>
      <c r="R126" s="525"/>
      <c r="S126" s="525"/>
      <c r="T126" s="490" t="s">
        <v>54</v>
      </c>
      <c r="U126" s="575">
        <f>Q126*Outils!$F$4</f>
        <v>7.0287802673579425E-2</v>
      </c>
      <c r="V126" s="576"/>
      <c r="W126" s="631"/>
      <c r="X126" s="490" t="s">
        <v>64</v>
      </c>
      <c r="AC126"/>
      <c r="AD126"/>
      <c r="AE126"/>
    </row>
    <row r="127" spans="2:31" ht="17.25" customHeight="1" thickBot="1">
      <c r="C127" s="257"/>
      <c r="D127" s="257"/>
      <c r="E127" s="752"/>
      <c r="F127" s="753"/>
      <c r="G127" s="753"/>
      <c r="H127" s="753"/>
      <c r="I127" s="657"/>
      <c r="J127" s="658"/>
      <c r="K127" s="658"/>
      <c r="L127" s="658"/>
      <c r="M127" s="768"/>
      <c r="N127" s="276" t="s">
        <v>116</v>
      </c>
      <c r="O127" s="525" t="s">
        <v>85</v>
      </c>
      <c r="P127" s="525"/>
      <c r="Q127" s="525">
        <f>G32</f>
        <v>48.875500000000002</v>
      </c>
      <c r="R127" s="525"/>
      <c r="S127" s="525"/>
      <c r="T127" s="490"/>
      <c r="U127" s="575">
        <f>Q127*Outils!$F$4</f>
        <v>0.85303839855848862</v>
      </c>
      <c r="V127" s="576"/>
      <c r="W127" s="631"/>
      <c r="X127" s="490"/>
      <c r="AC127"/>
      <c r="AD127"/>
      <c r="AE127"/>
    </row>
    <row r="128" spans="2:31" ht="17.25" customHeight="1" thickTop="1" thickBot="1">
      <c r="C128" s="257"/>
      <c r="D128" s="257"/>
      <c r="E128" s="754"/>
      <c r="F128" s="755"/>
      <c r="G128" s="755"/>
      <c r="H128" s="755"/>
      <c r="I128" s="804" t="str" cm="1">
        <f t="array" ref="I128">angleDecimal2Txt(I126)</f>
        <v>+27°46.03 (+27.7673) [+27°46'02.29]</v>
      </c>
      <c r="J128" s="805"/>
      <c r="K128" s="805"/>
      <c r="L128" s="805"/>
      <c r="M128" s="494"/>
      <c r="O128" s="525" t="s">
        <v>43</v>
      </c>
      <c r="P128" s="525"/>
      <c r="Q128" s="525">
        <f>F80</f>
        <v>50.988938888888896</v>
      </c>
      <c r="R128" s="525"/>
      <c r="S128" s="525"/>
      <c r="T128" s="490"/>
      <c r="U128" s="575">
        <f>Q128*Outils!$F$4</f>
        <v>0.88992486570929041</v>
      </c>
      <c r="V128" s="576"/>
      <c r="W128" s="631"/>
      <c r="X128" s="490"/>
      <c r="AC128"/>
      <c r="AD128"/>
      <c r="AE128"/>
    </row>
    <row r="129" spans="1:33" ht="17.25" customHeight="1" thickTop="1">
      <c r="C129" s="257"/>
      <c r="D129" s="257"/>
      <c r="E129" s="246"/>
      <c r="F129" s="246"/>
      <c r="G129" s="246"/>
    </row>
    <row r="130" spans="1:33" ht="17.25" customHeight="1">
      <c r="C130" s="257"/>
      <c r="D130" s="257"/>
      <c r="E130" s="750" t="s">
        <v>25</v>
      </c>
      <c r="F130" s="751"/>
      <c r="G130" s="751"/>
      <c r="H130" s="751"/>
      <c r="I130" s="481">
        <f>F84</f>
        <v>27.8894026573509</v>
      </c>
      <c r="J130" s="482"/>
      <c r="K130" s="482"/>
      <c r="L130" s="482"/>
      <c r="M130" s="483"/>
    </row>
    <row r="131" spans="1:33" ht="17.25" customHeight="1" thickBot="1">
      <c r="C131" s="257"/>
      <c r="D131" s="257"/>
      <c r="E131" s="752"/>
      <c r="F131" s="753"/>
      <c r="G131" s="753"/>
      <c r="H131" s="753"/>
      <c r="I131" s="657"/>
      <c r="J131" s="658"/>
      <c r="K131" s="658"/>
      <c r="L131" s="658"/>
      <c r="M131" s="768"/>
      <c r="O131" s="467" t="s">
        <v>27</v>
      </c>
      <c r="P131" s="468"/>
      <c r="Q131" s="468"/>
      <c r="R131" s="468"/>
      <c r="S131" s="633"/>
      <c r="T131" s="349">
        <f>I130-I126</f>
        <v>0.1220978492049305</v>
      </c>
      <c r="U131" s="214" t="s">
        <v>28</v>
      </c>
      <c r="V131" s="215">
        <f>T131*60</f>
        <v>7.3258709522958299</v>
      </c>
      <c r="W131" s="214" t="s">
        <v>104</v>
      </c>
      <c r="X131" s="628" t="str">
        <f>IF(T131&gt;0,"Vers Pg", "Oppose de Pg")</f>
        <v>Vers Pg</v>
      </c>
      <c r="Y131" s="628"/>
    </row>
    <row r="132" spans="1:33" ht="17.25" customHeight="1" thickTop="1" thickBot="1">
      <c r="C132" s="257"/>
      <c r="D132" s="257"/>
      <c r="E132" s="754"/>
      <c r="F132" s="755"/>
      <c r="G132" s="755"/>
      <c r="H132" s="755"/>
      <c r="I132" s="804" t="str" cm="1">
        <f t="array" ref="I132">angleDecimal2Txt(I130)</f>
        <v>+27°53.36 (+27.8894) [+27°53'21.84]</v>
      </c>
      <c r="J132" s="805"/>
      <c r="K132" s="805"/>
      <c r="L132" s="805"/>
      <c r="M132" s="494"/>
      <c r="O132" s="247"/>
      <c r="P132" s="247"/>
      <c r="Q132" s="247"/>
      <c r="S132" s="756" t="s">
        <v>350</v>
      </c>
      <c r="T132" s="757" t="s">
        <v>367</v>
      </c>
      <c r="U132" s="757"/>
      <c r="V132" s="757">
        <f>F38</f>
        <v>4.0271944444444445</v>
      </c>
      <c r="W132" s="757"/>
      <c r="X132" s="738" t="str">
        <f>latitudeDecimal2Txt(V132)</f>
        <v>N 04°01.63 (N 04.0271) [N 04°01'37.89]</v>
      </c>
      <c r="Y132" s="738"/>
      <c r="Z132" s="738"/>
      <c r="AA132" s="738"/>
      <c r="AB132" s="738"/>
      <c r="AC132" s="738"/>
    </row>
    <row r="133" spans="1:33" ht="17.25" customHeight="1" thickTop="1">
      <c r="C133" s="257"/>
      <c r="D133" s="257"/>
      <c r="E133" s="246"/>
      <c r="F133" s="246"/>
      <c r="G133" s="246"/>
      <c r="S133" s="756"/>
      <c r="T133" s="778" t="s">
        <v>368</v>
      </c>
      <c r="U133" s="778"/>
      <c r="V133" s="757" cm="1">
        <f t="array" ref="V133">longitudeHoraire2longitude(F59)</f>
        <v>-48.894438888888899</v>
      </c>
      <c r="W133" s="778"/>
      <c r="X133" s="739" t="str">
        <f>longitudeDecimal2Txt(V133)</f>
        <v>W 48°53.66 (W 48.8944) [W 48°53'39.98]</v>
      </c>
      <c r="Y133" s="739"/>
      <c r="Z133" s="739"/>
      <c r="AA133" s="739"/>
      <c r="AB133" s="739"/>
      <c r="AC133" s="739"/>
    </row>
    <row r="134" spans="1:33" ht="17.25" customHeight="1">
      <c r="C134" s="246"/>
      <c r="D134" s="246"/>
      <c r="E134" s="246"/>
      <c r="F134" s="246"/>
      <c r="T134" s="257"/>
      <c r="U134" s="257"/>
      <c r="V134" s="257"/>
      <c r="W134" s="257"/>
      <c r="X134" s="257"/>
      <c r="Y134" s="257"/>
      <c r="AC134"/>
      <c r="AD134"/>
      <c r="AE134"/>
      <c r="AF134"/>
      <c r="AG134"/>
    </row>
    <row r="135" spans="1:33" ht="17.25" customHeight="1">
      <c r="E135" s="246"/>
      <c r="F135" s="246"/>
      <c r="G135" s="246"/>
      <c r="T135" s="257"/>
      <c r="U135" s="257"/>
      <c r="V135" s="257"/>
      <c r="W135" s="257"/>
      <c r="X135" s="257"/>
      <c r="Y135" s="257"/>
      <c r="AC135"/>
      <c r="AD135"/>
      <c r="AE135"/>
      <c r="AF135"/>
      <c r="AG135"/>
    </row>
    <row r="136" spans="1:33" ht="17.25" customHeight="1">
      <c r="E136" s="246"/>
      <c r="O136" s="669" t="s">
        <v>86</v>
      </c>
      <c r="P136" s="670"/>
      <c r="Q136" s="670"/>
      <c r="R136" s="670"/>
      <c r="S136" s="670"/>
      <c r="T136" s="670"/>
      <c r="U136" s="670"/>
      <c r="V136" s="670"/>
      <c r="W136" s="670"/>
      <c r="X136" s="670"/>
      <c r="Y136" s="670"/>
      <c r="Z136" s="670"/>
      <c r="AA136" s="670"/>
      <c r="AC136"/>
      <c r="AD136"/>
      <c r="AE136"/>
      <c r="AF136"/>
      <c r="AG136"/>
    </row>
    <row r="137" spans="1:33" ht="17.25" customHeight="1">
      <c r="E137" s="246"/>
      <c r="F137" s="246"/>
      <c r="G137" s="246"/>
      <c r="O137" s="525" t="s">
        <v>223</v>
      </c>
      <c r="P137" s="525"/>
      <c r="Q137" s="525">
        <f>I126</f>
        <v>27.767304808145969</v>
      </c>
      <c r="R137" s="525"/>
      <c r="S137" s="525"/>
      <c r="T137" s="515" t="s">
        <v>54</v>
      </c>
      <c r="U137" s="525">
        <f>Q137*Outils!$F$4</f>
        <v>0.48463089330699954</v>
      </c>
      <c r="V137" s="525"/>
      <c r="W137" s="525"/>
      <c r="X137" s="490" t="s">
        <v>64</v>
      </c>
      <c r="AC137"/>
      <c r="AD137"/>
      <c r="AE137"/>
      <c r="AF137"/>
      <c r="AG137"/>
    </row>
    <row r="138" spans="1:33" ht="17.25" customHeight="1">
      <c r="A138" s="257"/>
      <c r="B138" s="257"/>
      <c r="C138" s="257"/>
      <c r="D138" s="257"/>
      <c r="E138" s="769" t="s">
        <v>92</v>
      </c>
      <c r="F138" s="770"/>
      <c r="G138" s="770"/>
      <c r="H138" s="771"/>
      <c r="I138" s="481" cm="1">
        <f t="array" ref="I138">astroCalculZ(Q139,Q138,Q140)</f>
        <v>118.83915079754337</v>
      </c>
      <c r="J138" s="482"/>
      <c r="K138" s="482"/>
      <c r="L138" s="482"/>
      <c r="M138" s="483"/>
      <c r="O138" s="525" t="s">
        <v>84</v>
      </c>
      <c r="P138" s="525"/>
      <c r="Q138" s="525">
        <f>F38</f>
        <v>4.0271944444444445</v>
      </c>
      <c r="R138" s="525"/>
      <c r="S138" s="525"/>
      <c r="T138" s="515"/>
      <c r="U138" s="525">
        <f>Q138*Outils!$F$4</f>
        <v>7.0287802673579425E-2</v>
      </c>
      <c r="V138" s="525"/>
      <c r="W138" s="525"/>
      <c r="X138" s="490"/>
      <c r="AC138"/>
      <c r="AD138"/>
      <c r="AE138"/>
      <c r="AF138"/>
      <c r="AG138"/>
    </row>
    <row r="139" spans="1:33" ht="17.25" customHeight="1" thickBot="1">
      <c r="C139" s="257"/>
      <c r="D139" s="257"/>
      <c r="E139" s="772"/>
      <c r="F139" s="773"/>
      <c r="G139" s="773"/>
      <c r="H139" s="774"/>
      <c r="I139" s="657"/>
      <c r="J139" s="658"/>
      <c r="K139" s="658"/>
      <c r="L139" s="658"/>
      <c r="M139" s="768"/>
      <c r="N139" s="276" t="s">
        <v>116</v>
      </c>
      <c r="O139" s="525" t="s">
        <v>85</v>
      </c>
      <c r="P139" s="525"/>
      <c r="Q139" s="525">
        <f>G32</f>
        <v>48.875500000000002</v>
      </c>
      <c r="R139" s="525"/>
      <c r="S139" s="525"/>
      <c r="T139" s="515"/>
      <c r="U139" s="525">
        <f>Q139*Outils!$F$4</f>
        <v>0.85303839855848862</v>
      </c>
      <c r="V139" s="525"/>
      <c r="W139" s="525"/>
      <c r="X139" s="490"/>
      <c r="AC139"/>
      <c r="AD139"/>
      <c r="AE139"/>
      <c r="AF139"/>
      <c r="AG139"/>
    </row>
    <row r="140" spans="1:33" ht="17.25" customHeight="1" thickTop="1" thickBot="1">
      <c r="C140" s="257"/>
      <c r="D140" s="257"/>
      <c r="E140" s="775"/>
      <c r="F140" s="776"/>
      <c r="G140" s="776"/>
      <c r="H140" s="777"/>
      <c r="I140" s="869" t="str" cm="1">
        <f t="array" ref="I140">angleDecimal2Txt(I138)</f>
        <v>+118°50.34 (+118.8391) [+118°50'20.94]</v>
      </c>
      <c r="J140" s="870"/>
      <c r="K140" s="870"/>
      <c r="L140" s="870"/>
      <c r="M140" s="871"/>
      <c r="O140" s="525" t="s">
        <v>43</v>
      </c>
      <c r="P140" s="525"/>
      <c r="Q140" s="525">
        <f>F80</f>
        <v>50.988938888888896</v>
      </c>
      <c r="R140" s="525"/>
      <c r="S140" s="525"/>
      <c r="T140" s="515"/>
      <c r="U140" s="525">
        <f>Q140*Outils!$F$4</f>
        <v>0.88992486570929041</v>
      </c>
      <c r="V140" s="525"/>
      <c r="W140" s="525"/>
      <c r="X140" s="490"/>
      <c r="AC140"/>
      <c r="AD140"/>
      <c r="AE140"/>
      <c r="AF140"/>
      <c r="AG140"/>
    </row>
    <row r="141" spans="1:33" ht="17.25" customHeight="1" thickTop="1">
      <c r="C141" s="257"/>
      <c r="D141" s="257"/>
      <c r="E141" s="246"/>
      <c r="F141" s="246"/>
      <c r="G141" s="246"/>
    </row>
    <row r="142" spans="1:33" ht="17.25" customHeight="1">
      <c r="C142" s="246"/>
      <c r="D142" s="246"/>
      <c r="F142" s="246"/>
      <c r="G142" s="246"/>
      <c r="I142" s="765" t="s">
        <v>143</v>
      </c>
      <c r="J142" s="766"/>
      <c r="K142" s="766"/>
      <c r="L142" s="766"/>
      <c r="M142" s="766"/>
      <c r="N142" s="767"/>
      <c r="O142" s="765" t="s">
        <v>144</v>
      </c>
      <c r="P142" s="766"/>
      <c r="Q142" s="766"/>
      <c r="R142" s="766"/>
      <c r="S142" s="766"/>
      <c r="T142" s="767"/>
      <c r="AD142" s="281"/>
    </row>
    <row r="143" spans="1:33" ht="17.25" customHeight="1">
      <c r="F143" s="246"/>
      <c r="G143" s="246"/>
      <c r="I143" s="860"/>
      <c r="J143" s="659" t="s">
        <v>117</v>
      </c>
      <c r="K143" s="660"/>
      <c r="L143" s="661"/>
      <c r="M143" s="665" t="s">
        <v>118</v>
      </c>
      <c r="N143" s="666"/>
      <c r="O143" s="860"/>
      <c r="P143" s="659" t="s">
        <v>117</v>
      </c>
      <c r="Q143" s="660"/>
      <c r="R143" s="661"/>
      <c r="S143" s="665" t="s">
        <v>119</v>
      </c>
      <c r="T143" s="666"/>
      <c r="AD143" s="281"/>
    </row>
    <row r="144" spans="1:33" ht="17.25" customHeight="1">
      <c r="F144" s="246"/>
      <c r="G144" s="246"/>
      <c r="I144" s="861"/>
      <c r="J144" s="662" t="s">
        <v>87</v>
      </c>
      <c r="K144" s="663"/>
      <c r="L144" s="664"/>
      <c r="M144" s="667" t="s">
        <v>88</v>
      </c>
      <c r="N144" s="668"/>
      <c r="O144" s="861"/>
      <c r="P144" s="662" t="s">
        <v>87</v>
      </c>
      <c r="Q144" s="663"/>
      <c r="R144" s="664"/>
      <c r="S144" s="667" t="s">
        <v>89</v>
      </c>
      <c r="T144" s="668"/>
      <c r="AD144" s="281"/>
    </row>
    <row r="145" spans="2:30" ht="17.25" customHeight="1">
      <c r="F145" s="257"/>
      <c r="G145" s="257"/>
      <c r="H145" s="257"/>
      <c r="I145" s="257"/>
      <c r="J145" s="257"/>
      <c r="K145" s="257"/>
      <c r="Q145" s="257"/>
      <c r="R145" s="257"/>
      <c r="S145" s="257"/>
      <c r="T145" s="465"/>
      <c r="U145" s="465"/>
      <c r="V145" s="465"/>
      <c r="W145" s="257"/>
      <c r="X145" s="465"/>
      <c r="Y145" s="465"/>
      <c r="Z145" s="465"/>
      <c r="AD145" s="281"/>
    </row>
    <row r="146" spans="2:30" ht="17.25" customHeight="1">
      <c r="F146" s="257"/>
      <c r="N146" s="764"/>
      <c r="O146" s="764"/>
      <c r="Q146" s="465"/>
      <c r="R146" s="465"/>
      <c r="S146" s="465"/>
      <c r="T146" s="465"/>
      <c r="U146" s="465"/>
      <c r="V146" s="465"/>
      <c r="W146" s="257"/>
      <c r="X146" s="465"/>
      <c r="Y146" s="465"/>
      <c r="Z146" s="465"/>
      <c r="AC146" s="247" t="s">
        <v>547</v>
      </c>
      <c r="AD146" s="247" t="b">
        <f>Q127&gt;0</f>
        <v>1</v>
      </c>
    </row>
    <row r="147" spans="2:30" ht="17.25" customHeight="1">
      <c r="I147" s="525" t="s">
        <v>85</v>
      </c>
      <c r="J147" s="525"/>
      <c r="K147" s="57">
        <f>G32</f>
        <v>48.875500000000002</v>
      </c>
      <c r="L147" s="574" t="str">
        <f>CONCATENATE("Sens: ",IF(Q139&gt;0,"Nord","Sud"))</f>
        <v>Sens: Nord</v>
      </c>
      <c r="M147" s="529"/>
      <c r="AC147" s="247" t="s">
        <v>548</v>
      </c>
      <c r="AD147" s="247" t="b">
        <f>Q128&gt;180</f>
        <v>0</v>
      </c>
    </row>
    <row r="148" spans="2:30" ht="17.25" customHeight="1" thickBot="1">
      <c r="I148" s="525" t="s">
        <v>43</v>
      </c>
      <c r="J148" s="525"/>
      <c r="K148" s="57">
        <f>Q140</f>
        <v>50.988938888888896</v>
      </c>
      <c r="L148" s="574" t="str">
        <f>CONCATENATE("Is &gt; 180? ", IF(Q140&gt;180,"Y", "N"))</f>
        <v>Is &gt; 180? N</v>
      </c>
      <c r="M148" s="529"/>
      <c r="O148" s="467" t="s">
        <v>93</v>
      </c>
      <c r="P148" s="468"/>
      <c r="Q148" s="468"/>
      <c r="R148" s="468"/>
      <c r="S148" s="468"/>
      <c r="T148" s="473" cm="1">
        <f t="array" ref="T148">astroCalculZ2Zn(Q139,I138,Q140)</f>
        <v>241.16084920245663</v>
      </c>
      <c r="U148" s="474"/>
      <c r="V148" s="50" t="s">
        <v>28</v>
      </c>
      <c r="W148" s="257"/>
    </row>
    <row r="149" spans="2:30" ht="17.25" customHeight="1" thickTop="1" thickBot="1">
      <c r="I149" s="575" t="s">
        <v>120</v>
      </c>
      <c r="J149" s="576"/>
      <c r="K149" s="577"/>
      <c r="L149" s="574" t="str">
        <f>IF(K147&gt;0,IF(K148&gt;180,M143,M144),IF(K148&gt;180,S143,S144))</f>
        <v>Zn = 360 - Z</v>
      </c>
      <c r="M149" s="529"/>
      <c r="T149" s="472" t="str" cm="1">
        <f t="array" ref="T149">angleDecimal2Txt(T148)</f>
        <v>+241°09.65 (+241.1608) [+241°09'39.05]</v>
      </c>
      <c r="U149" s="472"/>
      <c r="V149" s="472"/>
      <c r="W149" s="472"/>
      <c r="X149" s="472"/>
      <c r="Y149" s="472"/>
    </row>
    <row r="150" spans="2:30" ht="17.25" customHeight="1" thickTop="1"/>
    <row r="151" spans="2:30" ht="17.25" customHeight="1" thickBot="1"/>
    <row r="152" spans="2:30" ht="17.25" customHeight="1" thickBot="1">
      <c r="B152" s="250" t="s">
        <v>233</v>
      </c>
      <c r="C152" s="251"/>
      <c r="D152" s="251"/>
      <c r="E152" s="251"/>
      <c r="F152" s="251"/>
      <c r="G152" s="251"/>
      <c r="H152" s="251"/>
      <c r="I152" s="251"/>
      <c r="J152" s="251"/>
      <c r="K152" s="251"/>
      <c r="L152" s="251"/>
      <c r="M152" s="251"/>
      <c r="N152" s="251"/>
      <c r="O152" s="251"/>
      <c r="P152" s="251"/>
      <c r="Q152" s="251"/>
      <c r="R152" s="251"/>
      <c r="S152" s="251"/>
      <c r="T152" s="251"/>
      <c r="U152" s="251"/>
      <c r="V152" s="251"/>
      <c r="W152" s="251"/>
      <c r="X152" s="251"/>
      <c r="Y152" s="251"/>
      <c r="Z152" s="251"/>
      <c r="AA152" s="279"/>
      <c r="AB152" s="62"/>
    </row>
    <row r="154" spans="2:30" ht="17.25" customHeight="1" thickBot="1">
      <c r="C154" s="573" t="s">
        <v>234</v>
      </c>
      <c r="D154" s="573"/>
      <c r="E154" s="573"/>
      <c r="F154" s="573"/>
      <c r="G154" s="103"/>
      <c r="H154" s="573" t="s">
        <v>235</v>
      </c>
      <c r="I154" s="573"/>
      <c r="J154" s="573"/>
      <c r="L154" s="578" t="s">
        <v>224</v>
      </c>
      <c r="M154" s="579"/>
      <c r="N154" s="580"/>
      <c r="Q154" s="471" t="s">
        <v>236</v>
      </c>
      <c r="R154" s="471"/>
      <c r="S154" s="471"/>
      <c r="T154" s="471"/>
      <c r="U154" s="280"/>
      <c r="AC154" s="247" t="s">
        <v>221</v>
      </c>
      <c r="AD154" s="281">
        <f>I155/60</f>
        <v>0.1220978492049305</v>
      </c>
    </row>
    <row r="155" spans="2:30" ht="17.25" customHeight="1" thickTop="1" thickBot="1">
      <c r="D155" s="127" t="s">
        <v>41</v>
      </c>
      <c r="E155" s="581">
        <f>G32</f>
        <v>48.875500000000002</v>
      </c>
      <c r="F155" s="581"/>
      <c r="I155" s="581">
        <f>V131</f>
        <v>7.3258709522958299</v>
      </c>
      <c r="J155" s="581"/>
      <c r="K155" s="246" t="s">
        <v>104</v>
      </c>
      <c r="M155" s="857">
        <f>T148</f>
        <v>241.16084920245663</v>
      </c>
      <c r="N155" s="858"/>
      <c r="R155" s="128" t="s">
        <v>41</v>
      </c>
      <c r="S155" s="469">
        <f>AD157</f>
        <v>48.816605815385643</v>
      </c>
      <c r="T155" s="469"/>
      <c r="U155" s="470" t="str" cm="1">
        <f t="array" ref="U155">latitudeDecimal2Txt(S155)</f>
        <v>N 48°48.99 (N 48.8166) [N 48°48'59.78]</v>
      </c>
      <c r="V155" s="470"/>
      <c r="W155" s="470"/>
      <c r="X155" s="470"/>
      <c r="Y155" s="470"/>
      <c r="Z155" s="470"/>
      <c r="AC155" s="247" t="s">
        <v>222</v>
      </c>
      <c r="AD155" s="281">
        <f>M155</f>
        <v>241.16084920245663</v>
      </c>
    </row>
    <row r="156" spans="2:30" ht="17.25" customHeight="1" thickTop="1" thickBot="1">
      <c r="D156" s="127" t="s">
        <v>42</v>
      </c>
      <c r="E156" s="581">
        <f>G34</f>
        <v>2.0945</v>
      </c>
      <c r="F156" s="581"/>
      <c r="R156" s="128" t="s">
        <v>42</v>
      </c>
      <c r="S156" s="469">
        <f>AD159</f>
        <v>1.9319753593592028</v>
      </c>
      <c r="T156" s="469"/>
      <c r="U156" s="470" t="str" cm="1">
        <f t="array" ref="U156">longitudeDecimal2Txt(S156)</f>
        <v>E 01°55.91 (E 01.9319) [E 01°55'55.11]</v>
      </c>
      <c r="V156" s="470"/>
      <c r="W156" s="470"/>
      <c r="X156" s="470"/>
      <c r="Y156" s="470"/>
      <c r="Z156" s="470"/>
      <c r="AC156" s="246"/>
      <c r="AD156" s="246"/>
    </row>
    <row r="157" spans="2:30" ht="17.25" customHeight="1" thickTop="1">
      <c r="D157" s="246"/>
      <c r="AC157" s="247" t="s">
        <v>238</v>
      </c>
      <c r="AD157" s="247">
        <f>E155+AD154*COS(AD155*Outils!$F$4)</f>
        <v>48.816605815385643</v>
      </c>
    </row>
    <row r="158" spans="2:30" ht="17.25" customHeight="1">
      <c r="C158" s="247"/>
      <c r="D158" s="247"/>
      <c r="E158" s="247"/>
      <c r="Q158" s="471" t="s">
        <v>237</v>
      </c>
      <c r="R158" s="471"/>
      <c r="S158" s="471"/>
      <c r="AC158" s="247" t="s">
        <v>239</v>
      </c>
      <c r="AD158" s="247">
        <f>(E155+AD157)/2</f>
        <v>48.846052907692822</v>
      </c>
    </row>
    <row r="159" spans="2:30" ht="17.25" customHeight="1">
      <c r="R159" s="469">
        <f>M155-90</f>
        <v>151.16084920245663</v>
      </c>
      <c r="S159" s="469"/>
      <c r="T159" s="50" t="s">
        <v>28</v>
      </c>
      <c r="AC159" s="247" t="s">
        <v>240</v>
      </c>
      <c r="AD159" s="247">
        <f>E156+(AD154*SIN(M155*Outils!$F$4)/COS(AD158*Outils!$F$4))</f>
        <v>1.9319753593592028</v>
      </c>
    </row>
    <row r="160" spans="2:30" s="247" customFormat="1" ht="17.25" customHeight="1"/>
    <row r="161" spans="2:33" s="247" customFormat="1" ht="17.25" customHeight="1" thickBot="1"/>
    <row r="162" spans="2:33" s="247" customFormat="1" ht="17.25" customHeight="1" thickBot="1">
      <c r="B162" s="282" t="s">
        <v>241</v>
      </c>
      <c r="C162" s="283"/>
      <c r="D162" s="283"/>
      <c r="E162" s="283"/>
      <c r="F162" s="283"/>
      <c r="G162" s="283"/>
      <c r="H162" s="283"/>
      <c r="I162" s="283"/>
      <c r="J162" s="283"/>
      <c r="K162" s="283"/>
      <c r="L162" s="283"/>
      <c r="M162" s="283"/>
      <c r="N162" s="283"/>
      <c r="O162" s="283"/>
      <c r="P162" s="283"/>
      <c r="Q162" s="283"/>
      <c r="R162" s="283"/>
      <c r="S162" s="283"/>
      <c r="T162" s="283"/>
      <c r="U162" s="283"/>
      <c r="V162" s="283"/>
      <c r="W162" s="283"/>
      <c r="X162" s="283"/>
      <c r="Y162" s="283"/>
      <c r="Z162" s="283"/>
      <c r="AA162" s="284"/>
    </row>
    <row r="163" spans="2:33" s="247" customFormat="1" ht="17.25" customHeight="1">
      <c r="AD163" s="281"/>
    </row>
    <row r="164" spans="2:33" s="247" customFormat="1" ht="17.25" customHeight="1" thickBot="1">
      <c r="C164" s="571" t="s">
        <v>236</v>
      </c>
      <c r="D164" s="571"/>
      <c r="E164" s="571"/>
      <c r="F164" s="571"/>
      <c r="G164" s="280"/>
      <c r="H164" s="246"/>
      <c r="I164" s="246"/>
      <c r="J164" s="246"/>
      <c r="K164" s="246"/>
      <c r="L164" s="246"/>
      <c r="Q164" s="285" t="s">
        <v>242</v>
      </c>
      <c r="R164" s="285"/>
      <c r="S164" s="285"/>
      <c r="T164" s="285"/>
      <c r="U164" s="285"/>
      <c r="V164" s="285"/>
      <c r="W164" s="285"/>
      <c r="AC164" s="247" t="s">
        <v>272</v>
      </c>
      <c r="AD164" s="281"/>
      <c r="AE164" s="247" t="b">
        <f>(ABS(D169-90)&lt;0.1)</f>
        <v>0</v>
      </c>
    </row>
    <row r="165" spans="2:33" s="247" customFormat="1" ht="17.25" customHeight="1" thickTop="1" thickBot="1">
      <c r="D165" s="129" t="s">
        <v>41</v>
      </c>
      <c r="E165" s="572">
        <v>46</v>
      </c>
      <c r="F165" s="572"/>
      <c r="G165" s="470" t="str" cm="1">
        <f t="array" ref="G165">latitudeDecimal2Txt(E165)</f>
        <v>N 46°00.00 (N 46.0000) [N 46°00'00.00]</v>
      </c>
      <c r="H165" s="470"/>
      <c r="I165" s="470"/>
      <c r="J165" s="470"/>
      <c r="K165" s="470"/>
      <c r="L165" s="470"/>
      <c r="R165" s="128" t="s">
        <v>41</v>
      </c>
      <c r="S165" s="469">
        <f>AG169</f>
        <v>59.49762893335707</v>
      </c>
      <c r="T165" s="469"/>
      <c r="U165" s="470" t="str" cm="1">
        <f t="array" ref="U165">latitudeDecimal2Txt(S165)</f>
        <v>N 59°29.85 (N 59.4976) [N 59°29'51.46]</v>
      </c>
      <c r="V165" s="470"/>
      <c r="W165" s="470"/>
      <c r="X165" s="470"/>
      <c r="Y165" s="470"/>
      <c r="Z165" s="470"/>
      <c r="AC165" s="286" t="s">
        <v>273</v>
      </c>
      <c r="AD165" s="287">
        <f>R159</f>
        <v>151.16084920245663</v>
      </c>
    </row>
    <row r="166" spans="2:33" s="247" customFormat="1" ht="17.25" customHeight="1" thickTop="1" thickBot="1">
      <c r="D166" s="129" t="s">
        <v>42</v>
      </c>
      <c r="E166" s="572">
        <v>-7</v>
      </c>
      <c r="F166" s="572"/>
      <c r="G166" s="470" t="str" cm="1">
        <f t="array" ref="G166">longitudeDecimal2Txt(E166)</f>
        <v>W 07°00.00 (W 07.0000) [W 07°00'00.00]</v>
      </c>
      <c r="H166" s="470"/>
      <c r="I166" s="470"/>
      <c r="J166" s="470"/>
      <c r="K166" s="470"/>
      <c r="L166" s="470"/>
      <c r="R166" s="128" t="s">
        <v>42</v>
      </c>
      <c r="S166" s="469">
        <f>AG170</f>
        <v>-7.0000000000000071</v>
      </c>
      <c r="T166" s="469"/>
      <c r="U166" s="470" t="str" cm="1">
        <f t="array" ref="U166">longitudeDecimal2Txt(S166)</f>
        <v>W 07°00.00 (W 07.0000) [W 07°00'00.00]</v>
      </c>
      <c r="V166" s="470"/>
      <c r="W166" s="470"/>
      <c r="X166" s="470"/>
      <c r="Y166" s="470"/>
      <c r="Z166" s="470"/>
      <c r="AC166" s="288" t="s">
        <v>275</v>
      </c>
      <c r="AD166" s="287">
        <f>S155</f>
        <v>48.816605815385643</v>
      </c>
    </row>
    <row r="167" spans="2:33" s="247" customFormat="1" ht="17.25" customHeight="1" thickTop="1">
      <c r="C167" s="246"/>
      <c r="D167" s="246"/>
      <c r="E167" s="246"/>
      <c r="F167" s="246"/>
      <c r="G167" s="246"/>
      <c r="H167" s="246"/>
      <c r="I167" s="246"/>
      <c r="J167" s="246"/>
      <c r="K167" s="246"/>
      <c r="L167" s="246"/>
      <c r="AC167" s="286" t="s">
        <v>276</v>
      </c>
      <c r="AD167" s="287">
        <f>S156</f>
        <v>1.9319753593592028</v>
      </c>
    </row>
    <row r="168" spans="2:33" s="247" customFormat="1" ht="17.25" customHeight="1">
      <c r="C168" s="571" t="s">
        <v>237</v>
      </c>
      <c r="D168" s="571"/>
      <c r="E168" s="571"/>
      <c r="F168" s="108"/>
      <c r="G168" s="246"/>
      <c r="H168" s="246"/>
      <c r="I168" s="246"/>
      <c r="J168" s="246"/>
      <c r="K168" s="246"/>
      <c r="L168" s="246"/>
      <c r="AC168" s="286" t="s">
        <v>243</v>
      </c>
      <c r="AD168" s="286">
        <f>TAN(AD165*Outils!F4) * (1 / COS(AD166*Outils!F4))</f>
        <v>-0.83624717039799756</v>
      </c>
    </row>
    <row r="169" spans="2:33" s="247" customFormat="1" ht="17.25" customHeight="1">
      <c r="D169" s="572">
        <v>180</v>
      </c>
      <c r="E169" s="572"/>
      <c r="F169" s="130" t="s">
        <v>28</v>
      </c>
      <c r="G169" s="246"/>
      <c r="H169" s="246"/>
      <c r="I169" s="246"/>
      <c r="J169" s="246"/>
      <c r="K169" s="246"/>
      <c r="L169" s="246"/>
      <c r="AC169" s="286" t="s">
        <v>244</v>
      </c>
      <c r="AD169" s="286">
        <f>AD167-AD166*AD168</f>
        <v>42.754723840909875</v>
      </c>
      <c r="AE169" s="466" t="s">
        <v>280</v>
      </c>
      <c r="AF169" s="466"/>
      <c r="AG169" s="289">
        <f>(AD174-AD169)/(AD168-AD173)</f>
        <v>59.49762893335707</v>
      </c>
    </row>
    <row r="170" spans="2:33" s="247" customFormat="1" ht="15">
      <c r="AC170" s="290" t="s">
        <v>274</v>
      </c>
      <c r="AD170" s="291">
        <f>D169</f>
        <v>180</v>
      </c>
      <c r="AE170" s="466"/>
      <c r="AF170" s="466"/>
      <c r="AG170" s="289">
        <f>AD168*AG169+AD169</f>
        <v>-7.0000000000000071</v>
      </c>
    </row>
    <row r="171" spans="2:33" s="247" customFormat="1" ht="18.75">
      <c r="S171" s="246"/>
      <c r="T171" s="246"/>
      <c r="AC171" s="292" t="s">
        <v>275</v>
      </c>
      <c r="AD171" s="291">
        <f>E165</f>
        <v>46</v>
      </c>
    </row>
    <row r="172" spans="2:33" s="247" customFormat="1" ht="18">
      <c r="AC172" s="290" t="s">
        <v>276</v>
      </c>
      <c r="AD172" s="291">
        <f>E166</f>
        <v>-7</v>
      </c>
      <c r="AE172" s="466" t="s">
        <v>281</v>
      </c>
      <c r="AF172" s="466"/>
      <c r="AG172" s="293">
        <f>E165</f>
        <v>46</v>
      </c>
    </row>
    <row r="173" spans="2:33" s="247" customFormat="1" ht="17.25" customHeight="1">
      <c r="P173" s="246"/>
      <c r="Q173" s="246"/>
      <c r="AC173" s="290" t="s">
        <v>277</v>
      </c>
      <c r="AD173" s="290">
        <f>TAN(AD170*Outils!F4) * (1 / COS(AD171*Outils!F4))</f>
        <v>-1.7636704702760584E-16</v>
      </c>
      <c r="AE173" s="466"/>
      <c r="AF173" s="466"/>
      <c r="AG173" s="289">
        <f>E166+(E165-S155)*TAN(R159*Outils!F4)/COS(Outils!F4*S155)</f>
        <v>-4.6446213567572112</v>
      </c>
    </row>
    <row r="174" spans="2:33" s="247" customFormat="1" ht="17.25" customHeight="1">
      <c r="AC174" s="290" t="s">
        <v>278</v>
      </c>
      <c r="AD174" s="290">
        <f>AD172-AD171*AD173</f>
        <v>-6.999999999999992</v>
      </c>
    </row>
    <row r="175" spans="2:33" s="247" customFormat="1" ht="15">
      <c r="K175" s="246"/>
      <c r="L175" s="246"/>
      <c r="AE175" s="466" t="s">
        <v>279</v>
      </c>
      <c r="AF175" s="466"/>
      <c r="AG175" s="289">
        <f>IF($AE$164,AG172,AG169)</f>
        <v>59.49762893335707</v>
      </c>
    </row>
    <row r="176" spans="2:33" s="247" customFormat="1" ht="15">
      <c r="K176" s="246"/>
      <c r="L176" s="246"/>
      <c r="AC176" s="290"/>
      <c r="AE176" s="466"/>
      <c r="AF176" s="466"/>
      <c r="AG176" s="289">
        <f>IF($AE$164,AG173,AG170)</f>
        <v>-7.0000000000000071</v>
      </c>
    </row>
    <row r="177" spans="2:65" s="247" customFormat="1" ht="15">
      <c r="K177" s="246"/>
      <c r="L177" s="246"/>
    </row>
    <row r="178" spans="2:65" s="247" customFormat="1" ht="15.75" thickBot="1">
      <c r="K178" s="246"/>
      <c r="L178" s="246"/>
    </row>
    <row r="179" spans="2:65" s="247" customFormat="1" ht="15.75" thickBot="1">
      <c r="B179" s="282" t="s">
        <v>525</v>
      </c>
      <c r="C179" s="283"/>
      <c r="D179" s="283"/>
      <c r="E179" s="283"/>
      <c r="F179" s="283"/>
      <c r="G179" s="283"/>
      <c r="H179" s="283"/>
      <c r="I179" s="283"/>
      <c r="J179" s="283"/>
      <c r="K179" s="283"/>
      <c r="L179" s="283"/>
      <c r="M179" s="283"/>
      <c r="N179" s="283"/>
      <c r="O179" s="283"/>
      <c r="P179" s="283"/>
      <c r="Q179" s="283"/>
      <c r="R179" s="283"/>
      <c r="S179" s="283"/>
      <c r="T179" s="283"/>
      <c r="U179" s="283"/>
      <c r="V179" s="283"/>
      <c r="W179" s="283"/>
      <c r="X179" s="283"/>
      <c r="Y179" s="283"/>
      <c r="Z179" s="283"/>
      <c r="AA179" s="284"/>
    </row>
    <row r="180" spans="2:65" s="247" customFormat="1" ht="15">
      <c r="K180" s="281"/>
      <c r="L180" s="281"/>
    </row>
    <row r="181" spans="2:65" s="247" customFormat="1" ht="15">
      <c r="B181" s="758" t="s">
        <v>1</v>
      </c>
      <c r="C181" s="758"/>
      <c r="D181" s="758" t="str">
        <f>E7</f>
        <v>2025/03/30</v>
      </c>
      <c r="E181" s="758"/>
      <c r="F181" s="758"/>
      <c r="G181" s="758"/>
      <c r="H181" s="294" t="s">
        <v>2</v>
      </c>
      <c r="I181" s="758" t="str">
        <f>I7</f>
        <v>15:19:54.00(15.3316)</v>
      </c>
      <c r="J181" s="758"/>
      <c r="K181" s="758"/>
      <c r="L181" s="758"/>
    </row>
    <row r="182" spans="2:65" s="247" customFormat="1" ht="15">
      <c r="B182" s="759" t="s">
        <v>30</v>
      </c>
      <c r="C182" s="759"/>
      <c r="D182" s="760" t="str">
        <f>J22</f>
        <v>Soleil</v>
      </c>
      <c r="E182" s="759"/>
      <c r="F182" s="295"/>
      <c r="G182" s="295"/>
      <c r="H182" s="295"/>
      <c r="I182" s="295"/>
      <c r="J182" s="295"/>
      <c r="K182" s="295"/>
      <c r="L182" s="295"/>
      <c r="AA182" s="296"/>
    </row>
    <row r="183" spans="2:65" s="247" customFormat="1" ht="15">
      <c r="B183" s="297"/>
      <c r="C183" s="297"/>
      <c r="D183" s="298"/>
      <c r="E183" s="297"/>
      <c r="AA183" s="296"/>
    </row>
    <row r="184" spans="2:65" s="281" customFormat="1" ht="17.25" customHeight="1" thickBot="1">
      <c r="B184" s="299" t="s">
        <v>386</v>
      </c>
      <c r="C184" s="299"/>
      <c r="D184" s="299"/>
      <c r="E184" s="299"/>
      <c r="F184" s="300"/>
      <c r="G184" s="300"/>
      <c r="H184" s="301"/>
      <c r="I184" s="301"/>
      <c r="J184" s="301"/>
      <c r="K184" s="301"/>
      <c r="L184" s="301"/>
      <c r="M184" s="301"/>
      <c r="N184" s="301"/>
      <c r="O184" s="301"/>
      <c r="P184" s="301"/>
      <c r="Q184" s="301"/>
      <c r="AB184" s="61"/>
      <c r="AC184" s="247"/>
      <c r="AD184" s="247"/>
      <c r="AE184" s="247"/>
      <c r="AF184" s="247"/>
      <c r="AG184" s="247"/>
      <c r="AH184" s="247"/>
      <c r="AI184" s="247"/>
      <c r="AJ184" s="247"/>
      <c r="AK184" s="247"/>
      <c r="AL184" s="247"/>
      <c r="AM184" s="247"/>
      <c r="AN184" s="247"/>
      <c r="AO184" s="247"/>
      <c r="AP184" s="247"/>
      <c r="AQ184" s="247"/>
      <c r="AR184" s="247"/>
      <c r="AS184" s="247"/>
      <c r="AT184" s="247"/>
      <c r="AU184" s="247"/>
      <c r="AV184" s="247"/>
      <c r="AW184" s="247"/>
      <c r="AX184" s="247"/>
      <c r="AY184" s="247"/>
      <c r="AZ184" s="247"/>
      <c r="BA184" s="247"/>
      <c r="BB184" s="247"/>
      <c r="BC184" s="247"/>
      <c r="BD184" s="247"/>
      <c r="BE184" s="247"/>
      <c r="BF184" s="247"/>
      <c r="BG184" s="247"/>
      <c r="BH184" s="247"/>
      <c r="BI184" s="247"/>
      <c r="BJ184" s="247"/>
      <c r="BK184" s="247"/>
      <c r="BL184" s="247"/>
      <c r="BM184" s="247"/>
    </row>
    <row r="185" spans="2:65" s="281" customFormat="1" ht="17.25" customHeight="1" thickTop="1">
      <c r="C185" s="812" t="s">
        <v>466</v>
      </c>
      <c r="D185" s="812"/>
      <c r="E185" s="812" t="str" cm="1">
        <f t="array" ref="E185">angleDecimal2Txt(angleConvert2Decimal(M21))</f>
        <v>+46°47.10 (+46.7849) [+46°47'06.00]</v>
      </c>
      <c r="F185" s="812"/>
      <c r="G185" s="812"/>
      <c r="H185" s="812"/>
      <c r="I185" s="812"/>
      <c r="AB185" s="61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7"/>
      <c r="AO185" s="247"/>
      <c r="AP185" s="247"/>
      <c r="AQ185" s="247"/>
      <c r="AR185" s="247"/>
      <c r="AS185" s="247"/>
      <c r="AT185" s="247"/>
      <c r="AU185" s="247"/>
      <c r="AV185" s="247"/>
      <c r="AW185" s="247"/>
      <c r="AX185" s="247"/>
      <c r="AY185" s="247"/>
      <c r="AZ185" s="247"/>
      <c r="BA185" s="247"/>
      <c r="BB185" s="247"/>
      <c r="BC185" s="247"/>
      <c r="BD185" s="247"/>
      <c r="BE185" s="247"/>
      <c r="BF185" s="247"/>
      <c r="BG185" s="247"/>
      <c r="BH185" s="247"/>
      <c r="BI185" s="247"/>
      <c r="BJ185" s="247"/>
      <c r="BK185" s="247"/>
      <c r="BL185" s="247"/>
      <c r="BM185" s="247"/>
    </row>
    <row r="186" spans="2:65" s="281" customFormat="1" ht="17.25" customHeight="1">
      <c r="C186" s="811" t="s">
        <v>70</v>
      </c>
      <c r="D186" s="811"/>
      <c r="E186" s="811" t="str">
        <f>J23</f>
        <v>BordInf</v>
      </c>
      <c r="F186" s="811"/>
      <c r="G186" s="811"/>
      <c r="H186" s="811"/>
      <c r="I186" s="811"/>
      <c r="AB186" s="61"/>
      <c r="AC186" s="247"/>
      <c r="AD186" s="247"/>
      <c r="AE186" s="247"/>
      <c r="AF186" s="247"/>
      <c r="AG186" s="247"/>
      <c r="AH186" s="247"/>
      <c r="AI186" s="247"/>
      <c r="AJ186" s="247"/>
      <c r="AK186" s="247"/>
      <c r="AL186" s="247"/>
      <c r="AM186" s="247"/>
      <c r="AN186" s="247"/>
      <c r="AO186" s="247"/>
      <c r="AP186" s="247"/>
      <c r="AQ186" s="247"/>
      <c r="AR186" s="247"/>
      <c r="AS186" s="247"/>
      <c r="AT186" s="247"/>
      <c r="AU186" s="247"/>
      <c r="AV186" s="247"/>
      <c r="AW186" s="247"/>
      <c r="AX186" s="247"/>
      <c r="AY186" s="247"/>
      <c r="AZ186" s="247"/>
      <c r="BA186" s="247"/>
      <c r="BB186" s="247"/>
      <c r="BC186" s="247"/>
      <c r="BD186" s="247"/>
      <c r="BE186" s="247"/>
      <c r="BF186" s="247"/>
      <c r="BG186" s="247"/>
      <c r="BH186" s="247"/>
      <c r="BI186" s="247"/>
      <c r="BJ186" s="247"/>
      <c r="BK186" s="247"/>
      <c r="BL186" s="247"/>
      <c r="BM186" s="247"/>
    </row>
    <row r="187" spans="2:65" s="281" customFormat="1" ht="17.25" customHeight="1">
      <c r="C187" s="806" t="s">
        <v>388</v>
      </c>
      <c r="D187" s="806"/>
      <c r="E187" s="867" t="str" cm="1">
        <f t="array" ref="E187">angleDecimal2Txt(angleConvert2Decimal(M20))</f>
        <v>-00°12.00 (-00.2000) [-00°12'00.00]</v>
      </c>
      <c r="F187" s="867"/>
      <c r="G187" s="867"/>
      <c r="H187" s="867"/>
      <c r="I187" s="867"/>
      <c r="AB187" s="61"/>
      <c r="AC187" s="247"/>
      <c r="AD187" s="247"/>
      <c r="AE187" s="247"/>
      <c r="AF187" s="247"/>
      <c r="AG187" s="247"/>
      <c r="AH187" s="247"/>
      <c r="AI187" s="247"/>
      <c r="AJ187" s="247"/>
      <c r="AK187" s="247"/>
      <c r="AL187" s="247"/>
      <c r="AM187" s="247"/>
      <c r="AN187" s="247"/>
      <c r="AO187" s="247"/>
      <c r="AP187" s="247"/>
      <c r="AQ187" s="247"/>
      <c r="AR187" s="247"/>
      <c r="AS187" s="247"/>
      <c r="AT187" s="247"/>
      <c r="AU187" s="247"/>
      <c r="AV187" s="247"/>
      <c r="AW187" s="247"/>
      <c r="AX187" s="247"/>
      <c r="AY187" s="247"/>
      <c r="AZ187" s="247"/>
      <c r="BA187" s="247"/>
      <c r="BB187" s="247"/>
      <c r="BC187" s="247"/>
      <c r="BD187" s="247"/>
      <c r="BE187" s="247"/>
      <c r="BF187" s="247"/>
      <c r="BG187" s="247"/>
      <c r="BH187" s="247"/>
      <c r="BI187" s="247"/>
      <c r="BJ187" s="247"/>
      <c r="BK187" s="247"/>
      <c r="BL187" s="247"/>
      <c r="BM187" s="247"/>
    </row>
    <row r="188" spans="2:65" s="281" customFormat="1" ht="17.25" customHeight="1">
      <c r="C188" s="758" t="s">
        <v>389</v>
      </c>
      <c r="D188" s="758"/>
      <c r="E188" s="868" t="str">
        <f>CONCATENATE(M19, " m")</f>
        <v>0 m</v>
      </c>
      <c r="F188" s="868"/>
      <c r="G188" s="868"/>
      <c r="H188" s="868"/>
      <c r="I188" s="868"/>
      <c r="AB188" s="61"/>
      <c r="AC188" s="247"/>
      <c r="AD188" s="247"/>
      <c r="AE188" s="247"/>
      <c r="AF188" s="247"/>
      <c r="AG188" s="247"/>
      <c r="AH188" s="247"/>
      <c r="AI188" s="247"/>
      <c r="AJ188" s="247"/>
      <c r="AK188" s="247"/>
      <c r="AL188" s="247"/>
      <c r="AM188" s="247"/>
      <c r="AN188" s="247"/>
      <c r="AO188" s="247"/>
      <c r="AP188" s="247"/>
      <c r="AQ188" s="247"/>
      <c r="AR188" s="247"/>
      <c r="AS188" s="247"/>
      <c r="AT188" s="247"/>
      <c r="AU188" s="247"/>
      <c r="AV188" s="247"/>
      <c r="AW188" s="247"/>
      <c r="AX188" s="247"/>
      <c r="AY188" s="247"/>
      <c r="AZ188" s="247"/>
      <c r="BA188" s="247"/>
      <c r="BB188" s="247"/>
      <c r="BC188" s="247"/>
      <c r="BD188" s="247"/>
      <c r="BE188" s="247"/>
      <c r="BF188" s="247"/>
      <c r="BG188" s="247"/>
      <c r="BH188" s="247"/>
      <c r="BI188" s="247"/>
      <c r="BJ188" s="247"/>
      <c r="BK188" s="247"/>
      <c r="BL188" s="247"/>
      <c r="BM188" s="247"/>
    </row>
    <row r="189" spans="2:65" s="281" customFormat="1" ht="17.25" customHeight="1">
      <c r="E189" s="807" t="str" cm="1">
        <f t="array" ref="E189">angleDecimal2Txt(O91)</f>
        <v>+27°39.00 (+27.6499) [+27°39'00.00]</v>
      </c>
      <c r="F189" s="807"/>
      <c r="G189" s="807"/>
      <c r="H189" s="807"/>
      <c r="I189" s="807"/>
      <c r="J189" s="807" t="s">
        <v>467</v>
      </c>
      <c r="K189" s="807"/>
      <c r="L189" s="807"/>
      <c r="AB189" s="61"/>
      <c r="AC189" s="247"/>
      <c r="AD189" s="247"/>
      <c r="AE189" s="247"/>
      <c r="AF189" s="247"/>
      <c r="AG189" s="247"/>
      <c r="AH189" s="247"/>
      <c r="AI189" s="247"/>
      <c r="AJ189" s="247"/>
      <c r="AK189" s="247"/>
      <c r="AL189" s="247"/>
      <c r="AM189" s="247"/>
      <c r="AN189" s="247"/>
      <c r="AO189" s="247"/>
      <c r="AP189" s="247"/>
      <c r="AQ189" s="247"/>
      <c r="AR189" s="247"/>
      <c r="AS189" s="247"/>
      <c r="AT189" s="247"/>
      <c r="AU189" s="247"/>
      <c r="AV189" s="247"/>
      <c r="AW189" s="247"/>
      <c r="AX189" s="247"/>
      <c r="AY189" s="247"/>
      <c r="AZ189" s="247"/>
      <c r="BA189" s="247"/>
      <c r="BB189" s="247"/>
      <c r="BC189" s="247"/>
      <c r="BD189" s="247"/>
      <c r="BE189" s="247"/>
      <c r="BF189" s="247"/>
      <c r="BG189" s="247"/>
      <c r="BH189" s="247"/>
      <c r="BI189" s="247"/>
      <c r="BJ189" s="247"/>
      <c r="BK189" s="247"/>
      <c r="BL189" s="247"/>
      <c r="BM189" s="247"/>
    </row>
    <row r="190" spans="2:65" s="281" customFormat="1" ht="17.25" customHeight="1">
      <c r="E190" s="302"/>
      <c r="F190" s="819" t="s">
        <v>389</v>
      </c>
      <c r="G190" s="821"/>
      <c r="H190" s="808" t="str">
        <f>angleDecimal2Txt($O$89)</f>
        <v>+00°00.00 (+00.0000) [+00°00'00.00]</v>
      </c>
      <c r="I190" s="808"/>
      <c r="J190" s="808"/>
      <c r="K190" s="808"/>
      <c r="L190" s="808"/>
      <c r="AB190" s="61"/>
      <c r="AC190" s="247"/>
      <c r="AD190" s="247"/>
      <c r="AE190" s="247"/>
      <c r="AF190" s="247"/>
      <c r="AG190" s="247"/>
      <c r="AH190" s="247"/>
      <c r="AI190" s="247"/>
      <c r="AJ190" s="247"/>
      <c r="AK190" s="247"/>
      <c r="AL190" s="247"/>
      <c r="AM190" s="247"/>
      <c r="AN190" s="247"/>
      <c r="AO190" s="247"/>
      <c r="AP190" s="247"/>
      <c r="AQ190" s="247"/>
      <c r="AR190" s="247"/>
      <c r="AS190" s="247"/>
      <c r="AT190" s="247"/>
      <c r="AU190" s="247"/>
      <c r="AV190" s="247"/>
      <c r="AW190" s="247"/>
      <c r="AX190" s="247"/>
      <c r="AY190" s="247"/>
      <c r="AZ190" s="247"/>
      <c r="BA190" s="247"/>
      <c r="BB190" s="247"/>
      <c r="BC190" s="247"/>
      <c r="BD190" s="247"/>
      <c r="BE190" s="247"/>
      <c r="BF190" s="247"/>
      <c r="BG190" s="247"/>
      <c r="BH190" s="247"/>
      <c r="BI190" s="247"/>
      <c r="BJ190" s="247"/>
      <c r="BK190" s="247"/>
      <c r="BL190" s="247"/>
      <c r="BM190" s="247"/>
    </row>
    <row r="191" spans="2:65" s="281" customFormat="1" ht="17.25" customHeight="1">
      <c r="F191" s="809" t="s">
        <v>396</v>
      </c>
      <c r="G191" s="809"/>
      <c r="H191" s="808" t="str">
        <f>angleDecimal2Txt(O99)</f>
        <v>+00°01.88 (+00.0314) [+00°01'53.34]</v>
      </c>
      <c r="I191" s="808"/>
      <c r="J191" s="808"/>
      <c r="K191" s="808"/>
      <c r="L191" s="808"/>
      <c r="AB191" s="61"/>
      <c r="AC191" s="247"/>
      <c r="AD191" s="247"/>
      <c r="AE191" s="247"/>
      <c r="AF191" s="247"/>
      <c r="AG191" s="247"/>
      <c r="AH191" s="247"/>
      <c r="AI191" s="247"/>
      <c r="AJ191" s="247"/>
      <c r="AK191" s="247"/>
      <c r="AL191" s="247"/>
      <c r="AM191" s="247"/>
      <c r="AN191" s="247"/>
      <c r="AO191" s="247"/>
      <c r="AP191" s="247"/>
      <c r="AQ191" s="247"/>
      <c r="AR191" s="247"/>
      <c r="AS191" s="247"/>
      <c r="AT191" s="247"/>
      <c r="AU191" s="247"/>
      <c r="AV191" s="247"/>
      <c r="AW191" s="247"/>
      <c r="AX191" s="247"/>
      <c r="AY191" s="247"/>
      <c r="AZ191" s="247"/>
      <c r="BA191" s="247"/>
      <c r="BB191" s="247"/>
      <c r="BC191" s="247"/>
      <c r="BD191" s="247"/>
      <c r="BE191" s="247"/>
      <c r="BF191" s="247"/>
      <c r="BG191" s="247"/>
      <c r="BH191" s="247"/>
      <c r="BI191" s="247"/>
      <c r="BJ191" s="247"/>
      <c r="BK191" s="247"/>
      <c r="BL191" s="247"/>
      <c r="BM191" s="247"/>
    </row>
    <row r="192" spans="2:65" s="281" customFormat="1" ht="17.25" customHeight="1">
      <c r="F192" s="809" t="s">
        <v>397</v>
      </c>
      <c r="G192" s="809"/>
      <c r="H192" s="809" t="str">
        <f>angleDecimal2Txt(O94)</f>
        <v>+00°00.15 (+00.0025) [+00°00'09.19]</v>
      </c>
      <c r="I192" s="809"/>
      <c r="J192" s="809"/>
      <c r="K192" s="809"/>
      <c r="L192" s="809"/>
      <c r="AB192" s="61"/>
      <c r="AC192" s="247"/>
      <c r="AD192" s="247"/>
      <c r="AE192" s="247"/>
      <c r="AF192" s="247"/>
      <c r="AG192" s="247"/>
      <c r="AH192" s="247"/>
      <c r="AI192" s="247"/>
      <c r="AJ192" s="247"/>
      <c r="AK192" s="247"/>
      <c r="AL192" s="247"/>
      <c r="AM192" s="247"/>
      <c r="AN192" s="247"/>
      <c r="AO192" s="247"/>
      <c r="AP192" s="247"/>
      <c r="AQ192" s="247"/>
      <c r="AR192" s="247"/>
      <c r="AS192" s="247"/>
      <c r="AT192" s="247"/>
      <c r="AU192" s="247"/>
      <c r="AV192" s="247"/>
      <c r="AW192" s="247"/>
      <c r="AX192" s="247"/>
      <c r="AY192" s="247"/>
      <c r="AZ192" s="247"/>
      <c r="BA192" s="247"/>
      <c r="BB192" s="247"/>
      <c r="BC192" s="247"/>
      <c r="BD192" s="247"/>
      <c r="BE192" s="247"/>
      <c r="BF192" s="247"/>
      <c r="BG192" s="247"/>
      <c r="BH192" s="247"/>
      <c r="BI192" s="247"/>
      <c r="BJ192" s="247"/>
      <c r="BK192" s="247"/>
      <c r="BL192" s="247"/>
      <c r="BM192" s="247"/>
    </row>
    <row r="193" spans="2:65" s="281" customFormat="1" ht="17.25" customHeight="1">
      <c r="F193" s="809" t="s">
        <v>100</v>
      </c>
      <c r="G193" s="809"/>
      <c r="H193" s="809" t="str" cm="1">
        <f t="array" ref="H193">angleDecimal2Txt(O101)</f>
        <v>+00°32.20 (+00.5366) [+00°32'12.00]</v>
      </c>
      <c r="I193" s="809"/>
      <c r="J193" s="809"/>
      <c r="K193" s="809"/>
      <c r="L193" s="809"/>
      <c r="AB193" s="61"/>
      <c r="AC193" s="247"/>
      <c r="AD193" s="247"/>
      <c r="AE193" s="247"/>
      <c r="AF193" s="247"/>
      <c r="AG193" s="247"/>
      <c r="AH193" s="247"/>
      <c r="AI193" s="247"/>
      <c r="AJ193" s="247"/>
      <c r="AK193" s="247"/>
      <c r="AL193" s="247"/>
      <c r="AM193" s="247"/>
      <c r="AN193" s="247"/>
      <c r="AO193" s="247"/>
      <c r="AP193" s="247"/>
      <c r="AQ193" s="247"/>
      <c r="AR193" s="247"/>
      <c r="AS193" s="247"/>
      <c r="AT193" s="247"/>
      <c r="AU193" s="247"/>
      <c r="AV193" s="247"/>
      <c r="AW193" s="247"/>
      <c r="AX193" s="247"/>
      <c r="AY193" s="247"/>
      <c r="AZ193" s="247"/>
      <c r="BA193" s="247"/>
      <c r="BB193" s="247"/>
      <c r="BC193" s="247"/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</row>
    <row r="194" spans="2:65" s="281" customFormat="1" ht="17.25" customHeight="1">
      <c r="F194" s="809" t="s">
        <v>71</v>
      </c>
      <c r="G194" s="809"/>
      <c r="H194" s="809" t="str" cm="1">
        <f t="array" ref="H194">angleDecimal2Txt(O103)</f>
        <v>+00°16.10 (+00.2683) [+00°16'06.00]</v>
      </c>
      <c r="I194" s="809"/>
      <c r="J194" s="809"/>
      <c r="K194" s="809"/>
      <c r="L194" s="809"/>
      <c r="AB194" s="61"/>
      <c r="AC194" s="247"/>
      <c r="AD194" s="247"/>
      <c r="AE194" s="247"/>
      <c r="AF194" s="247"/>
      <c r="AG194" s="247"/>
      <c r="AH194" s="247"/>
      <c r="AI194" s="247"/>
      <c r="AJ194" s="247"/>
      <c r="AK194" s="247"/>
      <c r="AL194" s="247"/>
      <c r="AM194" s="247"/>
      <c r="AN194" s="247"/>
      <c r="AO194" s="247"/>
      <c r="AP194" s="247"/>
      <c r="AQ194" s="247"/>
      <c r="AR194" s="247"/>
      <c r="AS194" s="247"/>
      <c r="AT194" s="247"/>
      <c r="AU194" s="247"/>
      <c r="AV194" s="247"/>
      <c r="AW194" s="247"/>
      <c r="AX194" s="247"/>
      <c r="AY194" s="247"/>
      <c r="AZ194" s="247"/>
      <c r="BA194" s="247"/>
      <c r="BB194" s="247"/>
      <c r="BC194" s="247"/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</row>
    <row r="195" spans="2:65" s="281" customFormat="1" ht="17.25" customHeight="1">
      <c r="D195" s="303"/>
      <c r="E195" s="807" t="str" cm="1">
        <f t="array" ref="E195">angleDecimal2Txt(F84)</f>
        <v>+27°53.36 (+27.8894) [+27°53'21.84]</v>
      </c>
      <c r="F195" s="807"/>
      <c r="G195" s="807"/>
      <c r="H195" s="807"/>
      <c r="I195" s="807"/>
      <c r="J195" s="807" t="s">
        <v>468</v>
      </c>
      <c r="K195" s="807"/>
      <c r="L195" s="807"/>
      <c r="AB195" s="61"/>
      <c r="AC195" s="247"/>
      <c r="AD195" s="247"/>
      <c r="AE195" s="247"/>
      <c r="AF195" s="247"/>
      <c r="AG195" s="247"/>
      <c r="AH195" s="247"/>
      <c r="AI195" s="247"/>
      <c r="AJ195" s="247"/>
      <c r="AK195" s="247"/>
      <c r="AL195" s="247"/>
      <c r="AM195" s="247"/>
      <c r="AN195" s="247"/>
      <c r="AO195" s="247"/>
      <c r="AP195" s="247"/>
      <c r="AQ195" s="247"/>
      <c r="AR195" s="247"/>
      <c r="AS195" s="247"/>
      <c r="AT195" s="247"/>
      <c r="AU195" s="247"/>
      <c r="AV195" s="247"/>
      <c r="AW195" s="247"/>
      <c r="AX195" s="247"/>
      <c r="AY195" s="247"/>
      <c r="AZ195" s="247"/>
      <c r="BA195" s="247"/>
      <c r="BB195" s="247"/>
      <c r="BC195" s="247"/>
      <c r="BD195" s="247"/>
      <c r="BE195" s="247"/>
      <c r="BF195" s="247"/>
      <c r="BG195" s="247"/>
      <c r="BH195" s="247"/>
      <c r="BI195" s="247"/>
      <c r="BJ195" s="247"/>
      <c r="BK195" s="247"/>
      <c r="BL195" s="247"/>
      <c r="BM195" s="247"/>
    </row>
    <row r="196" spans="2:65" s="281" customFormat="1" ht="17.25" customHeight="1">
      <c r="D196" s="303"/>
      <c r="F196" s="809" t="str" cm="1">
        <f t="array" ref="F196">angleDecimal2Txt(-1*(O89+O99-O94))</f>
        <v>-00°01.73 (-00.0289) [-00°01'44.15]</v>
      </c>
      <c r="G196" s="809"/>
      <c r="H196" s="809"/>
      <c r="I196" s="809"/>
      <c r="J196" s="809"/>
      <c r="K196" s="819" t="s">
        <v>398</v>
      </c>
      <c r="L196" s="820"/>
      <c r="M196" s="821"/>
      <c r="N196" s="850" t="s">
        <v>413</v>
      </c>
      <c r="O196" s="850"/>
      <c r="P196" s="850"/>
      <c r="AB196" s="61"/>
      <c r="AC196" s="247"/>
      <c r="AD196" s="247"/>
      <c r="AE196" s="247"/>
      <c r="AF196" s="247"/>
      <c r="AG196" s="247"/>
      <c r="AH196" s="247"/>
      <c r="AI196" s="247"/>
      <c r="AJ196" s="247"/>
      <c r="AK196" s="247"/>
      <c r="AL196" s="247"/>
      <c r="AM196" s="247"/>
      <c r="AN196" s="247"/>
      <c r="AO196" s="247"/>
      <c r="AP196" s="247"/>
      <c r="AQ196" s="247"/>
      <c r="AR196" s="247"/>
      <c r="AS196" s="247"/>
      <c r="AT196" s="247"/>
      <c r="AU196" s="247"/>
      <c r="AV196" s="247"/>
      <c r="AW196" s="247"/>
      <c r="AX196" s="247"/>
      <c r="AY196" s="247"/>
      <c r="AZ196" s="247"/>
      <c r="BA196" s="247"/>
      <c r="BB196" s="247"/>
      <c r="BC196" s="247"/>
      <c r="BD196" s="247"/>
      <c r="BE196" s="247"/>
      <c r="BF196" s="247"/>
      <c r="BG196" s="247"/>
      <c r="BH196" s="247"/>
      <c r="BI196" s="247"/>
      <c r="BJ196" s="247"/>
      <c r="BK196" s="247"/>
      <c r="BL196" s="247"/>
      <c r="BM196" s="247"/>
    </row>
    <row r="197" spans="2:65" s="281" customFormat="1" ht="17.25" customHeight="1">
      <c r="D197" s="303"/>
      <c r="F197" s="809" t="str" cm="1">
        <f t="array" ref="F197">angleDecimal2Txt(-1*O89-O99+O94+O103)</f>
        <v>+00°14.36 (+00.2394) [+00°14'21.84]</v>
      </c>
      <c r="G197" s="809"/>
      <c r="H197" s="809"/>
      <c r="I197" s="809"/>
      <c r="J197" s="809"/>
      <c r="K197" s="819" t="s">
        <v>394</v>
      </c>
      <c r="L197" s="820"/>
      <c r="M197" s="821"/>
      <c r="N197" s="850"/>
      <c r="O197" s="850"/>
      <c r="P197" s="850"/>
      <c r="AB197" s="61"/>
      <c r="AC197" s="247"/>
      <c r="AD197" s="247"/>
      <c r="AE197" s="247"/>
      <c r="AF197" s="247"/>
      <c r="AG197" s="247"/>
      <c r="AH197" s="247"/>
      <c r="AI197" s="247"/>
      <c r="AJ197" s="247"/>
      <c r="AK197" s="247"/>
      <c r="AL197" s="247"/>
      <c r="AM197" s="247"/>
      <c r="AN197" s="247"/>
      <c r="AO197" s="247"/>
      <c r="AP197" s="247"/>
      <c r="AQ197" s="247"/>
      <c r="AR197" s="247"/>
      <c r="AS197" s="247"/>
      <c r="AT197" s="247"/>
      <c r="AU197" s="247"/>
      <c r="AV197" s="247"/>
      <c r="AW197" s="247"/>
      <c r="AX197" s="247"/>
      <c r="AY197" s="247"/>
      <c r="AZ197" s="247"/>
      <c r="BA197" s="247"/>
      <c r="BB197" s="247"/>
      <c r="BC197" s="247"/>
      <c r="BD197" s="247"/>
      <c r="BE197" s="247"/>
      <c r="BF197" s="247"/>
      <c r="BG197" s="247"/>
      <c r="BH197" s="247"/>
      <c r="BI197" s="247"/>
      <c r="BJ197" s="247"/>
      <c r="BK197" s="247"/>
      <c r="BL197" s="247"/>
      <c r="BM197" s="247"/>
    </row>
    <row r="198" spans="2:65" s="281" customFormat="1" ht="17.25" customHeight="1">
      <c r="D198" s="303"/>
      <c r="F198" s="809" t="str">
        <f>angleDecimal2Txt(O94-O99+O103)</f>
        <v>+00°14.36 (+00.2394) [+00°14'21.84]</v>
      </c>
      <c r="G198" s="809"/>
      <c r="H198" s="809"/>
      <c r="I198" s="809"/>
      <c r="J198" s="809"/>
      <c r="K198" s="819" t="s">
        <v>395</v>
      </c>
      <c r="L198" s="820"/>
      <c r="M198" s="821"/>
      <c r="N198" s="850"/>
      <c r="O198" s="850"/>
      <c r="P198" s="850"/>
      <c r="AB198" s="61"/>
      <c r="AC198" s="247"/>
      <c r="AD198" s="247"/>
      <c r="AE198" s="247"/>
      <c r="AF198" s="247"/>
      <c r="AG198" s="247"/>
      <c r="AH198" s="247"/>
      <c r="AI198" s="247"/>
      <c r="AJ198" s="247"/>
      <c r="AK198" s="247"/>
      <c r="AL198" s="247"/>
      <c r="AM198" s="247"/>
      <c r="AN198" s="247"/>
      <c r="AO198" s="247"/>
      <c r="AP198" s="247"/>
      <c r="AQ198" s="247"/>
      <c r="AR198" s="247"/>
      <c r="AS198" s="247"/>
      <c r="AT198" s="247"/>
      <c r="AU198" s="247"/>
      <c r="AV198" s="247"/>
      <c r="AW198" s="247"/>
      <c r="AX198" s="247"/>
      <c r="AY198" s="247"/>
      <c r="AZ198" s="247"/>
      <c r="BA198" s="247"/>
      <c r="BB198" s="247"/>
      <c r="BC198" s="247"/>
      <c r="BD198" s="247"/>
      <c r="BE198" s="247"/>
      <c r="BF198" s="247"/>
      <c r="BG198" s="247"/>
      <c r="BH198" s="247"/>
      <c r="BI198" s="247"/>
      <c r="BJ198" s="247"/>
      <c r="BK198" s="247"/>
      <c r="BL198" s="247"/>
      <c r="BM198" s="247"/>
    </row>
    <row r="199" spans="2:65" s="281" customFormat="1" ht="17.25" customHeight="1">
      <c r="AB199" s="61"/>
      <c r="AC199" s="247"/>
      <c r="AD199" s="247"/>
      <c r="AE199" s="247"/>
      <c r="AF199" s="247"/>
      <c r="AG199" s="247"/>
      <c r="AH199" s="247"/>
      <c r="AI199" s="247"/>
      <c r="AJ199" s="247"/>
      <c r="AK199" s="247"/>
      <c r="AL199" s="247"/>
      <c r="AM199" s="247"/>
      <c r="AN199" s="247"/>
      <c r="AO199" s="247"/>
      <c r="AP199" s="247"/>
      <c r="AQ199" s="247"/>
      <c r="AR199" s="247"/>
      <c r="AS199" s="247"/>
      <c r="AT199" s="247"/>
      <c r="AU199" s="247"/>
      <c r="AV199" s="247"/>
      <c r="AW199" s="247"/>
      <c r="AX199" s="247"/>
      <c r="AY199" s="247"/>
      <c r="AZ199" s="247"/>
      <c r="BA199" s="247"/>
      <c r="BB199" s="247"/>
      <c r="BC199" s="247"/>
      <c r="BD199" s="247"/>
      <c r="BE199" s="247"/>
      <c r="BF199" s="247"/>
      <c r="BG199" s="247"/>
      <c r="BH199" s="247"/>
      <c r="BI199" s="247"/>
      <c r="BJ199" s="247"/>
      <c r="BK199" s="247"/>
      <c r="BL199" s="247"/>
      <c r="BM199" s="247"/>
    </row>
    <row r="200" spans="2:65" s="281" customFormat="1" ht="17.25" customHeight="1">
      <c r="C200" s="303"/>
      <c r="AB200" s="61"/>
      <c r="AC200" s="247"/>
      <c r="AD200" s="247"/>
      <c r="AE200" s="247"/>
      <c r="AF200" s="247"/>
      <c r="AG200" s="247"/>
      <c r="AH200" s="247"/>
      <c r="AI200" s="247"/>
      <c r="AJ200" s="247"/>
      <c r="AK200" s="247"/>
      <c r="AL200" s="247"/>
      <c r="AM200" s="247"/>
      <c r="AN200" s="247"/>
      <c r="AO200" s="247"/>
      <c r="AP200" s="247"/>
      <c r="AQ200" s="247"/>
      <c r="AR200" s="247"/>
      <c r="AS200" s="247"/>
      <c r="AT200" s="247"/>
      <c r="AU200" s="247"/>
      <c r="AV200" s="247"/>
      <c r="AW200" s="247"/>
      <c r="AX200" s="247"/>
      <c r="AY200" s="247"/>
      <c r="AZ200" s="247"/>
      <c r="BA200" s="247"/>
      <c r="BB200" s="247"/>
      <c r="BC200" s="247"/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</row>
    <row r="201" spans="2:65" s="281" customFormat="1" ht="17.25" customHeight="1" thickBot="1">
      <c r="B201" s="301" t="s">
        <v>62</v>
      </c>
      <c r="C201" s="300"/>
      <c r="D201" s="300"/>
      <c r="E201" s="300"/>
      <c r="F201" s="300"/>
      <c r="G201" s="300"/>
      <c r="H201" s="301"/>
      <c r="I201" s="301"/>
      <c r="J201" s="301"/>
      <c r="K201" s="301"/>
      <c r="L201" s="301"/>
      <c r="M201" s="301"/>
      <c r="N201" s="301"/>
      <c r="O201" s="301"/>
      <c r="P201" s="301"/>
      <c r="Q201" s="301"/>
      <c r="AB201" s="61"/>
      <c r="AC201" s="247"/>
      <c r="AD201" s="247"/>
      <c r="AE201" s="247"/>
      <c r="AF201" s="247"/>
      <c r="AG201" s="247"/>
      <c r="AH201" s="247"/>
      <c r="AI201" s="247"/>
      <c r="AJ201" s="247"/>
      <c r="AK201" s="247"/>
      <c r="AL201" s="247"/>
      <c r="AM201" s="247"/>
      <c r="AN201" s="247"/>
      <c r="AO201" s="247"/>
      <c r="AP201" s="247"/>
      <c r="AQ201" s="247"/>
      <c r="AR201" s="247"/>
      <c r="AS201" s="247"/>
      <c r="AT201" s="247"/>
      <c r="AU201" s="247"/>
      <c r="AV201" s="247"/>
      <c r="AW201" s="247"/>
      <c r="AX201" s="247"/>
      <c r="AY201" s="247"/>
      <c r="AZ201" s="247"/>
      <c r="BA201" s="247"/>
      <c r="BB201" s="247"/>
      <c r="BC201" s="247"/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</row>
    <row r="202" spans="2:65" s="281" customFormat="1" ht="17.25" customHeight="1" thickTop="1">
      <c r="C202" s="872" t="s">
        <v>399</v>
      </c>
      <c r="D202" s="872"/>
      <c r="E202" s="872" t="str" cm="1">
        <f t="array" ref="E202">latitudeDecimal2Txt(G32)</f>
        <v>N 48°52.53 (N 48.8755) [N 48°52'31.80]</v>
      </c>
      <c r="F202" s="872"/>
      <c r="G202" s="872"/>
      <c r="H202" s="872"/>
      <c r="I202" s="872"/>
      <c r="J202" s="872"/>
      <c r="AB202" s="61"/>
      <c r="AC202" s="247"/>
      <c r="AD202" s="247"/>
      <c r="AE202" s="247"/>
      <c r="AF202" s="247"/>
      <c r="AG202" s="247"/>
      <c r="AH202" s="247"/>
      <c r="AI202" s="247"/>
      <c r="AJ202" s="247"/>
      <c r="AK202" s="247"/>
      <c r="AL202" s="247"/>
      <c r="AM202" s="247"/>
      <c r="AN202" s="247"/>
      <c r="AO202" s="247"/>
      <c r="AP202" s="247"/>
      <c r="AQ202" s="247"/>
      <c r="AR202" s="247"/>
      <c r="AS202" s="247"/>
      <c r="AT202" s="247"/>
      <c r="AU202" s="247"/>
      <c r="AV202" s="247"/>
      <c r="AW202" s="247"/>
      <c r="AX202" s="247"/>
      <c r="AY202" s="247"/>
      <c r="AZ202" s="247"/>
      <c r="BA202" s="247"/>
      <c r="BB202" s="247"/>
      <c r="BC202" s="247"/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</row>
    <row r="203" spans="2:65" s="281" customFormat="1" ht="17.25" customHeight="1">
      <c r="C203" s="811" t="s">
        <v>400</v>
      </c>
      <c r="D203" s="811"/>
      <c r="E203" s="811" t="str" cm="1">
        <f t="array" ref="E203">longitudeDecimal2Txt(G34)</f>
        <v>E 02°05.66 (E 02.0945) [E 02°05'40.19]</v>
      </c>
      <c r="F203" s="811"/>
      <c r="G203" s="811"/>
      <c r="H203" s="811"/>
      <c r="I203" s="811"/>
      <c r="J203" s="811"/>
      <c r="AB203" s="61"/>
      <c r="AC203" s="247"/>
      <c r="AD203" s="247"/>
      <c r="AE203" s="247"/>
      <c r="AF203" s="247"/>
      <c r="AG203" s="247"/>
      <c r="AH203" s="247"/>
      <c r="AI203" s="247"/>
      <c r="AJ203" s="247"/>
      <c r="AK203" s="247"/>
      <c r="AL203" s="247"/>
      <c r="AM203" s="247"/>
      <c r="AN203" s="247"/>
      <c r="AO203" s="247"/>
      <c r="AP203" s="247"/>
      <c r="AQ203" s="247"/>
      <c r="AR203" s="247"/>
      <c r="AS203" s="247"/>
      <c r="AT203" s="247"/>
      <c r="AU203" s="247"/>
      <c r="AV203" s="247"/>
      <c r="AW203" s="247"/>
      <c r="AX203" s="247"/>
      <c r="AY203" s="247"/>
      <c r="AZ203" s="247"/>
      <c r="BA203" s="247"/>
      <c r="BB203" s="247"/>
      <c r="BC203" s="247"/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</row>
    <row r="204" spans="2:65" s="281" customFormat="1" ht="17.25" customHeight="1">
      <c r="F204" s="850" t="str">
        <f>CONCATENATE("GHA - ", G60)</f>
        <v>GHA - Par interval</v>
      </c>
      <c r="G204" s="850"/>
      <c r="H204" s="809">
        <f>IF($G$60=$AD$60,K63,CONCATENATE("T0:",K70))</f>
        <v>15</v>
      </c>
      <c r="I204" s="809"/>
      <c r="J204" s="809"/>
      <c r="K204" s="819" t="str" cm="1">
        <f t="array" ref="K204">IF($G$60=$AD$60,angleDecimal2Txt(angleConvert2Decimal(O63),0),CONCATENATE("Pos. à T0:",angleDecimal2Txt(angleConvert2Decimal(O70),0)))</f>
        <v>+43°55.10</v>
      </c>
      <c r="L204" s="820"/>
      <c r="M204" s="821"/>
      <c r="AB204" s="61"/>
      <c r="AC204" s="247"/>
      <c r="AD204" s="247"/>
      <c r="AE204" s="247"/>
      <c r="AF204" s="247"/>
      <c r="AG204" s="247"/>
      <c r="AH204" s="247"/>
      <c r="AI204" s="247"/>
      <c r="AJ204" s="247"/>
      <c r="AK204" s="247"/>
      <c r="AL204" s="247"/>
      <c r="AM204" s="247"/>
      <c r="AN204" s="247"/>
      <c r="AO204" s="247"/>
      <c r="AP204" s="247"/>
      <c r="AQ204" s="247"/>
      <c r="AR204" s="247"/>
      <c r="AS204" s="247"/>
      <c r="AT204" s="247"/>
      <c r="AU204" s="247"/>
      <c r="AV204" s="247"/>
      <c r="AW204" s="247"/>
      <c r="AX204" s="247"/>
      <c r="AY204" s="247"/>
      <c r="AZ204" s="247"/>
      <c r="BA204" s="247"/>
      <c r="BB204" s="247"/>
      <c r="BC204" s="247"/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</row>
    <row r="205" spans="2:65" s="281" customFormat="1" ht="17.25" customHeight="1">
      <c r="F205" s="850"/>
      <c r="G205" s="850"/>
      <c r="H205" s="809">
        <f>IF($G$60=$AD$60,K65,CONCATENATE("V:",AD73,0))</f>
        <v>16</v>
      </c>
      <c r="I205" s="809"/>
      <c r="J205" s="809"/>
      <c r="K205" s="819" t="str" cm="1">
        <f t="array" ref="K205">IF($G$60=$AD$60,angleDecimal2Txt(angleConvert2Decimal(O65),0),CONCATENATE("dt:",TEXT((I70-K70),"0.000")," h"))</f>
        <v>+58°55.29</v>
      </c>
      <c r="L205" s="820"/>
      <c r="M205" s="821"/>
      <c r="AB205" s="61"/>
      <c r="AC205" s="247"/>
      <c r="AD205" s="247"/>
      <c r="AE205" s="247"/>
      <c r="AF205" s="247"/>
      <c r="AG205" s="247"/>
      <c r="AH205" s="247"/>
      <c r="AI205" s="247"/>
      <c r="AJ205" s="247"/>
      <c r="AK205" s="247"/>
      <c r="AL205" s="247"/>
      <c r="AM205" s="247"/>
      <c r="AN205" s="247"/>
      <c r="AO205" s="247"/>
      <c r="AP205" s="247"/>
      <c r="AQ205" s="247"/>
      <c r="AR205" s="247"/>
      <c r="AS205" s="247"/>
      <c r="AT205" s="247"/>
      <c r="AU205" s="247"/>
      <c r="AV205" s="247"/>
      <c r="AW205" s="247"/>
      <c r="AX205" s="247"/>
      <c r="AY205" s="247"/>
      <c r="AZ205" s="247"/>
      <c r="BA205" s="247"/>
      <c r="BB205" s="247"/>
      <c r="BC205" s="247"/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</row>
    <row r="206" spans="2:65" s="281" customFormat="1" ht="17.25" customHeight="1">
      <c r="C206" s="859" t="s">
        <v>401</v>
      </c>
      <c r="D206" s="859"/>
      <c r="E206" s="859" t="str" cm="1">
        <f t="array" ref="E206">angleDecimal2Txt(F59)</f>
        <v>+48°53.66 (+48.8944) [+48°53'39.98]</v>
      </c>
      <c r="F206" s="859"/>
      <c r="G206" s="859"/>
      <c r="H206" s="859"/>
      <c r="I206" s="859"/>
      <c r="J206" s="859"/>
      <c r="AB206" s="61"/>
      <c r="AC206" s="247"/>
      <c r="AD206" s="247"/>
      <c r="AE206" s="247"/>
      <c r="AF206" s="247"/>
      <c r="AG206" s="247"/>
      <c r="AH206" s="247"/>
      <c r="AI206" s="247"/>
      <c r="AJ206" s="247"/>
      <c r="AK206" s="247"/>
      <c r="AL206" s="247"/>
      <c r="AM206" s="247"/>
      <c r="AN206" s="247"/>
      <c r="AO206" s="247"/>
      <c r="AP206" s="247"/>
      <c r="AQ206" s="247"/>
      <c r="AR206" s="247"/>
      <c r="AS206" s="247"/>
      <c r="AT206" s="247"/>
      <c r="AU206" s="247"/>
      <c r="AV206" s="247"/>
      <c r="AW206" s="247"/>
      <c r="AX206" s="247"/>
      <c r="AY206" s="247"/>
      <c r="AZ206" s="247"/>
      <c r="BA206" s="247"/>
      <c r="BB206" s="247"/>
      <c r="BC206" s="247"/>
      <c r="BD206" s="247"/>
      <c r="BE206" s="247"/>
      <c r="BF206" s="247"/>
      <c r="BG206" s="247"/>
      <c r="BH206" s="247"/>
      <c r="BI206" s="247"/>
      <c r="BJ206" s="247"/>
      <c r="BK206" s="247"/>
      <c r="BL206" s="247"/>
      <c r="BM206" s="247"/>
    </row>
    <row r="207" spans="2:65" s="281" customFormat="1" ht="17.25" customHeight="1">
      <c r="C207" s="859" t="s">
        <v>43</v>
      </c>
      <c r="D207" s="859"/>
      <c r="E207" s="859" t="str" cm="1">
        <f t="array" ref="E207">angleDecimal2Txt(F80)</f>
        <v>+50°59.33 (+50.9889) [+50°59'20.18]</v>
      </c>
      <c r="F207" s="859"/>
      <c r="G207" s="859"/>
      <c r="H207" s="859"/>
      <c r="I207" s="859"/>
      <c r="J207" s="859"/>
      <c r="AB207" s="61"/>
      <c r="AC207" s="247"/>
      <c r="AD207" s="247"/>
      <c r="AE207" s="247"/>
      <c r="AF207" s="247"/>
      <c r="AG207" s="247"/>
      <c r="AH207" s="247"/>
      <c r="AI207" s="247"/>
      <c r="AJ207" s="247"/>
      <c r="AK207" s="247"/>
      <c r="AL207" s="247"/>
      <c r="AM207" s="247"/>
      <c r="AN207" s="247"/>
      <c r="AO207" s="247"/>
      <c r="AP207" s="247"/>
      <c r="AQ207" s="247"/>
      <c r="AR207" s="247"/>
      <c r="AS207" s="247"/>
      <c r="AT207" s="247"/>
      <c r="AU207" s="247"/>
      <c r="AV207" s="247"/>
      <c r="AW207" s="247"/>
      <c r="AX207" s="247"/>
      <c r="AY207" s="247"/>
      <c r="AZ207" s="247"/>
      <c r="BA207" s="247"/>
      <c r="BB207" s="247"/>
      <c r="BC207" s="247"/>
      <c r="BD207" s="247"/>
      <c r="BE207" s="247"/>
      <c r="BF207" s="247"/>
      <c r="BG207" s="247"/>
      <c r="BH207" s="247"/>
      <c r="BI207" s="247"/>
      <c r="BJ207" s="247"/>
      <c r="BK207" s="247"/>
      <c r="BL207" s="247"/>
      <c r="BM207" s="247"/>
    </row>
    <row r="208" spans="2:65" s="281" customFormat="1" ht="17.25" customHeight="1">
      <c r="F208" s="850" t="str">
        <f>CONCATENATE("Déc. - ", G39)</f>
        <v>Déc. - Par interval</v>
      </c>
      <c r="G208" s="850"/>
      <c r="H208" s="809">
        <f>IF($G$39=$AD$39,K42,CONCATENATE("T0:",K49))</f>
        <v>15</v>
      </c>
      <c r="I208" s="809"/>
      <c r="J208" s="819" t="str" cm="1">
        <f t="array" ref="J208">IF($G$39=$AD$39,angleDecimal2Txt(AE42,0),CONCATENATE("Pos. à T0:",AD50,0))</f>
        <v>+04°01.30</v>
      </c>
      <c r="K208" s="820"/>
      <c r="L208" s="820"/>
      <c r="M208" s="821"/>
      <c r="AB208" s="61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247"/>
      <c r="AM208" s="247"/>
      <c r="AN208" s="247"/>
      <c r="AO208" s="247"/>
      <c r="AP208" s="247"/>
      <c r="AQ208" s="247"/>
      <c r="AR208" s="247"/>
      <c r="AS208" s="247"/>
      <c r="AT208" s="247"/>
      <c r="AU208" s="247"/>
      <c r="AV208" s="247"/>
      <c r="AW208" s="247"/>
      <c r="AX208" s="247"/>
      <c r="AY208" s="247"/>
      <c r="AZ208" s="247"/>
      <c r="BA208" s="247"/>
      <c r="BB208" s="247"/>
      <c r="BC208" s="247"/>
      <c r="BD208" s="247"/>
      <c r="BE208" s="247"/>
      <c r="BF208" s="247"/>
      <c r="BG208" s="247"/>
      <c r="BH208" s="247"/>
      <c r="BI208" s="247"/>
      <c r="BJ208" s="247"/>
      <c r="BK208" s="247"/>
      <c r="BL208" s="247"/>
      <c r="BM208" s="247"/>
    </row>
    <row r="209" spans="3:65" s="281" customFormat="1" ht="17.25" customHeight="1">
      <c r="F209" s="850"/>
      <c r="G209" s="850"/>
      <c r="H209" s="809" cm="1">
        <f t="array" ref="H209">IF($G$39=$AD$39,K44,CONCATENATE("V:",angleDecimal2Txt(AD52,0)))</f>
        <v>16</v>
      </c>
      <c r="I209" s="809"/>
      <c r="J209" s="819" t="str" cm="1">
        <f t="array" ref="J209">IF($G$39=$AD$39,angleDecimal2Txt(AE43,0),CONCATENATE("dt:",TEXT((I49-K49),"0.000")," h"))</f>
        <v>+04°02.29</v>
      </c>
      <c r="K209" s="820"/>
      <c r="L209" s="820"/>
      <c r="M209" s="821"/>
      <c r="AB209" s="61"/>
      <c r="AC209" s="247"/>
      <c r="AD209" s="247"/>
      <c r="AE209" s="247"/>
      <c r="AF209" s="247"/>
      <c r="AG209" s="247"/>
      <c r="AH209" s="247"/>
      <c r="AI209" s="247"/>
      <c r="AJ209" s="247"/>
      <c r="AK209" s="247"/>
      <c r="AL209" s="247"/>
      <c r="AM209" s="247"/>
      <c r="AN209" s="247"/>
      <c r="AO209" s="247"/>
      <c r="AP209" s="247"/>
      <c r="AQ209" s="247"/>
      <c r="AR209" s="247"/>
      <c r="AS209" s="247"/>
      <c r="AT209" s="247"/>
      <c r="AU209" s="247"/>
      <c r="AV209" s="247"/>
      <c r="AW209" s="247"/>
      <c r="AX209" s="247"/>
      <c r="AY209" s="247"/>
      <c r="AZ209" s="247"/>
      <c r="BA209" s="247"/>
      <c r="BB209" s="247"/>
      <c r="BC209" s="247"/>
      <c r="BD209" s="247"/>
      <c r="BE209" s="247"/>
      <c r="BF209" s="247"/>
      <c r="BG209" s="247"/>
      <c r="BH209" s="247"/>
      <c r="BI209" s="247"/>
      <c r="BJ209" s="247"/>
      <c r="BK209" s="247"/>
      <c r="BL209" s="247"/>
      <c r="BM209" s="247"/>
    </row>
    <row r="210" spans="3:65" s="281" customFormat="1" ht="17.25" customHeight="1">
      <c r="C210" s="859" t="s">
        <v>9</v>
      </c>
      <c r="D210" s="859"/>
      <c r="E210" s="859" t="str" cm="1">
        <f t="array" ref="E210">latitudeDecimal2Txt(F38)</f>
        <v>N 04°01.63 (N 04.0271) [N 04°01'37.89]</v>
      </c>
      <c r="F210" s="859"/>
      <c r="G210" s="859"/>
      <c r="H210" s="859"/>
      <c r="I210" s="859"/>
      <c r="J210" s="859"/>
      <c r="AB210" s="61"/>
      <c r="AC210" s="247"/>
      <c r="AD210" s="247"/>
      <c r="AE210" s="247"/>
      <c r="AF210" s="247"/>
      <c r="AG210" s="247"/>
      <c r="AH210" s="247"/>
      <c r="AI210" s="247"/>
      <c r="AJ210" s="247"/>
      <c r="AK210" s="247"/>
      <c r="AL210" s="247"/>
      <c r="AM210" s="247"/>
      <c r="AN210" s="247"/>
      <c r="AO210" s="247"/>
      <c r="AP210" s="247"/>
      <c r="AQ210" s="247"/>
      <c r="AR210" s="247"/>
      <c r="AS210" s="247"/>
      <c r="AT210" s="247"/>
      <c r="AU210" s="247"/>
      <c r="AV210" s="247"/>
      <c r="AW210" s="247"/>
      <c r="AX210" s="247"/>
      <c r="AY210" s="247"/>
      <c r="AZ210" s="247"/>
      <c r="BA210" s="247"/>
      <c r="BB210" s="247"/>
      <c r="BC210" s="247"/>
      <c r="BD210" s="247"/>
      <c r="BE210" s="247"/>
      <c r="BF210" s="247"/>
      <c r="BG210" s="247"/>
      <c r="BH210" s="247"/>
      <c r="BI210" s="247"/>
      <c r="BJ210" s="247"/>
      <c r="BK210" s="247"/>
      <c r="BL210" s="247"/>
      <c r="BM210" s="247"/>
    </row>
    <row r="211" spans="3:65" s="281" customFormat="1" ht="17.25" customHeight="1">
      <c r="F211" s="809" t="s">
        <v>403</v>
      </c>
      <c r="G211" s="809"/>
      <c r="H211" s="809">
        <f>SIN(U126)</f>
        <v>7.0229942281777827E-2</v>
      </c>
      <c r="I211" s="809"/>
      <c r="J211" s="809">
        <f>SIN(U139)</f>
        <v>0.75328222603667561</v>
      </c>
      <c r="K211" s="809"/>
      <c r="L211" s="819" t="s">
        <v>404</v>
      </c>
      <c r="M211" s="821"/>
      <c r="AB211" s="61"/>
      <c r="AC211" s="247"/>
      <c r="AD211" s="247"/>
      <c r="AE211" s="247"/>
      <c r="AF211" s="247"/>
      <c r="AG211" s="247"/>
      <c r="AH211" s="247"/>
      <c r="AI211" s="247"/>
      <c r="AJ211" s="247"/>
      <c r="AK211" s="247"/>
      <c r="AL211" s="247"/>
      <c r="AM211" s="247"/>
      <c r="AN211" s="247"/>
      <c r="AO211" s="247"/>
      <c r="AP211" s="247"/>
      <c r="AQ211" s="247"/>
      <c r="AR211" s="247"/>
      <c r="AS211" s="247"/>
      <c r="AT211" s="247"/>
      <c r="AU211" s="247"/>
      <c r="AV211" s="247"/>
      <c r="AW211" s="247"/>
      <c r="AX211" s="247"/>
      <c r="AY211" s="247"/>
      <c r="AZ211" s="247"/>
      <c r="BA211" s="247"/>
      <c r="BB211" s="247"/>
      <c r="BC211" s="247"/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</row>
    <row r="212" spans="3:65" s="281" customFormat="1" ht="17.25" customHeight="1">
      <c r="F212" s="809" t="s">
        <v>402</v>
      </c>
      <c r="G212" s="809"/>
      <c r="H212" s="809">
        <f>COS(U138)</f>
        <v>0.99753082920133263</v>
      </c>
      <c r="I212" s="809"/>
      <c r="J212" s="809">
        <f>COS(U139)</f>
        <v>0.65769741366165546</v>
      </c>
      <c r="K212" s="809"/>
      <c r="L212" s="819" t="s">
        <v>405</v>
      </c>
      <c r="M212" s="821"/>
      <c r="AB212" s="61"/>
      <c r="AC212" s="247"/>
      <c r="AD212" s="247"/>
      <c r="AE212" s="247"/>
      <c r="AF212" s="247"/>
      <c r="AG212" s="247"/>
      <c r="AH212" s="247"/>
      <c r="AI212" s="247"/>
      <c r="AJ212" s="247"/>
      <c r="AK212" s="247"/>
      <c r="AL212" s="247"/>
      <c r="AM212" s="247"/>
      <c r="AN212" s="247"/>
      <c r="AO212" s="247"/>
      <c r="AP212" s="247"/>
      <c r="AQ212" s="247"/>
      <c r="AR212" s="247"/>
      <c r="AS212" s="247"/>
      <c r="AT212" s="247"/>
      <c r="AU212" s="247"/>
      <c r="AV212" s="247"/>
      <c r="AW212" s="247"/>
      <c r="AX212" s="247"/>
      <c r="AY212" s="247"/>
      <c r="AZ212" s="247"/>
      <c r="BA212" s="247"/>
      <c r="BB212" s="247"/>
      <c r="BC212" s="247"/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</row>
    <row r="213" spans="3:65" s="281" customFormat="1" ht="17.25" customHeight="1">
      <c r="F213" s="853" t="s">
        <v>406</v>
      </c>
      <c r="G213" s="853"/>
      <c r="H213" s="853">
        <f>COS(U128)</f>
        <v>0.62947040953165656</v>
      </c>
      <c r="I213" s="853"/>
      <c r="J213" s="304"/>
      <c r="K213" s="304"/>
      <c r="L213" s="304"/>
      <c r="M213" s="304"/>
      <c r="AB213" s="61"/>
      <c r="AC213" s="247"/>
      <c r="AD213" s="247"/>
      <c r="AE213" s="247"/>
      <c r="AF213" s="247"/>
      <c r="AG213" s="247"/>
      <c r="AH213" s="247"/>
      <c r="AI213" s="247"/>
      <c r="AJ213" s="247"/>
      <c r="AK213" s="247"/>
      <c r="AL213" s="247"/>
      <c r="AM213" s="247"/>
      <c r="AN213" s="247"/>
      <c r="AO213" s="247"/>
      <c r="AP213" s="247"/>
      <c r="AQ213" s="247"/>
      <c r="AR213" s="247"/>
      <c r="AS213" s="247"/>
      <c r="AT213" s="247"/>
      <c r="AU213" s="247"/>
      <c r="AV213" s="247"/>
      <c r="AW213" s="247"/>
      <c r="AX213" s="247"/>
      <c r="AY213" s="247"/>
      <c r="AZ213" s="247"/>
      <c r="BA213" s="247"/>
      <c r="BB213" s="247"/>
      <c r="BC213" s="247"/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</row>
    <row r="214" spans="3:65" s="281" customFormat="1" ht="17.25" customHeight="1">
      <c r="F214" s="854" t="s">
        <v>407</v>
      </c>
      <c r="G214" s="855"/>
      <c r="H214" s="855"/>
      <c r="I214" s="855"/>
      <c r="J214" s="855"/>
      <c r="K214" s="855"/>
      <c r="L214" s="855"/>
      <c r="M214" s="856"/>
      <c r="AB214" s="61"/>
      <c r="AC214" s="247"/>
      <c r="AD214" s="247"/>
      <c r="AE214" s="247"/>
      <c r="AF214" s="247"/>
      <c r="AG214" s="247"/>
      <c r="AH214" s="247"/>
      <c r="AI214" s="247"/>
      <c r="AJ214" s="247"/>
      <c r="AK214" s="247"/>
      <c r="AL214" s="247"/>
      <c r="AM214" s="247"/>
      <c r="AN214" s="247"/>
      <c r="AO214" s="247"/>
      <c r="AP214" s="247"/>
      <c r="AQ214" s="247"/>
      <c r="AR214" s="247"/>
      <c r="AS214" s="247"/>
      <c r="AT214" s="247"/>
      <c r="AU214" s="247"/>
      <c r="AV214" s="247"/>
      <c r="AW214" s="247"/>
      <c r="AX214" s="247"/>
      <c r="AY214" s="247"/>
      <c r="AZ214" s="247"/>
      <c r="BA214" s="247"/>
      <c r="BB214" s="247"/>
      <c r="BC214" s="247"/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</row>
    <row r="215" spans="3:65" s="281" customFormat="1" ht="17.25" customHeight="1">
      <c r="F215" s="809" t="s">
        <v>414</v>
      </c>
      <c r="G215" s="809"/>
      <c r="H215" s="819">
        <f>H211*J211+H212*J212*H213</f>
        <v>0.46588178825318538</v>
      </c>
      <c r="I215" s="820"/>
      <c r="J215" s="820"/>
      <c r="K215" s="820"/>
      <c r="L215" s="820"/>
      <c r="M215" s="821"/>
      <c r="AB215" s="61"/>
      <c r="AC215" s="247">
        <f>ASIN(H215)*Outils!F5</f>
        <v>27.767304808145891</v>
      </c>
      <c r="AD215" s="247"/>
      <c r="AE215" s="247"/>
      <c r="AF215" s="247"/>
      <c r="AG215" s="247"/>
      <c r="AH215" s="247"/>
      <c r="AI215" s="247"/>
      <c r="AJ215" s="247"/>
      <c r="AK215" s="247"/>
      <c r="AL215" s="247"/>
      <c r="AM215" s="247"/>
      <c r="AN215" s="247"/>
      <c r="AO215" s="247"/>
      <c r="AP215" s="247"/>
      <c r="AQ215" s="247"/>
      <c r="AR215" s="247"/>
      <c r="AS215" s="247"/>
      <c r="AT215" s="247"/>
      <c r="AU215" s="247"/>
      <c r="AV215" s="247"/>
      <c r="AW215" s="247"/>
      <c r="AX215" s="247"/>
      <c r="AY215" s="247"/>
      <c r="AZ215" s="247"/>
      <c r="BA215" s="247"/>
      <c r="BB215" s="247"/>
      <c r="BC215" s="247"/>
      <c r="BD215" s="247"/>
      <c r="BE215" s="247"/>
      <c r="BF215" s="247"/>
      <c r="BG215" s="247"/>
      <c r="BH215" s="247"/>
      <c r="BI215" s="247"/>
      <c r="BJ215" s="247"/>
      <c r="BK215" s="247"/>
      <c r="BL215" s="247"/>
      <c r="BM215" s="247"/>
    </row>
    <row r="216" spans="3:65" s="281" customFormat="1" ht="17.25" customHeight="1">
      <c r="C216" s="807" t="s">
        <v>408</v>
      </c>
      <c r="D216" s="807"/>
      <c r="E216" s="807" t="str">
        <f>angleDecimal2Txt(I126)</f>
        <v>+27°46.03 (+27.7673) [+27°46'02.29]</v>
      </c>
      <c r="F216" s="807"/>
      <c r="G216" s="807"/>
      <c r="H216" s="807"/>
      <c r="I216" s="807"/>
      <c r="J216" s="807"/>
      <c r="AB216" s="61"/>
      <c r="AC216" s="247"/>
      <c r="AD216" s="247"/>
      <c r="AE216" s="247"/>
      <c r="AF216" s="247"/>
      <c r="AG216" s="247"/>
      <c r="AH216" s="247"/>
      <c r="AI216" s="247"/>
      <c r="AJ216" s="247"/>
      <c r="AK216" s="247"/>
      <c r="AL216" s="247"/>
      <c r="AM216" s="247"/>
      <c r="AN216" s="247"/>
      <c r="AO216" s="247"/>
      <c r="AP216" s="247"/>
      <c r="AQ216" s="247"/>
      <c r="AR216" s="247"/>
      <c r="AS216" s="247"/>
      <c r="AT216" s="247"/>
      <c r="AU216" s="247"/>
      <c r="AV216" s="247"/>
      <c r="AW216" s="247"/>
      <c r="AX216" s="247"/>
      <c r="AY216" s="247"/>
      <c r="AZ216" s="247"/>
      <c r="BA216" s="247"/>
      <c r="BB216" s="247"/>
      <c r="BC216" s="247"/>
      <c r="BD216" s="247"/>
      <c r="BE216" s="247"/>
      <c r="BF216" s="247"/>
      <c r="BG216" s="247"/>
      <c r="BH216" s="247"/>
      <c r="BI216" s="247"/>
      <c r="BJ216" s="247"/>
      <c r="BK216" s="247"/>
      <c r="BL216" s="247"/>
      <c r="BM216" s="247"/>
    </row>
    <row r="217" spans="3:65" s="281" customFormat="1" ht="17.25" customHeight="1">
      <c r="C217" s="828" t="s">
        <v>640</v>
      </c>
      <c r="D217" s="829"/>
      <c r="E217" s="807" t="str">
        <f>angleDecimal2Txt((F84-I126),0)</f>
        <v>+00°07.32</v>
      </c>
      <c r="F217" s="807"/>
      <c r="G217" s="807"/>
      <c r="H217" s="807"/>
      <c r="I217" s="807"/>
      <c r="J217" s="807"/>
      <c r="AB217" s="61"/>
      <c r="AC217" s="247"/>
      <c r="AD217" s="247"/>
      <c r="AE217" s="247"/>
      <c r="AF217" s="247"/>
      <c r="AG217" s="247"/>
      <c r="AH217" s="247"/>
      <c r="AI217" s="247"/>
      <c r="AJ217" s="247"/>
      <c r="AK217" s="247"/>
      <c r="AL217" s="247"/>
      <c r="AM217" s="247"/>
      <c r="AN217" s="247"/>
      <c r="AO217" s="247"/>
      <c r="AP217" s="247"/>
      <c r="AQ217" s="247"/>
      <c r="AR217" s="247"/>
      <c r="AS217" s="247"/>
      <c r="AT217" s="247"/>
      <c r="AU217" s="247"/>
      <c r="AV217" s="247"/>
      <c r="AW217" s="247"/>
      <c r="AX217" s="247"/>
      <c r="AY217" s="247"/>
      <c r="AZ217" s="247"/>
      <c r="BA217" s="247"/>
      <c r="BB217" s="247"/>
      <c r="BC217" s="247"/>
      <c r="BD217" s="247"/>
      <c r="BE217" s="247"/>
      <c r="BF217" s="247"/>
      <c r="BG217" s="247"/>
      <c r="BH217" s="247"/>
      <c r="BI217" s="247"/>
      <c r="BJ217" s="247"/>
      <c r="BK217" s="247"/>
      <c r="BL217" s="247"/>
      <c r="BM217" s="247"/>
    </row>
    <row r="218" spans="3:65" ht="17.25" customHeight="1">
      <c r="C218" s="830"/>
      <c r="D218" s="831"/>
      <c r="E218" s="827" t="str">
        <f>CONCATENATE(V131,"  Mn")</f>
        <v>7.32587095229583  Mn</v>
      </c>
      <c r="F218" s="827"/>
      <c r="G218" s="827"/>
      <c r="H218" s="827"/>
      <c r="I218" s="827"/>
      <c r="J218" s="827"/>
      <c r="O218" s="817" t="s">
        <v>350</v>
      </c>
      <c r="P218" s="817" t="str" cm="1">
        <f t="array" ref="P218">latitudeDecimal2Txt(V132,0)</f>
        <v>N 04°01.63</v>
      </c>
      <c r="Q218" s="817"/>
      <c r="AC218" s="305">
        <f>V131</f>
        <v>7.3258709522958299</v>
      </c>
    </row>
    <row r="219" spans="3:65" ht="17.25" customHeight="1">
      <c r="C219" s="832"/>
      <c r="D219" s="833"/>
      <c r="E219" s="827" t="str">
        <f>X131</f>
        <v>Vers Pg</v>
      </c>
      <c r="F219" s="864"/>
      <c r="G219" s="864"/>
      <c r="H219" s="864"/>
      <c r="I219" s="864"/>
      <c r="J219" s="864"/>
      <c r="O219" s="818"/>
      <c r="P219" s="818" t="str" cm="1">
        <f t="array" ref="P219">longitudeDecimal2Txt(V133,0)</f>
        <v>W 48°53.66</v>
      </c>
      <c r="Q219" s="817"/>
    </row>
    <row r="220" spans="3:65" ht="17.25" customHeight="1">
      <c r="F220" s="854" t="s">
        <v>556</v>
      </c>
      <c r="G220" s="855"/>
      <c r="H220" s="855"/>
      <c r="I220" s="855"/>
      <c r="J220" s="855"/>
      <c r="K220" s="855"/>
      <c r="L220" s="855"/>
      <c r="M220" s="855"/>
      <c r="N220" s="855"/>
      <c r="O220" s="855"/>
      <c r="P220" s="856"/>
      <c r="Q220" s="304"/>
    </row>
    <row r="221" spans="3:65" ht="17.25" customHeight="1">
      <c r="C221" s="346"/>
      <c r="D221" s="851" t="s">
        <v>557</v>
      </c>
      <c r="E221" s="852"/>
      <c r="F221" s="847" t="s">
        <v>566</v>
      </c>
      <c r="G221" s="847"/>
      <c r="H221" s="847">
        <f>SIGN(Q139*Q138)*ABS(Q138)</f>
        <v>4.0271944444444445</v>
      </c>
      <c r="I221" s="847"/>
      <c r="J221" s="825" t="s">
        <v>564</v>
      </c>
      <c r="K221" s="826"/>
      <c r="L221" s="825">
        <f>SIN(H221*Outils!$F$4)</f>
        <v>7.0229942281777827E-2</v>
      </c>
      <c r="M221" s="826"/>
      <c r="N221" s="825" t="s">
        <v>565</v>
      </c>
      <c r="O221" s="826"/>
      <c r="P221" s="825">
        <f>COS(H221*Outils!$F$4)</f>
        <v>0.99753082920133263</v>
      </c>
      <c r="Q221" s="826"/>
    </row>
    <row r="222" spans="3:65" ht="17.25" customHeight="1">
      <c r="C222" s="346"/>
      <c r="D222" s="851"/>
      <c r="E222" s="852"/>
      <c r="F222" s="825" t="s">
        <v>561</v>
      </c>
      <c r="G222" s="846"/>
      <c r="H222" s="847">
        <f>ABS(Q139)</f>
        <v>48.875500000000002</v>
      </c>
      <c r="I222" s="847"/>
      <c r="J222" s="848" t="s">
        <v>562</v>
      </c>
      <c r="K222" s="849"/>
      <c r="L222" s="825">
        <f>SIN(H222*Outils!$F$4)</f>
        <v>0.75328222603667561</v>
      </c>
      <c r="M222" s="826"/>
      <c r="N222" s="848" t="s">
        <v>563</v>
      </c>
      <c r="O222" s="849"/>
      <c r="P222" s="825">
        <f>COS(H222*Outils!$F$4)</f>
        <v>0.65769741366165546</v>
      </c>
      <c r="Q222" s="826"/>
    </row>
    <row r="223" spans="3:65" ht="17.25" customHeight="1">
      <c r="C223" s="346"/>
      <c r="D223" s="851"/>
      <c r="E223" s="852"/>
      <c r="F223" s="825" t="s">
        <v>558</v>
      </c>
      <c r="G223" s="826"/>
      <c r="H223" s="825">
        <f>IF(Q140&gt;180,(-1)*Q140,Q140)</f>
        <v>50.988938888888896</v>
      </c>
      <c r="I223" s="826"/>
      <c r="J223" s="825" t="s">
        <v>559</v>
      </c>
      <c r="K223" s="826"/>
      <c r="L223" s="825">
        <f>SIN(H223*Outils!$F$4)</f>
        <v>0.77702445490733985</v>
      </c>
      <c r="M223" s="826"/>
      <c r="N223" s="825" t="s">
        <v>560</v>
      </c>
      <c r="O223" s="826"/>
      <c r="P223" s="825">
        <f>COS(H223*Outils!$F$4)</f>
        <v>0.62947040953165656</v>
      </c>
      <c r="Q223" s="826"/>
    </row>
    <row r="224" spans="3:65" ht="17.25" customHeight="1">
      <c r="F224" s="824" t="s">
        <v>555</v>
      </c>
      <c r="G224" s="824"/>
      <c r="H224" s="819">
        <f>(P221*L223)/((P222*L221)-(L222*P221*P223))</f>
        <v>-1.816052697661398</v>
      </c>
      <c r="I224" s="820"/>
      <c r="J224" s="820"/>
      <c r="K224" s="820"/>
      <c r="L224" s="820"/>
      <c r="M224" s="821"/>
      <c r="N224" s="304"/>
      <c r="O224" s="304"/>
      <c r="P224" s="304"/>
      <c r="Q224" s="304"/>
      <c r="AC224" s="247">
        <f>ATAN(H224)*Outils!F5</f>
        <v>-61.160849202456603</v>
      </c>
      <c r="AD224" s="247">
        <f>IF(AC224&lt;0,AC224+180,AC224)</f>
        <v>118.8391507975434</v>
      </c>
    </row>
    <row r="225" spans="3:17" ht="17.25" customHeight="1">
      <c r="F225" s="809" t="s">
        <v>92</v>
      </c>
      <c r="G225" s="809"/>
      <c r="H225" s="819" t="str" cm="1">
        <f t="array" ref="H225">angleDecimal2Txt(I138,0)</f>
        <v>+118°50.34</v>
      </c>
      <c r="I225" s="820"/>
      <c r="J225" s="820"/>
      <c r="K225" s="820"/>
      <c r="L225" s="820"/>
      <c r="M225" s="821"/>
      <c r="N225" s="304"/>
      <c r="O225" s="304"/>
      <c r="P225" s="304"/>
      <c r="Q225" s="304"/>
    </row>
    <row r="226" spans="3:17" ht="17.25" customHeight="1">
      <c r="F226" s="834" t="s">
        <v>143</v>
      </c>
      <c r="G226" s="835"/>
      <c r="H226" s="835"/>
      <c r="I226" s="835"/>
      <c r="J226" s="835"/>
      <c r="K226" s="836"/>
      <c r="L226" s="834" t="s">
        <v>144</v>
      </c>
      <c r="M226" s="835"/>
      <c r="N226" s="835"/>
      <c r="O226" s="835"/>
      <c r="P226" s="835"/>
      <c r="Q226" s="836"/>
    </row>
    <row r="227" spans="3:17" ht="17.25" customHeight="1">
      <c r="F227" s="837"/>
      <c r="G227" s="839" t="s">
        <v>117</v>
      </c>
      <c r="H227" s="840"/>
      <c r="I227" s="841"/>
      <c r="J227" s="822" t="s">
        <v>118</v>
      </c>
      <c r="K227" s="823"/>
      <c r="L227" s="837"/>
      <c r="M227" s="839" t="s">
        <v>117</v>
      </c>
      <c r="N227" s="840"/>
      <c r="O227" s="841"/>
      <c r="P227" s="822" t="s">
        <v>119</v>
      </c>
      <c r="Q227" s="823"/>
    </row>
    <row r="228" spans="3:17" ht="17.25" customHeight="1">
      <c r="F228" s="838"/>
      <c r="G228" s="842" t="s">
        <v>87</v>
      </c>
      <c r="H228" s="843"/>
      <c r="I228" s="844"/>
      <c r="J228" s="815" t="s">
        <v>88</v>
      </c>
      <c r="K228" s="816"/>
      <c r="L228" s="838"/>
      <c r="M228" s="842" t="s">
        <v>87</v>
      </c>
      <c r="N228" s="843"/>
      <c r="O228" s="844"/>
      <c r="P228" s="815" t="s">
        <v>89</v>
      </c>
      <c r="Q228" s="816"/>
    </row>
    <row r="229" spans="3:17" ht="17.25" customHeight="1">
      <c r="F229" s="809" t="s">
        <v>412</v>
      </c>
      <c r="G229" s="809"/>
      <c r="H229" s="819" t="str">
        <f>IF(G32&gt;0,"Nord","Sud")</f>
        <v>Nord</v>
      </c>
      <c r="I229" s="820"/>
      <c r="J229" s="820"/>
      <c r="K229" s="820"/>
      <c r="L229" s="820"/>
      <c r="M229" s="821"/>
      <c r="N229" s="304"/>
      <c r="O229" s="304"/>
      <c r="P229" s="304"/>
      <c r="Q229" s="304"/>
    </row>
    <row r="230" spans="3:17" ht="17.25" customHeight="1">
      <c r="F230" s="809" t="s">
        <v>411</v>
      </c>
      <c r="G230" s="809"/>
      <c r="H230" s="819" t="b">
        <f>(F80&gt;180)</f>
        <v>0</v>
      </c>
      <c r="I230" s="820"/>
      <c r="J230" s="820"/>
      <c r="K230" s="820"/>
      <c r="L230" s="820"/>
      <c r="M230" s="821"/>
      <c r="N230" s="304"/>
      <c r="O230" s="304"/>
      <c r="P230" s="304"/>
      <c r="Q230" s="304"/>
    </row>
    <row r="231" spans="3:17" ht="17.25" customHeight="1">
      <c r="C231" s="827" t="s">
        <v>410</v>
      </c>
      <c r="D231" s="827"/>
      <c r="E231" s="827" t="str">
        <f>angleDecimal2Txt(T148,0)</f>
        <v>+241°09.65</v>
      </c>
      <c r="F231" s="827"/>
      <c r="G231" s="827"/>
      <c r="H231" s="827"/>
      <c r="I231" s="827"/>
      <c r="J231" s="827"/>
      <c r="O231" s="387" t="s">
        <v>611</v>
      </c>
      <c r="P231" s="845" t="str">
        <f>angleDecimal2Txt(astroModuloEnDegre(90+T148),0)</f>
        <v>+331°09.65</v>
      </c>
      <c r="Q231" s="845"/>
    </row>
    <row r="232" spans="3:17" ht="17.25" customHeight="1">
      <c r="O232"/>
      <c r="P232"/>
    </row>
    <row r="236" spans="3:17" ht="17.25" customHeight="1">
      <c r="P236" s="281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225" zoomScaleNormal="100" workbookViewId="0">
      <selection activeCell="R108" sqref="R108"/>
    </sheetView>
  </sheetViews>
  <sheetFormatPr defaultColWidth="6" defaultRowHeight="15" outlineLevelRow="1"/>
  <cols>
    <col min="1" max="2" width="6" style="247"/>
    <col min="3" max="4" width="7" style="247" customWidth="1"/>
    <col min="5" max="5" width="6" style="247"/>
    <col min="6" max="6" width="8.42578125" style="247" bestFit="1" customWidth="1"/>
    <col min="7" max="8" width="6" style="247"/>
    <col min="9" max="9" width="8.5703125" style="247" bestFit="1" customWidth="1"/>
    <col min="10" max="10" width="6" style="247"/>
    <col min="11" max="11" width="8" style="247" bestFit="1" customWidth="1"/>
    <col min="12" max="13" width="6" style="247"/>
    <col min="14" max="14" width="8.5703125" style="247" bestFit="1" customWidth="1"/>
    <col min="15" max="20" width="6" style="247"/>
    <col min="21" max="21" width="11.5703125" style="247" bestFit="1" customWidth="1"/>
    <col min="22" max="22" width="6.28515625" style="247" customWidth="1"/>
    <col min="23" max="23" width="7.140625" style="247" bestFit="1" customWidth="1"/>
    <col min="24" max="27" width="6" style="247"/>
    <col min="28" max="28" width="1.28515625" style="417" customWidth="1"/>
    <col min="29" max="30" width="16.140625" style="247" customWidth="1"/>
    <col min="31" max="31" width="22.28515625" style="247" customWidth="1"/>
    <col min="32" max="32" width="6" style="247"/>
    <col min="33" max="33" width="9.5703125" style="247" bestFit="1" customWidth="1"/>
    <col min="34" max="16384" width="6" style="247"/>
  </cols>
  <sheetData>
    <row r="1" spans="1:66" s="246" customFormat="1" ht="9" customHeight="1">
      <c r="C1" s="605" t="s">
        <v>132</v>
      </c>
      <c r="D1" s="605"/>
      <c r="E1" s="605"/>
      <c r="F1" s="605"/>
      <c r="G1" s="593" t="s">
        <v>133</v>
      </c>
      <c r="H1" s="593"/>
      <c r="I1" s="593"/>
      <c r="J1" s="593"/>
      <c r="K1" s="593"/>
      <c r="L1" s="593"/>
      <c r="M1" s="593"/>
      <c r="N1" s="593"/>
      <c r="O1" s="593"/>
      <c r="P1" s="593"/>
      <c r="Q1" s="593"/>
      <c r="R1" s="593"/>
      <c r="S1" s="593"/>
      <c r="T1" s="593"/>
      <c r="U1" s="593"/>
      <c r="V1" s="593"/>
      <c r="W1" s="593"/>
      <c r="X1" s="593"/>
      <c r="Y1" s="593"/>
      <c r="AB1" s="416"/>
      <c r="AC1" s="247"/>
      <c r="AD1" s="247"/>
      <c r="AE1" s="247"/>
      <c r="AF1" s="247"/>
      <c r="AG1" s="247"/>
      <c r="AH1" s="247"/>
      <c r="AI1" s="247"/>
      <c r="AJ1" s="247"/>
      <c r="AK1" s="247"/>
      <c r="AL1" s="247"/>
      <c r="AM1" s="247"/>
      <c r="AN1" s="247"/>
      <c r="AO1" s="247"/>
      <c r="AP1" s="247"/>
      <c r="AQ1" s="247"/>
      <c r="AR1" s="247"/>
      <c r="AS1" s="247"/>
      <c r="AT1" s="247"/>
      <c r="AU1" s="247"/>
      <c r="AV1" s="247"/>
      <c r="AW1" s="247"/>
      <c r="AX1" s="247"/>
      <c r="AY1" s="247"/>
      <c r="AZ1" s="247"/>
      <c r="BA1" s="247"/>
      <c r="BB1" s="247"/>
      <c r="BC1" s="247"/>
      <c r="BD1" s="247"/>
      <c r="BE1" s="247"/>
      <c r="BF1" s="247"/>
      <c r="BG1" s="247"/>
      <c r="BH1" s="247"/>
      <c r="BI1" s="247"/>
      <c r="BJ1" s="247"/>
      <c r="BK1" s="247"/>
      <c r="BL1" s="247"/>
      <c r="BM1" s="247"/>
      <c r="BN1" s="248"/>
    </row>
    <row r="2" spans="1:66" s="246" customFormat="1" ht="9" customHeight="1">
      <c r="C2" s="605"/>
      <c r="D2" s="605"/>
      <c r="E2" s="605"/>
      <c r="F2" s="605"/>
      <c r="G2" s="593"/>
      <c r="H2" s="593"/>
      <c r="I2" s="593"/>
      <c r="J2" s="593"/>
      <c r="K2" s="593"/>
      <c r="L2" s="593"/>
      <c r="M2" s="593"/>
      <c r="N2" s="593"/>
      <c r="O2" s="593"/>
      <c r="P2" s="593"/>
      <c r="Q2" s="593"/>
      <c r="R2" s="593"/>
      <c r="S2" s="593"/>
      <c r="T2" s="593"/>
      <c r="U2" s="593"/>
      <c r="V2" s="593"/>
      <c r="W2" s="593"/>
      <c r="X2" s="593"/>
      <c r="Y2" s="593"/>
      <c r="AB2" s="416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7"/>
      <c r="BF2" s="247"/>
      <c r="BG2" s="247"/>
      <c r="BH2" s="247"/>
      <c r="BI2" s="247"/>
      <c r="BJ2" s="247"/>
      <c r="BK2" s="247"/>
      <c r="BL2" s="247"/>
      <c r="BM2" s="247"/>
      <c r="BN2" s="248"/>
    </row>
    <row r="3" spans="1:66" s="246" customFormat="1" ht="9" customHeight="1">
      <c r="C3" s="605"/>
      <c r="D3" s="605"/>
      <c r="E3" s="605"/>
      <c r="F3" s="605"/>
      <c r="G3" s="602" t="s">
        <v>137</v>
      </c>
      <c r="H3" s="602"/>
      <c r="I3" s="602"/>
      <c r="J3" s="603" t="s">
        <v>136</v>
      </c>
      <c r="K3" s="603"/>
      <c r="L3" s="603"/>
      <c r="N3" s="617" t="s">
        <v>227</v>
      </c>
      <c r="O3" s="617"/>
      <c r="P3" s="617"/>
      <c r="Q3" s="569" t="s">
        <v>192</v>
      </c>
      <c r="R3" s="569"/>
      <c r="S3" s="569"/>
      <c r="AB3" s="416"/>
      <c r="AC3" s="247"/>
      <c r="AD3" s="247"/>
      <c r="AE3" s="247"/>
      <c r="AF3" s="247"/>
      <c r="AG3" s="247"/>
      <c r="AH3" s="247"/>
      <c r="AI3" s="247"/>
      <c r="AJ3" s="247"/>
      <c r="AK3" s="247"/>
      <c r="AL3" s="247"/>
      <c r="AM3" s="247"/>
      <c r="AN3" s="247"/>
      <c r="AO3" s="247"/>
      <c r="AP3" s="247"/>
      <c r="AQ3" s="247"/>
      <c r="AR3" s="247"/>
      <c r="AS3" s="247"/>
      <c r="AT3" s="247"/>
      <c r="AU3" s="247"/>
      <c r="AV3" s="247"/>
      <c r="AW3" s="247"/>
      <c r="AX3" s="247"/>
      <c r="AY3" s="247"/>
      <c r="AZ3" s="247"/>
      <c r="BA3" s="247"/>
      <c r="BB3" s="247"/>
      <c r="BC3" s="247"/>
      <c r="BD3" s="247"/>
      <c r="BE3" s="247"/>
      <c r="BF3" s="247"/>
      <c r="BG3" s="247"/>
      <c r="BH3" s="247"/>
      <c r="BI3" s="247"/>
      <c r="BJ3" s="247"/>
      <c r="BK3" s="247"/>
      <c r="BL3" s="247"/>
      <c r="BM3" s="247"/>
      <c r="BN3" s="248"/>
    </row>
    <row r="4" spans="1:66" s="246" customFormat="1" ht="9" customHeight="1">
      <c r="C4" s="605"/>
      <c r="D4" s="605"/>
      <c r="E4" s="605"/>
      <c r="F4" s="605"/>
      <c r="G4" s="485"/>
      <c r="H4" s="485"/>
      <c r="I4" s="485"/>
      <c r="J4" s="604"/>
      <c r="K4" s="604"/>
      <c r="L4" s="604"/>
      <c r="N4" s="617"/>
      <c r="O4" s="617"/>
      <c r="P4" s="617"/>
      <c r="Q4" s="569"/>
      <c r="R4" s="569"/>
      <c r="S4" s="569"/>
      <c r="AB4" s="416"/>
      <c r="AC4" s="247"/>
      <c r="AD4" s="247"/>
      <c r="AE4" s="247"/>
      <c r="AF4" s="247"/>
      <c r="AG4" s="247"/>
      <c r="AH4" s="247"/>
      <c r="AI4" s="247"/>
      <c r="AJ4" s="247"/>
      <c r="AK4" s="247"/>
      <c r="AL4" s="247"/>
      <c r="AM4" s="247"/>
      <c r="AN4" s="247"/>
      <c r="AO4" s="247"/>
      <c r="AP4" s="247"/>
      <c r="AQ4" s="247"/>
      <c r="AR4" s="247"/>
      <c r="AS4" s="247"/>
      <c r="AT4" s="247"/>
      <c r="AU4" s="247"/>
      <c r="AV4" s="247"/>
      <c r="AW4" s="247"/>
      <c r="AX4" s="247"/>
      <c r="AY4" s="247"/>
      <c r="AZ4" s="247"/>
      <c r="BA4" s="247"/>
      <c r="BB4" s="247"/>
      <c r="BC4" s="247"/>
      <c r="BD4" s="247"/>
      <c r="BE4" s="247"/>
      <c r="BF4" s="247"/>
      <c r="BG4" s="247"/>
      <c r="BH4" s="247"/>
      <c r="BI4" s="247"/>
      <c r="BJ4" s="247"/>
      <c r="BK4" s="247"/>
      <c r="BL4" s="247"/>
      <c r="BM4" s="247"/>
      <c r="BN4" s="248"/>
    </row>
    <row r="5" spans="1:66" s="246" customFormat="1" ht="17.25" customHeight="1">
      <c r="C5" s="278"/>
      <c r="D5" s="278"/>
      <c r="E5" s="278"/>
      <c r="F5" s="278"/>
      <c r="G5" s="278"/>
      <c r="AB5" s="416"/>
      <c r="AC5" s="247"/>
      <c r="AD5" s="247"/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7"/>
      <c r="AS5" s="247"/>
      <c r="AT5" s="247"/>
      <c r="AU5" s="247"/>
      <c r="AV5" s="247"/>
      <c r="AW5" s="247"/>
      <c r="AX5" s="247"/>
      <c r="AY5" s="247"/>
      <c r="AZ5" s="247"/>
      <c r="BA5" s="247"/>
      <c r="BB5" s="247"/>
      <c r="BC5" s="247"/>
      <c r="BD5" s="247"/>
      <c r="BE5" s="247"/>
      <c r="BF5" s="247"/>
      <c r="BG5" s="247"/>
      <c r="BH5" s="247"/>
      <c r="BI5" s="247"/>
      <c r="BJ5" s="247"/>
      <c r="BK5" s="247"/>
      <c r="BL5" s="247"/>
      <c r="BM5" s="247"/>
      <c r="BN5" s="248"/>
    </row>
    <row r="6" spans="1:66" ht="15.75" thickBot="1"/>
    <row r="7" spans="1:66" s="246" customFormat="1" ht="17.25" customHeight="1" thickBot="1">
      <c r="B7" s="306" t="s">
        <v>259</v>
      </c>
      <c r="C7" s="307"/>
      <c r="D7" s="307"/>
      <c r="E7" s="307"/>
      <c r="F7" s="307"/>
      <c r="G7" s="307"/>
      <c r="H7" s="307"/>
      <c r="I7" s="307"/>
      <c r="J7" s="307"/>
      <c r="K7" s="307"/>
      <c r="L7" s="94" t="str">
        <f>dateDecimale2txt(dateConvert2Decimal(F8),0)</f>
        <v>2025/06/30</v>
      </c>
      <c r="M7" s="380"/>
      <c r="N7" s="251" t="s">
        <v>315</v>
      </c>
      <c r="O7" s="251"/>
      <c r="P7" s="251"/>
      <c r="Q7" s="251"/>
      <c r="R7" s="251"/>
      <c r="S7" s="251" t="s">
        <v>316</v>
      </c>
      <c r="T7" s="564">
        <f>dateConvert2Decimal(F8)</f>
        <v>1751241600</v>
      </c>
      <c r="U7" s="564"/>
      <c r="V7" s="564"/>
      <c r="W7" s="251" t="s">
        <v>317</v>
      </c>
      <c r="X7" s="526">
        <f>(T7/86400)+DATE(1970,1,1)</f>
        <v>45838</v>
      </c>
      <c r="Y7" s="526"/>
      <c r="Z7" s="251" t="s">
        <v>318</v>
      </c>
      <c r="AA7" s="254">
        <f>INT(MONTH(X7))</f>
        <v>6</v>
      </c>
      <c r="AB7" s="418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7"/>
      <c r="BC7" s="247"/>
      <c r="BD7" s="247"/>
      <c r="BE7" s="247"/>
      <c r="BF7" s="247"/>
      <c r="BG7" s="247"/>
      <c r="BH7" s="247"/>
      <c r="BI7" s="247"/>
      <c r="BJ7" s="247"/>
      <c r="BK7" s="247"/>
      <c r="BL7" s="247"/>
      <c r="BM7" s="247"/>
      <c r="BN7" s="248"/>
    </row>
    <row r="8" spans="1:66" s="246" customFormat="1" ht="17.25" customHeight="1" thickBot="1">
      <c r="C8" s="1002" t="s">
        <v>1</v>
      </c>
      <c r="D8" s="1003"/>
      <c r="E8" s="1003"/>
      <c r="F8" s="585" t="s">
        <v>228</v>
      </c>
      <c r="G8" s="586"/>
      <c r="H8" s="586"/>
      <c r="L8" s="247"/>
      <c r="M8" s="247"/>
      <c r="N8" s="247"/>
      <c r="O8" s="247"/>
      <c r="AB8" s="419"/>
      <c r="AC8" s="247"/>
      <c r="AD8" s="247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8"/>
    </row>
    <row r="9" spans="1:66" s="246" customFormat="1" ht="12" customHeight="1" thickTop="1" thickBot="1">
      <c r="C9" s="994" t="s">
        <v>251</v>
      </c>
      <c r="D9" s="995"/>
      <c r="E9" s="996"/>
      <c r="F9" s="629">
        <f>heureConvert2Decimal(I9)</f>
        <v>10.343055555555557</v>
      </c>
      <c r="G9" s="630"/>
      <c r="H9" s="630"/>
      <c r="I9" s="955" t="s">
        <v>528</v>
      </c>
      <c r="J9" s="730"/>
      <c r="K9" s="730"/>
      <c r="L9" s="730"/>
      <c r="M9" s="730"/>
      <c r="N9" s="956"/>
      <c r="O9" s="549" t="str">
        <f>heureDecimal2Txt(F9)</f>
        <v>10:20:35.00(10.3430)</v>
      </c>
      <c r="P9" s="549"/>
      <c r="Q9" s="549"/>
      <c r="R9" s="549"/>
      <c r="S9" s="549"/>
      <c r="T9" s="549"/>
      <c r="U9" s="549"/>
      <c r="V9" s="549"/>
      <c r="W9" s="549"/>
      <c r="X9" s="549"/>
      <c r="Y9" s="277"/>
      <c r="Z9" s="277"/>
      <c r="AB9" s="416"/>
      <c r="AE9" s="247"/>
      <c r="AF9" s="247"/>
      <c r="AG9" s="247"/>
      <c r="AH9" s="247"/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7"/>
      <c r="BI9" s="247"/>
      <c r="BJ9" s="247"/>
      <c r="BK9" s="247"/>
      <c r="BL9" s="247"/>
      <c r="BM9" s="247"/>
      <c r="BN9" s="248"/>
    </row>
    <row r="10" spans="1:66" s="246" customFormat="1" ht="12" customHeight="1" thickTop="1" thickBot="1">
      <c r="C10" s="997"/>
      <c r="D10" s="998"/>
      <c r="E10" s="999"/>
      <c r="F10" s="630"/>
      <c r="G10" s="630"/>
      <c r="H10" s="630"/>
      <c r="I10" s="957"/>
      <c r="J10" s="501"/>
      <c r="K10" s="501"/>
      <c r="L10" s="501"/>
      <c r="M10" s="501"/>
      <c r="N10" s="958"/>
      <c r="O10" s="549"/>
      <c r="P10" s="549"/>
      <c r="Q10" s="549"/>
      <c r="R10" s="549"/>
      <c r="S10" s="549"/>
      <c r="T10" s="549"/>
      <c r="U10" s="549"/>
      <c r="V10" s="549"/>
      <c r="W10" s="549"/>
      <c r="X10" s="549"/>
      <c r="Y10" s="277"/>
      <c r="Z10" s="277"/>
      <c r="AB10" s="416"/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48"/>
    </row>
    <row r="11" spans="1:66" s="246" customFormat="1" ht="12" customHeight="1" thickTop="1" thickBot="1">
      <c r="A11"/>
      <c r="B11"/>
      <c r="C11" s="989" t="s">
        <v>7</v>
      </c>
      <c r="D11" s="880"/>
      <c r="E11" s="990"/>
      <c r="F11" s="629">
        <f>AD12</f>
        <v>46.1</v>
      </c>
      <c r="G11" s="630"/>
      <c r="H11" s="630"/>
      <c r="I11" s="511" t="s">
        <v>3</v>
      </c>
      <c r="J11" s="614" t="s">
        <v>269</v>
      </c>
      <c r="K11" s="511"/>
      <c r="L11" s="511"/>
      <c r="M11" s="511"/>
      <c r="N11" s="511"/>
      <c r="O11" s="549" t="str" cm="1">
        <f t="array" ref="O11">latitudeDecimal2Txt(F11)</f>
        <v>N 46°06.00 (N 46.1000) [N 46°06'00.00]</v>
      </c>
      <c r="P11" s="549"/>
      <c r="Q11" s="549"/>
      <c r="R11" s="549"/>
      <c r="S11" s="549"/>
      <c r="T11" s="549"/>
      <c r="U11" s="549"/>
      <c r="V11" s="549"/>
      <c r="W11" s="549"/>
      <c r="X11" s="549"/>
      <c r="AB11" s="420"/>
      <c r="AC11" s="117" t="s">
        <v>168</v>
      </c>
      <c r="AD11" s="3">
        <f>VLOOKUP(I11,Outils!$C$9:$E$10,3)</f>
        <v>1</v>
      </c>
      <c r="AE11" s="247"/>
      <c r="AF11" s="247"/>
      <c r="AG11" s="247"/>
      <c r="AH11" s="247"/>
      <c r="AI11" s="247"/>
      <c r="AJ11" s="247"/>
      <c r="AK11" s="247"/>
      <c r="AL11" s="247"/>
      <c r="AM11" s="247"/>
      <c r="AN11" s="247"/>
      <c r="AO11" s="247"/>
      <c r="AP11" s="247"/>
      <c r="AQ11" s="247"/>
      <c r="AR11" s="247"/>
      <c r="AS11" s="247"/>
      <c r="AT11" s="247"/>
      <c r="AU11" s="247"/>
      <c r="AV11" s="247"/>
      <c r="AW11" s="247"/>
      <c r="AX11" s="247"/>
      <c r="AY11" s="247"/>
      <c r="AZ11" s="247"/>
      <c r="BA11" s="247"/>
      <c r="BB11" s="247"/>
      <c r="BC11" s="247"/>
      <c r="BD11" s="247"/>
      <c r="BE11" s="247"/>
      <c r="BF11" s="247"/>
      <c r="BG11" s="247"/>
      <c r="BH11" s="247"/>
      <c r="BI11" s="247"/>
      <c r="BJ11" s="247"/>
      <c r="BK11" s="247"/>
      <c r="BL11" s="247"/>
      <c r="BM11" s="247"/>
      <c r="BN11" s="261"/>
    </row>
    <row r="12" spans="1:66" s="246" customFormat="1" ht="12" customHeight="1" thickTop="1" thickBot="1">
      <c r="C12" s="991"/>
      <c r="D12" s="992"/>
      <c r="E12" s="993"/>
      <c r="F12" s="630"/>
      <c r="G12" s="630"/>
      <c r="H12" s="630"/>
      <c r="I12" s="511"/>
      <c r="J12" s="511"/>
      <c r="K12" s="511"/>
      <c r="L12" s="511"/>
      <c r="M12" s="511"/>
      <c r="N12" s="511"/>
      <c r="O12" s="549"/>
      <c r="P12" s="549"/>
      <c r="Q12" s="549"/>
      <c r="R12" s="549"/>
      <c r="S12" s="549"/>
      <c r="T12" s="549"/>
      <c r="U12" s="549"/>
      <c r="V12" s="549"/>
      <c r="W12" s="549"/>
      <c r="X12" s="549"/>
      <c r="AB12" s="420"/>
      <c r="AC12" s="117" t="s">
        <v>169</v>
      </c>
      <c r="AD12" s="3" cm="1">
        <f t="array" ref="AD12">angleConvert2Decimal(J11)*AD11</f>
        <v>46.1</v>
      </c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61"/>
    </row>
    <row r="13" spans="1:66" s="246" customFormat="1" ht="12" customHeight="1" thickTop="1" thickBot="1">
      <c r="C13" s="994" t="s">
        <v>8</v>
      </c>
      <c r="D13" s="995"/>
      <c r="E13" s="996"/>
      <c r="F13" s="629">
        <f>AD14</f>
        <v>-7.083333333333333</v>
      </c>
      <c r="G13" s="630"/>
      <c r="H13" s="630"/>
      <c r="I13" s="1010" t="s">
        <v>6</v>
      </c>
      <c r="J13" s="614" t="s">
        <v>270</v>
      </c>
      <c r="K13" s="511"/>
      <c r="L13" s="511"/>
      <c r="M13" s="511"/>
      <c r="N13" s="511"/>
      <c r="O13" s="549" t="str" cm="1">
        <f t="array" ref="O13">longitudeDecimal2Txt(F13)</f>
        <v>W 07°05.00 (W 07.0833) [W 07°05'00.00]</v>
      </c>
      <c r="P13" s="549"/>
      <c r="Q13" s="549"/>
      <c r="R13" s="549"/>
      <c r="S13" s="549"/>
      <c r="T13" s="549"/>
      <c r="U13" s="549"/>
      <c r="V13" s="549"/>
      <c r="W13" s="549"/>
      <c r="X13" s="549"/>
      <c r="AB13" s="416"/>
      <c r="AC13" s="117" t="s">
        <v>170</v>
      </c>
      <c r="AD13" s="3">
        <f>VLOOKUP(I13,Outils!$D$9:$E$10,2)</f>
        <v>-1</v>
      </c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61"/>
    </row>
    <row r="14" spans="1:66" s="246" customFormat="1" ht="12" customHeight="1" thickTop="1" thickBot="1">
      <c r="A14"/>
      <c r="B14"/>
      <c r="C14" s="997"/>
      <c r="D14" s="998"/>
      <c r="E14" s="999"/>
      <c r="F14" s="630"/>
      <c r="G14" s="630"/>
      <c r="H14" s="630"/>
      <c r="I14" s="721"/>
      <c r="J14" s="511"/>
      <c r="K14" s="511"/>
      <c r="L14" s="511"/>
      <c r="M14" s="511"/>
      <c r="N14" s="511"/>
      <c r="O14" s="549"/>
      <c r="P14" s="549"/>
      <c r="Q14" s="549"/>
      <c r="R14" s="549"/>
      <c r="S14" s="549"/>
      <c r="T14" s="549"/>
      <c r="U14" s="549"/>
      <c r="V14" s="549"/>
      <c r="W14" s="549"/>
      <c r="X14" s="549"/>
      <c r="AB14" s="416"/>
      <c r="AC14" s="117" t="s">
        <v>171</v>
      </c>
      <c r="AD14" s="3" cm="1">
        <f t="array" ref="AD14">angleConvert2Decimal(J13)*AD13</f>
        <v>-7.083333333333333</v>
      </c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61"/>
    </row>
    <row r="15" spans="1:66" s="246" customFormat="1" ht="12" customHeight="1" thickTop="1" thickBot="1">
      <c r="C15" s="277"/>
      <c r="D15" s="277"/>
      <c r="I15" s="277"/>
      <c r="J15" s="277"/>
      <c r="K15" s="277"/>
      <c r="L15" s="277"/>
      <c r="M15" s="277"/>
      <c r="N15" s="277"/>
      <c r="O15" s="277"/>
      <c r="P15" s="277"/>
      <c r="Q15" s="277"/>
      <c r="R15" s="277"/>
      <c r="S15" s="277"/>
      <c r="T15" s="277"/>
      <c r="U15" s="277"/>
      <c r="V15" s="277"/>
      <c r="AB15" s="416"/>
      <c r="AE15" s="247"/>
      <c r="AF15" s="247"/>
      <c r="AG15" s="247"/>
      <c r="AH15" s="247"/>
      <c r="AI15" s="247"/>
      <c r="AJ15" s="247"/>
      <c r="AK15" s="247"/>
      <c r="AL15" s="247"/>
      <c r="AM15" s="247"/>
      <c r="AN15" s="247"/>
      <c r="AO15" s="247"/>
      <c r="AP15" s="247"/>
      <c r="AQ15" s="247"/>
      <c r="AR15" s="247"/>
      <c r="AS15" s="247"/>
      <c r="AT15" s="247"/>
      <c r="AU15" s="247"/>
      <c r="AV15" s="247"/>
      <c r="AW15" s="247"/>
      <c r="AX15" s="247"/>
      <c r="AY15" s="247"/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61"/>
    </row>
    <row r="16" spans="1:66" s="246" customFormat="1" ht="17.25" customHeight="1" thickBot="1">
      <c r="B16" s="250" t="s">
        <v>260</v>
      </c>
      <c r="C16" s="251"/>
      <c r="D16" s="251"/>
      <c r="E16" s="251"/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1"/>
      <c r="S16" s="251"/>
      <c r="T16" s="251"/>
      <c r="U16" s="251"/>
      <c r="V16" s="251"/>
      <c r="W16" s="251"/>
      <c r="X16" s="251"/>
      <c r="Y16" s="251"/>
      <c r="Z16" s="251"/>
      <c r="AA16" s="279"/>
      <c r="AB16" s="418"/>
      <c r="AC16" s="247"/>
      <c r="AD16" s="247"/>
      <c r="AE16" s="247"/>
      <c r="AF16" s="247"/>
      <c r="AG16" s="247"/>
      <c r="AH16" s="247"/>
      <c r="AI16" s="247"/>
      <c r="AJ16" s="247"/>
      <c r="AK16" s="247"/>
      <c r="AL16" s="247"/>
      <c r="AM16" s="247"/>
      <c r="AN16" s="247"/>
      <c r="AO16" s="247"/>
      <c r="AP16" s="247"/>
      <c r="AQ16" s="247"/>
      <c r="AR16" s="247"/>
      <c r="AS16" s="247"/>
      <c r="AT16" s="247"/>
      <c r="AU16" s="247"/>
      <c r="AV16" s="247"/>
      <c r="AW16" s="247"/>
      <c r="AX16" s="247"/>
      <c r="AY16" s="247"/>
      <c r="AZ16" s="247"/>
      <c r="BA16" s="247"/>
      <c r="BB16" s="247"/>
      <c r="BC16" s="247"/>
      <c r="BD16" s="247"/>
      <c r="BE16" s="247"/>
      <c r="BF16" s="247"/>
      <c r="BG16" s="247"/>
      <c r="BH16" s="247"/>
      <c r="BI16" s="247"/>
      <c r="BJ16" s="247"/>
      <c r="BK16" s="247"/>
      <c r="BL16" s="247"/>
      <c r="BM16" s="247"/>
      <c r="BN16" s="248"/>
    </row>
    <row r="17" spans="2:33" ht="12.75" customHeight="1" thickBot="1">
      <c r="C17" s="1000" t="s">
        <v>613</v>
      </c>
      <c r="D17" s="1001"/>
      <c r="E17" s="1001"/>
      <c r="F17" s="1004">
        <f>angleConvert2Decimal(I17)</f>
        <v>260</v>
      </c>
      <c r="G17" s="1005"/>
      <c r="H17" s="1005"/>
      <c r="I17" s="1008">
        <v>260</v>
      </c>
      <c r="J17" s="1009"/>
      <c r="K17" s="1009"/>
      <c r="L17" s="1009"/>
      <c r="M17" s="1009"/>
      <c r="N17" s="1009"/>
      <c r="O17" s="1007" t="str" cm="1">
        <f t="array" ref="O17">angleDecimal2Txt(F17)</f>
        <v>+260°00.00 (+260.0000) [+260°00'00.00]</v>
      </c>
      <c r="P17" s="1007"/>
      <c r="Q17" s="1007"/>
      <c r="R17" s="1007"/>
      <c r="S17" s="1007"/>
      <c r="T17" s="1007"/>
      <c r="U17" s="1007"/>
      <c r="V17" s="1007"/>
      <c r="W17" s="1007"/>
      <c r="X17" s="1007"/>
    </row>
    <row r="18" spans="2:33" ht="12.75" customHeight="1" thickTop="1" thickBot="1">
      <c r="C18" s="656"/>
      <c r="D18" s="656"/>
      <c r="E18" s="656"/>
      <c r="F18" s="1006"/>
      <c r="G18" s="1006"/>
      <c r="H18" s="1006"/>
      <c r="I18" s="546"/>
      <c r="J18" s="546"/>
      <c r="K18" s="546"/>
      <c r="L18" s="546"/>
      <c r="M18" s="546"/>
      <c r="N18" s="546"/>
      <c r="O18" s="634"/>
      <c r="P18" s="634"/>
      <c r="Q18" s="634"/>
      <c r="R18" s="634"/>
      <c r="S18" s="634"/>
      <c r="T18" s="634"/>
      <c r="U18" s="634"/>
      <c r="V18" s="634"/>
      <c r="W18" s="634"/>
      <c r="X18" s="634"/>
    </row>
    <row r="19" spans="2:33" ht="12.75" customHeight="1" thickTop="1" thickBot="1">
      <c r="C19" s="882" t="s">
        <v>614</v>
      </c>
      <c r="D19" s="656"/>
      <c r="E19" s="656"/>
      <c r="F19" s="879">
        <f>I19</f>
        <v>5</v>
      </c>
      <c r="G19" s="1006"/>
      <c r="H19" s="1006"/>
      <c r="I19" s="646">
        <v>5</v>
      </c>
      <c r="J19" s="546"/>
      <c r="K19" s="546"/>
      <c r="L19" s="546"/>
      <c r="M19" s="546"/>
      <c r="N19" s="546"/>
      <c r="O19" s="634"/>
      <c r="P19" s="634"/>
      <c r="Q19" s="634"/>
      <c r="R19" s="634"/>
      <c r="S19" s="634"/>
      <c r="T19" s="634"/>
      <c r="U19" s="634"/>
      <c r="V19" s="634"/>
      <c r="W19" s="634"/>
      <c r="X19" s="634"/>
    </row>
    <row r="20" spans="2:33" ht="12.75" customHeight="1" thickTop="1" thickBot="1">
      <c r="C20" s="656"/>
      <c r="D20" s="656"/>
      <c r="E20" s="656"/>
      <c r="F20" s="1006"/>
      <c r="G20" s="1006"/>
      <c r="H20" s="1006"/>
      <c r="I20" s="546"/>
      <c r="J20" s="546"/>
      <c r="K20" s="546"/>
      <c r="L20" s="546"/>
      <c r="M20" s="546"/>
      <c r="N20" s="546"/>
      <c r="O20" s="634"/>
      <c r="P20" s="634"/>
      <c r="Q20" s="634"/>
      <c r="R20" s="634"/>
      <c r="S20" s="634"/>
      <c r="T20" s="634"/>
      <c r="U20" s="634"/>
      <c r="V20" s="634"/>
      <c r="W20" s="634"/>
      <c r="X20" s="634"/>
    </row>
    <row r="21" spans="2:33" ht="12.75" customHeight="1" thickTop="1" thickBot="1">
      <c r="C21" s="1028" t="s">
        <v>615</v>
      </c>
      <c r="D21" s="1029"/>
      <c r="E21" s="1029"/>
      <c r="F21" s="953">
        <f>heureConvert2Decimal(I21)</f>
        <v>12.062777777777779</v>
      </c>
      <c r="G21" s="630"/>
      <c r="H21" s="630"/>
      <c r="I21" s="955" t="s">
        <v>533</v>
      </c>
      <c r="J21" s="730"/>
      <c r="K21" s="730"/>
      <c r="L21" s="730"/>
      <c r="M21" s="730"/>
      <c r="N21" s="956"/>
      <c r="O21" s="549" t="str">
        <f>heureDecimal2Txt(F21)</f>
        <v>12:03:46.00(12.0627)</v>
      </c>
      <c r="P21" s="549"/>
      <c r="Q21" s="549"/>
      <c r="R21" s="549"/>
      <c r="S21" s="549"/>
      <c r="T21" s="549"/>
      <c r="U21" s="549"/>
      <c r="V21" s="549"/>
      <c r="W21" s="549"/>
      <c r="X21" s="549"/>
    </row>
    <row r="22" spans="2:33" ht="12.75" customHeight="1" thickTop="1" thickBot="1">
      <c r="C22" s="1029"/>
      <c r="D22" s="1029"/>
      <c r="E22" s="1029"/>
      <c r="F22" s="954"/>
      <c r="G22" s="630"/>
      <c r="H22" s="630"/>
      <c r="I22" s="957"/>
      <c r="J22" s="501"/>
      <c r="K22" s="501"/>
      <c r="L22" s="501"/>
      <c r="M22" s="501"/>
      <c r="N22" s="958"/>
      <c r="O22" s="549"/>
      <c r="P22" s="549"/>
      <c r="Q22" s="549"/>
      <c r="R22" s="549"/>
      <c r="S22" s="549"/>
      <c r="T22" s="549"/>
      <c r="U22" s="549"/>
      <c r="V22" s="549"/>
      <c r="W22" s="549"/>
      <c r="X22" s="549"/>
    </row>
    <row r="23" spans="2:33" ht="12.75" customHeight="1" thickTop="1">
      <c r="F23"/>
      <c r="G23"/>
      <c r="H23"/>
      <c r="I23"/>
      <c r="J23"/>
      <c r="K23"/>
    </row>
    <row r="24" spans="2:33" ht="12.75" customHeight="1">
      <c r="C24" s="1030" t="s">
        <v>415</v>
      </c>
      <c r="D24" s="1031"/>
      <c r="E24" s="1031"/>
      <c r="F24" s="1031"/>
      <c r="G24" s="1031"/>
      <c r="H24" s="1031"/>
      <c r="I24" s="1031"/>
      <c r="J24" s="1031"/>
      <c r="K24" s="1032"/>
    </row>
    <row r="25" spans="2:33" ht="12.75" customHeight="1" thickBot="1">
      <c r="C25" s="1033"/>
      <c r="D25" s="1034"/>
      <c r="E25" s="1034"/>
      <c r="F25" s="1034"/>
      <c r="G25" s="1034"/>
      <c r="H25" s="1034"/>
      <c r="I25" s="1034"/>
      <c r="J25" s="1034"/>
      <c r="K25" s="1035"/>
    </row>
    <row r="26" spans="2:33" ht="12.75" customHeight="1" thickTop="1" thickBot="1">
      <c r="C26" s="126"/>
      <c r="D26" s="126"/>
      <c r="E26" s="126"/>
      <c r="F26" s="959">
        <f>IF(C27=AC27,F11,(F11+F28)/2)</f>
        <v>46.092764659263878</v>
      </c>
      <c r="G26" s="960"/>
      <c r="H26" s="960"/>
      <c r="I26" s="963" t="str" cm="1">
        <f t="array" ref="I26">latitudeDecimal2Txt(F26)</f>
        <v>N 46°05.56 (N 46.0927) [N 46°05'33.95]</v>
      </c>
      <c r="J26" s="963"/>
      <c r="K26" s="963"/>
      <c r="L26" s="963"/>
      <c r="M26" s="963"/>
      <c r="N26" s="963"/>
      <c r="O26" s="963"/>
      <c r="P26" s="963"/>
      <c r="Q26" s="963"/>
      <c r="R26" s="963"/>
    </row>
    <row r="27" spans="2:33" ht="12.75" customHeight="1" thickTop="1" thickBot="1">
      <c r="C27" s="964" t="s">
        <v>591</v>
      </c>
      <c r="D27" s="964"/>
      <c r="E27" s="964"/>
      <c r="F27" s="961"/>
      <c r="G27" s="962"/>
      <c r="H27" s="962"/>
      <c r="I27" s="963"/>
      <c r="J27" s="963"/>
      <c r="K27" s="963"/>
      <c r="L27" s="963"/>
      <c r="M27" s="963"/>
      <c r="N27" s="963"/>
      <c r="O27" s="963"/>
      <c r="P27" s="963"/>
      <c r="Q27" s="963"/>
      <c r="R27" s="963"/>
      <c r="AC27" s="370" t="s">
        <v>580</v>
      </c>
    </row>
    <row r="28" spans="2:33" ht="12.75" customHeight="1" thickTop="1">
      <c r="C28" s="964"/>
      <c r="D28" s="964"/>
      <c r="E28" s="965"/>
      <c r="F28" s="966">
        <f>F11+SIN((90-F17)*Outils!$F$4)*F19/60</f>
        <v>46.085529318527755</v>
      </c>
      <c r="G28" s="941"/>
      <c r="H28" s="941"/>
      <c r="AC28" s="370" t="s">
        <v>590</v>
      </c>
    </row>
    <row r="29" spans="2:33" s="126" customFormat="1" ht="12.75" customHeight="1">
      <c r="F29" s="941"/>
      <c r="G29" s="941"/>
      <c r="H29" s="941"/>
      <c r="I29"/>
      <c r="J29"/>
      <c r="K29"/>
      <c r="L29"/>
      <c r="M29"/>
      <c r="N29"/>
      <c r="AB29" s="421"/>
      <c r="AD29"/>
      <c r="AE29" s="353"/>
      <c r="AF29" s="353"/>
      <c r="AG29" s="353"/>
    </row>
    <row r="30" spans="2:33" s="126" customFormat="1" ht="12.75" customHeight="1" thickBot="1">
      <c r="I30"/>
      <c r="J30"/>
      <c r="K30"/>
      <c r="L30"/>
      <c r="M30"/>
      <c r="N30"/>
      <c r="AB30" s="421"/>
      <c r="AD30"/>
      <c r="AE30" s="353"/>
      <c r="AF30" s="353"/>
      <c r="AG30" s="353"/>
    </row>
    <row r="31" spans="2:33" ht="15.75" thickBot="1">
      <c r="B31" s="982" t="s">
        <v>616</v>
      </c>
      <c r="C31" s="983"/>
      <c r="D31" s="983"/>
      <c r="E31" s="983"/>
      <c r="F31" s="983"/>
      <c r="G31" s="983"/>
      <c r="H31" s="983"/>
      <c r="I31" s="983"/>
      <c r="J31" s="983"/>
      <c r="K31" s="983"/>
      <c r="L31" s="983"/>
      <c r="M31" s="983"/>
      <c r="N31" s="983"/>
      <c r="O31" s="983"/>
      <c r="P31" s="983"/>
      <c r="Q31" s="983"/>
      <c r="R31" s="983"/>
      <c r="S31" s="983"/>
      <c r="T31" s="983"/>
      <c r="U31" s="983"/>
      <c r="V31" s="983"/>
      <c r="W31" s="983"/>
      <c r="X31" s="983"/>
      <c r="Y31" s="983"/>
      <c r="Z31" s="983"/>
      <c r="AA31" s="983"/>
      <c r="AB31" s="418"/>
    </row>
    <row r="33" spans="3:27">
      <c r="C33" s="949" t="s">
        <v>261</v>
      </c>
      <c r="D33" s="950"/>
      <c r="E33" s="950"/>
      <c r="F33" s="950"/>
      <c r="G33" s="950"/>
      <c r="H33" s="950"/>
      <c r="I33" s="950"/>
      <c r="J33" s="950"/>
      <c r="K33" s="950"/>
      <c r="L33" s="950"/>
      <c r="M33" s="950"/>
      <c r="N33" s="950"/>
      <c r="O33" s="950"/>
      <c r="P33" s="950"/>
      <c r="Q33" s="950"/>
      <c r="R33" s="1088"/>
    </row>
    <row r="34" spans="3:27">
      <c r="C34" s="903" t="s">
        <v>106</v>
      </c>
      <c r="D34" s="903"/>
      <c r="E34" s="903">
        <f>F17</f>
        <v>260</v>
      </c>
      <c r="F34" s="903"/>
      <c r="G34" s="903"/>
      <c r="I34" s="946" t="s">
        <v>262</v>
      </c>
      <c r="J34" s="946"/>
      <c r="K34" s="980" t="b">
        <f>IF(E34&lt;180,TRUE,FALSE)</f>
        <v>0</v>
      </c>
      <c r="L34" s="980"/>
      <c r="N34" s="1089" t="s">
        <v>247</v>
      </c>
      <c r="O34" s="1089"/>
      <c r="P34" s="1090">
        <f>E35*ABS(SIN(Outils!$F$4*Meridienne!E34))*(IF(K34,1,-1))</f>
        <v>-4.9240387650610398</v>
      </c>
      <c r="Q34" s="1091"/>
      <c r="R34" s="1094" t="s">
        <v>246</v>
      </c>
    </row>
    <row r="35" spans="3:27">
      <c r="C35" s="525" t="s">
        <v>105</v>
      </c>
      <c r="D35" s="525"/>
      <c r="E35" s="525">
        <f>F19</f>
        <v>5</v>
      </c>
      <c r="F35" s="525"/>
      <c r="G35" s="525"/>
      <c r="I35" s="947"/>
      <c r="J35" s="947"/>
      <c r="K35" s="981"/>
      <c r="L35" s="981"/>
      <c r="N35" s="1019"/>
      <c r="O35" s="1019"/>
      <c r="P35" s="1092"/>
      <c r="Q35" s="1093"/>
      <c r="R35" s="1095"/>
    </row>
    <row r="38" spans="3:27">
      <c r="C38" s="949" t="s">
        <v>249</v>
      </c>
      <c r="D38" s="950"/>
      <c r="E38" s="950"/>
      <c r="F38" s="950"/>
      <c r="G38" s="950"/>
      <c r="H38" s="950"/>
      <c r="I38" s="950"/>
      <c r="J38" s="950"/>
      <c r="K38" s="951"/>
      <c r="L38" s="951"/>
      <c r="M38" s="951"/>
      <c r="N38" s="951"/>
      <c r="O38" s="952"/>
    </row>
    <row r="39" spans="3:27">
      <c r="C39" s="903" t="s">
        <v>239</v>
      </c>
      <c r="D39" s="903"/>
      <c r="E39" s="903">
        <f>F26</f>
        <v>46.092764659263878</v>
      </c>
      <c r="F39" s="903"/>
      <c r="G39" s="903"/>
      <c r="I39" s="1018" t="s">
        <v>248</v>
      </c>
      <c r="J39" s="1018"/>
      <c r="K39" s="1015" t="s">
        <v>74</v>
      </c>
      <c r="L39" s="1016">
        <f>$P$34/(60 * COS($E$39*Outils!$F$4))</f>
        <v>-0.11833909603247456</v>
      </c>
      <c r="M39" s="1016"/>
      <c r="N39" s="1016"/>
      <c r="O39" s="1017" t="s">
        <v>250</v>
      </c>
      <c r="P39" s="1019" t="str">
        <f>IF(K34,"Vers l'Est","Vers l'Ouest")</f>
        <v>Vers l'Ouest</v>
      </c>
      <c r="Q39" s="1019"/>
      <c r="R39" s="1019"/>
      <c r="U39" s="1020" t="s">
        <v>264</v>
      </c>
      <c r="V39" s="1021"/>
      <c r="W39" s="1022"/>
      <c r="X39" s="942">
        <f>IF(K34,-1*ABS(L39),ABS(L39))</f>
        <v>0.11833909603247456</v>
      </c>
      <c r="Y39" s="943"/>
      <c r="Z39" s="943"/>
      <c r="AA39" s="985" t="s">
        <v>250</v>
      </c>
    </row>
    <row r="40" spans="3:27">
      <c r="C40" s="525" t="str">
        <f>N34</f>
        <v>VLong.</v>
      </c>
      <c r="D40" s="525"/>
      <c r="E40" s="525">
        <f>P34</f>
        <v>-4.9240387650610398</v>
      </c>
      <c r="F40" s="525"/>
      <c r="G40" s="525"/>
      <c r="I40" s="1018"/>
      <c r="J40" s="1018"/>
      <c r="K40" s="1015"/>
      <c r="L40" s="1016"/>
      <c r="M40" s="1016"/>
      <c r="N40" s="1016"/>
      <c r="O40" s="1017"/>
      <c r="P40" s="1019"/>
      <c r="Q40" s="1019"/>
      <c r="R40" s="1019"/>
      <c r="U40" s="1023"/>
      <c r="V40" s="1024"/>
      <c r="W40" s="1025"/>
      <c r="X40" s="944"/>
      <c r="Y40" s="945"/>
      <c r="Z40" s="945"/>
      <c r="AA40" s="986"/>
    </row>
    <row r="43" spans="3:27" ht="18.75" customHeight="1">
      <c r="C43" s="1012" t="s">
        <v>594</v>
      </c>
      <c r="D43" s="1013"/>
      <c r="E43" s="1013"/>
      <c r="F43" s="1013"/>
      <c r="G43" s="1013"/>
      <c r="H43" s="1013"/>
      <c r="I43" s="1013"/>
      <c r="J43" s="1013"/>
      <c r="K43" s="1013"/>
      <c r="L43" s="1013"/>
      <c r="M43" s="1013"/>
      <c r="N43" s="1013"/>
      <c r="O43" s="1014"/>
    </row>
    <row r="44" spans="3:27" ht="15" customHeight="1">
      <c r="C44" s="903" t="s">
        <v>171</v>
      </c>
      <c r="D44" s="903"/>
      <c r="E44" s="903">
        <f>F13</f>
        <v>-7.083333333333333</v>
      </c>
      <c r="F44" s="903"/>
      <c r="G44" s="903"/>
      <c r="I44" s="1026" t="s">
        <v>252</v>
      </c>
      <c r="J44" s="1027"/>
      <c r="K44" s="1011">
        <f>longitude2LongitudeHoraire(E44)</f>
        <v>7.083333333333333</v>
      </c>
      <c r="L44" s="1011"/>
      <c r="M44" s="1011"/>
      <c r="N44" s="1011"/>
      <c r="O44" s="114" t="s">
        <v>28</v>
      </c>
      <c r="P44" s="987" t="str">
        <f>longitudeDecimal2Txt(E44)</f>
        <v>W 07°05.00 (W 07.0833) [W 07°05'00.00]</v>
      </c>
      <c r="Q44" s="988"/>
      <c r="R44" s="988"/>
      <c r="S44" s="988"/>
      <c r="T44" s="988"/>
      <c r="U44" s="988"/>
    </row>
    <row r="47" spans="3:27">
      <c r="C47" s="984" t="s">
        <v>253</v>
      </c>
      <c r="D47" s="984"/>
      <c r="E47" s="984"/>
      <c r="F47" s="984"/>
      <c r="G47" s="984"/>
      <c r="H47" s="984"/>
      <c r="I47" s="984"/>
      <c r="J47" s="984"/>
      <c r="K47" s="984"/>
      <c r="L47" s="984"/>
      <c r="M47" s="984"/>
      <c r="N47" s="984"/>
      <c r="O47" s="984"/>
    </row>
    <row r="48" spans="3:27" ht="15" customHeight="1" thickBot="1">
      <c r="C48" s="978" t="s">
        <v>263</v>
      </c>
      <c r="D48" s="978"/>
      <c r="E48" s="978"/>
      <c r="F48" s="978"/>
      <c r="G48" s="978"/>
      <c r="H48" s="978"/>
      <c r="I48" s="978"/>
      <c r="J48" s="978"/>
      <c r="K48" s="978"/>
      <c r="L48" s="978"/>
      <c r="M48" s="978"/>
      <c r="N48" s="978"/>
      <c r="O48" s="978"/>
      <c r="P48" s="308" t="s">
        <v>266</v>
      </c>
      <c r="Q48" s="979" t="s">
        <v>265</v>
      </c>
      <c r="R48" s="979"/>
      <c r="S48" s="979"/>
      <c r="T48" s="979"/>
      <c r="U48" s="979"/>
      <c r="V48" s="115">
        <v>15.002000000000001</v>
      </c>
      <c r="W48" s="116" t="s">
        <v>250</v>
      </c>
    </row>
    <row r="49" spans="3:32" ht="15.75" thickTop="1">
      <c r="C49" s="978"/>
      <c r="D49" s="978"/>
      <c r="E49" s="978"/>
      <c r="F49" s="978"/>
      <c r="G49" s="978"/>
      <c r="H49" s="978"/>
      <c r="I49" s="978"/>
      <c r="J49" s="978"/>
      <c r="K49" s="978"/>
      <c r="L49" s="978"/>
      <c r="M49" s="978"/>
      <c r="N49" s="978"/>
      <c r="O49" s="978"/>
    </row>
    <row r="50" spans="3:32">
      <c r="C50" s="978"/>
      <c r="D50" s="978"/>
      <c r="E50" s="978"/>
      <c r="F50" s="978"/>
      <c r="G50" s="978"/>
      <c r="H50" s="978"/>
      <c r="I50" s="978"/>
      <c r="J50" s="978"/>
      <c r="K50" s="978"/>
      <c r="L50" s="978"/>
      <c r="M50" s="978"/>
      <c r="N50" s="978"/>
      <c r="O50" s="978"/>
    </row>
    <row r="53" spans="3:32">
      <c r="AC53" s="3" t="s">
        <v>626</v>
      </c>
      <c r="AD53" s="5">
        <f>F21</f>
        <v>12.062777777777779</v>
      </c>
      <c r="AE53" s="247" t="s">
        <v>258</v>
      </c>
    </row>
    <row r="54" spans="3:32" ht="15" customHeight="1">
      <c r="H54" s="941" t="str">
        <f>CONCATENATE("T = Temps pour que le soleil passe a la meridienne locale: ",P44)</f>
        <v>T = Temps pour que le soleil passe a la meridienne locale: W 07°05.00 (W 07.0833) [W 07°05'00.00]</v>
      </c>
      <c r="I54" s="941"/>
      <c r="J54" s="941"/>
      <c r="K54" s="941"/>
      <c r="L54" s="941"/>
      <c r="M54" s="941"/>
      <c r="N54" s="941"/>
      <c r="O54" s="941"/>
      <c r="P54" s="941"/>
      <c r="Q54" s="941"/>
      <c r="R54" s="941"/>
      <c r="S54" s="941"/>
      <c r="T54" s="941"/>
      <c r="U54" s="941"/>
      <c r="V54" s="948">
        <f>AD59</f>
        <v>2.2093090082659446</v>
      </c>
      <c r="W54" s="948"/>
      <c r="X54" s="948" t="s">
        <v>258</v>
      </c>
      <c r="AB54" s="401"/>
      <c r="AC54" s="3" t="s">
        <v>627</v>
      </c>
      <c r="AD54" s="5">
        <f>F9</f>
        <v>10.343055555555557</v>
      </c>
      <c r="AE54" s="247" t="s">
        <v>258</v>
      </c>
    </row>
    <row r="55" spans="3:32">
      <c r="H55" s="941"/>
      <c r="I55" s="941"/>
      <c r="J55" s="941"/>
      <c r="K55" s="941"/>
      <c r="L55" s="941"/>
      <c r="M55" s="941"/>
      <c r="N55" s="941"/>
      <c r="O55" s="941"/>
      <c r="P55" s="941"/>
      <c r="Q55" s="941"/>
      <c r="R55" s="941"/>
      <c r="S55" s="941"/>
      <c r="T55" s="941"/>
      <c r="U55" s="941"/>
      <c r="V55" s="948"/>
      <c r="W55" s="948"/>
      <c r="X55" s="974"/>
      <c r="AB55" s="401"/>
      <c r="AC55" s="3" t="s">
        <v>628</v>
      </c>
      <c r="AD55" s="3">
        <f>(AD54-AD53)*((-1)*V48)</f>
        <v>25.799272777777773</v>
      </c>
      <c r="AE55" s="247" t="s">
        <v>28</v>
      </c>
    </row>
    <row r="56" spans="3:32">
      <c r="H56" s="893" t="s">
        <v>271</v>
      </c>
      <c r="I56" s="893"/>
      <c r="J56" s="893"/>
      <c r="K56" s="893"/>
      <c r="L56" s="893"/>
      <c r="M56" s="893"/>
      <c r="N56" s="893"/>
      <c r="O56" s="893"/>
      <c r="P56" s="893"/>
      <c r="Q56" s="893"/>
      <c r="R56" s="893"/>
      <c r="S56" s="893"/>
      <c r="T56" s="893"/>
      <c r="U56" s="893"/>
      <c r="V56" s="939">
        <f>AD59*E35</f>
        <v>11.046545041329722</v>
      </c>
      <c r="W56" s="940"/>
      <c r="X56" s="969" t="s">
        <v>104</v>
      </c>
      <c r="AB56" s="401"/>
      <c r="AC56" s="3" t="s">
        <v>631</v>
      </c>
      <c r="AD56" s="3">
        <f>(-1)*V48</f>
        <v>-15.002000000000001</v>
      </c>
      <c r="AE56" s="415" t="s">
        <v>540</v>
      </c>
    </row>
    <row r="57" spans="3:32">
      <c r="H57" s="893"/>
      <c r="I57" s="893"/>
      <c r="J57" s="893"/>
      <c r="K57" s="893"/>
      <c r="L57" s="893"/>
      <c r="M57" s="893"/>
      <c r="N57" s="893"/>
      <c r="O57" s="893"/>
      <c r="P57" s="893"/>
      <c r="Q57" s="893"/>
      <c r="R57" s="893"/>
      <c r="S57" s="893"/>
      <c r="T57" s="893"/>
      <c r="U57" s="893"/>
      <c r="V57" s="940"/>
      <c r="W57" s="940"/>
      <c r="X57" s="970"/>
      <c r="AB57" s="401"/>
      <c r="AC57" s="3" t="s">
        <v>629</v>
      </c>
      <c r="AD57" s="5">
        <f>E44</f>
        <v>-7.083333333333333</v>
      </c>
      <c r="AE57" s="415" t="s">
        <v>28</v>
      </c>
    </row>
    <row r="58" spans="3:32">
      <c r="H58" s="893" t="s">
        <v>471</v>
      </c>
      <c r="I58" s="893"/>
      <c r="J58" s="893"/>
      <c r="K58" s="893"/>
      <c r="L58" s="893"/>
      <c r="M58" s="893"/>
      <c r="N58" s="893"/>
      <c r="O58" s="893"/>
      <c r="P58" s="893"/>
      <c r="Q58" s="893"/>
      <c r="R58" s="893"/>
      <c r="S58" s="893"/>
      <c r="T58" s="893"/>
      <c r="U58" s="893"/>
      <c r="V58" s="939">
        <f>AD59*L39</f>
        <v>-0.26144763089459472</v>
      </c>
      <c r="W58" s="971"/>
      <c r="X58" s="972" t="s">
        <v>28</v>
      </c>
      <c r="AB58" s="401"/>
      <c r="AC58" s="3" t="s">
        <v>630</v>
      </c>
      <c r="AD58" s="3">
        <f>L39</f>
        <v>-0.11833909603247456</v>
      </c>
      <c r="AE58" s="415" t="s">
        <v>540</v>
      </c>
    </row>
    <row r="59" spans="3:32">
      <c r="H59" s="893"/>
      <c r="I59" s="893"/>
      <c r="J59" s="893"/>
      <c r="K59" s="893"/>
      <c r="L59" s="893"/>
      <c r="M59" s="893"/>
      <c r="N59" s="893"/>
      <c r="O59" s="893"/>
      <c r="P59" s="893"/>
      <c r="Q59" s="893"/>
      <c r="R59" s="893"/>
      <c r="S59" s="893"/>
      <c r="T59" s="893"/>
      <c r="U59" s="893"/>
      <c r="V59" s="940"/>
      <c r="W59" s="971"/>
      <c r="X59" s="973"/>
      <c r="AB59" s="401"/>
      <c r="AC59" s="3" t="s">
        <v>625</v>
      </c>
      <c r="AD59" s="3">
        <f>(AD55-AD57)/(AD58-AD56)</f>
        <v>2.2093090082659446</v>
      </c>
      <c r="AE59" s="415" t="s">
        <v>258</v>
      </c>
    </row>
    <row r="60" spans="3:32">
      <c r="H60" s="893" t="s">
        <v>470</v>
      </c>
      <c r="I60" s="893"/>
      <c r="J60" s="893"/>
      <c r="K60" s="893"/>
      <c r="L60" s="893"/>
      <c r="M60" s="893"/>
      <c r="N60" s="893"/>
      <c r="O60" s="893"/>
      <c r="P60" s="893"/>
      <c r="Q60" s="893"/>
      <c r="R60" s="893"/>
      <c r="S60" s="893"/>
      <c r="T60" s="893"/>
      <c r="U60" s="893"/>
      <c r="V60" s="894">
        <f>E44+AD59*L39</f>
        <v>-7.3447809642279278</v>
      </c>
      <c r="W60" s="895"/>
      <c r="X60" s="898" t="str">
        <f>longitudeDecimal2Txt(V60)</f>
        <v>W 07°20.68 (W 07.3447) [W 07°20'41.21]</v>
      </c>
      <c r="Y60" s="898"/>
      <c r="Z60" s="898"/>
      <c r="AA60" s="898"/>
      <c r="AB60" s="898"/>
      <c r="AC60" s="898"/>
      <c r="AD60" s="883" t="str" cm="1">
        <f t="array" ref="AD60">CONCATENATE("Memo depart: ", longitudeDecimal2Txt(E44))</f>
        <v>Memo depart: W 07°05.00 (W 07.0833) [W 07°05'00.00]</v>
      </c>
      <c r="AE60" s="884"/>
      <c r="AF60" s="884"/>
    </row>
    <row r="61" spans="3:32">
      <c r="H61" s="893"/>
      <c r="I61" s="893"/>
      <c r="J61" s="893"/>
      <c r="K61" s="893"/>
      <c r="L61" s="893"/>
      <c r="M61" s="893"/>
      <c r="N61" s="893"/>
      <c r="O61" s="893"/>
      <c r="P61" s="893"/>
      <c r="Q61" s="893"/>
      <c r="R61" s="893"/>
      <c r="S61" s="893"/>
      <c r="T61" s="893"/>
      <c r="U61" s="893"/>
      <c r="V61" s="896"/>
      <c r="W61" s="897"/>
      <c r="X61" s="898"/>
      <c r="Y61" s="898"/>
      <c r="Z61" s="898"/>
      <c r="AA61" s="898"/>
      <c r="AB61" s="898"/>
      <c r="AC61" s="898"/>
      <c r="AD61" s="883"/>
      <c r="AE61" s="884"/>
      <c r="AF61" s="884"/>
    </row>
    <row r="62" spans="3:32">
      <c r="H62" s="1098" t="s">
        <v>267</v>
      </c>
      <c r="I62" s="1098"/>
      <c r="J62" s="1098"/>
      <c r="K62" s="1098"/>
      <c r="L62" s="1098"/>
      <c r="M62" s="1098"/>
      <c r="N62" s="1098"/>
      <c r="O62" s="1098"/>
      <c r="P62" s="1098"/>
      <c r="Q62" s="1098"/>
      <c r="R62" s="1098"/>
      <c r="S62" s="1098"/>
      <c r="T62" s="1098"/>
      <c r="U62" s="1098"/>
      <c r="V62" s="975">
        <f>AD54+AD59</f>
        <v>12.552364563821502</v>
      </c>
      <c r="W62" s="976"/>
      <c r="X62" s="1099" t="str">
        <f>heureDecimal2Txt(V62)</f>
        <v>12:33:08.51(12.5523)</v>
      </c>
      <c r="Y62" s="1099"/>
      <c r="Z62" s="1099"/>
      <c r="AA62" s="1099"/>
      <c r="AB62" s="1099"/>
      <c r="AC62" s="1099"/>
    </row>
    <row r="63" spans="3:32">
      <c r="H63" s="1098"/>
      <c r="I63" s="1098"/>
      <c r="J63" s="1098"/>
      <c r="K63" s="1098"/>
      <c r="L63" s="1098"/>
      <c r="M63" s="1098"/>
      <c r="N63" s="1098"/>
      <c r="O63" s="1098"/>
      <c r="P63" s="1098"/>
      <c r="Q63" s="1098"/>
      <c r="R63" s="1098"/>
      <c r="S63" s="1098"/>
      <c r="T63" s="1098"/>
      <c r="U63" s="1098"/>
      <c r="V63" s="977"/>
      <c r="W63" s="976"/>
      <c r="X63" s="1099"/>
      <c r="Y63" s="1099"/>
      <c r="Z63" s="1099"/>
      <c r="AA63" s="1099"/>
      <c r="AB63" s="1099"/>
      <c r="AC63" s="1099"/>
    </row>
    <row r="65" spans="2:66" ht="15.75" thickBot="1"/>
    <row r="66" spans="2:66" s="246" customFormat="1" ht="17.25" customHeight="1" thickBot="1">
      <c r="B66" s="388" t="s">
        <v>617</v>
      </c>
      <c r="C66" s="391"/>
      <c r="D66" s="391"/>
      <c r="E66" s="391"/>
      <c r="F66" s="391"/>
      <c r="G66" s="391"/>
      <c r="H66" s="389"/>
      <c r="I66" s="94" t="str">
        <f>L7</f>
        <v>2025/06/30</v>
      </c>
      <c r="J66" s="94"/>
      <c r="K66" s="252"/>
      <c r="L66" s="253"/>
      <c r="M66" s="94" t="str">
        <f>heureDecimal2Txt(E68)</f>
        <v>12:33:08.51(12.5523)</v>
      </c>
      <c r="N66" s="94"/>
      <c r="O66" s="94"/>
      <c r="P66" s="389"/>
      <c r="Q66" s="389"/>
      <c r="R66" s="389"/>
      <c r="S66" s="389"/>
      <c r="T66" s="389"/>
      <c r="U66" s="389"/>
      <c r="V66" s="390"/>
      <c r="W66" s="389"/>
      <c r="X66" s="389"/>
      <c r="Y66" s="389"/>
      <c r="Z66" s="389"/>
      <c r="AA66" s="390"/>
      <c r="AB66" s="422"/>
      <c r="AC66" s="247"/>
      <c r="AD66" s="247"/>
      <c r="AE66" s="247"/>
      <c r="AF66" s="247"/>
      <c r="AG66" s="247"/>
      <c r="AH66" s="247"/>
      <c r="AI66" s="247"/>
      <c r="AJ66" s="247"/>
      <c r="AK66" s="247"/>
      <c r="AL66" s="247"/>
      <c r="AM66" s="247"/>
      <c r="AN66" s="247"/>
      <c r="AO66" s="247"/>
      <c r="AP66" s="247"/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8"/>
    </row>
    <row r="67" spans="2:66" s="246" customFormat="1" ht="17.25" customHeight="1" thickBot="1">
      <c r="C67" s="716" t="s">
        <v>1</v>
      </c>
      <c r="D67" s="716"/>
      <c r="E67" s="1042" t="s">
        <v>228</v>
      </c>
      <c r="F67" s="1043"/>
      <c r="G67" s="1043"/>
      <c r="H67" s="278"/>
      <c r="AB67" s="419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7"/>
      <c r="AO67" s="247"/>
      <c r="AP67" s="247"/>
      <c r="AQ67" s="247"/>
      <c r="AR67" s="247"/>
      <c r="AS67" s="247"/>
      <c r="AT67" s="247"/>
      <c r="AU67" s="247"/>
      <c r="AV67" s="247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8"/>
    </row>
    <row r="68" spans="2:66" s="246" customFormat="1" ht="17.25" customHeight="1" thickTop="1" thickBot="1">
      <c r="C68" s="386" t="s">
        <v>618</v>
      </c>
      <c r="D68" s="386"/>
      <c r="E68" s="1047">
        <f>V62</f>
        <v>12.552364563821502</v>
      </c>
      <c r="F68" s="1047"/>
      <c r="G68" s="1047"/>
      <c r="H68" s="1049" t="str" cm="1">
        <f t="array" ref="H68">heureDecimal2Txt(E68)</f>
        <v>12:33:08.51(12.5523)</v>
      </c>
      <c r="I68" s="1049"/>
      <c r="J68" s="1049"/>
      <c r="K68" s="1049"/>
      <c r="L68" s="1049"/>
      <c r="M68" s="1049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AB68" s="423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7"/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8"/>
    </row>
    <row r="69" spans="2:66" s="246" customFormat="1" ht="17.25" customHeight="1" thickTop="1" thickBot="1">
      <c r="C69" s="386" t="s">
        <v>7</v>
      </c>
      <c r="D69" s="386"/>
      <c r="E69" s="1048">
        <f>F26</f>
        <v>46.092764659263878</v>
      </c>
      <c r="F69" s="1048"/>
      <c r="G69" s="1048"/>
      <c r="H69" s="1049" t="str" cm="1">
        <f t="array" ref="H69">latitudeDecimal2Txt(E69)</f>
        <v>N 46°05.56 (N 46.0927) [N 46°05'33.95]</v>
      </c>
      <c r="I69" s="1049"/>
      <c r="J69" s="1049"/>
      <c r="K69" s="1049"/>
      <c r="L69" s="1049"/>
      <c r="M69" s="1049"/>
      <c r="N69" s="247"/>
      <c r="O69" s="247"/>
      <c r="P69" s="247"/>
      <c r="Q69" s="247"/>
      <c r="R69" s="247"/>
      <c r="S69" s="247"/>
      <c r="T69" s="247"/>
      <c r="U69" s="247"/>
      <c r="V69" s="247"/>
      <c r="W69" s="247"/>
      <c r="X69" s="247"/>
      <c r="Y69" s="247"/>
      <c r="AB69" s="423"/>
      <c r="AC69" s="247"/>
      <c r="AD69" s="247"/>
      <c r="AE69" s="247"/>
      <c r="AF69" s="247"/>
      <c r="AG69" s="247"/>
      <c r="AH69" s="247"/>
      <c r="AI69" s="247"/>
      <c r="AJ69" s="247"/>
      <c r="AK69" s="247"/>
      <c r="AL69" s="247"/>
      <c r="AM69" s="247"/>
      <c r="AN69" s="247"/>
      <c r="AO69" s="247"/>
      <c r="AP69" s="247"/>
      <c r="AQ69" s="247"/>
      <c r="AR69" s="247"/>
      <c r="AS69" s="247"/>
      <c r="AT69" s="247"/>
      <c r="AU69" s="247"/>
      <c r="AV69" s="247"/>
      <c r="AW69" s="247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47"/>
      <c r="BK69" s="247"/>
      <c r="BL69" s="247"/>
      <c r="BM69" s="247"/>
      <c r="BN69" s="248"/>
    </row>
    <row r="70" spans="2:66" s="246" customFormat="1" ht="17.25" customHeight="1" thickTop="1" thickBot="1">
      <c r="C70" s="256"/>
      <c r="D70" s="256"/>
      <c r="E70" s="277"/>
      <c r="F70" s="277"/>
      <c r="G70" s="277"/>
      <c r="H70" s="277"/>
      <c r="I70" s="277"/>
      <c r="J70" s="277"/>
      <c r="K70" s="277"/>
      <c r="L70" s="277"/>
      <c r="M70" s="277"/>
      <c r="N70" s="277"/>
      <c r="O70" s="27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AB70" s="419"/>
      <c r="AC70" s="247"/>
      <c r="AD70" s="247"/>
      <c r="AE70" s="247"/>
      <c r="AF70" s="247"/>
      <c r="AG70" s="247"/>
      <c r="AH70" s="247"/>
      <c r="AI70" s="247"/>
      <c r="AJ70" s="247"/>
      <c r="AK70" s="247"/>
      <c r="AL70" s="247"/>
      <c r="AM70" s="247"/>
      <c r="AN70" s="247"/>
      <c r="AO70" s="247"/>
      <c r="AP70" s="247"/>
      <c r="AQ70" s="247"/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8"/>
    </row>
    <row r="71" spans="2:66" s="246" customFormat="1" ht="17.25" customHeight="1" thickBot="1">
      <c r="B71" s="250" t="s">
        <v>18</v>
      </c>
      <c r="C71" s="251"/>
      <c r="D71" s="251"/>
      <c r="E71" s="251"/>
      <c r="F71" s="251"/>
      <c r="G71" s="251"/>
      <c r="H71" s="251"/>
      <c r="I71" s="251"/>
      <c r="J71" s="251"/>
      <c r="K71" s="251"/>
      <c r="L71" s="251"/>
      <c r="M71" s="251"/>
      <c r="N71" s="251"/>
      <c r="O71" s="251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251"/>
      <c r="AA71" s="251"/>
      <c r="AB71" s="422"/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7"/>
      <c r="AO71" s="247"/>
      <c r="AP71" s="247"/>
      <c r="AQ71" s="247"/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8"/>
    </row>
    <row r="72" spans="2:66" s="246" customFormat="1" ht="18" customHeight="1" thickBot="1">
      <c r="B72" s="247"/>
      <c r="C72" s="677" t="s">
        <v>165</v>
      </c>
      <c r="D72" s="678"/>
      <c r="E72" s="678"/>
      <c r="F72" s="678"/>
      <c r="G72" s="678"/>
      <c r="H72" s="678"/>
      <c r="I72" s="679"/>
      <c r="J72" s="680" t="s">
        <v>167</v>
      </c>
      <c r="K72" s="681"/>
      <c r="L72" s="681"/>
      <c r="M72" s="681"/>
      <c r="N72" s="681"/>
      <c r="O72" s="682"/>
      <c r="P72" s="247"/>
      <c r="Q72" s="247"/>
      <c r="R72" s="247"/>
      <c r="S72" s="247"/>
      <c r="T72" s="247"/>
      <c r="U72" s="247"/>
      <c r="V72" s="247"/>
      <c r="W72" s="247"/>
      <c r="X72" s="247"/>
      <c r="Y72" s="247"/>
      <c r="Z72" s="247"/>
      <c r="AA72" s="247"/>
      <c r="AB72" s="419"/>
      <c r="AC72" s="263" t="s">
        <v>166</v>
      </c>
      <c r="AD72" s="263" t="s">
        <v>167</v>
      </c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7"/>
      <c r="AP72" s="247"/>
      <c r="AQ72" s="247"/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8"/>
    </row>
    <row r="73" spans="2:66" s="246" customFormat="1" ht="18" hidden="1" customHeight="1" outlineLevel="1" thickTop="1" thickBot="1">
      <c r="B73" s="277"/>
      <c r="C73" s="677" t="s">
        <v>128</v>
      </c>
      <c r="D73" s="678"/>
      <c r="E73" s="678"/>
      <c r="F73" s="678"/>
      <c r="G73" s="678"/>
      <c r="H73" s="678"/>
      <c r="I73" s="679"/>
      <c r="J73" s="1036" cm="1">
        <f t="array" ref="J73">angleConvert2Decimal(M73)</f>
        <v>0</v>
      </c>
      <c r="K73" s="1037"/>
      <c r="L73" s="1038"/>
      <c r="M73" s="1039">
        <v>0</v>
      </c>
      <c r="N73" s="1040"/>
      <c r="O73" s="1041"/>
      <c r="P73" s="804" t="str" cm="1">
        <f t="array" ref="P73">angleDecimal2Txt(J73)</f>
        <v>+00°00.00 (+00.0000) [+00°00'00.00]</v>
      </c>
      <c r="Q73" s="805"/>
      <c r="R73" s="805"/>
      <c r="S73" s="805"/>
      <c r="T73" s="805"/>
      <c r="U73" s="805"/>
      <c r="V73" s="805"/>
      <c r="W73" s="805"/>
      <c r="X73" s="494"/>
      <c r="Y73" s="277"/>
      <c r="AB73" s="419"/>
      <c r="AC73" s="247"/>
      <c r="AD73" s="247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7"/>
      <c r="AP73" s="247"/>
      <c r="AQ73" s="247"/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8"/>
    </row>
    <row r="74" spans="2:66" s="246" customFormat="1" ht="18" hidden="1" customHeight="1" outlineLevel="1" thickTop="1" thickBot="1">
      <c r="C74" s="533" t="s">
        <v>127</v>
      </c>
      <c r="D74" s="533"/>
      <c r="E74" s="533"/>
      <c r="F74" s="533"/>
      <c r="G74" s="533"/>
      <c r="H74" s="533"/>
      <c r="I74" s="533"/>
      <c r="J74" s="528" cm="1">
        <f t="array" ref="J74">angleConvert2Decimal(M74)</f>
        <v>0</v>
      </c>
      <c r="K74" s="676"/>
      <c r="L74" s="529"/>
      <c r="M74" s="1044">
        <v>0</v>
      </c>
      <c r="N74" s="1045"/>
      <c r="O74" s="1046"/>
      <c r="P74" s="472" t="str" cm="1">
        <f t="array" ref="P74">angleDecimal2Txt(J74)</f>
        <v>+00°00.00 (+00.0000) [+00°00'00.00]</v>
      </c>
      <c r="Q74" s="472"/>
      <c r="R74" s="472"/>
      <c r="S74" s="472"/>
      <c r="T74" s="472"/>
      <c r="U74" s="472"/>
      <c r="V74" s="472"/>
      <c r="W74" s="472"/>
      <c r="X74" s="472"/>
      <c r="Y74" s="277"/>
      <c r="AB74" s="419"/>
      <c r="AC74" s="247"/>
      <c r="AD74" s="247"/>
      <c r="AE74" s="247"/>
      <c r="AF74" s="247"/>
      <c r="AG74" s="247"/>
      <c r="AH74" s="247"/>
      <c r="AI74" s="247"/>
      <c r="AJ74" s="247"/>
      <c r="AK74" s="247"/>
      <c r="AL74" s="247"/>
      <c r="AM74" s="247"/>
      <c r="AN74" s="247"/>
      <c r="AO74" s="247"/>
      <c r="AP74" s="247"/>
      <c r="AQ74" s="247"/>
      <c r="AR74" s="247"/>
      <c r="AS74" s="247"/>
      <c r="AT74" s="247"/>
      <c r="AU74" s="247"/>
      <c r="AV74" s="247"/>
      <c r="AW74" s="247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47"/>
      <c r="BK74" s="247"/>
      <c r="BL74" s="247"/>
      <c r="BM74" s="247"/>
      <c r="BN74" s="248"/>
    </row>
    <row r="75" spans="2:66" s="246" customFormat="1" ht="18" hidden="1" customHeight="1" outlineLevel="1" thickTop="1" thickBot="1">
      <c r="C75" s="533" t="s">
        <v>135</v>
      </c>
      <c r="D75" s="533"/>
      <c r="E75" s="533"/>
      <c r="F75" s="533"/>
      <c r="G75" s="533"/>
      <c r="H75" s="533"/>
      <c r="I75" s="533"/>
      <c r="J75" s="683" cm="1">
        <f t="array" ref="J75">angleConvert2Decimal(M75)</f>
        <v>0</v>
      </c>
      <c r="K75" s="683"/>
      <c r="L75" s="683"/>
      <c r="M75" s="967">
        <f>M74/2</f>
        <v>0</v>
      </c>
      <c r="N75" s="968"/>
      <c r="O75" s="968"/>
      <c r="P75" s="472" t="str" cm="1">
        <f t="array" ref="P75">angleDecimal2Txt(J75)</f>
        <v>+00°00.00 (+00.0000) [+00°00'00.00]</v>
      </c>
      <c r="Q75" s="472"/>
      <c r="R75" s="472"/>
      <c r="S75" s="472"/>
      <c r="T75" s="472"/>
      <c r="U75" s="472"/>
      <c r="V75" s="472"/>
      <c r="W75" s="472"/>
      <c r="X75" s="472"/>
      <c r="Y75" s="277"/>
      <c r="AB75" s="419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7"/>
      <c r="AO75" s="247"/>
      <c r="AP75" s="247"/>
      <c r="AQ75" s="247"/>
      <c r="AR75" s="247"/>
      <c r="AS75" s="247"/>
      <c r="AT75" s="247"/>
      <c r="AU75" s="247"/>
      <c r="AV75" s="247"/>
      <c r="AW75" s="247"/>
      <c r="AX75" s="247"/>
      <c r="AY75" s="247"/>
      <c r="AZ75" s="247"/>
      <c r="BA75" s="247"/>
      <c r="BB75" s="247"/>
      <c r="BC75" s="247"/>
      <c r="BD75" s="247"/>
      <c r="BE75" s="247"/>
      <c r="BF75" s="247"/>
      <c r="BG75" s="247"/>
      <c r="BH75" s="247"/>
      <c r="BI75" s="247"/>
      <c r="BJ75" s="247"/>
      <c r="BK75" s="247"/>
      <c r="BL75" s="247"/>
      <c r="BM75" s="247"/>
      <c r="BN75" s="248"/>
    </row>
    <row r="76" spans="2:66" s="246" customFormat="1" ht="18" customHeight="1" collapsed="1" thickBot="1">
      <c r="C76" s="684" t="s">
        <v>19</v>
      </c>
      <c r="D76" s="684"/>
      <c r="E76" s="684"/>
      <c r="F76" s="684"/>
      <c r="G76" s="684"/>
      <c r="H76" s="684"/>
      <c r="I76" s="684"/>
      <c r="J76" s="671">
        <f>M76</f>
        <v>2</v>
      </c>
      <c r="K76" s="672"/>
      <c r="L76" s="673"/>
      <c r="M76" s="584">
        <v>2</v>
      </c>
      <c r="N76" s="584"/>
      <c r="O76" s="584"/>
      <c r="P76" s="277"/>
      <c r="Q76" s="277"/>
      <c r="R76" s="277"/>
      <c r="S76" s="277"/>
      <c r="T76" s="277"/>
      <c r="U76" s="277"/>
      <c r="V76" s="277"/>
      <c r="W76" s="277"/>
      <c r="X76" s="277"/>
      <c r="Y76" s="277"/>
      <c r="AB76" s="419"/>
      <c r="AC76" s="247"/>
      <c r="AD76" s="247"/>
      <c r="AE76" s="247"/>
      <c r="AF76" s="247"/>
      <c r="AG76" s="247"/>
      <c r="AH76" s="247"/>
      <c r="AI76" s="247"/>
      <c r="AJ76" s="247"/>
      <c r="AK76" s="247"/>
      <c r="AL76" s="247"/>
      <c r="AM76" s="247"/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247"/>
      <c r="BH76" s="247"/>
      <c r="BI76" s="247"/>
      <c r="BJ76" s="247"/>
      <c r="BK76" s="247"/>
      <c r="BL76" s="247"/>
      <c r="BM76" s="247"/>
      <c r="BN76" s="248"/>
    </row>
    <row r="77" spans="2:66" s="246" customFormat="1" ht="18" customHeight="1" thickTop="1" thickBot="1">
      <c r="B77" s="277"/>
      <c r="C77" s="697" t="s">
        <v>20</v>
      </c>
      <c r="D77" s="698"/>
      <c r="E77" s="698"/>
      <c r="F77" s="698"/>
      <c r="G77" s="698"/>
      <c r="H77" s="698"/>
      <c r="I77" s="699"/>
      <c r="J77" s="528" cm="1">
        <f t="array" ref="J77">angleConvert2Decimal(M77)</f>
        <v>2.1666666666666667E-2</v>
      </c>
      <c r="K77" s="676"/>
      <c r="L77" s="529"/>
      <c r="M77" s="583" t="s">
        <v>245</v>
      </c>
      <c r="N77" s="584"/>
      <c r="O77" s="584"/>
      <c r="P77" s="472" t="str" cm="1">
        <f t="array" ref="P77">angleDecimal2Txt(J77)</f>
        <v>+00°01.30 (+00.0216) [+00°01'18.00]</v>
      </c>
      <c r="Q77" s="472"/>
      <c r="R77" s="472"/>
      <c r="S77" s="472"/>
      <c r="T77" s="472"/>
      <c r="U77" s="472"/>
      <c r="V77" s="472"/>
      <c r="W77" s="472"/>
      <c r="X77" s="472"/>
      <c r="Y77" s="277"/>
      <c r="AB77" s="419"/>
      <c r="AC77" s="247"/>
      <c r="AD77" s="247"/>
      <c r="AE77" s="247"/>
      <c r="AF77" s="247"/>
      <c r="AG77" s="247"/>
      <c r="AH77" s="247"/>
      <c r="AI77" s="247"/>
      <c r="AJ77" s="247"/>
      <c r="AK77" s="247"/>
      <c r="AL77" s="247"/>
      <c r="AM77" s="247"/>
      <c r="AN77" s="247"/>
      <c r="AO77" s="247"/>
      <c r="AP77" s="247"/>
      <c r="AQ77" s="247"/>
      <c r="AR77" s="247"/>
      <c r="AS77" s="247"/>
      <c r="AT77" s="247"/>
      <c r="AU77" s="247"/>
      <c r="AV77" s="247"/>
      <c r="AW77" s="247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47"/>
      <c r="BK77" s="247"/>
      <c r="BL77" s="247"/>
      <c r="BM77" s="247"/>
      <c r="BN77" s="248"/>
    </row>
    <row r="78" spans="2:66" s="246" customFormat="1" ht="18" customHeight="1" thickTop="1" thickBot="1">
      <c r="C78" s="548" t="s">
        <v>26</v>
      </c>
      <c r="D78" s="548"/>
      <c r="E78" s="548"/>
      <c r="F78" s="548"/>
      <c r="G78" s="548"/>
      <c r="H78" s="548"/>
      <c r="I78" s="548"/>
      <c r="J78" s="926">
        <f>IF(J72=AC72,J75,angleConvert2Decimal(M78))</f>
        <v>66.95</v>
      </c>
      <c r="K78" s="927"/>
      <c r="L78" s="928"/>
      <c r="M78" s="583" t="s">
        <v>254</v>
      </c>
      <c r="N78" s="584"/>
      <c r="O78" s="584"/>
      <c r="P78" s="472" t="str" cm="1">
        <f t="array" ref="P78">angleDecimal2Txt(J78)</f>
        <v>+66°57.00 (+66.9500) [+66°57'00.00]</v>
      </c>
      <c r="Q78" s="472"/>
      <c r="R78" s="472"/>
      <c r="S78" s="472"/>
      <c r="T78" s="472"/>
      <c r="U78" s="472"/>
      <c r="V78" s="472"/>
      <c r="W78" s="472"/>
      <c r="X78" s="472"/>
      <c r="Y78" s="277"/>
      <c r="AB78" s="419"/>
      <c r="AC78" s="247"/>
      <c r="AD78" s="247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7"/>
      <c r="AP78" s="247"/>
      <c r="AQ78" s="247"/>
      <c r="AR78" s="247"/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8"/>
    </row>
    <row r="79" spans="2:66" s="246" customFormat="1" ht="18" hidden="1" customHeight="1" outlineLevel="1" thickTop="1">
      <c r="C79" s="624" t="s">
        <v>30</v>
      </c>
      <c r="D79" s="624"/>
      <c r="E79" s="624"/>
      <c r="F79" s="624"/>
      <c r="G79" s="624"/>
      <c r="H79" s="624"/>
      <c r="I79" s="624"/>
      <c r="J79" s="519" t="str">
        <f>M79</f>
        <v>Soleil</v>
      </c>
      <c r="K79" s="520"/>
      <c r="L79" s="521"/>
      <c r="M79" s="932" t="s">
        <v>31</v>
      </c>
      <c r="N79" s="933"/>
      <c r="O79" s="934"/>
      <c r="P79" s="277"/>
      <c r="Q79" s="277"/>
      <c r="R79" s="277"/>
      <c r="S79" s="277"/>
      <c r="T79" s="277"/>
      <c r="U79" s="277"/>
      <c r="V79" s="277"/>
      <c r="W79" s="277"/>
      <c r="X79" s="277"/>
      <c r="Y79" s="277"/>
      <c r="AB79" s="419"/>
      <c r="AC79" s="247"/>
      <c r="AD79" s="247"/>
      <c r="AE79" s="247"/>
      <c r="AF79" s="247"/>
      <c r="AI79" s="247"/>
      <c r="AJ79" s="247"/>
      <c r="AK79" s="247"/>
      <c r="AL79" s="247"/>
      <c r="AM79" s="247"/>
      <c r="AN79" s="247"/>
      <c r="AO79" s="247"/>
      <c r="AP79" s="247"/>
      <c r="AQ79" s="247"/>
      <c r="AR79" s="247"/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8"/>
    </row>
    <row r="80" spans="2:66" s="246" customFormat="1" ht="18" customHeight="1" collapsed="1" thickTop="1">
      <c r="C80" s="624" t="s">
        <v>56</v>
      </c>
      <c r="D80" s="624"/>
      <c r="E80" s="624"/>
      <c r="F80" s="624"/>
      <c r="G80" s="624"/>
      <c r="H80" s="624"/>
      <c r="I80" s="624"/>
      <c r="J80" s="519" t="str">
        <f>M80</f>
        <v>BordInf</v>
      </c>
      <c r="K80" s="520"/>
      <c r="L80" s="521"/>
      <c r="M80" s="650" t="s">
        <v>57</v>
      </c>
      <c r="N80" s="650"/>
      <c r="O80" s="650"/>
      <c r="P80" s="277"/>
      <c r="Q80" s="277"/>
      <c r="R80" s="277"/>
      <c r="S80" s="277"/>
      <c r="T80" s="277"/>
      <c r="U80" s="277"/>
      <c r="V80" s="277"/>
      <c r="W80" s="277"/>
      <c r="X80" s="277"/>
      <c r="Y80" s="277"/>
      <c r="AB80" s="419"/>
      <c r="AC80"/>
      <c r="AD80"/>
      <c r="AE80"/>
      <c r="AF80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8"/>
    </row>
    <row r="81" spans="2:66" s="246" customFormat="1" ht="17.25" customHeight="1">
      <c r="C81" s="618" t="s">
        <v>151</v>
      </c>
      <c r="D81" s="619"/>
      <c r="E81" s="27"/>
      <c r="F81" s="27"/>
      <c r="G81" s="27"/>
      <c r="H81" s="27"/>
      <c r="I81" s="28"/>
      <c r="J81" s="481" cm="1">
        <f t="array" ref="J81">angleConvert2Decimal(M81)</f>
        <v>2.8833333333333302E-3</v>
      </c>
      <c r="K81" s="482"/>
      <c r="L81" s="483"/>
      <c r="M81" s="475">
        <f>P83</f>
        <v>2.8833333333333302E-3</v>
      </c>
      <c r="N81" s="476"/>
      <c r="O81" s="476"/>
      <c r="P81" s="922" t="s">
        <v>97</v>
      </c>
      <c r="Q81" s="922"/>
      <c r="R81" s="922"/>
      <c r="S81" s="277"/>
      <c r="T81" s="277"/>
      <c r="U81" s="277"/>
      <c r="V81" s="277"/>
      <c r="W81" s="277"/>
      <c r="X81" s="277"/>
      <c r="Y81" s="277"/>
      <c r="AB81" s="419"/>
      <c r="AC81"/>
      <c r="AD81"/>
      <c r="AE81"/>
      <c r="AF81"/>
      <c r="AI81" s="247"/>
      <c r="AJ81" s="247"/>
      <c r="AK81" s="247"/>
      <c r="AL81" s="247"/>
      <c r="AM81" s="247"/>
      <c r="AN81" s="24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8"/>
    </row>
    <row r="82" spans="2:66" s="246" customFormat="1" ht="17.25" customHeight="1" thickBot="1">
      <c r="C82" s="29"/>
      <c r="D82" s="935" t="s">
        <v>152</v>
      </c>
      <c r="E82" s="935"/>
      <c r="F82" s="935"/>
      <c r="G82" s="935"/>
      <c r="H82" s="935"/>
      <c r="I82" s="936"/>
      <c r="J82" s="484"/>
      <c r="K82" s="485"/>
      <c r="L82" s="486"/>
      <c r="M82" s="477"/>
      <c r="N82" s="478"/>
      <c r="O82" s="478"/>
      <c r="P82" s="922"/>
      <c r="Q82" s="922"/>
      <c r="R82" s="922"/>
      <c r="S82" s="277"/>
      <c r="T82" s="277"/>
      <c r="U82" s="277"/>
      <c r="V82" s="277"/>
      <c r="W82" s="277"/>
      <c r="X82" s="277"/>
      <c r="Y82" s="277"/>
      <c r="AB82" s="419"/>
      <c r="AC82"/>
      <c r="AD82"/>
      <c r="AE82"/>
      <c r="AF82"/>
      <c r="AI82" s="247"/>
      <c r="AJ82" s="247"/>
      <c r="AK82" s="247"/>
      <c r="AL82" s="247"/>
      <c r="AM82" s="247"/>
      <c r="AN82" s="24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8"/>
    </row>
    <row r="83" spans="2:66" s="246" customFormat="1" ht="17.25" customHeight="1" thickTop="1" thickBot="1">
      <c r="C83" s="29"/>
      <c r="D83" s="935"/>
      <c r="E83" s="935"/>
      <c r="F83" s="935"/>
      <c r="G83" s="935"/>
      <c r="H83" s="935"/>
      <c r="I83" s="936"/>
      <c r="J83" s="484"/>
      <c r="K83" s="485"/>
      <c r="L83" s="486"/>
      <c r="M83" s="477"/>
      <c r="N83" s="478"/>
      <c r="O83" s="478"/>
      <c r="P83" s="648" cm="1">
        <f t="array" ref="P83">astroHPSoleilEnDegre()</f>
        <v>2.8833333333333302E-3</v>
      </c>
      <c r="Q83" s="648"/>
      <c r="R83" s="648"/>
      <c r="S83" s="615" t="str" cm="1">
        <f t="array" ref="S83">angleDecimal2Txt(angleConvert2Decimal(P83))</f>
        <v>+00°00.17 (+00.0028) [+00°00'10.37]</v>
      </c>
      <c r="T83" s="615"/>
      <c r="U83" s="615"/>
      <c r="V83" s="615"/>
      <c r="W83" s="615"/>
      <c r="X83" s="616"/>
      <c r="Y83" s="277"/>
      <c r="AB83" s="419"/>
      <c r="AC83"/>
      <c r="AD83"/>
      <c r="AE83"/>
      <c r="AF83"/>
      <c r="AG83" s="247"/>
      <c r="AH83" s="247"/>
      <c r="AI83" s="247"/>
      <c r="AJ83" s="247"/>
      <c r="AK83" s="247"/>
      <c r="AL83" s="247"/>
      <c r="AM83" s="247"/>
      <c r="AN83" s="24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8"/>
    </row>
    <row r="84" spans="2:66" s="246" customFormat="1" ht="17.25" customHeight="1" thickTop="1" thickBot="1">
      <c r="C84" s="30"/>
      <c r="D84" s="937"/>
      <c r="E84" s="937"/>
      <c r="F84" s="937"/>
      <c r="G84" s="937"/>
      <c r="H84" s="937"/>
      <c r="I84" s="938"/>
      <c r="J84" s="923"/>
      <c r="K84" s="924"/>
      <c r="L84" s="925"/>
      <c r="M84" s="479"/>
      <c r="N84" s="480"/>
      <c r="O84" s="480"/>
      <c r="P84" s="565" t="str" cm="1">
        <f t="array" ref="P84">angleDecimal2Txt(J81)</f>
        <v>+00°00.17 (+00.0028) [+00°00'10.37]</v>
      </c>
      <c r="Q84" s="565"/>
      <c r="R84" s="565"/>
      <c r="S84" s="472"/>
      <c r="T84" s="472"/>
      <c r="U84" s="472"/>
      <c r="V84" s="472"/>
      <c r="W84" s="472"/>
      <c r="X84" s="472"/>
      <c r="Y84" s="277"/>
      <c r="AB84" s="419"/>
      <c r="AC84" s="259" t="s">
        <v>98</v>
      </c>
      <c r="AD84" s="260" t="s">
        <v>57</v>
      </c>
      <c r="AE84" s="260" t="s">
        <v>188</v>
      </c>
      <c r="AF84" s="260" t="s">
        <v>58</v>
      </c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8"/>
    </row>
    <row r="85" spans="2:66" s="246" customFormat="1" ht="17.25" customHeight="1" thickTop="1">
      <c r="C85" s="1100" t="s">
        <v>100</v>
      </c>
      <c r="D85" s="1101"/>
      <c r="E85" s="1101"/>
      <c r="F85" s="1101"/>
      <c r="G85" s="1101"/>
      <c r="H85" s="1101"/>
      <c r="I85" s="1102"/>
      <c r="J85" s="481" cm="1">
        <f t="array" ref="J85">angleConvert2Decimal(M85)</f>
        <v>0.52666666699999998</v>
      </c>
      <c r="K85" s="482"/>
      <c r="L85" s="483"/>
      <c r="M85" s="475">
        <f>P87</f>
        <v>0.52666666699999998</v>
      </c>
      <c r="N85" s="476"/>
      <c r="O85" s="476"/>
      <c r="P85" s="922" t="s">
        <v>97</v>
      </c>
      <c r="Q85" s="922"/>
      <c r="R85" s="922"/>
      <c r="S85" s="277"/>
      <c r="T85" s="277"/>
      <c r="U85" s="277"/>
      <c r="V85" s="277"/>
      <c r="W85" s="277"/>
      <c r="X85" s="277"/>
      <c r="Y85" s="277"/>
      <c r="AB85" s="419"/>
      <c r="AC85"/>
      <c r="AD85"/>
      <c r="AE85"/>
      <c r="AF85"/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8"/>
    </row>
    <row r="86" spans="2:66" s="246" customFormat="1" ht="17.25" customHeight="1" thickBot="1">
      <c r="C86" s="1103"/>
      <c r="D86" s="532"/>
      <c r="E86" s="532"/>
      <c r="F86" s="532"/>
      <c r="G86" s="532"/>
      <c r="H86" s="532"/>
      <c r="I86" s="1104"/>
      <c r="J86" s="484"/>
      <c r="K86" s="485"/>
      <c r="L86" s="486"/>
      <c r="M86" s="477"/>
      <c r="N86" s="478"/>
      <c r="O86" s="478"/>
      <c r="P86" s="922"/>
      <c r="Q86" s="922"/>
      <c r="R86" s="922"/>
      <c r="S86" s="277"/>
      <c r="T86" s="277"/>
      <c r="U86" s="277"/>
      <c r="V86" s="277"/>
      <c r="W86" s="277"/>
      <c r="X86" s="277"/>
      <c r="Y86" s="277"/>
      <c r="AB86" s="419"/>
      <c r="AC86" s="247"/>
      <c r="AD86" s="247"/>
      <c r="AE86" s="247"/>
      <c r="AF86" s="247"/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8"/>
    </row>
    <row r="87" spans="2:66" s="246" customFormat="1" ht="17.25" customHeight="1" thickTop="1" thickBot="1">
      <c r="C87" s="1103"/>
      <c r="D87" s="532"/>
      <c r="E87" s="532"/>
      <c r="F87" s="532"/>
      <c r="G87" s="532"/>
      <c r="H87" s="532"/>
      <c r="I87" s="1104"/>
      <c r="J87" s="484"/>
      <c r="K87" s="485"/>
      <c r="L87" s="486"/>
      <c r="M87" s="477"/>
      <c r="N87" s="478"/>
      <c r="O87" s="478"/>
      <c r="P87" s="648" cm="1">
        <f t="array" ref="P87">astroDiametreSoleilEnDegre(AA7)</f>
        <v>0.52666666699999998</v>
      </c>
      <c r="Q87" s="648"/>
      <c r="R87" s="648"/>
      <c r="S87" s="615" t="str" cm="1">
        <f t="array" ref="S87">angleDecimal2Txt(angleConvert2Decimal(P87))</f>
        <v>+00°31.60 (+00.5266) [+00°31'36.00]</v>
      </c>
      <c r="T87" s="615"/>
      <c r="U87" s="615"/>
      <c r="V87" s="615"/>
      <c r="W87" s="615"/>
      <c r="X87" s="616"/>
      <c r="Y87" s="277"/>
      <c r="AB87" s="419"/>
      <c r="AC87" s="247"/>
      <c r="AD87" s="247"/>
      <c r="AE87" s="247"/>
      <c r="AF87" s="247"/>
      <c r="AG87" s="247"/>
      <c r="AH87" s="247"/>
      <c r="AI87" s="247"/>
      <c r="AJ87" s="247"/>
      <c r="AK87" s="247"/>
      <c r="AL87" s="247"/>
      <c r="AM87" s="247"/>
      <c r="AN87" s="24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  <c r="BD87" s="247"/>
      <c r="BE87" s="247"/>
      <c r="BF87" s="247"/>
      <c r="BG87" s="247"/>
      <c r="BH87" s="247"/>
      <c r="BI87" s="247"/>
      <c r="BJ87" s="247"/>
      <c r="BK87" s="247"/>
      <c r="BL87" s="247"/>
      <c r="BM87" s="247"/>
      <c r="BN87" s="248"/>
    </row>
    <row r="88" spans="2:66" s="246" customFormat="1" ht="17.25" customHeight="1" thickTop="1" thickBot="1">
      <c r="C88" s="1105"/>
      <c r="D88" s="1106"/>
      <c r="E88" s="1106"/>
      <c r="F88" s="1106"/>
      <c r="G88" s="1106"/>
      <c r="H88" s="1106"/>
      <c r="I88" s="1107"/>
      <c r="J88" s="487"/>
      <c r="K88" s="488"/>
      <c r="L88" s="489"/>
      <c r="M88" s="479"/>
      <c r="N88" s="480"/>
      <c r="O88" s="480"/>
      <c r="P88" s="565" t="str" cm="1">
        <f t="array" ref="P88">angleDecimal2Txt(J85)</f>
        <v>+00°31.60 (+00.5266) [+00°31'36.00]</v>
      </c>
      <c r="Q88" s="565"/>
      <c r="R88" s="565"/>
      <c r="S88" s="472"/>
      <c r="T88" s="472"/>
      <c r="U88" s="472"/>
      <c r="V88" s="472"/>
      <c r="W88" s="472"/>
      <c r="X88" s="472"/>
      <c r="Y88" s="277"/>
      <c r="AB88" s="419"/>
      <c r="AC88" s="247"/>
      <c r="AD88" s="247"/>
      <c r="AG88" s="247"/>
      <c r="AH88" s="247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  <c r="BD88" s="247"/>
      <c r="BE88" s="247"/>
      <c r="BF88" s="247"/>
      <c r="BG88" s="247"/>
      <c r="BH88" s="247"/>
      <c r="BI88" s="247"/>
      <c r="BJ88" s="247"/>
      <c r="BK88" s="247"/>
      <c r="BL88" s="247"/>
      <c r="BM88" s="247"/>
      <c r="BN88" s="248"/>
    </row>
    <row r="89" spans="2:66" s="246" customFormat="1" ht="17.25" customHeight="1" thickTop="1" thickBot="1">
      <c r="C89" s="277"/>
      <c r="D89" s="277"/>
      <c r="E89" s="277"/>
      <c r="F89" s="277"/>
      <c r="G89" s="277"/>
      <c r="H89" s="277"/>
      <c r="I89" s="277"/>
      <c r="J89" s="277"/>
      <c r="K89" s="277"/>
      <c r="L89" s="277"/>
      <c r="M89" s="277"/>
      <c r="N89" s="277"/>
      <c r="O89" s="277"/>
      <c r="P89" s="277"/>
      <c r="Q89" s="277"/>
      <c r="R89" s="277"/>
      <c r="S89" s="277"/>
      <c r="T89" s="277"/>
      <c r="U89" s="277"/>
      <c r="V89" s="277"/>
      <c r="W89" s="277"/>
      <c r="X89" s="277"/>
      <c r="Y89" s="277"/>
      <c r="AB89" s="419"/>
      <c r="AH89" s="247"/>
      <c r="AI89" s="247"/>
      <c r="AJ89" s="247"/>
      <c r="AK89" s="247"/>
      <c r="AL89" s="247"/>
      <c r="AM89" s="247"/>
      <c r="AN89" s="247"/>
      <c r="AO89" s="247"/>
      <c r="AP89" s="247"/>
      <c r="AQ89" s="247"/>
      <c r="AR89" s="247"/>
      <c r="AS89" s="247"/>
      <c r="AT89" s="247"/>
      <c r="AU89" s="247"/>
      <c r="AV89" s="247"/>
      <c r="AW89" s="247"/>
      <c r="AX89" s="247"/>
      <c r="AY89" s="247"/>
      <c r="AZ89" s="247"/>
      <c r="BA89" s="247"/>
      <c r="BB89" s="247"/>
      <c r="BC89" s="247"/>
      <c r="BD89" s="247"/>
      <c r="BE89" s="247"/>
      <c r="BF89" s="247"/>
      <c r="BG89" s="247"/>
      <c r="BH89" s="247"/>
      <c r="BI89" s="247"/>
      <c r="BJ89" s="247"/>
      <c r="BK89" s="247"/>
      <c r="BL89" s="247"/>
      <c r="BM89" s="247"/>
      <c r="BN89" s="248"/>
    </row>
    <row r="90" spans="2:66" s="246" customFormat="1" ht="17.25" customHeight="1" thickBot="1">
      <c r="B90" s="250" t="s">
        <v>9</v>
      </c>
      <c r="C90" s="251"/>
      <c r="D90" s="251"/>
      <c r="E90" s="251"/>
      <c r="F90" s="554">
        <f>IF(G91=AD91,D94,IF(G91=AD92,D101,D107))</f>
        <v>-14.728333333333333</v>
      </c>
      <c r="G90" s="554"/>
      <c r="H90" s="554"/>
      <c r="I90" s="251"/>
      <c r="J90" s="251"/>
      <c r="K90" s="251" t="str" cm="1">
        <f t="array" ref="K90">latitudeDecimal2Txt(F90)</f>
        <v>S 14°43.70 (S 14.7283) [S 14°43'42.00]</v>
      </c>
      <c r="L90" s="251"/>
      <c r="M90" s="251"/>
      <c r="N90" s="251"/>
      <c r="O90" s="251"/>
      <c r="P90" s="251"/>
      <c r="Q90" s="251"/>
      <c r="R90" s="251"/>
      <c r="S90" s="251"/>
      <c r="T90" s="251"/>
      <c r="U90" s="251"/>
      <c r="V90" s="251"/>
      <c r="W90" s="251"/>
      <c r="X90" s="251"/>
      <c r="Y90" s="251"/>
      <c r="Z90" s="251"/>
      <c r="AA90" s="251"/>
      <c r="AB90" s="424"/>
      <c r="AC90" s="247"/>
      <c r="AD90" s="263" t="s">
        <v>544</v>
      </c>
      <c r="AH90" s="247"/>
      <c r="AI90" s="247"/>
      <c r="AJ90" s="247"/>
      <c r="AK90" s="247"/>
      <c r="AL90" s="247"/>
      <c r="AM90" s="247"/>
      <c r="AN90" s="247"/>
      <c r="AO90" s="247"/>
      <c r="AP90" s="247"/>
      <c r="AQ90" s="247"/>
      <c r="AR90" s="247"/>
      <c r="AS90" s="247"/>
      <c r="AT90" s="247"/>
      <c r="AU90" s="247"/>
      <c r="AV90" s="247"/>
      <c r="AW90" s="247"/>
      <c r="AX90" s="247"/>
      <c r="AY90" s="247"/>
      <c r="AZ90" s="247"/>
      <c r="BA90" s="247"/>
      <c r="BB90" s="247"/>
      <c r="BC90" s="247"/>
      <c r="BD90" s="247"/>
      <c r="BE90" s="247"/>
      <c r="BF90" s="247"/>
      <c r="BG90" s="247"/>
      <c r="BH90" s="247"/>
      <c r="BI90" s="247"/>
      <c r="BJ90" s="247"/>
      <c r="BK90" s="247"/>
      <c r="BL90" s="247"/>
      <c r="BM90" s="247"/>
      <c r="BN90" s="248"/>
    </row>
    <row r="91" spans="2:66" s="262" customFormat="1" ht="17.25" customHeight="1">
      <c r="C91" s="607" t="s">
        <v>35</v>
      </c>
      <c r="D91" s="607"/>
      <c r="E91" s="607"/>
      <c r="F91" s="607"/>
      <c r="G91" s="610" t="s">
        <v>544</v>
      </c>
      <c r="H91" s="611"/>
      <c r="I91" s="612"/>
      <c r="AB91" s="425"/>
      <c r="AC91" s="715" t="s">
        <v>36</v>
      </c>
      <c r="AD91" s="263" t="s">
        <v>10</v>
      </c>
      <c r="AE91" s="247"/>
      <c r="AH91" s="247"/>
      <c r="AI91" s="247"/>
      <c r="AJ91" s="247"/>
      <c r="AK91" s="247"/>
      <c r="AL91" s="247"/>
      <c r="AM91" s="247"/>
      <c r="AN91" s="247"/>
      <c r="AO91" s="247"/>
      <c r="AP91" s="247"/>
      <c r="AQ91" s="247"/>
      <c r="AR91" s="247"/>
      <c r="AS91" s="247"/>
      <c r="AT91" s="247"/>
      <c r="AU91" s="247"/>
      <c r="AV91" s="247"/>
      <c r="AW91" s="247"/>
      <c r="AX91" s="247"/>
      <c r="AY91" s="247"/>
      <c r="AZ91" s="247"/>
      <c r="BA91" s="247"/>
      <c r="BB91" s="247"/>
      <c r="BC91" s="247"/>
      <c r="BD91" s="247"/>
      <c r="BE91" s="247"/>
      <c r="BF91" s="247"/>
      <c r="BG91" s="247"/>
      <c r="BH91" s="247"/>
      <c r="BI91" s="247"/>
      <c r="BJ91" s="247"/>
      <c r="BK91" s="247"/>
      <c r="BL91" s="247"/>
      <c r="BM91" s="247"/>
    </row>
    <row r="92" spans="2:66" s="246" customFormat="1" ht="17.25" customHeight="1">
      <c r="C92" s="876" t="s">
        <v>10</v>
      </c>
      <c r="D92" s="878" t="s">
        <v>9</v>
      </c>
      <c r="E92" s="656"/>
      <c r="F92" s="656"/>
      <c r="G92" s="656"/>
      <c r="H92" s="656"/>
      <c r="I92" s="504" t="s">
        <v>609</v>
      </c>
      <c r="J92" s="597"/>
      <c r="K92" s="504" t="s">
        <v>13</v>
      </c>
      <c r="L92" s="505"/>
      <c r="M92" s="506"/>
      <c r="N92" s="510" t="s">
        <v>15</v>
      </c>
      <c r="O92" s="510"/>
      <c r="P92" s="510"/>
      <c r="Q92" s="510"/>
      <c r="R92" s="510"/>
      <c r="S92" s="373"/>
      <c r="AB92" s="419"/>
      <c r="AC92" s="715"/>
      <c r="AD92" s="263" t="s">
        <v>14</v>
      </c>
      <c r="AE92" s="247"/>
      <c r="AH92" s="247"/>
      <c r="AI92" s="247"/>
      <c r="AJ92" s="247"/>
      <c r="AK92" s="247"/>
      <c r="AL92" s="247"/>
      <c r="AM92" s="247"/>
      <c r="AN92" s="247"/>
      <c r="AO92" s="247"/>
      <c r="AP92" s="247"/>
      <c r="AQ92" s="247"/>
      <c r="AR92" s="247"/>
      <c r="AS92" s="247"/>
      <c r="AT92" s="247"/>
      <c r="AU92" s="247"/>
      <c r="AV92" s="247"/>
      <c r="AW92" s="247"/>
      <c r="AX92" s="247"/>
      <c r="AY92" s="247"/>
      <c r="AZ92" s="247"/>
      <c r="BA92" s="247"/>
      <c r="BB92" s="247"/>
      <c r="BC92" s="247"/>
      <c r="BD92" s="247"/>
      <c r="BE92" s="247"/>
      <c r="BF92" s="247"/>
      <c r="BG92" s="247"/>
      <c r="BH92" s="247"/>
      <c r="BI92" s="247"/>
      <c r="BJ92" s="247"/>
      <c r="BK92" s="247"/>
      <c r="BL92" s="247"/>
      <c r="BM92" s="247"/>
      <c r="BN92" s="248"/>
    </row>
    <row r="93" spans="2:66" s="246" customFormat="1" ht="17.25" customHeight="1" thickBot="1">
      <c r="C93" s="876"/>
      <c r="D93" s="878"/>
      <c r="E93" s="656"/>
      <c r="F93" s="656"/>
      <c r="G93" s="656"/>
      <c r="H93" s="656"/>
      <c r="I93" s="600"/>
      <c r="J93" s="601"/>
      <c r="K93" s="507"/>
      <c r="L93" s="508"/>
      <c r="M93" s="509"/>
      <c r="N93" s="510"/>
      <c r="O93" s="510"/>
      <c r="P93" s="510"/>
      <c r="Q93" s="510"/>
      <c r="R93" s="510"/>
      <c r="S93" s="373"/>
      <c r="AB93" s="419"/>
      <c r="AC93" s="247"/>
      <c r="AD93" s="71" t="s">
        <v>73</v>
      </c>
      <c r="AE93" s="3" t="s">
        <v>180</v>
      </c>
      <c r="AF93" s="247"/>
      <c r="AG93" s="247"/>
      <c r="AH93" s="247"/>
      <c r="AI93" s="247"/>
      <c r="AJ93" s="247"/>
      <c r="AK93" s="247"/>
      <c r="AL93" s="247"/>
      <c r="AM93" s="247"/>
      <c r="AN93" s="247"/>
      <c r="AO93" s="247"/>
      <c r="AP93" s="247"/>
      <c r="AQ93" s="247"/>
      <c r="AR93" s="247"/>
      <c r="AS93" s="247"/>
      <c r="AT93" s="247"/>
      <c r="AU93" s="247"/>
      <c r="AV93" s="247"/>
      <c r="AW93" s="247"/>
      <c r="AX93" s="247"/>
      <c r="AY93" s="247"/>
      <c r="AZ93" s="247"/>
      <c r="BA93" s="247"/>
      <c r="BB93" s="247"/>
      <c r="BC93" s="247"/>
      <c r="BD93" s="247"/>
      <c r="BE93" s="247"/>
      <c r="BF93" s="247"/>
      <c r="BG93" s="247"/>
      <c r="BH93" s="247"/>
      <c r="BI93" s="247"/>
      <c r="BJ93" s="247"/>
      <c r="BK93" s="247"/>
      <c r="BL93" s="247"/>
      <c r="BM93" s="247"/>
      <c r="BN93" s="248"/>
    </row>
    <row r="94" spans="2:66" s="246" customFormat="1" ht="17.25" customHeight="1" thickTop="1" thickBot="1">
      <c r="C94" s="876"/>
      <c r="D94" s="482" t="str">
        <f>IF(G91=AD91,AD99,"---")</f>
        <v>---</v>
      </c>
      <c r="E94" s="482"/>
      <c r="F94" s="482"/>
      <c r="G94" s="482"/>
      <c r="H94" s="483"/>
      <c r="I94" s="746">
        <f>E63</f>
        <v>0</v>
      </c>
      <c r="J94" s="747"/>
      <c r="K94" s="535">
        <v>10</v>
      </c>
      <c r="L94" s="536"/>
      <c r="M94" s="537"/>
      <c r="N94" s="511" t="s">
        <v>3</v>
      </c>
      <c r="O94" s="512" t="s">
        <v>529</v>
      </c>
      <c r="P94" s="513"/>
      <c r="Q94" s="513"/>
      <c r="R94" s="513"/>
      <c r="S94" s="549" t="str" cm="1">
        <f t="array" ref="S94">angleDecimal2Txt(AE94)</f>
        <v>+23°08.50 (+23.1416) [+23°08'30.00]</v>
      </c>
      <c r="T94" s="550"/>
      <c r="U94" s="550"/>
      <c r="V94" s="550"/>
      <c r="W94" s="550"/>
      <c r="AB94" s="419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 s="247"/>
      <c r="AG94" s="247"/>
      <c r="AH94" s="247"/>
      <c r="AI94" s="247"/>
      <c r="AJ94" s="247"/>
      <c r="AK94" s="247"/>
      <c r="AL94" s="247"/>
      <c r="AM94" s="247"/>
      <c r="AN94" s="247"/>
      <c r="AO94" s="247"/>
      <c r="AP94" s="247"/>
      <c r="AQ94" s="247"/>
      <c r="AR94" s="247"/>
      <c r="AS94" s="247"/>
      <c r="AT94" s="247"/>
      <c r="AU94" s="247"/>
      <c r="AV94" s="247"/>
      <c r="AW94" s="247"/>
      <c r="AX94" s="247"/>
      <c r="AY94" s="247"/>
      <c r="AZ94" s="247"/>
      <c r="BA94" s="247"/>
      <c r="BB94" s="247"/>
      <c r="BC94" s="247"/>
      <c r="BD94" s="247"/>
      <c r="BE94" s="247"/>
      <c r="BF94" s="247"/>
      <c r="BG94" s="247"/>
      <c r="BH94" s="247"/>
      <c r="BI94" s="247"/>
      <c r="BJ94" s="247"/>
      <c r="BK94" s="247"/>
      <c r="BL94" s="247"/>
      <c r="BM94" s="247"/>
      <c r="BN94" s="248"/>
    </row>
    <row r="95" spans="2:66" s="246" customFormat="1" ht="17.25" customHeight="1" thickTop="1" thickBot="1">
      <c r="C95" s="876"/>
      <c r="D95" s="485"/>
      <c r="E95" s="485"/>
      <c r="F95" s="485"/>
      <c r="G95" s="485"/>
      <c r="H95" s="486"/>
      <c r="I95" s="490"/>
      <c r="J95" s="877"/>
      <c r="K95" s="538"/>
      <c r="L95" s="539"/>
      <c r="M95" s="540"/>
      <c r="N95" s="511"/>
      <c r="O95" s="514"/>
      <c r="P95" s="514"/>
      <c r="Q95" s="514"/>
      <c r="R95" s="514"/>
      <c r="S95" s="550"/>
      <c r="T95" s="550"/>
      <c r="U95" s="550"/>
      <c r="V95" s="550"/>
      <c r="W95" s="550"/>
      <c r="AB95" s="419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 s="247"/>
      <c r="AG95" s="247"/>
      <c r="AH95" s="247"/>
      <c r="AI95" s="247"/>
      <c r="AJ95" s="247"/>
      <c r="AK95" s="247"/>
      <c r="AL95" s="247"/>
      <c r="AM95" s="247"/>
      <c r="AN95" s="247"/>
      <c r="AO95" s="247"/>
      <c r="AP95" s="247"/>
      <c r="AQ95" s="247"/>
      <c r="AR95" s="247"/>
      <c r="AS95" s="247"/>
      <c r="AT95" s="247"/>
      <c r="AU95" s="247"/>
      <c r="AV95" s="247"/>
      <c r="AW95" s="247"/>
      <c r="AX95" s="247"/>
      <c r="AY95" s="247"/>
      <c r="AZ95" s="247"/>
      <c r="BA95" s="247"/>
      <c r="BB95" s="247"/>
      <c r="BC95" s="247"/>
      <c r="BD95" s="247"/>
      <c r="BE95" s="247"/>
      <c r="BF95" s="247"/>
      <c r="BG95" s="247"/>
      <c r="BH95" s="247"/>
      <c r="BI95" s="247"/>
      <c r="BJ95" s="247"/>
      <c r="BK95" s="247"/>
      <c r="BL95" s="247"/>
      <c r="BM95" s="247"/>
      <c r="BN95" s="248"/>
    </row>
    <row r="96" spans="2:66" s="246" customFormat="1" ht="17.25" customHeight="1" thickTop="1" thickBot="1">
      <c r="C96" s="876"/>
      <c r="D96" s="485"/>
      <c r="E96" s="485"/>
      <c r="F96" s="485"/>
      <c r="G96" s="485"/>
      <c r="H96" s="486"/>
      <c r="I96" s="490"/>
      <c r="J96" s="877"/>
      <c r="K96" s="625">
        <v>11</v>
      </c>
      <c r="L96" s="626"/>
      <c r="M96" s="627"/>
      <c r="N96" s="511" t="s">
        <v>3</v>
      </c>
      <c r="O96" s="547" t="s">
        <v>530</v>
      </c>
      <c r="P96" s="514"/>
      <c r="Q96" s="514"/>
      <c r="R96" s="514"/>
      <c r="S96" s="549" t="str" cm="1">
        <f t="array" ref="S96">angleDecimal2Txt((AE95))</f>
        <v>+23°08.30 (+23.1383) [+23°08'18.00]</v>
      </c>
      <c r="T96" s="550"/>
      <c r="U96" s="550"/>
      <c r="V96" s="550"/>
      <c r="W96" s="550"/>
      <c r="AB96" s="419"/>
      <c r="AC96" s="3" t="s">
        <v>38</v>
      </c>
      <c r="AD96" s="5">
        <f>AE95-AE94</f>
        <v>-3.3333333333338544E-3</v>
      </c>
      <c r="AE96" s="247"/>
      <c r="AF96" s="247"/>
      <c r="AG96" s="247"/>
      <c r="AH96" s="247"/>
      <c r="AI96" s="247"/>
      <c r="AJ96" s="247"/>
      <c r="AK96" s="247"/>
      <c r="AL96" s="247"/>
      <c r="AM96" s="247"/>
      <c r="AN96" s="247"/>
      <c r="AO96" s="247"/>
      <c r="AP96" s="247"/>
      <c r="AQ96" s="247"/>
      <c r="AR96" s="247"/>
      <c r="AS96" s="247"/>
      <c r="AT96" s="247"/>
      <c r="AU96" s="247"/>
      <c r="AV96" s="247"/>
      <c r="AW96" s="247"/>
      <c r="AX96" s="247"/>
      <c r="AY96" s="247"/>
      <c r="AZ96" s="247"/>
      <c r="BA96" s="247"/>
      <c r="BB96" s="247"/>
      <c r="BC96" s="247"/>
      <c r="BD96" s="247"/>
      <c r="BE96" s="247"/>
      <c r="BF96" s="247"/>
      <c r="BG96" s="247"/>
      <c r="BH96" s="247"/>
      <c r="BI96" s="247"/>
      <c r="BJ96" s="247"/>
      <c r="BK96" s="247"/>
      <c r="BL96" s="247"/>
      <c r="BM96" s="247"/>
      <c r="BN96" s="248"/>
    </row>
    <row r="97" spans="1:66" s="246" customFormat="1" ht="17.25" customHeight="1" thickTop="1" thickBot="1">
      <c r="C97" s="876"/>
      <c r="D97" s="654" t="e" cm="1">
        <f t="array" ref="D97">latitudeDecimal2Txt(D94)</f>
        <v>#VALUE!</v>
      </c>
      <c r="E97" s="470"/>
      <c r="F97" s="470"/>
      <c r="G97" s="470"/>
      <c r="H97" s="470"/>
      <c r="I97" s="748"/>
      <c r="J97" s="749"/>
      <c r="K97" s="538"/>
      <c r="L97" s="539"/>
      <c r="M97" s="540"/>
      <c r="N97" s="511"/>
      <c r="O97" s="514"/>
      <c r="P97" s="514"/>
      <c r="Q97" s="514"/>
      <c r="R97" s="514"/>
      <c r="S97" s="550"/>
      <c r="T97" s="550"/>
      <c r="U97" s="550"/>
      <c r="V97" s="550"/>
      <c r="W97" s="550"/>
      <c r="AB97" s="419"/>
      <c r="AC97" s="3" t="s">
        <v>174</v>
      </c>
      <c r="AD97" s="5">
        <f>K96-K94</f>
        <v>1</v>
      </c>
      <c r="AI97" s="247"/>
      <c r="AJ97" s="247"/>
      <c r="AK97" s="247"/>
      <c r="AL97" s="247"/>
      <c r="AM97" s="247"/>
      <c r="AN97" s="247"/>
      <c r="AO97" s="247"/>
      <c r="AP97" s="247"/>
      <c r="AQ97" s="247"/>
      <c r="AR97" s="247"/>
      <c r="AS97" s="247"/>
      <c r="AT97" s="247"/>
      <c r="AU97" s="247"/>
      <c r="AV97" s="247"/>
      <c r="AW97" s="247"/>
      <c r="AX97" s="247"/>
      <c r="AY97" s="247"/>
      <c r="AZ97" s="247"/>
      <c r="BA97" s="247"/>
      <c r="BB97" s="247"/>
      <c r="BC97" s="247"/>
      <c r="BD97" s="247"/>
      <c r="BE97" s="247"/>
      <c r="BF97" s="247"/>
      <c r="BG97" s="247"/>
      <c r="BH97" s="247"/>
      <c r="BI97" s="247"/>
      <c r="BJ97" s="247"/>
      <c r="BK97" s="247"/>
      <c r="BL97" s="247"/>
      <c r="BM97" s="247"/>
      <c r="BN97" s="248"/>
    </row>
    <row r="98" spans="1:66" s="246" customFormat="1" ht="17.25" customHeight="1" thickTop="1">
      <c r="C98" s="374"/>
      <c r="D98" s="374"/>
      <c r="E98" s="374"/>
      <c r="AB98" s="419"/>
      <c r="AC98" s="3" t="s">
        <v>39</v>
      </c>
      <c r="AD98" s="5">
        <f>I94-K94</f>
        <v>-10</v>
      </c>
      <c r="AE98" s="247"/>
      <c r="AF98" s="247"/>
      <c r="AG98" s="247"/>
      <c r="AH98" s="247"/>
      <c r="AI98" s="255"/>
      <c r="AJ98" s="247"/>
      <c r="AK98" s="247"/>
      <c r="AL98" s="247"/>
      <c r="AM98" s="247"/>
      <c r="AN98" s="247"/>
      <c r="AO98" s="247"/>
      <c r="AP98" s="247"/>
      <c r="AQ98" s="247"/>
      <c r="AR98" s="247"/>
      <c r="AS98" s="247"/>
      <c r="AT98" s="247"/>
      <c r="AU98" s="247"/>
      <c r="AV98" s="247"/>
      <c r="AW98" s="247"/>
      <c r="AX98" s="247"/>
      <c r="AY98" s="247"/>
      <c r="AZ98" s="247"/>
      <c r="BA98" s="247"/>
      <c r="BB98" s="247"/>
      <c r="BC98" s="247"/>
      <c r="BD98" s="247"/>
      <c r="BE98" s="247"/>
      <c r="BF98" s="247"/>
      <c r="BG98" s="247"/>
      <c r="BH98" s="247"/>
      <c r="BI98" s="247"/>
      <c r="BJ98" s="247"/>
      <c r="BK98" s="247"/>
      <c r="BL98" s="247"/>
      <c r="BM98" s="247"/>
      <c r="BN98" s="248"/>
    </row>
    <row r="99" spans="1:66" s="246" customFormat="1" ht="17.25" customHeight="1">
      <c r="C99" s="655" t="s">
        <v>14</v>
      </c>
      <c r="D99" s="656" t="s">
        <v>9</v>
      </c>
      <c r="E99" s="656"/>
      <c r="F99" s="656"/>
      <c r="G99" s="656"/>
      <c r="H99" s="656"/>
      <c r="I99" s="504" t="s">
        <v>609</v>
      </c>
      <c r="J99" s="597"/>
      <c r="K99" s="504" t="s">
        <v>601</v>
      </c>
      <c r="L99" s="505"/>
      <c r="M99" s="506"/>
      <c r="N99" s="510" t="s">
        <v>16</v>
      </c>
      <c r="O99" s="510"/>
      <c r="P99" s="510"/>
      <c r="Q99" s="510"/>
      <c r="R99" s="510"/>
      <c r="S99" s="510" t="s">
        <v>131</v>
      </c>
      <c r="T99" s="510"/>
      <c r="U99" s="510"/>
      <c r="V99" s="510"/>
      <c r="W99" s="510"/>
      <c r="AA99" s="373"/>
      <c r="AB99" s="419"/>
      <c r="AC99" s="3" t="s">
        <v>37</v>
      </c>
      <c r="AD99" s="3">
        <f>AE94+(AD96/AD97)*AD98</f>
        <v>23.175000000000004</v>
      </c>
      <c r="AE99" s="247"/>
      <c r="AF99" s="247"/>
      <c r="AG99" s="247"/>
      <c r="AH99" s="247"/>
      <c r="AI99" s="247"/>
      <c r="AJ99" s="247"/>
      <c r="AK99" s="247"/>
      <c r="AL99" s="247"/>
      <c r="AM99" s="247"/>
      <c r="AN99" s="247"/>
      <c r="AO99" s="247"/>
      <c r="AP99" s="247"/>
      <c r="AQ99" s="247"/>
      <c r="AR99" s="247"/>
      <c r="AS99" s="247"/>
      <c r="AT99" s="247"/>
      <c r="AU99" s="247"/>
      <c r="AV99" s="247"/>
      <c r="AW99" s="247"/>
      <c r="AX99" s="247"/>
      <c r="AY99" s="247"/>
      <c r="AZ99" s="247"/>
      <c r="BA99" s="247"/>
      <c r="BB99" s="247"/>
      <c r="BC99" s="247"/>
      <c r="BD99" s="247"/>
      <c r="BE99" s="247"/>
      <c r="BF99" s="247"/>
      <c r="BG99" s="247"/>
      <c r="BH99" s="247"/>
      <c r="BI99" s="247"/>
      <c r="BJ99" s="247"/>
      <c r="BK99" s="247"/>
      <c r="BL99" s="247"/>
      <c r="BM99" s="247"/>
      <c r="BN99" s="248"/>
    </row>
    <row r="100" spans="1:66" s="246" customFormat="1" ht="17.25" customHeight="1">
      <c r="C100" s="655"/>
      <c r="D100" s="656"/>
      <c r="E100" s="656"/>
      <c r="F100" s="656"/>
      <c r="G100" s="656"/>
      <c r="H100" s="656"/>
      <c r="I100" s="600"/>
      <c r="J100" s="601"/>
      <c r="K100" s="507"/>
      <c r="L100" s="508"/>
      <c r="M100" s="509"/>
      <c r="N100" s="510"/>
      <c r="O100" s="510"/>
      <c r="P100" s="510"/>
      <c r="Q100" s="510"/>
      <c r="R100" s="510"/>
      <c r="S100" s="510"/>
      <c r="T100" s="510"/>
      <c r="U100" s="510"/>
      <c r="V100" s="510"/>
      <c r="W100" s="510"/>
      <c r="AA100" s="373"/>
      <c r="AB100" s="419"/>
      <c r="AC100" s="247"/>
      <c r="AD100" s="247"/>
      <c r="AE100" s="247"/>
      <c r="AG100" s="247"/>
      <c r="AH100" s="247"/>
      <c r="AI100" s="247"/>
      <c r="AJ100" s="247"/>
      <c r="AK100" s="247"/>
      <c r="AL100" s="247"/>
      <c r="AM100" s="247"/>
      <c r="AN100" s="247"/>
      <c r="AO100" s="247"/>
      <c r="AP100" s="247"/>
      <c r="AQ100" s="247"/>
      <c r="AR100" s="247"/>
      <c r="AS100" s="247"/>
      <c r="AT100" s="247"/>
      <c r="AU100" s="247"/>
      <c r="AV100" s="247"/>
      <c r="AW100" s="247"/>
      <c r="AX100" s="247"/>
      <c r="AY100" s="247"/>
      <c r="AZ100" s="247"/>
      <c r="BA100" s="247"/>
      <c r="BB100" s="247"/>
      <c r="BC100" s="247"/>
      <c r="BD100" s="247"/>
      <c r="BE100" s="247"/>
      <c r="BF100" s="247"/>
      <c r="BG100" s="247"/>
      <c r="BH100" s="247"/>
      <c r="BI100" s="247"/>
      <c r="BJ100" s="247"/>
      <c r="BK100" s="247"/>
      <c r="BL100" s="247"/>
      <c r="BM100" s="247"/>
      <c r="BN100" s="248"/>
    </row>
    <row r="101" spans="1:66" s="246" customFormat="1" ht="17.25" customHeight="1">
      <c r="C101" s="655"/>
      <c r="D101" s="482" t="str">
        <f>IF(G91=AD92,AD105,"---")</f>
        <v>---</v>
      </c>
      <c r="E101" s="482"/>
      <c r="F101" s="482"/>
      <c r="G101" s="482"/>
      <c r="H101" s="482"/>
      <c r="I101" s="652">
        <f>E63</f>
        <v>0</v>
      </c>
      <c r="J101" s="652"/>
      <c r="K101" s="499">
        <v>0</v>
      </c>
      <c r="L101" s="499"/>
      <c r="M101" s="717"/>
      <c r="N101" s="511" t="s">
        <v>3</v>
      </c>
      <c r="O101" s="720" t="s">
        <v>600</v>
      </c>
      <c r="P101" s="721"/>
      <c r="Q101" s="721"/>
      <c r="R101" s="721"/>
      <c r="S101" s="511" t="s">
        <v>3</v>
      </c>
      <c r="T101" s="720">
        <f>0.2/60</f>
        <v>3.3333333333333335E-3</v>
      </c>
      <c r="U101" s="721"/>
      <c r="V101" s="721"/>
      <c r="W101" s="721"/>
      <c r="AA101" s="373"/>
      <c r="AB101" s="419"/>
      <c r="AC101" s="3" t="s">
        <v>175</v>
      </c>
      <c r="AD101" s="3">
        <f>VLOOKUP(N101,Outils!$C$9:$E$10,3)</f>
        <v>1</v>
      </c>
      <c r="AE101" s="247"/>
      <c r="AG101" s="247"/>
      <c r="AH101" s="247"/>
      <c r="AI101" s="247"/>
      <c r="AJ101" s="247"/>
      <c r="AK101" s="247"/>
      <c r="AL101" s="247"/>
      <c r="AM101" s="247"/>
      <c r="AN101" s="247"/>
      <c r="AO101" s="247"/>
      <c r="AP101" s="247"/>
      <c r="AQ101" s="247"/>
      <c r="AR101" s="247"/>
      <c r="AS101" s="247"/>
      <c r="AT101" s="247"/>
      <c r="AU101" s="247"/>
      <c r="AV101" s="247"/>
      <c r="AW101" s="247"/>
      <c r="AX101" s="247"/>
      <c r="AY101" s="247"/>
      <c r="AZ101" s="247"/>
      <c r="BA101" s="247"/>
      <c r="BB101" s="247"/>
      <c r="BC101" s="247"/>
      <c r="BD101" s="247"/>
      <c r="BE101" s="247"/>
      <c r="BF101" s="247"/>
      <c r="BG101" s="247"/>
      <c r="BH101" s="247"/>
      <c r="BI101" s="247"/>
      <c r="BJ101" s="247"/>
      <c r="BK101" s="247"/>
      <c r="BL101" s="247"/>
      <c r="BM101" s="247"/>
      <c r="BN101" s="248"/>
    </row>
    <row r="102" spans="1:66" s="246" customFormat="1" ht="17.25" customHeight="1" thickBot="1">
      <c r="C102" s="655"/>
      <c r="D102" s="485"/>
      <c r="E102" s="485"/>
      <c r="F102" s="485"/>
      <c r="G102" s="485"/>
      <c r="H102" s="485"/>
      <c r="I102" s="652"/>
      <c r="J102" s="652"/>
      <c r="K102" s="501"/>
      <c r="L102" s="501"/>
      <c r="M102" s="718"/>
      <c r="N102" s="511"/>
      <c r="O102" s="511"/>
      <c r="P102" s="511"/>
      <c r="Q102" s="511"/>
      <c r="R102" s="511"/>
      <c r="S102" s="511"/>
      <c r="T102" s="511"/>
      <c r="U102" s="511"/>
      <c r="V102" s="511"/>
      <c r="W102" s="511"/>
      <c r="Z102" s="373"/>
      <c r="AA102" s="373"/>
      <c r="AB102" s="419"/>
      <c r="AC102" s="3" t="s">
        <v>176</v>
      </c>
      <c r="AD102" s="3" cm="1">
        <f t="array" ref="AD102">angleConvert2Decimal(O101)*AD101</f>
        <v>23.176666666666666</v>
      </c>
      <c r="AE102" s="247"/>
      <c r="AG102" s="247"/>
      <c r="AH102" s="247"/>
      <c r="AI102" s="247"/>
      <c r="AJ102" s="247"/>
      <c r="AK102" s="247"/>
      <c r="AL102" s="247"/>
      <c r="AM102" s="247"/>
      <c r="AN102" s="247"/>
      <c r="AO102" s="247"/>
      <c r="AP102" s="247"/>
      <c r="AQ102" s="247"/>
      <c r="AR102" s="247"/>
      <c r="AS102" s="247"/>
      <c r="AT102" s="247"/>
      <c r="AU102" s="247"/>
      <c r="AV102" s="247"/>
      <c r="AW102" s="247"/>
      <c r="AX102" s="247"/>
      <c r="AY102" s="247"/>
      <c r="AZ102" s="247"/>
      <c r="BA102" s="247"/>
      <c r="BB102" s="247"/>
      <c r="BC102" s="247"/>
      <c r="BD102" s="247"/>
      <c r="BE102" s="247"/>
      <c r="BF102" s="247"/>
      <c r="BG102" s="247"/>
      <c r="BH102" s="247"/>
      <c r="BI102" s="247"/>
      <c r="BJ102" s="247"/>
      <c r="BK102" s="247"/>
      <c r="BL102" s="247"/>
      <c r="BM102" s="247"/>
      <c r="BN102" s="248"/>
    </row>
    <row r="103" spans="1:66" s="246" customFormat="1" ht="17.25" customHeight="1" thickTop="1" thickBot="1">
      <c r="C103" s="655"/>
      <c r="D103" s="654" t="e" cm="1">
        <f t="array" ref="D103">latitudeDecimal2Txt(D101)</f>
        <v>#VALUE!</v>
      </c>
      <c r="E103" s="470"/>
      <c r="F103" s="470"/>
      <c r="G103" s="470"/>
      <c r="H103" s="737"/>
      <c r="I103" s="652"/>
      <c r="J103" s="652"/>
      <c r="K103" s="653" t="str" cm="1">
        <f t="array" ref="K103">heureDecimal2Txt(K101)</f>
        <v>00:00:00.00(00.0000)</v>
      </c>
      <c r="L103" s="653"/>
      <c r="M103" s="654"/>
      <c r="N103" s="472" t="str" cm="1">
        <f t="array" ref="N103">angleDecimal2Txt(AD102)</f>
        <v>+23°10.59 (+23.1766) [+23°10'36.00]</v>
      </c>
      <c r="O103" s="472"/>
      <c r="P103" s="472"/>
      <c r="Q103" s="472"/>
      <c r="R103" s="472"/>
      <c r="S103" s="472" t="str" cm="1">
        <f t="array" ref="S103">angleDecimal2Txt(AD104)</f>
        <v>+00°00.19 (+00.0033) [+00°00'11.99]</v>
      </c>
      <c r="T103" s="722"/>
      <c r="U103" s="722"/>
      <c r="V103" s="722"/>
      <c r="W103" s="722"/>
      <c r="Z103" s="373"/>
      <c r="AB103" s="419"/>
      <c r="AC103" s="3" t="s">
        <v>177</v>
      </c>
      <c r="AD103" s="3">
        <f>VLOOKUP(S101,Outils!$C$9:$E$10,3)</f>
        <v>1</v>
      </c>
      <c r="AE103" s="247"/>
      <c r="AG103" s="247"/>
      <c r="AH103" s="247"/>
      <c r="AI103" s="247"/>
      <c r="AJ103" s="247"/>
      <c r="AK103" s="247"/>
      <c r="AL103" s="247"/>
      <c r="AM103" s="247"/>
      <c r="AN103" s="247"/>
      <c r="AO103" s="247"/>
      <c r="AP103" s="247"/>
      <c r="AQ103" s="247"/>
      <c r="AR103" s="247"/>
      <c r="AS103" s="247"/>
      <c r="AT103" s="247"/>
      <c r="AU103" s="247"/>
      <c r="AV103" s="247"/>
      <c r="AW103" s="247"/>
      <c r="AX103" s="247"/>
      <c r="AY103" s="247"/>
      <c r="AZ103" s="247"/>
      <c r="BA103" s="247"/>
      <c r="BB103" s="247"/>
      <c r="BC103" s="247"/>
      <c r="BD103" s="247"/>
      <c r="BE103" s="247"/>
      <c r="BF103" s="247"/>
      <c r="BG103" s="247"/>
      <c r="BH103" s="247"/>
      <c r="BI103" s="247"/>
      <c r="BJ103" s="247"/>
      <c r="BK103" s="247"/>
      <c r="BL103" s="247"/>
      <c r="BM103" s="247"/>
      <c r="BN103" s="248"/>
    </row>
    <row r="104" spans="1:66" s="246" customFormat="1" ht="17.25" customHeight="1" collapsed="1" thickTop="1">
      <c r="A104" s="264" t="s">
        <v>527</v>
      </c>
      <c r="C104" s="374"/>
      <c r="D104" s="374"/>
      <c r="E104" s="374"/>
      <c r="I104"/>
      <c r="Z104" s="373"/>
      <c r="AB104" s="419"/>
      <c r="AC104" s="3" t="s">
        <v>178</v>
      </c>
      <c r="AD104" s="3" cm="1">
        <f t="array" ref="AD104">angleConvert2Decimal(T101)*AD103</f>
        <v>3.3333333333333301E-3</v>
      </c>
      <c r="AE104" s="247"/>
      <c r="AG104" s="247"/>
      <c r="AH104" s="247"/>
      <c r="AI104" s="247"/>
      <c r="AJ104" s="247"/>
      <c r="AK104" s="247"/>
      <c r="AL104" s="247"/>
      <c r="AM104" s="247"/>
      <c r="AN104" s="247"/>
      <c r="AO104" s="247"/>
      <c r="AP104" s="247"/>
      <c r="AQ104" s="247"/>
      <c r="AR104" s="247"/>
      <c r="AS104" s="247"/>
      <c r="AT104" s="247"/>
      <c r="AU104" s="247"/>
      <c r="AV104" s="247"/>
      <c r="AW104" s="247"/>
      <c r="AX104" s="247"/>
      <c r="AY104" s="247"/>
      <c r="AZ104" s="247"/>
      <c r="BA104" s="247"/>
      <c r="BB104" s="247"/>
      <c r="BC104" s="247"/>
      <c r="BD104" s="247"/>
      <c r="BE104" s="247"/>
      <c r="BF104" s="247"/>
      <c r="BG104" s="247"/>
      <c r="BH104" s="247"/>
      <c r="BI104" s="247"/>
      <c r="BJ104" s="247"/>
      <c r="BK104" s="247"/>
      <c r="BL104" s="247"/>
      <c r="BM104" s="247"/>
      <c r="BN104" s="248"/>
    </row>
    <row r="105" spans="1:66" s="246" customFormat="1" ht="17.25" customHeight="1">
      <c r="C105" s="655" t="s">
        <v>610</v>
      </c>
      <c r="D105" s="656" t="s">
        <v>9</v>
      </c>
      <c r="E105" s="656"/>
      <c r="F105" s="656"/>
      <c r="G105" s="656"/>
      <c r="H105" s="656"/>
      <c r="I105" s="587" t="s">
        <v>546</v>
      </c>
      <c r="J105" s="588"/>
      <c r="K105" s="588"/>
      <c r="L105" s="588"/>
      <c r="M105" s="589"/>
      <c r="AB105" s="419"/>
      <c r="AC105" s="3" t="s">
        <v>179</v>
      </c>
      <c r="AD105" s="3">
        <f>AD102+AD104*(I101-K101)</f>
        <v>23.176666666666666</v>
      </c>
      <c r="AE105" s="247"/>
      <c r="AG105" s="247"/>
      <c r="AH105" s="247"/>
      <c r="AI105" s="247"/>
      <c r="AJ105" s="247"/>
      <c r="AK105" s="247"/>
      <c r="AL105" s="247"/>
      <c r="AM105" s="247"/>
      <c r="AN105" s="247"/>
      <c r="AO105" s="247"/>
      <c r="AP105" s="247"/>
      <c r="AQ105" s="247"/>
      <c r="AR105" s="247"/>
      <c r="AS105" s="247"/>
      <c r="AT105" s="247"/>
      <c r="AU105" s="247"/>
      <c r="AV105" s="247"/>
      <c r="AW105" s="247"/>
      <c r="AX105" s="247"/>
      <c r="AY105" s="247"/>
      <c r="AZ105" s="247"/>
      <c r="BA105" s="247"/>
      <c r="BB105" s="247"/>
      <c r="BC105" s="247"/>
      <c r="BD105" s="247"/>
      <c r="BE105" s="247"/>
      <c r="BF105" s="247"/>
      <c r="BG105" s="247"/>
      <c r="BH105" s="247"/>
      <c r="BI105" s="247"/>
      <c r="BJ105" s="247"/>
      <c r="BK105" s="247"/>
      <c r="BL105" s="247"/>
      <c r="BM105" s="247"/>
      <c r="BN105" s="248"/>
    </row>
    <row r="106" spans="1:66" s="246" customFormat="1" ht="17.25" customHeight="1">
      <c r="C106" s="655"/>
      <c r="D106" s="656"/>
      <c r="E106" s="656"/>
      <c r="F106" s="656"/>
      <c r="G106" s="656"/>
      <c r="H106" s="656"/>
      <c r="I106" s="590"/>
      <c r="J106" s="591"/>
      <c r="K106" s="591"/>
      <c r="L106" s="591"/>
      <c r="M106" s="592"/>
      <c r="S106"/>
      <c r="T106"/>
      <c r="U106"/>
      <c r="V106"/>
      <c r="W106"/>
      <c r="X106"/>
      <c r="Y106"/>
      <c r="AB106" s="419"/>
      <c r="AC106" s="3"/>
      <c r="AD106" s="3"/>
      <c r="AE106" s="247"/>
      <c r="AG106" s="247"/>
      <c r="AH106" s="247"/>
      <c r="AI106" s="247"/>
      <c r="AJ106" s="247"/>
      <c r="AK106" s="247"/>
      <c r="AL106" s="247"/>
      <c r="AM106" s="247"/>
      <c r="AN106" s="247"/>
      <c r="AO106" s="247"/>
      <c r="AP106" s="247"/>
      <c r="AQ106" s="247"/>
      <c r="AR106" s="247"/>
      <c r="AS106" s="247"/>
      <c r="AT106" s="247"/>
      <c r="AU106" s="247"/>
      <c r="AV106" s="247"/>
      <c r="AW106" s="247"/>
      <c r="AX106" s="247"/>
      <c r="AY106" s="247"/>
      <c r="AZ106" s="247"/>
      <c r="BA106" s="247"/>
      <c r="BB106" s="247"/>
      <c r="BC106" s="247"/>
      <c r="BD106" s="247"/>
      <c r="BE106" s="247"/>
      <c r="BF106" s="247"/>
      <c r="BG106" s="247"/>
      <c r="BH106" s="247"/>
      <c r="BI106" s="247"/>
      <c r="BJ106" s="247"/>
      <c r="BK106" s="247"/>
      <c r="BL106" s="247"/>
      <c r="BM106" s="247"/>
      <c r="BN106" s="248"/>
    </row>
    <row r="107" spans="1:66" s="246" customFormat="1" ht="17.25" customHeight="1">
      <c r="C107" s="655"/>
      <c r="D107" s="484">
        <f>IF(G91=AD90,AD108,"---")</f>
        <v>-14.728333333333333</v>
      </c>
      <c r="E107" s="485"/>
      <c r="F107" s="485"/>
      <c r="G107" s="485"/>
      <c r="H107" s="485"/>
      <c r="I107" s="546" t="s">
        <v>4</v>
      </c>
      <c r="J107" s="646" t="s">
        <v>608</v>
      </c>
      <c r="K107" s="646"/>
      <c r="L107" s="646"/>
      <c r="M107" s="646"/>
      <c r="U107"/>
      <c r="V107"/>
      <c r="W107"/>
      <c r="X107"/>
      <c r="Y107"/>
      <c r="AB107" s="419"/>
      <c r="AC107" s="3" t="s">
        <v>175</v>
      </c>
      <c r="AD107" s="3">
        <f>VLOOKUP(I107,Outils!$C$9:$E$10,3)</f>
        <v>-1</v>
      </c>
      <c r="AE107" s="247"/>
      <c r="AG107" s="247"/>
      <c r="AH107" s="247"/>
      <c r="AI107" s="247"/>
      <c r="AJ107" s="247"/>
      <c r="AK107" s="247"/>
      <c r="AL107" s="247"/>
      <c r="AM107" s="247"/>
      <c r="AN107" s="247"/>
      <c r="AO107" s="247"/>
      <c r="AP107" s="247"/>
      <c r="AQ107" s="247"/>
      <c r="AR107" s="247"/>
      <c r="AS107" s="247"/>
      <c r="AT107" s="247"/>
      <c r="AU107" s="247"/>
      <c r="AV107" s="247"/>
      <c r="AW107" s="247"/>
      <c r="AX107" s="247"/>
      <c r="AY107" s="247"/>
      <c r="AZ107" s="247"/>
      <c r="BA107" s="247"/>
      <c r="BB107" s="247"/>
      <c r="BC107" s="247"/>
      <c r="BD107" s="247"/>
      <c r="BE107" s="247"/>
      <c r="BF107" s="247"/>
      <c r="BG107" s="247"/>
      <c r="BH107" s="247"/>
      <c r="BI107" s="247"/>
      <c r="BJ107" s="247"/>
      <c r="BK107" s="247"/>
      <c r="BL107" s="247"/>
      <c r="BM107" s="247"/>
      <c r="BN107" s="248"/>
    </row>
    <row r="108" spans="1:66" s="246" customFormat="1" ht="17.25" customHeight="1" thickBot="1">
      <c r="C108" s="655"/>
      <c r="D108" s="657"/>
      <c r="E108" s="658"/>
      <c r="F108" s="658"/>
      <c r="G108" s="658"/>
      <c r="H108" s="658"/>
      <c r="I108" s="546"/>
      <c r="J108" s="646"/>
      <c r="K108" s="646"/>
      <c r="L108" s="646"/>
      <c r="M108" s="646"/>
      <c r="U108"/>
      <c r="V108"/>
      <c r="W108"/>
      <c r="X108"/>
      <c r="Y108"/>
      <c r="AB108" s="419"/>
      <c r="AC108" s="3" t="s">
        <v>176</v>
      </c>
      <c r="AD108" s="3" cm="1">
        <f t="array" ref="AD108">angleConvert2Decimal(J107)*AD107</f>
        <v>-14.728333333333333</v>
      </c>
      <c r="AE108" s="247"/>
      <c r="AF108" s="247"/>
      <c r="AG108" s="247"/>
      <c r="AH108" s="247"/>
      <c r="AI108" s="247"/>
      <c r="AJ108" s="247"/>
      <c r="AK108" s="247"/>
      <c r="AL108" s="247"/>
      <c r="AM108" s="247"/>
      <c r="AN108" s="247"/>
      <c r="AO108" s="247"/>
      <c r="AP108" s="247"/>
      <c r="AQ108" s="247"/>
      <c r="AR108" s="247"/>
      <c r="AS108" s="247"/>
      <c r="AT108" s="247"/>
      <c r="AU108" s="247"/>
      <c r="AV108" s="247"/>
      <c r="AW108" s="247"/>
      <c r="AX108" s="247"/>
      <c r="AY108" s="247"/>
      <c r="AZ108" s="247"/>
      <c r="BA108" s="247"/>
      <c r="BB108" s="247"/>
      <c r="BC108" s="247"/>
      <c r="BD108" s="247"/>
      <c r="BE108" s="247"/>
      <c r="BF108" s="247"/>
      <c r="BG108" s="247"/>
      <c r="BH108" s="247"/>
      <c r="BI108" s="247"/>
      <c r="BJ108" s="247"/>
      <c r="BK108" s="247"/>
      <c r="BL108" s="247"/>
      <c r="BM108" s="247"/>
      <c r="BN108" s="248"/>
    </row>
    <row r="109" spans="1:66" s="246" customFormat="1" ht="17.25" customHeight="1" thickTop="1" thickBot="1">
      <c r="C109" s="655"/>
      <c r="D109" s="470" t="str" cm="1">
        <f t="array" ref="D109">latitudeDecimal2Txt(AD108)</f>
        <v>S 14°43.70 (S 14.7283) [S 14°43'42.00]</v>
      </c>
      <c r="E109" s="470"/>
      <c r="F109" s="470"/>
      <c r="G109" s="470"/>
      <c r="H109" s="470"/>
      <c r="I109"/>
      <c r="J109"/>
      <c r="K109"/>
      <c r="L109"/>
      <c r="N109"/>
      <c r="O109"/>
      <c r="U109"/>
      <c r="V109"/>
      <c r="W109"/>
      <c r="X109"/>
      <c r="Y109"/>
      <c r="AB109" s="419"/>
      <c r="AC109"/>
      <c r="AD109"/>
      <c r="AE109" s="247"/>
      <c r="AF109" s="247"/>
      <c r="AG109" s="247"/>
      <c r="AH109" s="247"/>
      <c r="AI109" s="247"/>
      <c r="AJ109" s="247"/>
      <c r="AK109" s="247"/>
      <c r="AL109" s="247"/>
      <c r="AM109" s="247"/>
      <c r="AN109" s="247"/>
      <c r="AO109" s="247"/>
      <c r="AP109" s="247"/>
      <c r="AQ109" s="247"/>
      <c r="AR109" s="247"/>
      <c r="AS109" s="247"/>
      <c r="AT109" s="247"/>
      <c r="AU109" s="247"/>
      <c r="AV109" s="247"/>
      <c r="AW109" s="247"/>
      <c r="AX109" s="247"/>
      <c r="AY109" s="247"/>
      <c r="AZ109" s="247"/>
      <c r="BA109" s="247"/>
      <c r="BB109" s="247"/>
      <c r="BC109" s="247"/>
      <c r="BD109" s="247"/>
      <c r="BE109" s="247"/>
      <c r="BF109" s="247"/>
      <c r="BG109" s="247"/>
      <c r="BH109" s="247"/>
      <c r="BI109" s="247"/>
      <c r="BJ109" s="247"/>
      <c r="BK109" s="247"/>
      <c r="BL109" s="247"/>
      <c r="BM109" s="247"/>
      <c r="BN109" s="248"/>
    </row>
    <row r="110" spans="1:66" s="246" customFormat="1" ht="17.25" customHeight="1" thickTop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408"/>
      <c r="AC110"/>
      <c r="AD110"/>
      <c r="AE110"/>
      <c r="AF110"/>
      <c r="AG110" s="247"/>
      <c r="AH110" s="247"/>
      <c r="AI110" s="247"/>
      <c r="AJ110" s="247"/>
      <c r="AK110" s="247"/>
      <c r="AL110" s="247"/>
      <c r="AM110" s="247"/>
      <c r="AN110" s="247"/>
      <c r="AO110" s="247"/>
      <c r="AP110" s="247"/>
      <c r="AQ110" s="247"/>
      <c r="AR110" s="247"/>
      <c r="AS110" s="247"/>
      <c r="AT110" s="247"/>
      <c r="AU110" s="247"/>
      <c r="AV110" s="247"/>
      <c r="AW110" s="247"/>
      <c r="AX110" s="247"/>
      <c r="AY110" s="247"/>
      <c r="AZ110" s="247"/>
      <c r="BA110" s="247"/>
      <c r="BB110" s="247"/>
      <c r="BC110" s="247"/>
      <c r="BD110" s="247"/>
      <c r="BE110" s="247"/>
      <c r="BF110" s="247"/>
      <c r="BG110" s="247"/>
      <c r="BH110" s="247"/>
      <c r="BI110" s="247"/>
      <c r="BJ110" s="247"/>
      <c r="BK110" s="247"/>
      <c r="BL110" s="247"/>
      <c r="BM110" s="247"/>
      <c r="BN110" s="248"/>
    </row>
    <row r="111" spans="1:66" s="246" customFormat="1" ht="17.25" customHeight="1" thickBot="1">
      <c r="B111" s="250" t="s">
        <v>23</v>
      </c>
      <c r="C111" s="251"/>
      <c r="D111" s="704" t="s">
        <v>72</v>
      </c>
      <c r="E111" s="705"/>
      <c r="F111" s="554">
        <f>IF(G112=AD112,O149,O139)</f>
        <v>67.144288851193551</v>
      </c>
      <c r="G111" s="554"/>
      <c r="H111" s="554"/>
      <c r="I111" s="251"/>
      <c r="J111" s="251"/>
      <c r="K111" s="251"/>
      <c r="L111" s="251" t="s">
        <v>60</v>
      </c>
      <c r="M111" s="704">
        <f>O114</f>
        <v>66.95</v>
      </c>
      <c r="N111" s="704"/>
      <c r="O111" s="251"/>
      <c r="P111" s="266"/>
      <c r="Q111" s="251" t="s">
        <v>95</v>
      </c>
      <c r="R111" s="251"/>
      <c r="S111" s="725">
        <f>-O126+O121+O130</f>
        <v>0.25739197523773433</v>
      </c>
      <c r="T111" s="726"/>
      <c r="U111" s="727"/>
      <c r="V111" s="929" t="str" cm="1">
        <f t="array" ref="V111">angleDecimal2Txt(S111)</f>
        <v>+00°15.44 (+00.2573) [+00°15'26.61]</v>
      </c>
      <c r="W111" s="930"/>
      <c r="X111" s="930"/>
      <c r="Y111" s="930"/>
      <c r="Z111" s="931"/>
      <c r="AA111" s="251"/>
      <c r="AB111" s="424"/>
      <c r="AC111" s="247"/>
      <c r="AD111" s="247"/>
      <c r="AE111" s="247"/>
      <c r="AF111" s="247"/>
      <c r="AG111" s="247"/>
      <c r="AH111" s="247"/>
      <c r="AI111" s="247"/>
      <c r="AJ111" s="247"/>
      <c r="AK111" s="247"/>
      <c r="AL111" s="247"/>
      <c r="AM111" s="247"/>
      <c r="AN111" s="247"/>
      <c r="AO111" s="247"/>
      <c r="AP111" s="247"/>
      <c r="AQ111" s="247"/>
      <c r="AR111" s="247"/>
      <c r="AS111" s="247"/>
      <c r="AT111" s="247"/>
      <c r="AU111" s="247"/>
      <c r="AV111" s="247"/>
      <c r="AW111" s="247"/>
      <c r="AX111" s="247"/>
      <c r="AY111" s="247"/>
      <c r="AZ111" s="247"/>
      <c r="BA111" s="247"/>
      <c r="BB111" s="247"/>
      <c r="BC111" s="247"/>
      <c r="BD111" s="247"/>
      <c r="BE111" s="247"/>
      <c r="BF111" s="247"/>
      <c r="BG111" s="247"/>
      <c r="BH111" s="247"/>
      <c r="BI111" s="247"/>
      <c r="BJ111" s="247"/>
      <c r="BK111" s="247"/>
      <c r="BL111" s="247"/>
      <c r="BM111" s="247"/>
      <c r="BN111" s="248"/>
    </row>
    <row r="112" spans="1:66" s="246" customFormat="1" ht="17.25" customHeight="1">
      <c r="C112" s="532" t="s">
        <v>35</v>
      </c>
      <c r="D112" s="532"/>
      <c r="E112" s="532"/>
      <c r="F112" s="532"/>
      <c r="G112" s="611" t="s">
        <v>51</v>
      </c>
      <c r="H112" s="611"/>
      <c r="I112" s="611"/>
      <c r="P112" s="246" t="s">
        <v>69</v>
      </c>
      <c r="V112" s="277"/>
      <c r="W112" s="277"/>
      <c r="X112" s="277"/>
      <c r="Y112" s="277"/>
      <c r="Z112" s="277"/>
      <c r="AB112" s="419"/>
      <c r="AC112" s="715" t="s">
        <v>36</v>
      </c>
      <c r="AD112" s="263" t="s">
        <v>50</v>
      </c>
      <c r="AE112" s="247"/>
      <c r="AF112" s="247"/>
      <c r="AG112" s="247"/>
      <c r="AH112" s="247"/>
      <c r="AI112" s="247"/>
      <c r="AJ112" s="247"/>
      <c r="AK112" s="247"/>
      <c r="AL112" s="247"/>
      <c r="AM112" s="247"/>
      <c r="AN112" s="247"/>
      <c r="AO112" s="247"/>
      <c r="AP112" s="247"/>
      <c r="AQ112" s="247"/>
      <c r="AR112" s="247"/>
      <c r="AS112" s="247"/>
      <c r="AT112" s="247"/>
      <c r="AU112" s="247"/>
      <c r="AV112" s="247"/>
      <c r="AW112" s="247"/>
      <c r="AX112" s="247"/>
      <c r="AY112" s="247"/>
      <c r="AZ112" s="247"/>
      <c r="BA112" s="247"/>
      <c r="BB112" s="247"/>
      <c r="BC112" s="247"/>
      <c r="BD112" s="247"/>
      <c r="BE112" s="247"/>
      <c r="BF112" s="247"/>
      <c r="BG112" s="247"/>
      <c r="BH112" s="247"/>
      <c r="BI112" s="247"/>
      <c r="BJ112" s="247"/>
      <c r="BK112" s="247"/>
      <c r="BL112" s="247"/>
      <c r="BM112" s="247"/>
      <c r="BN112" s="248"/>
    </row>
    <row r="113" spans="1:67" s="246" customFormat="1" ht="17.25" customHeight="1" thickBot="1">
      <c r="C113" s="262"/>
      <c r="D113" s="262"/>
      <c r="E113" s="262"/>
      <c r="F113" s="779" t="s">
        <v>62</v>
      </c>
      <c r="G113" s="779"/>
      <c r="H113" s="810"/>
      <c r="I113" s="810"/>
      <c r="J113" s="926">
        <f>IF(G112=AD112,"---",O139)</f>
        <v>67.144288851193551</v>
      </c>
      <c r="K113" s="927"/>
      <c r="L113" s="928"/>
      <c r="M113" s="267"/>
      <c r="N113" s="267"/>
      <c r="O113" s="267"/>
      <c r="P113" s="267"/>
      <c r="Q113" s="267"/>
      <c r="R113" s="267"/>
      <c r="S113" s="267"/>
      <c r="T113" s="267"/>
      <c r="U113" s="267"/>
      <c r="V113" s="268"/>
      <c r="W113" s="268"/>
      <c r="X113" s="268"/>
      <c r="Y113" s="268"/>
      <c r="Z113" s="268"/>
      <c r="AB113" s="419"/>
      <c r="AC113" s="715"/>
      <c r="AD113" s="263" t="s">
        <v>51</v>
      </c>
      <c r="AE113" s="247"/>
      <c r="AF113" s="247"/>
      <c r="AG113" s="247"/>
      <c r="AH113" s="247"/>
      <c r="AI113" s="247"/>
      <c r="AJ113" s="247"/>
      <c r="AK113" s="247"/>
      <c r="AL113" s="247"/>
      <c r="AM113" s="247"/>
      <c r="AN113" s="247"/>
      <c r="AO113" s="247"/>
      <c r="AP113" s="247"/>
      <c r="AQ113" s="247"/>
      <c r="AR113" s="247"/>
      <c r="AS113" s="247"/>
      <c r="AT113" s="247"/>
      <c r="AU113" s="247"/>
      <c r="AV113" s="247"/>
      <c r="AW113" s="247"/>
      <c r="AX113" s="247"/>
      <c r="AY113" s="247"/>
      <c r="AZ113" s="247"/>
      <c r="BA113" s="247"/>
      <c r="BB113" s="247"/>
      <c r="BC113" s="247"/>
      <c r="BD113" s="247"/>
      <c r="BE113" s="247"/>
      <c r="BF113" s="247"/>
      <c r="BG113" s="247"/>
      <c r="BH113" s="247"/>
      <c r="BI113" s="247"/>
      <c r="BJ113" s="247"/>
      <c r="BK113" s="247"/>
      <c r="BL113" s="247"/>
      <c r="BM113" s="247"/>
      <c r="BN113" s="248"/>
    </row>
    <row r="114" spans="1:67" s="246" customFormat="1" ht="17.25" customHeight="1" thickTop="1" thickBot="1">
      <c r="H114" s="541" t="s">
        <v>47</v>
      </c>
      <c r="I114" s="542"/>
      <c r="J114" s="542"/>
      <c r="K114" s="542"/>
      <c r="L114" s="542"/>
      <c r="M114" s="542"/>
      <c r="N114" s="543"/>
      <c r="O114" s="525">
        <f>J78</f>
        <v>66.95</v>
      </c>
      <c r="P114" s="525"/>
      <c r="Q114" s="525"/>
      <c r="R114" s="525"/>
      <c r="S114" s="246" t="s">
        <v>54</v>
      </c>
      <c r="U114" s="804" t="str" cm="1">
        <f t="array" ref="U114">angleDecimal2Txt(O114)</f>
        <v>+66°57.00 (+66.9500) [+66°57'00.00]</v>
      </c>
      <c r="V114" s="805"/>
      <c r="W114" s="805"/>
      <c r="X114" s="805"/>
      <c r="Y114" s="805"/>
      <c r="Z114" s="494"/>
      <c r="AB114" s="419"/>
      <c r="AC114" s="247"/>
      <c r="AD114" s="247"/>
      <c r="AE114" s="247"/>
      <c r="AF114" s="247"/>
      <c r="AG114" s="247"/>
      <c r="AH114" s="247"/>
      <c r="AI114" s="247"/>
      <c r="AJ114" s="247"/>
      <c r="AK114" s="247"/>
      <c r="AL114" s="247"/>
      <c r="AM114" s="247"/>
      <c r="AN114" s="247"/>
      <c r="AO114" s="247"/>
      <c r="AP114" s="247"/>
      <c r="AQ114" s="247"/>
      <c r="AR114" s="247"/>
      <c r="AS114" s="247"/>
      <c r="AT114" s="247"/>
      <c r="AU114" s="247"/>
      <c r="AV114" s="247"/>
      <c r="AW114" s="247"/>
      <c r="AX114" s="247"/>
      <c r="AY114" s="247"/>
      <c r="AZ114" s="247"/>
      <c r="BA114" s="247"/>
      <c r="BB114" s="247"/>
      <c r="BC114" s="247"/>
      <c r="BD114" s="247"/>
      <c r="BE114" s="247"/>
      <c r="BF114" s="247"/>
      <c r="BG114" s="247"/>
      <c r="BH114" s="247"/>
      <c r="BI114" s="247"/>
      <c r="BJ114" s="247"/>
      <c r="BK114" s="247"/>
      <c r="BL114" s="247"/>
      <c r="BM114" s="247"/>
      <c r="BN114" s="248"/>
    </row>
    <row r="115" spans="1:67" s="246" customFormat="1" ht="17.25" customHeight="1" thickTop="1" thickBot="1">
      <c r="H115" s="541" t="s">
        <v>24</v>
      </c>
      <c r="I115" s="542"/>
      <c r="J115" s="542"/>
      <c r="K115" s="542"/>
      <c r="L115" s="542"/>
      <c r="M115" s="542"/>
      <c r="N115" s="543"/>
      <c r="O115" s="525">
        <f>J77</f>
        <v>2.1666666666666667E-2</v>
      </c>
      <c r="P115" s="525"/>
      <c r="Q115" s="525"/>
      <c r="R115" s="525"/>
      <c r="S115" s="246" t="s">
        <v>54</v>
      </c>
      <c r="U115" s="804" t="str" cm="1">
        <f t="array" ref="U115">angleDecimal2Txt(O115)</f>
        <v>+00°01.30 (+00.0216) [+00°01'18.00]</v>
      </c>
      <c r="V115" s="805"/>
      <c r="W115" s="805"/>
      <c r="X115" s="805"/>
      <c r="Y115" s="805"/>
      <c r="Z115" s="494"/>
      <c r="AB115" s="419"/>
      <c r="AC115" s="3" t="s">
        <v>59</v>
      </c>
      <c r="AD115" s="5">
        <f>O115</f>
        <v>2.1666666666666667E-2</v>
      </c>
      <c r="AE115" s="247"/>
      <c r="AF115" s="247"/>
      <c r="AG115" s="247"/>
      <c r="AH115" s="247"/>
      <c r="AI115" s="247"/>
      <c r="AJ115" s="247"/>
      <c r="AK115" s="247"/>
      <c r="AL115" s="247"/>
      <c r="AM115" s="247"/>
      <c r="AN115" s="247"/>
      <c r="AO115" s="247"/>
      <c r="AP115" s="247"/>
      <c r="AQ115" s="247"/>
      <c r="AR115" s="247"/>
      <c r="AS115" s="247"/>
      <c r="AT115" s="247"/>
      <c r="AU115" s="247"/>
      <c r="AV115" s="247"/>
      <c r="AW115" s="247"/>
      <c r="AX115" s="247"/>
      <c r="AY115" s="247"/>
      <c r="AZ115" s="247"/>
      <c r="BA115" s="247"/>
      <c r="BB115" s="247"/>
      <c r="BC115" s="247"/>
      <c r="BD115" s="247"/>
      <c r="BE115" s="247"/>
      <c r="BF115" s="247"/>
      <c r="BG115" s="247"/>
      <c r="BH115" s="247"/>
      <c r="BI115" s="247"/>
      <c r="BJ115" s="247"/>
      <c r="BK115" s="247"/>
      <c r="BL115" s="247"/>
      <c r="BM115" s="247"/>
      <c r="BN115" s="248"/>
    </row>
    <row r="116" spans="1:67" s="246" customFormat="1" ht="17.25" customHeight="1" thickTop="1" thickBot="1">
      <c r="C116" s="278"/>
      <c r="D116" s="278"/>
      <c r="E116" s="278"/>
      <c r="F116" s="278"/>
      <c r="H116" s="541" t="s">
        <v>68</v>
      </c>
      <c r="I116" s="542"/>
      <c r="J116" s="542"/>
      <c r="K116" s="542"/>
      <c r="L116" s="542"/>
      <c r="M116" s="542"/>
      <c r="N116" s="543"/>
      <c r="O116" s="651">
        <f>AD117</f>
        <v>4.1436457377531689E-2</v>
      </c>
      <c r="P116" s="651"/>
      <c r="Q116" s="651"/>
      <c r="R116" s="651"/>
      <c r="S116" s="246" t="s">
        <v>54</v>
      </c>
      <c r="U116" s="804" t="str" cm="1">
        <f t="array" ref="U116">angleDecimal2Txt(O116)</f>
        <v>+00°02.48 (+00.0414) [+00°02'29.17]</v>
      </c>
      <c r="V116" s="805"/>
      <c r="W116" s="805"/>
      <c r="X116" s="805"/>
      <c r="Y116" s="805"/>
      <c r="Z116" s="494"/>
      <c r="AB116" s="419"/>
      <c r="AC116" s="3" t="s">
        <v>46</v>
      </c>
      <c r="AD116" s="3">
        <f>J76</f>
        <v>2</v>
      </c>
      <c r="AE116" s="247"/>
      <c r="AF116" s="247"/>
      <c r="AG116" s="247"/>
      <c r="AH116" s="247"/>
      <c r="AI116" s="247"/>
      <c r="AJ116" s="247"/>
      <c r="AK116" s="247"/>
      <c r="AL116" s="247"/>
      <c r="AM116" s="247"/>
      <c r="AN116" s="247"/>
      <c r="AO116" s="247"/>
      <c r="AP116" s="247"/>
      <c r="AQ116" s="247"/>
      <c r="AR116" s="247"/>
      <c r="AS116" s="247"/>
      <c r="AT116" s="247"/>
      <c r="AU116" s="247"/>
      <c r="AV116" s="247"/>
      <c r="AW116" s="247"/>
      <c r="AX116" s="247"/>
      <c r="AY116" s="247"/>
      <c r="AZ116" s="247"/>
      <c r="BA116" s="247"/>
      <c r="BB116" s="247"/>
      <c r="BC116" s="247"/>
      <c r="BD116" s="247"/>
      <c r="BE116" s="247"/>
      <c r="BF116" s="247"/>
      <c r="BG116" s="247"/>
      <c r="BH116" s="247"/>
      <c r="BI116" s="247"/>
      <c r="BJ116" s="247"/>
      <c r="BK116" s="247"/>
      <c r="BL116" s="247"/>
      <c r="BM116" s="247"/>
      <c r="BN116" s="248"/>
    </row>
    <row r="117" spans="1:67" s="246" customFormat="1" ht="17.25" customHeight="1" thickTop="1" thickBot="1">
      <c r="C117" s="278"/>
      <c r="D117" s="278"/>
      <c r="E117" s="278"/>
      <c r="F117" s="278"/>
      <c r="G117" s="278"/>
      <c r="K117" s="277"/>
      <c r="L117" s="277"/>
      <c r="M117" s="921" t="s">
        <v>113</v>
      </c>
      <c r="N117" s="921"/>
      <c r="O117" s="921"/>
      <c r="P117" s="921"/>
      <c r="Q117" s="277"/>
      <c r="R117" s="277"/>
      <c r="U117" s="277"/>
      <c r="V117" s="277"/>
      <c r="W117" s="277"/>
      <c r="X117" s="277"/>
      <c r="Y117" s="277"/>
      <c r="Z117" s="277"/>
      <c r="AB117" s="419"/>
      <c r="AC117" s="72" t="s">
        <v>67</v>
      </c>
      <c r="AD117" s="3">
        <f>0.0293 * SQRT(AD116)</f>
        <v>4.1436457377531689E-2</v>
      </c>
      <c r="AE117" s="247"/>
      <c r="AF117" s="247"/>
      <c r="AG117" s="247"/>
      <c r="AH117" s="247"/>
      <c r="AI117" s="247"/>
      <c r="AJ117" s="247"/>
      <c r="AK117" s="247"/>
      <c r="AL117" s="247"/>
      <c r="AM117" s="247"/>
      <c r="AN117" s="247"/>
      <c r="AO117" s="247"/>
      <c r="AP117" s="247"/>
      <c r="AQ117" s="247"/>
      <c r="AR117" s="247"/>
      <c r="AS117" s="247"/>
      <c r="AT117" s="247"/>
      <c r="AU117" s="247"/>
      <c r="AV117" s="247"/>
      <c r="AW117" s="247"/>
      <c r="AX117" s="247"/>
      <c r="AY117" s="247"/>
      <c r="AZ117" s="247"/>
      <c r="BA117" s="247"/>
      <c r="BB117" s="247"/>
      <c r="BC117" s="247"/>
      <c r="BD117" s="247"/>
      <c r="BE117" s="247"/>
      <c r="BF117" s="247"/>
      <c r="BG117" s="247"/>
      <c r="BH117" s="247"/>
      <c r="BI117" s="247"/>
      <c r="BJ117" s="247"/>
      <c r="BK117" s="247"/>
      <c r="BL117" s="247"/>
      <c r="BM117" s="247"/>
      <c r="BN117" s="248"/>
    </row>
    <row r="118" spans="1:67" s="246" customFormat="1" ht="17.25" customHeight="1" thickTop="1" thickBot="1">
      <c r="C118" s="278"/>
      <c r="D118" s="278"/>
      <c r="E118" s="278"/>
      <c r="F118" s="278"/>
      <c r="H118" s="516" t="s">
        <v>392</v>
      </c>
      <c r="I118" s="517"/>
      <c r="J118" s="517"/>
      <c r="K118" s="517"/>
      <c r="L118" s="517"/>
      <c r="M118" s="517"/>
      <c r="N118" s="518"/>
      <c r="O118" s="528">
        <f>O114-O115-O116</f>
        <v>66.886896875955813</v>
      </c>
      <c r="P118" s="529"/>
      <c r="Q118" s="246" t="s">
        <v>54</v>
      </c>
      <c r="R118" s="742">
        <f>O118*Outils!F4</f>
        <v>1.1673965769273382</v>
      </c>
      <c r="S118" s="742"/>
      <c r="T118" s="37" t="s">
        <v>64</v>
      </c>
      <c r="U118" s="804" t="str" cm="1">
        <f t="array" ref="U118">angleDecimal2Txt(O118)</f>
        <v>+66°53.21 (+66.8868) [+66°53'12.82]</v>
      </c>
      <c r="V118" s="805"/>
      <c r="W118" s="805"/>
      <c r="X118" s="805"/>
      <c r="Y118" s="805"/>
      <c r="Z118" s="494"/>
      <c r="AB118" s="419"/>
      <c r="AC118" s="247"/>
      <c r="AD118" s="247"/>
      <c r="AE118" s="247"/>
      <c r="AF118" s="247"/>
      <c r="AG118" s="247"/>
      <c r="AH118" s="247"/>
      <c r="AI118" s="247"/>
      <c r="AJ118" s="247"/>
      <c r="AK118" s="247"/>
      <c r="AL118" s="247"/>
      <c r="AM118" s="247"/>
      <c r="AN118" s="247"/>
      <c r="AO118" s="247"/>
      <c r="AP118" s="247"/>
      <c r="AQ118" s="247"/>
      <c r="AR118" s="247"/>
      <c r="AS118" s="247"/>
      <c r="AT118" s="247"/>
      <c r="AU118" s="247"/>
      <c r="AV118" s="247"/>
      <c r="AW118" s="247"/>
      <c r="AX118" s="247"/>
      <c r="AY118" s="247"/>
      <c r="AZ118" s="247"/>
      <c r="BA118" s="247"/>
      <c r="BB118" s="247"/>
      <c r="BC118" s="247"/>
      <c r="BD118" s="247"/>
      <c r="BE118" s="247"/>
      <c r="BF118" s="247"/>
      <c r="BG118" s="247"/>
      <c r="BH118" s="247"/>
      <c r="BI118" s="247"/>
      <c r="BJ118" s="247"/>
      <c r="BK118" s="247"/>
      <c r="BL118" s="247"/>
      <c r="BM118" s="247"/>
      <c r="BN118" s="248"/>
    </row>
    <row r="119" spans="1:67" s="246" customFormat="1" ht="17.25" customHeight="1" thickTop="1" thickBot="1">
      <c r="H119" s="277"/>
      <c r="I119" s="277"/>
      <c r="J119" s="277"/>
      <c r="K119" s="277"/>
      <c r="L119" s="277"/>
      <c r="M119" s="277"/>
      <c r="N119" s="277"/>
      <c r="O119" s="277"/>
      <c r="P119" s="277"/>
      <c r="Q119" s="277"/>
      <c r="R119" s="277"/>
      <c r="U119" s="277"/>
      <c r="V119" s="277"/>
      <c r="W119" s="277"/>
      <c r="X119" s="277"/>
      <c r="Y119" s="277"/>
      <c r="Z119" s="277"/>
      <c r="AB119" s="419"/>
      <c r="AC119" s="247"/>
      <c r="AD119" s="247"/>
      <c r="AE119" s="247"/>
      <c r="AF119" s="247"/>
      <c r="AG119" s="247"/>
      <c r="AH119" s="247"/>
      <c r="AI119" s="247"/>
      <c r="AJ119" s="247"/>
      <c r="AK119" s="247"/>
      <c r="AL119" s="247"/>
      <c r="AM119" s="247"/>
      <c r="AN119" s="247"/>
      <c r="AO119" s="247"/>
      <c r="AP119" s="247"/>
      <c r="AQ119" s="247"/>
      <c r="AR119" s="247"/>
      <c r="AS119" s="247"/>
      <c r="AT119" s="247"/>
      <c r="AU119" s="247"/>
      <c r="AV119" s="247"/>
      <c r="AW119" s="247"/>
      <c r="AX119" s="247"/>
      <c r="AY119" s="247"/>
      <c r="AZ119" s="247"/>
      <c r="BA119" s="247"/>
      <c r="BB119" s="247"/>
      <c r="BC119" s="247"/>
      <c r="BD119" s="247"/>
      <c r="BE119" s="247"/>
      <c r="BF119" s="247"/>
      <c r="BG119" s="247"/>
      <c r="BH119" s="247"/>
      <c r="BI119" s="247"/>
      <c r="BJ119" s="247"/>
      <c r="BK119" s="247"/>
      <c r="BL119" s="247"/>
      <c r="BM119" s="247"/>
      <c r="BN119" s="248"/>
    </row>
    <row r="120" spans="1:67" ht="17.25" customHeight="1" thickTop="1" thickBot="1">
      <c r="A120" s="277"/>
      <c r="B120" s="277"/>
      <c r="C120" s="277"/>
      <c r="D120" s="277"/>
      <c r="E120" s="277"/>
      <c r="F120" s="246"/>
      <c r="G120" s="246"/>
      <c r="H120" s="519" t="s">
        <v>52</v>
      </c>
      <c r="I120" s="520"/>
      <c r="J120" s="520"/>
      <c r="K120" s="520"/>
      <c r="L120" s="520"/>
      <c r="M120" s="520"/>
      <c r="N120" s="521"/>
      <c r="O120" s="530">
        <f>J81</f>
        <v>2.8833333333333302E-3</v>
      </c>
      <c r="P120" s="531"/>
      <c r="Q120" s="531"/>
      <c r="R120" s="531"/>
      <c r="S120" s="246" t="s">
        <v>54</v>
      </c>
      <c r="T120" s="246"/>
      <c r="U120" s="804" t="str" cm="1">
        <f t="array" ref="U120">angleDecimal2Txt(O120)</f>
        <v>+00°00.17 (+00.0028) [+00°00'10.37]</v>
      </c>
      <c r="V120" s="805"/>
      <c r="W120" s="805"/>
      <c r="X120" s="805"/>
      <c r="Y120" s="805"/>
      <c r="Z120" s="494"/>
      <c r="AA120" s="246"/>
      <c r="AB120" s="419"/>
      <c r="AC120" s="3" t="s">
        <v>183</v>
      </c>
      <c r="AD120" s="3">
        <f>O120*COS(R118)</f>
        <v>1.1318451843031951E-3</v>
      </c>
      <c r="BN120" s="248"/>
      <c r="BO120" s="246"/>
    </row>
    <row r="121" spans="1:67" ht="17.25" customHeight="1" thickTop="1" thickBot="1">
      <c r="A121" s="277"/>
      <c r="B121" s="277"/>
      <c r="C121" s="277"/>
      <c r="D121" s="277"/>
      <c r="E121" s="277"/>
      <c r="F121" s="246"/>
      <c r="G121" s="246"/>
      <c r="H121" s="714" t="s">
        <v>140</v>
      </c>
      <c r="I121" s="517"/>
      <c r="J121" s="517"/>
      <c r="K121" s="517"/>
      <c r="L121" s="517"/>
      <c r="M121" s="517"/>
      <c r="N121" s="518"/>
      <c r="O121" s="496">
        <f>AD120</f>
        <v>1.1318451843031951E-3</v>
      </c>
      <c r="P121" s="496"/>
      <c r="Q121" s="496"/>
      <c r="R121" s="496"/>
      <c r="S121" s="246" t="s">
        <v>54</v>
      </c>
      <c r="T121" s="246"/>
      <c r="U121" s="804" t="str" cm="1">
        <f t="array" ref="U121">angleDecimal2Txt(O121)</f>
        <v>+00°00.06 (+00.0011) [+00°00'04.07]</v>
      </c>
      <c r="V121" s="805"/>
      <c r="W121" s="805"/>
      <c r="X121" s="805"/>
      <c r="Y121" s="805"/>
      <c r="Z121" s="494"/>
      <c r="AA121" s="246"/>
      <c r="AB121" s="419"/>
      <c r="BN121" s="248"/>
      <c r="BO121" s="246"/>
    </row>
    <row r="122" spans="1:67" ht="17.25" customHeight="1" thickTop="1">
      <c r="A122" s="277"/>
      <c r="B122" s="277"/>
      <c r="C122" s="277"/>
      <c r="D122" s="277"/>
      <c r="E122" s="277"/>
      <c r="F122" s="246"/>
      <c r="G122" s="246"/>
      <c r="H122" s="277"/>
      <c r="I122" s="277"/>
      <c r="J122" s="277"/>
      <c r="K122" s="277"/>
      <c r="L122" s="277"/>
      <c r="M122" s="277"/>
      <c r="N122" s="277"/>
      <c r="O122" s="277"/>
      <c r="P122" s="277"/>
      <c r="Q122" s="277"/>
      <c r="R122" s="277"/>
      <c r="S122" s="277"/>
      <c r="T122" s="277"/>
      <c r="U122" s="277"/>
      <c r="V122" s="277"/>
      <c r="W122" s="277"/>
      <c r="X122" s="277"/>
      <c r="Y122" s="277"/>
      <c r="Z122" s="277"/>
      <c r="AA122" s="246"/>
      <c r="AB122" s="419"/>
      <c r="BN122" s="248"/>
      <c r="BO122" s="246"/>
    </row>
    <row r="123" spans="1:67" ht="17.25" customHeight="1">
      <c r="A123" s="277"/>
      <c r="B123" s="277"/>
      <c r="C123" s="277"/>
      <c r="D123" s="277"/>
      <c r="E123" s="278"/>
      <c r="F123" s="246"/>
      <c r="G123" s="246"/>
      <c r="H123" s="277"/>
      <c r="I123" s="277"/>
      <c r="J123" s="277"/>
      <c r="K123" s="277"/>
      <c r="L123" s="277"/>
      <c r="M123" s="277"/>
      <c r="N123" s="277"/>
      <c r="O123" s="277"/>
      <c r="P123" s="246"/>
      <c r="Q123" s="246"/>
      <c r="R123" s="246"/>
      <c r="S123" s="566" t="s">
        <v>126</v>
      </c>
      <c r="T123" s="567"/>
      <c r="U123" s="568"/>
      <c r="V123" s="246"/>
      <c r="W123" s="246"/>
      <c r="X123" s="246"/>
      <c r="Y123" s="277"/>
      <c r="Z123" s="277"/>
      <c r="AA123" s="246"/>
      <c r="AB123" s="419"/>
      <c r="AC123" s="3" t="s">
        <v>49</v>
      </c>
      <c r="AD123" s="3" t="s">
        <v>185</v>
      </c>
      <c r="BN123" s="248"/>
      <c r="BO123" s="246"/>
    </row>
    <row r="124" spans="1:67" ht="17.25" customHeight="1">
      <c r="A124" s="277"/>
      <c r="B124" s="277"/>
      <c r="C124" s="277"/>
      <c r="D124" s="277"/>
      <c r="E124" s="278"/>
      <c r="F124" s="246"/>
      <c r="G124" s="246"/>
      <c r="H124" s="519" t="s">
        <v>65</v>
      </c>
      <c r="I124" s="520"/>
      <c r="J124" s="520"/>
      <c r="K124" s="520"/>
      <c r="L124" s="520"/>
      <c r="M124" s="520"/>
      <c r="N124" s="521"/>
      <c r="O124" s="712">
        <f>S124</f>
        <v>10</v>
      </c>
      <c r="P124" s="713"/>
      <c r="Q124" s="713"/>
      <c r="R124" s="713"/>
      <c r="S124" s="706">
        <v>10</v>
      </c>
      <c r="T124" s="707"/>
      <c r="U124" s="708"/>
      <c r="V124" s="246"/>
      <c r="W124" s="246"/>
      <c r="X124" s="246"/>
      <c r="Y124" s="277"/>
      <c r="Z124" s="277"/>
      <c r="AA124" s="246"/>
      <c r="AB124" s="419"/>
      <c r="AC124" s="3" t="s">
        <v>186</v>
      </c>
      <c r="AD124" s="3">
        <f>1/TAN((O118 + 7.31 / (O118 + 4.4)) * Outils!F4)</f>
        <v>0.4246923427253872</v>
      </c>
      <c r="BN124" s="248"/>
      <c r="BO124" s="246"/>
    </row>
    <row r="125" spans="1:67" ht="17.25" customHeight="1" thickBot="1">
      <c r="A125" s="277"/>
      <c r="B125" s="277"/>
      <c r="C125" s="277"/>
      <c r="D125" s="277"/>
      <c r="E125" s="277"/>
      <c r="F125" s="246"/>
      <c r="G125" s="246"/>
      <c r="H125" s="519" t="s">
        <v>66</v>
      </c>
      <c r="I125" s="520"/>
      <c r="J125" s="520"/>
      <c r="K125" s="520"/>
      <c r="L125" s="520"/>
      <c r="M125" s="520"/>
      <c r="N125" s="521"/>
      <c r="O125" s="712">
        <f>S125</f>
        <v>1010</v>
      </c>
      <c r="P125" s="713"/>
      <c r="Q125" s="713"/>
      <c r="R125" s="713"/>
      <c r="S125" s="706">
        <v>1010</v>
      </c>
      <c r="T125" s="707"/>
      <c r="U125" s="708"/>
      <c r="V125" s="246"/>
      <c r="W125" s="246"/>
      <c r="X125" s="246"/>
      <c r="Y125" s="277"/>
      <c r="Z125" s="277"/>
      <c r="AA125" s="246"/>
      <c r="AB125" s="419"/>
      <c r="AC125" s="3" t="s">
        <v>187</v>
      </c>
      <c r="AD125" s="3">
        <f>AD124/60</f>
        <v>7.0782057120897862E-3</v>
      </c>
      <c r="BN125" s="248"/>
      <c r="BO125" s="246"/>
    </row>
    <row r="126" spans="1:67" ht="17.25" customHeight="1" thickTop="1" thickBot="1">
      <c r="A126" s="277"/>
      <c r="B126" s="277"/>
      <c r="C126" s="277"/>
      <c r="D126" s="277"/>
      <c r="E126" s="277"/>
      <c r="F126" s="246"/>
      <c r="G126" s="246"/>
      <c r="H126" s="714" t="s">
        <v>141</v>
      </c>
      <c r="I126" s="517"/>
      <c r="J126" s="517"/>
      <c r="K126" s="517"/>
      <c r="L126" s="517"/>
      <c r="M126" s="517"/>
      <c r="N126" s="518"/>
      <c r="O126" s="496">
        <f>AD127</f>
        <v>7.0732034465688749E-3</v>
      </c>
      <c r="P126" s="496"/>
      <c r="Q126" s="496"/>
      <c r="R126" s="496"/>
      <c r="S126" s="246" t="s">
        <v>54</v>
      </c>
      <c r="T126" s="246"/>
      <c r="U126" s="804" t="str" cm="1">
        <f t="array" ref="U126">angleDecimal2Txt(O126)</f>
        <v>+00°00.42 (+00.0070) [+00°00'25.46]</v>
      </c>
      <c r="V126" s="805"/>
      <c r="W126" s="805"/>
      <c r="X126" s="805"/>
      <c r="Y126" s="805"/>
      <c r="Z126" s="494"/>
      <c r="AA126" s="246"/>
      <c r="AB126" s="419"/>
      <c r="AC126" s="3" t="s">
        <v>96</v>
      </c>
      <c r="AD126" s="3">
        <f xml:space="preserve"> 0.28 * O125 / (273 + O124)</f>
        <v>0.99929328621908131</v>
      </c>
      <c r="BN126" s="248"/>
      <c r="BO126" s="246"/>
    </row>
    <row r="127" spans="1:67" ht="17.25" customHeight="1" thickTop="1">
      <c r="A127" s="277"/>
      <c r="B127" s="277"/>
      <c r="C127" s="277"/>
      <c r="D127" s="277"/>
      <c r="E127" s="277"/>
      <c r="F127" s="246"/>
      <c r="G127" s="246"/>
      <c r="H127" s="277"/>
      <c r="I127" s="277"/>
      <c r="J127" s="277"/>
      <c r="K127" s="277"/>
      <c r="L127" s="277"/>
      <c r="M127" s="277"/>
      <c r="N127" s="277"/>
      <c r="O127" s="277"/>
      <c r="P127" s="246"/>
      <c r="Q127" s="246"/>
      <c r="R127" s="246"/>
      <c r="S127" s="246"/>
      <c r="T127" s="246"/>
      <c r="U127" s="246"/>
      <c r="V127" s="246"/>
      <c r="W127" s="246"/>
      <c r="X127" s="246"/>
      <c r="Y127" s="277"/>
      <c r="Z127" s="277"/>
      <c r="AA127" s="246"/>
      <c r="AB127" s="419"/>
      <c r="AC127" s="3" t="s">
        <v>184</v>
      </c>
      <c r="AD127" s="3">
        <f>AD126*AD125</f>
        <v>7.0732034465688749E-3</v>
      </c>
      <c r="BN127" s="248"/>
      <c r="BO127" s="246"/>
    </row>
    <row r="128" spans="1:67" ht="17.25" customHeight="1">
      <c r="A128" s="277"/>
      <c r="B128" s="277"/>
      <c r="C128" s="277"/>
      <c r="D128" s="277"/>
      <c r="E128" s="277"/>
      <c r="F128" s="246"/>
      <c r="G128" s="246"/>
      <c r="H128" s="519" t="s">
        <v>100</v>
      </c>
      <c r="I128" s="520"/>
      <c r="J128" s="520"/>
      <c r="K128" s="520"/>
      <c r="L128" s="520"/>
      <c r="M128" s="520"/>
      <c r="N128" s="521"/>
      <c r="O128" s="745">
        <f>J85</f>
        <v>0.52666666699999998</v>
      </c>
      <c r="P128" s="745"/>
      <c r="Q128" s="745"/>
      <c r="R128" s="745"/>
      <c r="S128" s="246"/>
      <c r="T128" s="246"/>
      <c r="U128" s="246"/>
      <c r="V128" s="246"/>
      <c r="W128" s="246"/>
      <c r="X128" s="246"/>
      <c r="Y128" s="246"/>
      <c r="Z128" s="246"/>
      <c r="AA128" s="246"/>
      <c r="AB128" s="419"/>
      <c r="BN128" s="248"/>
      <c r="BO128" s="246"/>
    </row>
    <row r="129" spans="1:67" ht="17.25" customHeight="1" thickBot="1">
      <c r="A129" s="246"/>
      <c r="B129" s="277"/>
      <c r="C129" s="277"/>
      <c r="D129" s="277"/>
      <c r="E129" s="278"/>
      <c r="F129" s="278"/>
      <c r="G129" s="278"/>
      <c r="H129" s="519" t="s">
        <v>70</v>
      </c>
      <c r="I129" s="520"/>
      <c r="J129" s="520"/>
      <c r="K129" s="520"/>
      <c r="L129" s="520"/>
      <c r="M129" s="520"/>
      <c r="N129" s="521"/>
      <c r="O129" s="745" t="str">
        <f>J80</f>
        <v>BordInf</v>
      </c>
      <c r="P129" s="745"/>
      <c r="Q129" s="745"/>
      <c r="R129" s="745"/>
      <c r="S129" s="246"/>
      <c r="T129" s="246"/>
      <c r="U129" s="246"/>
      <c r="V129" s="246"/>
      <c r="W129" s="246"/>
      <c r="X129" s="246"/>
      <c r="Y129" s="246"/>
      <c r="Z129" s="246"/>
      <c r="AA129" s="246"/>
      <c r="AB129" s="419"/>
      <c r="AC129" s="3" t="s">
        <v>30</v>
      </c>
      <c r="AD129" s="469" t="str">
        <f>J79</f>
        <v>Soleil</v>
      </c>
      <c r="AE129" s="469"/>
      <c r="BN129" s="248"/>
      <c r="BO129" s="246"/>
    </row>
    <row r="130" spans="1:67" ht="17.25" customHeight="1" thickTop="1" thickBot="1">
      <c r="A130" s="246"/>
      <c r="B130" s="246"/>
      <c r="C130" s="278"/>
      <c r="D130" s="278"/>
      <c r="E130" s="278"/>
      <c r="F130" s="278"/>
      <c r="G130" s="278"/>
      <c r="H130" s="714" t="s">
        <v>71</v>
      </c>
      <c r="I130" s="517"/>
      <c r="J130" s="517"/>
      <c r="K130" s="517"/>
      <c r="L130" s="517"/>
      <c r="M130" s="517"/>
      <c r="N130" s="518"/>
      <c r="O130" s="527">
        <f>AD131</f>
        <v>0.26333333349999999</v>
      </c>
      <c r="P130" s="527"/>
      <c r="Q130" s="527"/>
      <c r="R130" s="527"/>
      <c r="S130" s="246" t="s">
        <v>54</v>
      </c>
      <c r="T130" s="246"/>
      <c r="U130" s="804" t="str" cm="1">
        <f t="array" ref="U130">angleDecimal2Txt(O130)</f>
        <v>+00°15.80 (+00.2633) [+00°15'48.00]</v>
      </c>
      <c r="V130" s="805"/>
      <c r="W130" s="805"/>
      <c r="X130" s="805"/>
      <c r="Y130" s="805"/>
      <c r="Z130" s="494"/>
      <c r="AA130" s="246"/>
      <c r="AB130" s="419"/>
      <c r="AC130" s="3" t="s">
        <v>190</v>
      </c>
      <c r="AD130" s="469" t="str">
        <f>O129</f>
        <v>BordInf</v>
      </c>
      <c r="AE130" s="469"/>
      <c r="BN130" s="248"/>
      <c r="BO130" s="246"/>
    </row>
    <row r="131" spans="1:67" ht="17.25" customHeight="1" thickTop="1">
      <c r="A131" s="246"/>
      <c r="B131" s="246"/>
      <c r="C131" s="278"/>
      <c r="D131" s="278"/>
      <c r="E131" s="278"/>
      <c r="F131" s="278"/>
      <c r="G131" s="278"/>
      <c r="H131" s="277"/>
      <c r="I131" s="277"/>
      <c r="J131" s="277"/>
      <c r="K131" s="277"/>
      <c r="L131" s="277"/>
      <c r="M131" s="277"/>
      <c r="N131" s="277"/>
      <c r="O131" s="277"/>
      <c r="P131" s="277"/>
      <c r="Q131" s="277"/>
      <c r="R131" s="277"/>
      <c r="S131" s="277"/>
      <c r="T131" s="277"/>
      <c r="U131" s="277"/>
      <c r="V131" s="277"/>
      <c r="W131" s="277"/>
      <c r="X131" s="277"/>
      <c r="Y131" s="277"/>
      <c r="Z131" s="277"/>
      <c r="AA131" s="246"/>
      <c r="AB131" s="419"/>
      <c r="AC131" s="3" t="s">
        <v>191</v>
      </c>
      <c r="AD131" s="703" cm="1">
        <f t="array" ref="AD131">astroDiametreSoleilEnDegre(AA7,O129)</f>
        <v>0.26333333349999999</v>
      </c>
      <c r="AE131" s="703"/>
      <c r="BN131" s="248"/>
      <c r="BO131" s="246"/>
    </row>
    <row r="132" spans="1:67" ht="17.25" customHeight="1">
      <c r="A132" s="246"/>
      <c r="B132" s="246"/>
      <c r="C132" s="278"/>
      <c r="D132" s="278"/>
      <c r="E132" s="278"/>
      <c r="F132" s="278"/>
      <c r="G132" s="793" t="s">
        <v>107</v>
      </c>
      <c r="H132" s="794"/>
      <c r="I132" s="794"/>
      <c r="J132" s="794"/>
      <c r="K132" s="794"/>
      <c r="L132" s="794"/>
      <c r="M132" s="794"/>
      <c r="N132" s="794"/>
      <c r="O132" s="794"/>
      <c r="P132" s="794"/>
      <c r="Q132" s="794"/>
      <c r="R132" s="794"/>
      <c r="S132" s="795"/>
      <c r="T132" s="277"/>
      <c r="U132" s="277"/>
      <c r="V132" s="277"/>
      <c r="W132" s="277"/>
      <c r="X132" s="277"/>
      <c r="Y132" s="277"/>
      <c r="Z132" s="277"/>
      <c r="AA132" s="246"/>
      <c r="AB132" s="419"/>
      <c r="AC132"/>
      <c r="AD132"/>
      <c r="AE132"/>
      <c r="BN132" s="248"/>
      <c r="BO132" s="246"/>
    </row>
    <row r="133" spans="1:67" ht="17.25" customHeight="1">
      <c r="A133" s="246"/>
      <c r="B133" s="246"/>
      <c r="C133" s="278"/>
      <c r="D133" s="278"/>
      <c r="E133" s="278"/>
      <c r="F133" s="278"/>
      <c r="G133" s="746" t="s">
        <v>115</v>
      </c>
      <c r="H133" s="747"/>
      <c r="I133" s="790" t="s">
        <v>110</v>
      </c>
      <c r="J133" s="791"/>
      <c r="K133" s="791"/>
      <c r="L133" s="791"/>
      <c r="M133" s="791"/>
      <c r="N133" s="792"/>
      <c r="O133" s="796">
        <f>(O121-O126-O116+O128/2) * 60</f>
        <v>12.957331071612156</v>
      </c>
      <c r="P133" s="788"/>
      <c r="Q133" s="788"/>
      <c r="R133" s="788"/>
      <c r="S133" s="743" t="s">
        <v>108</v>
      </c>
      <c r="T133" s="277"/>
      <c r="U133" s="277"/>
      <c r="V133" s="277"/>
      <c r="W133" s="277"/>
      <c r="X133" s="277"/>
      <c r="Y133" s="277"/>
      <c r="Z133" s="277"/>
      <c r="AA133" s="246"/>
      <c r="AB133" s="419"/>
      <c r="BN133" s="248"/>
      <c r="BO133" s="246"/>
    </row>
    <row r="134" spans="1:67" ht="17.25" customHeight="1">
      <c r="A134" s="246"/>
      <c r="B134" s="246"/>
      <c r="C134" s="278"/>
      <c r="D134" s="278"/>
      <c r="E134" s="278"/>
      <c r="F134" s="278"/>
      <c r="G134" s="748"/>
      <c r="H134" s="749"/>
      <c r="I134" s="801" t="s">
        <v>114</v>
      </c>
      <c r="J134" s="802"/>
      <c r="K134" s="802"/>
      <c r="L134" s="802"/>
      <c r="M134" s="802"/>
      <c r="N134" s="803"/>
      <c r="O134" s="797"/>
      <c r="P134" s="789"/>
      <c r="Q134" s="789"/>
      <c r="R134" s="789"/>
      <c r="S134" s="744"/>
      <c r="T134" s="277"/>
      <c r="U134" s="277"/>
      <c r="V134" s="277"/>
      <c r="W134" s="277"/>
      <c r="X134" s="277"/>
      <c r="Y134" s="277"/>
      <c r="Z134" s="277"/>
      <c r="AA134" s="246"/>
      <c r="AB134" s="419"/>
      <c r="BN134" s="248"/>
      <c r="BO134" s="246"/>
    </row>
    <row r="135" spans="1:67" ht="17.25" customHeight="1">
      <c r="A135" s="246"/>
      <c r="B135" s="246"/>
      <c r="C135" s="278"/>
      <c r="D135" s="278"/>
      <c r="E135" s="278"/>
      <c r="F135" s="278"/>
      <c r="G135" s="278"/>
      <c r="H135" s="277"/>
      <c r="I135" s="790" t="s">
        <v>111</v>
      </c>
      <c r="J135" s="791"/>
      <c r="K135" s="791"/>
      <c r="L135" s="791"/>
      <c r="M135" s="791"/>
      <c r="N135" s="792"/>
      <c r="O135" s="788">
        <f>(O121-O126+O128/2)*60</f>
        <v>15.44351851426406</v>
      </c>
      <c r="P135" s="788"/>
      <c r="Q135" s="788"/>
      <c r="R135" s="788"/>
      <c r="S135" s="743" t="s">
        <v>108</v>
      </c>
      <c r="T135" s="277"/>
      <c r="U135" s="277"/>
      <c r="V135" s="277"/>
      <c r="W135" s="277"/>
      <c r="X135" s="277"/>
      <c r="Y135" s="277"/>
      <c r="Z135" s="277"/>
      <c r="AA135" s="246"/>
      <c r="AB135" s="419"/>
      <c r="BN135" s="248"/>
      <c r="BO135" s="246"/>
    </row>
    <row r="136" spans="1:67" ht="17.25" customHeight="1">
      <c r="A136" s="246"/>
      <c r="B136" s="246"/>
      <c r="C136" s="278"/>
      <c r="D136" s="278"/>
      <c r="E136" s="278"/>
      <c r="F136" s="278"/>
      <c r="G136" s="278"/>
      <c r="H136" s="277"/>
      <c r="I136" s="801" t="s">
        <v>112</v>
      </c>
      <c r="J136" s="802"/>
      <c r="K136" s="802"/>
      <c r="L136" s="802"/>
      <c r="M136" s="802"/>
      <c r="N136" s="803"/>
      <c r="O136" s="789"/>
      <c r="P136" s="789"/>
      <c r="Q136" s="789"/>
      <c r="R136" s="789"/>
      <c r="S136" s="744"/>
      <c r="T136" s="277"/>
      <c r="U136" s="277"/>
      <c r="V136" s="277"/>
      <c r="W136" s="277"/>
      <c r="X136" s="277"/>
      <c r="Y136" s="277"/>
      <c r="Z136" s="277"/>
      <c r="AA136" s="246"/>
      <c r="AB136" s="419"/>
      <c r="BN136" s="248"/>
      <c r="BO136" s="246"/>
    </row>
    <row r="137" spans="1:67" ht="17.25" customHeight="1">
      <c r="A137" s="246"/>
      <c r="B137" s="246"/>
      <c r="C137" s="278"/>
      <c r="D137" s="278"/>
      <c r="E137" s="278"/>
      <c r="F137" s="278"/>
      <c r="G137" s="278"/>
      <c r="H137" s="277"/>
      <c r="I137" s="522" t="s">
        <v>71</v>
      </c>
      <c r="J137" s="523"/>
      <c r="K137" s="523"/>
      <c r="L137" s="523"/>
      <c r="M137" s="523"/>
      <c r="N137" s="524"/>
      <c r="O137" s="780">
        <f>O130*60</f>
        <v>15.80000001</v>
      </c>
      <c r="P137" s="781"/>
      <c r="Q137" s="781"/>
      <c r="R137" s="781"/>
      <c r="S137" s="73" t="s">
        <v>108</v>
      </c>
      <c r="T137" s="277"/>
      <c r="U137" s="277"/>
      <c r="V137" s="277"/>
      <c r="W137" s="277"/>
      <c r="X137" s="277"/>
      <c r="Y137" s="277"/>
      <c r="Z137" s="277"/>
      <c r="AA137" s="246"/>
      <c r="AB137" s="419"/>
      <c r="BN137" s="248"/>
      <c r="BO137" s="246"/>
    </row>
    <row r="138" spans="1:67" ht="17.25" customHeight="1" thickBot="1">
      <c r="A138" s="246"/>
      <c r="B138" s="246"/>
      <c r="C138" s="278"/>
      <c r="D138" s="278"/>
      <c r="E138" s="278"/>
      <c r="F138" s="278"/>
      <c r="G138" s="278"/>
      <c r="H138" s="277"/>
      <c r="I138" s="277"/>
      <c r="J138" s="277"/>
      <c r="K138" s="277"/>
      <c r="L138" s="277"/>
      <c r="M138" s="277"/>
      <c r="N138" s="277"/>
      <c r="O138" s="277"/>
      <c r="P138" s="277"/>
      <c r="Q138" s="277"/>
      <c r="R138" s="277"/>
      <c r="S138" s="246"/>
      <c r="T138" s="246"/>
      <c r="U138" s="246"/>
      <c r="V138" s="246"/>
      <c r="W138" s="246"/>
      <c r="X138" s="246"/>
      <c r="Y138" s="246"/>
      <c r="Z138" s="246"/>
      <c r="AA138" s="246"/>
      <c r="AB138" s="419"/>
      <c r="BN138" s="248"/>
      <c r="BO138" s="246"/>
    </row>
    <row r="139" spans="1:67" ht="17.25" customHeight="1" thickTop="1" thickBot="1">
      <c r="A139" s="246"/>
      <c r="B139" s="246"/>
      <c r="C139" s="278"/>
      <c r="D139" s="278"/>
      <c r="E139" s="278"/>
      <c r="F139" s="278"/>
      <c r="G139" s="278"/>
      <c r="H139" s="798" t="s">
        <v>142</v>
      </c>
      <c r="I139" s="799"/>
      <c r="J139" s="799"/>
      <c r="K139" s="799"/>
      <c r="L139" s="799"/>
      <c r="M139" s="799"/>
      <c r="N139" s="800"/>
      <c r="O139" s="529">
        <f>O118-O126+O121+O130</f>
        <v>67.144288851193551</v>
      </c>
      <c r="P139" s="496"/>
      <c r="Q139" s="496"/>
      <c r="R139" s="496"/>
      <c r="S139" s="246" t="s">
        <v>54</v>
      </c>
      <c r="T139" s="246"/>
      <c r="U139" s="804" t="str" cm="1">
        <f t="array" ref="U139">angleDecimal2Txt(O139)</f>
        <v>+67°08.65 (+67.1442) [+67°08'39.43]</v>
      </c>
      <c r="V139" s="805"/>
      <c r="W139" s="805"/>
      <c r="X139" s="805"/>
      <c r="Y139" s="805"/>
      <c r="Z139" s="494"/>
      <c r="AA139" s="246"/>
      <c r="AB139" s="419"/>
      <c r="AE139" s="889" t="s">
        <v>572</v>
      </c>
      <c r="BN139" s="248"/>
      <c r="BO139" s="246"/>
    </row>
    <row r="140" spans="1:67" ht="17.25" customHeight="1" thickTop="1">
      <c r="A140" s="246"/>
      <c r="B140" s="246"/>
      <c r="C140" s="278"/>
      <c r="D140" s="278"/>
      <c r="E140" s="278"/>
      <c r="F140" s="278"/>
      <c r="G140" s="278"/>
      <c r="H140" s="246"/>
      <c r="I140" s="246"/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6"/>
      <c r="V140" s="246"/>
      <c r="W140" s="246"/>
      <c r="X140" s="246"/>
      <c r="Y140" s="246"/>
      <c r="Z140" s="246"/>
      <c r="AA140" s="246"/>
      <c r="AB140" s="419"/>
      <c r="AE140" s="889"/>
      <c r="AF140" s="247" t="s">
        <v>567</v>
      </c>
      <c r="AG140" s="247" t="s">
        <v>568</v>
      </c>
      <c r="AH140" s="247" t="s">
        <v>554</v>
      </c>
      <c r="BN140" s="248"/>
      <c r="BO140" s="246"/>
    </row>
    <row r="141" spans="1:67" ht="17.25" customHeight="1">
      <c r="A141" s="246"/>
      <c r="B141" s="246"/>
      <c r="C141" s="278"/>
      <c r="D141" s="278"/>
      <c r="E141" s="278"/>
      <c r="F141" s="779" t="s">
        <v>63</v>
      </c>
      <c r="G141" s="779"/>
      <c r="H141" s="779"/>
      <c r="I141" s="779"/>
      <c r="J141" s="528" t="str">
        <f>IF(G112=AD112,O149,"---")</f>
        <v>---</v>
      </c>
      <c r="K141" s="676"/>
      <c r="L141" s="529"/>
      <c r="M141" s="267"/>
      <c r="N141" s="267"/>
      <c r="O141" s="267"/>
      <c r="P141" s="267"/>
      <c r="Q141" s="267"/>
      <c r="R141" s="267"/>
      <c r="S141" s="267"/>
      <c r="T141" s="267"/>
      <c r="U141" s="267"/>
      <c r="V141" s="267"/>
      <c r="W141" s="267"/>
      <c r="X141" s="267"/>
      <c r="Y141" s="267"/>
      <c r="Z141" s="267"/>
      <c r="AA141" s="246"/>
      <c r="AB141" s="419"/>
      <c r="AE141" s="247" t="s">
        <v>574</v>
      </c>
      <c r="AF141" s="247">
        <v>10</v>
      </c>
      <c r="AG141" s="247">
        <v>60</v>
      </c>
      <c r="AH141" s="247" cm="1">
        <f t="array" ref="AH141">astroCalculLatitude(VLOOKUP(AE141,$AC$157:$AD$158,2,FALSE),AF141,AG141)</f>
        <v>40</v>
      </c>
      <c r="AL141" s="247">
        <f t="shared" ref="AL141:AL149" si="0">VLOOKUP(AE141,$AC$157:$AD$158,2,FALSE)</f>
        <v>-1</v>
      </c>
      <c r="BN141" s="248"/>
      <c r="BO141" s="246"/>
    </row>
    <row r="142" spans="1:67" ht="17.25" customHeight="1">
      <c r="A142" s="246"/>
      <c r="B142" s="246"/>
      <c r="C142" s="278"/>
      <c r="D142" s="278"/>
      <c r="E142" s="278"/>
      <c r="M142" s="246"/>
      <c r="N142" s="246"/>
      <c r="O142" s="246"/>
      <c r="P142" s="246"/>
      <c r="Q142" s="246"/>
      <c r="R142" s="246"/>
      <c r="S142" s="246"/>
      <c r="T142" s="246"/>
      <c r="U142" s="246"/>
      <c r="V142" s="246"/>
      <c r="W142" s="246"/>
      <c r="X142" s="246"/>
      <c r="Y142" s="246"/>
      <c r="Z142" s="246"/>
      <c r="AA142" s="246"/>
      <c r="AB142" s="419"/>
      <c r="AE142" s="247" t="s">
        <v>574</v>
      </c>
      <c r="AF142" s="247">
        <v>-10</v>
      </c>
      <c r="AG142" s="247">
        <v>65</v>
      </c>
      <c r="AH142" s="247" cm="1">
        <f t="array" ref="AH142">astroCalculLatitude(VLOOKUP(AE142,$AC$157:$AD$158,2,FALSE),AF142,AG142)</f>
        <v>15</v>
      </c>
      <c r="AL142" s="247">
        <f t="shared" si="0"/>
        <v>-1</v>
      </c>
      <c r="BN142" s="248"/>
      <c r="BO142" s="246"/>
    </row>
    <row r="143" spans="1:67" ht="17.25" customHeight="1">
      <c r="A143" s="246"/>
      <c r="B143" s="246"/>
      <c r="C143" s="278"/>
      <c r="D143" s="278"/>
      <c r="E143" s="278"/>
      <c r="M143" s="246"/>
      <c r="N143" s="246"/>
      <c r="O143" s="246"/>
      <c r="P143" s="246"/>
      <c r="Q143" s="246"/>
      <c r="R143" s="246"/>
      <c r="S143" s="246"/>
      <c r="T143" s="269" t="s">
        <v>82</v>
      </c>
      <c r="U143" s="491" t="s">
        <v>33</v>
      </c>
      <c r="V143" s="491"/>
      <c r="W143" s="246"/>
      <c r="X143" s="246"/>
      <c r="Y143" s="246"/>
      <c r="Z143" s="246"/>
      <c r="AA143" s="246"/>
      <c r="AB143" s="419"/>
      <c r="AE143" s="247" t="s">
        <v>573</v>
      </c>
      <c r="AF143" s="247">
        <v>-20</v>
      </c>
      <c r="AG143" s="247">
        <v>60</v>
      </c>
      <c r="AH143" s="247" cm="1">
        <f t="array" ref="AH143">astroCalculLatitude(VLOOKUP(AE143,$AC$157:$AD$158,2,FALSE),AF143,AG143)</f>
        <v>-50</v>
      </c>
      <c r="AL143" s="247">
        <f t="shared" si="0"/>
        <v>1</v>
      </c>
      <c r="BN143" s="248"/>
      <c r="BO143" s="246"/>
    </row>
    <row r="144" spans="1:67" ht="17.25" customHeight="1">
      <c r="A144" s="246"/>
      <c r="B144" s="246"/>
      <c r="C144" s="278"/>
      <c r="D144" s="278"/>
      <c r="E144" s="278"/>
      <c r="F144" s="278"/>
      <c r="G144" s="278"/>
      <c r="H144" s="246"/>
      <c r="I144" s="246"/>
      <c r="J144" s="246"/>
      <c r="K144" s="246"/>
      <c r="L144" s="246"/>
      <c r="M144" s="246"/>
      <c r="N144" s="246"/>
      <c r="O144" s="246"/>
      <c r="P144" s="246"/>
      <c r="Q144" s="246"/>
      <c r="R144" s="246"/>
      <c r="S144" s="246"/>
      <c r="T144" s="270" t="s">
        <v>78</v>
      </c>
      <c r="U144" s="491" t="s">
        <v>80</v>
      </c>
      <c r="V144" s="491"/>
      <c r="W144" s="246"/>
      <c r="X144" s="246"/>
      <c r="Y144" s="246"/>
      <c r="Z144" s="246"/>
      <c r="AA144" s="246"/>
      <c r="AB144" s="419"/>
      <c r="AE144" s="247" t="s">
        <v>573</v>
      </c>
      <c r="AF144" s="247">
        <v>23</v>
      </c>
      <c r="AG144" s="247">
        <v>72</v>
      </c>
      <c r="AH144" s="247" cm="1">
        <f t="array" ref="AH144">astroCalculLatitude(VLOOKUP(AE144,$AC$157:$AD$158,2,FALSE),AF144,AG144)</f>
        <v>5</v>
      </c>
      <c r="AL144" s="247">
        <f t="shared" si="0"/>
        <v>1</v>
      </c>
      <c r="BN144" s="248"/>
      <c r="BO144" s="246"/>
    </row>
    <row r="145" spans="1:67" ht="17.25" customHeight="1">
      <c r="A145" s="246"/>
      <c r="B145" s="246"/>
      <c r="C145" s="278"/>
      <c r="D145" s="278"/>
      <c r="E145" s="278"/>
      <c r="F145" s="278"/>
      <c r="G145" s="278"/>
      <c r="H145" s="246" t="s">
        <v>72</v>
      </c>
      <c r="I145" s="271" t="s">
        <v>74</v>
      </c>
      <c r="J145" s="246" t="s">
        <v>60</v>
      </c>
      <c r="K145" s="493" t="s">
        <v>75</v>
      </c>
      <c r="L145" s="246" t="s">
        <v>59</v>
      </c>
      <c r="M145" s="246"/>
      <c r="N145" s="493" t="s">
        <v>77</v>
      </c>
      <c r="O145" s="271" t="s">
        <v>231</v>
      </c>
      <c r="P145" s="246"/>
      <c r="Q145" s="493" t="s">
        <v>77</v>
      </c>
      <c r="R145" s="246" t="s">
        <v>232</v>
      </c>
      <c r="S145" s="246"/>
      <c r="T145" s="272" t="s">
        <v>79</v>
      </c>
      <c r="U145" s="492" t="s">
        <v>81</v>
      </c>
      <c r="V145" s="492"/>
      <c r="W145" s="246"/>
      <c r="X145" s="246"/>
      <c r="Y145" s="246"/>
      <c r="AB145" s="419"/>
      <c r="AC145" s="255" t="s">
        <v>570</v>
      </c>
      <c r="AD145" s="255" t="s">
        <v>569</v>
      </c>
      <c r="AE145" s="247" t="s">
        <v>573</v>
      </c>
      <c r="AF145" s="247" cm="1">
        <f t="array" ref="AF145">angleConvert2Decimal(AC145)</f>
        <v>22.083333333333332</v>
      </c>
      <c r="AG145" s="247" cm="1">
        <f t="array" ref="AG145">angleConvert2Decimal(AD145)</f>
        <v>67.75</v>
      </c>
      <c r="AH145" s="247" cm="1">
        <f t="array" ref="AH145">astroCalculLatitude(VLOOKUP(AE145,$AC$157:$AD$158,2,FALSE),AF145,AG145)</f>
        <v>-0.16666666666666785</v>
      </c>
      <c r="AI145" s="247" t="str" cm="1">
        <f t="array" ref="AI145">angleDecimal2Txt(AH145)</f>
        <v>-00°10.00 (-00.1666) [-00°10'00.00]</v>
      </c>
      <c r="AL145" s="247">
        <f t="shared" si="0"/>
        <v>1</v>
      </c>
      <c r="BN145" s="248"/>
      <c r="BO145" s="246"/>
    </row>
    <row r="146" spans="1:67" ht="17.25" customHeight="1" thickBot="1">
      <c r="A146" s="246"/>
      <c r="B146" s="246"/>
      <c r="C146" s="278"/>
      <c r="D146" s="278"/>
      <c r="E146" s="278"/>
      <c r="F146" s="278"/>
      <c r="G146" s="278"/>
      <c r="H146" s="246"/>
      <c r="I146" s="271"/>
      <c r="J146" s="42">
        <f>O114</f>
        <v>66.95</v>
      </c>
      <c r="K146" s="493"/>
      <c r="L146" s="782">
        <f>O115</f>
        <v>2.1666666666666667E-2</v>
      </c>
      <c r="M146" s="783"/>
      <c r="N146" s="493"/>
      <c r="O146" s="786" t="s">
        <v>146</v>
      </c>
      <c r="P146" s="787"/>
      <c r="Q146" s="493"/>
      <c r="R146" s="102" t="s">
        <v>79</v>
      </c>
      <c r="S146" s="246"/>
      <c r="T146" s="246"/>
      <c r="U146" s="246"/>
      <c r="AB146" s="419"/>
      <c r="AC146" s="255" t="s">
        <v>571</v>
      </c>
      <c r="AD146" s="255" t="s">
        <v>575</v>
      </c>
      <c r="AE146" s="247" t="s">
        <v>573</v>
      </c>
      <c r="AF146" s="247" cm="1">
        <f t="array" ref="AF146">angleConvert2Decimal(AC146)</f>
        <v>18.766666666666666</v>
      </c>
      <c r="AG146" s="247" cm="1">
        <f t="array" ref="AG146">angleConvert2Decimal(AD146)</f>
        <v>6.3666833333333335</v>
      </c>
      <c r="AH146" s="247" cm="1">
        <f t="array" ref="AH146">astroCalculLatitude(VLOOKUP(AE146,$AC$157:$AD$158,2,FALSE),AF146,AG146)</f>
        <v>77.600016666666662</v>
      </c>
      <c r="AI146" s="247" t="str" cm="1">
        <f t="array" ref="AI146">angleDecimal2Txt(AH146)</f>
        <v>+77°36.00 (+77.6000) [+77°36'00.05]</v>
      </c>
      <c r="AL146" s="247">
        <f t="shared" si="0"/>
        <v>1</v>
      </c>
      <c r="BN146" s="248"/>
      <c r="BO146" s="246"/>
    </row>
    <row r="147" spans="1:67" ht="17.25" customHeight="1" thickTop="1" thickBot="1">
      <c r="A147" s="246"/>
      <c r="B147" s="246"/>
      <c r="C147" s="278"/>
      <c r="D147" s="278"/>
      <c r="E147" s="278"/>
      <c r="F147" s="278"/>
      <c r="G147" s="278"/>
      <c r="H147" s="246"/>
      <c r="I147" s="271"/>
      <c r="K147" s="271" t="s">
        <v>230</v>
      </c>
      <c r="L147" s="784" cm="1">
        <f t="array" ref="L147">angleConvert2Decimal(L146)</f>
        <v>2.1666666666666699E-2</v>
      </c>
      <c r="M147" s="785"/>
      <c r="N147" s="246"/>
      <c r="O147" s="740" cm="1">
        <f t="array" ref="O147">angleConvert2Decimal(O146)</f>
        <v>0.17166666666666669</v>
      </c>
      <c r="P147" s="741"/>
      <c r="Q147" s="255"/>
      <c r="R147" s="245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804" t="str" cm="1">
        <f t="array" ref="W147">angleDecimal2Txt(V147)</f>
        <v>-00°21.69 (-00.3616) [-00°21'42.00]</v>
      </c>
      <c r="X147" s="805"/>
      <c r="Y147" s="805"/>
      <c r="Z147" s="805"/>
      <c r="AA147" s="494"/>
      <c r="AB147" s="419"/>
      <c r="AE147" s="247" t="s">
        <v>574</v>
      </c>
      <c r="AF147" s="247">
        <f>-1 * AF146</f>
        <v>-18.766666666666666</v>
      </c>
      <c r="AG147" s="247">
        <f>AG146</f>
        <v>6.3666833333333335</v>
      </c>
      <c r="AH147" s="247" cm="1">
        <f t="array" ref="AH147">astroCalculLatitude(VLOOKUP(AE147,$AC$157:$AD$158,2,FALSE),AF147,AG147)</f>
        <v>-77.600016666666662</v>
      </c>
      <c r="AL147" s="247">
        <f t="shared" si="0"/>
        <v>-1</v>
      </c>
      <c r="BN147" s="248"/>
      <c r="BO147" s="246"/>
    </row>
    <row r="148" spans="1:67" ht="17.25" customHeight="1" thickTop="1" thickBot="1">
      <c r="A148" s="246"/>
      <c r="B148" s="246"/>
      <c r="C148" s="278"/>
      <c r="D148" s="278"/>
      <c r="E148" s="278"/>
      <c r="F148" s="278"/>
      <c r="G148" s="278"/>
      <c r="H148" s="246"/>
      <c r="I148" s="271"/>
      <c r="J148" s="246"/>
      <c r="K148" s="271"/>
      <c r="L148" s="246"/>
      <c r="M148" s="246"/>
      <c r="N148" s="271"/>
      <c r="O148" s="246"/>
      <c r="P148" s="246"/>
      <c r="Q148" s="271"/>
      <c r="R148" s="273"/>
      <c r="S148" s="246"/>
      <c r="T148" s="246"/>
      <c r="U148" s="246"/>
      <c r="V148" s="246"/>
      <c r="W148" s="246"/>
      <c r="X148" s="246"/>
      <c r="Y148" s="246"/>
      <c r="Z148" s="246"/>
      <c r="AA148" s="246"/>
      <c r="AB148" s="419"/>
      <c r="AE148" s="247" t="s">
        <v>574</v>
      </c>
      <c r="AF148" s="247">
        <v>10</v>
      </c>
      <c r="AG148" s="247">
        <v>60</v>
      </c>
      <c r="AH148" s="247" cm="1">
        <f t="array" ref="AH148">astroCalculLatitude(VLOOKUP(AE148,$AC$157:$AD$158,2,FALSE),AF148,AG148)</f>
        <v>40</v>
      </c>
      <c r="AL148" s="247">
        <f t="shared" si="0"/>
        <v>-1</v>
      </c>
      <c r="BN148" s="248"/>
      <c r="BO148" s="246"/>
    </row>
    <row r="149" spans="1:67" ht="17.25" customHeight="1" thickTop="1" thickBot="1">
      <c r="A149" s="246"/>
      <c r="B149" s="246"/>
      <c r="C149" s="278"/>
      <c r="D149" s="278"/>
      <c r="E149" s="278"/>
      <c r="F149" s="278"/>
      <c r="G149" s="278"/>
      <c r="H149" s="798" t="s">
        <v>145</v>
      </c>
      <c r="I149" s="799"/>
      <c r="J149" s="799"/>
      <c r="K149" s="799"/>
      <c r="L149" s="799"/>
      <c r="M149" s="799"/>
      <c r="N149" s="800"/>
      <c r="O149" s="529">
        <f>J146-L147+O147+R147</f>
        <v>66.566666666666677</v>
      </c>
      <c r="P149" s="496"/>
      <c r="Q149" s="496"/>
      <c r="R149" s="496"/>
      <c r="S149" s="246" t="s">
        <v>54</v>
      </c>
      <c r="T149" s="246"/>
      <c r="U149" s="804" t="str" cm="1">
        <f t="array" ref="U149">angleDecimal2Txt(O149)</f>
        <v>+66°34.00 (+66.5666) [+66°34'00.00]</v>
      </c>
      <c r="V149" s="805"/>
      <c r="W149" s="805"/>
      <c r="X149" s="805"/>
      <c r="Y149" s="805"/>
      <c r="Z149" s="494"/>
      <c r="AA149" s="246"/>
      <c r="AB149" s="419"/>
      <c r="AE149" s="247" t="s">
        <v>573</v>
      </c>
      <c r="AF149" s="247">
        <v>10</v>
      </c>
      <c r="AG149" s="247">
        <v>60</v>
      </c>
      <c r="AH149" s="247" cm="1">
        <f t="array" ref="AH149">astroCalculLatitude(VLOOKUP(AE149,$AC$157:$AD$158,2,FALSE),AF149,AG149)</f>
        <v>-20</v>
      </c>
      <c r="AL149" s="247">
        <f t="shared" si="0"/>
        <v>1</v>
      </c>
      <c r="BN149" s="248"/>
      <c r="BO149" s="246"/>
    </row>
    <row r="150" spans="1:67" ht="17.25" customHeight="1" thickTop="1" thickBot="1">
      <c r="A150" s="246"/>
      <c r="B150" s="246"/>
      <c r="C150" s="278"/>
      <c r="D150" s="274"/>
      <c r="E150" s="278"/>
      <c r="F150" s="278"/>
      <c r="G150" s="278"/>
      <c r="H150" s="246"/>
      <c r="I150" s="246"/>
      <c r="J150" s="246"/>
      <c r="K150" s="246"/>
      <c r="L150" s="246"/>
      <c r="M150" s="246"/>
      <c r="N150" s="246"/>
      <c r="O150" s="246"/>
      <c r="P150" s="246"/>
      <c r="Q150" s="246"/>
      <c r="R150" s="246"/>
      <c r="S150" s="246"/>
      <c r="T150" s="246"/>
      <c r="U150" s="246"/>
      <c r="V150" s="246"/>
      <c r="W150" s="246"/>
      <c r="X150" s="246"/>
      <c r="Y150" s="246"/>
      <c r="Z150" s="246"/>
      <c r="AA150" s="246"/>
      <c r="AB150" s="419"/>
      <c r="BN150" s="248"/>
      <c r="BO150" s="246"/>
    </row>
    <row r="151" spans="1:67" ht="17.25" customHeight="1" thickBot="1">
      <c r="A151" s="246"/>
      <c r="B151" s="910" t="s">
        <v>255</v>
      </c>
      <c r="C151" s="911"/>
      <c r="D151" s="911"/>
      <c r="E151" s="911"/>
      <c r="F151" s="911"/>
      <c r="G151" s="911"/>
      <c r="H151" s="911"/>
      <c r="I151" s="911"/>
      <c r="J151" s="911"/>
      <c r="K151" s="911"/>
      <c r="L151" s="911"/>
      <c r="M151" s="911"/>
      <c r="N151" s="911"/>
      <c r="O151" s="911"/>
      <c r="P151" s="911"/>
      <c r="Q151" s="911"/>
      <c r="R151" s="911"/>
      <c r="S151" s="911"/>
      <c r="T151" s="911"/>
      <c r="U151" s="911"/>
      <c r="V151" s="911"/>
      <c r="W151" s="911"/>
      <c r="X151" s="911"/>
      <c r="Y151" s="911"/>
      <c r="Z151" s="911"/>
      <c r="AA151" s="911"/>
      <c r="AB151" s="422"/>
      <c r="BN151" s="248"/>
      <c r="BO151" s="246"/>
    </row>
    <row r="152" spans="1:67" ht="17.25" customHeight="1">
      <c r="A152" s="246"/>
      <c r="B152" s="246"/>
      <c r="C152" s="246"/>
      <c r="D152" s="246"/>
      <c r="E152" s="246"/>
      <c r="F152" s="246"/>
      <c r="G152" s="246"/>
      <c r="H152" s="246"/>
      <c r="I152" s="246"/>
      <c r="J152" s="246"/>
      <c r="K152" s="246"/>
      <c r="L152" s="246"/>
      <c r="M152" s="246"/>
      <c r="N152" s="246"/>
      <c r="O152" s="246"/>
      <c r="P152" s="246"/>
      <c r="Q152" s="246"/>
      <c r="R152" s="246"/>
      <c r="S152" s="246"/>
      <c r="T152" s="246"/>
      <c r="U152" s="246"/>
      <c r="V152" s="246"/>
      <c r="W152" s="246"/>
      <c r="X152" s="246"/>
      <c r="Y152" s="246"/>
      <c r="Z152" s="246"/>
      <c r="AA152" s="246"/>
      <c r="AB152" s="419"/>
      <c r="BN152" s="248"/>
      <c r="BO152" s="246"/>
    </row>
    <row r="153" spans="1:67" ht="17.25" customHeight="1">
      <c r="A153" s="246"/>
      <c r="B153" s="246"/>
      <c r="C153" s="277"/>
      <c r="D153" s="277"/>
      <c r="E153" s="750" t="s">
        <v>257</v>
      </c>
      <c r="F153" s="751"/>
      <c r="G153" s="751"/>
      <c r="H153" s="751"/>
      <c r="I153" s="481">
        <f>90-Q154</f>
        <v>22.855711148806449</v>
      </c>
      <c r="J153" s="482"/>
      <c r="K153" s="482"/>
      <c r="L153" s="482"/>
      <c r="M153" s="483"/>
      <c r="N153" s="246"/>
      <c r="O153" s="916" t="s">
        <v>256</v>
      </c>
      <c r="P153" s="917"/>
      <c r="Q153" s="918"/>
      <c r="R153" s="918"/>
      <c r="S153" s="918"/>
      <c r="T153" s="919"/>
      <c r="AB153" s="419"/>
      <c r="BN153" s="248"/>
      <c r="BO153" s="246"/>
    </row>
    <row r="154" spans="1:67" ht="17.25" customHeight="1" thickBot="1">
      <c r="A154" s="246"/>
      <c r="B154" s="246"/>
      <c r="C154" s="277"/>
      <c r="D154" s="277"/>
      <c r="E154" s="752"/>
      <c r="F154" s="753"/>
      <c r="G154" s="753"/>
      <c r="H154" s="753"/>
      <c r="I154" s="657"/>
      <c r="J154" s="658"/>
      <c r="K154" s="658"/>
      <c r="L154" s="658"/>
      <c r="M154" s="768"/>
      <c r="N154" s="276" t="s">
        <v>116</v>
      </c>
      <c r="O154" s="903" t="s">
        <v>72</v>
      </c>
      <c r="P154" s="904"/>
      <c r="Q154" s="575">
        <f>F111</f>
        <v>67.144288851193551</v>
      </c>
      <c r="R154" s="576"/>
      <c r="S154" s="576"/>
      <c r="T154" s="113" t="s">
        <v>54</v>
      </c>
      <c r="Y154" s="246"/>
      <c r="Z154" s="246"/>
      <c r="AA154" s="246"/>
      <c r="AB154" s="419"/>
      <c r="BN154" s="248"/>
      <c r="BO154" s="246"/>
    </row>
    <row r="155" spans="1:67" ht="17.25" customHeight="1" thickTop="1" thickBot="1">
      <c r="A155" s="246"/>
      <c r="B155" s="246"/>
      <c r="C155" s="277"/>
      <c r="D155" s="277"/>
      <c r="E155" s="754"/>
      <c r="F155" s="755"/>
      <c r="G155" s="755"/>
      <c r="H155" s="755"/>
      <c r="I155" s="804" t="str" cm="1">
        <f t="array" ref="I155">angleDecimal2Txt(I153)</f>
        <v>+22°51.34 (+22.8557) [+22°51'20.56]</v>
      </c>
      <c r="J155" s="805"/>
      <c r="K155" s="805"/>
      <c r="L155" s="805"/>
      <c r="M155" s="494"/>
      <c r="N155" s="246"/>
      <c r="O155" s="903" t="s">
        <v>84</v>
      </c>
      <c r="P155" s="904"/>
      <c r="Q155" s="575">
        <f>F90</f>
        <v>-14.728333333333333</v>
      </c>
      <c r="R155" s="576"/>
      <c r="S155" s="576"/>
      <c r="T155" s="113" t="s">
        <v>54</v>
      </c>
      <c r="Y155" s="246"/>
      <c r="Z155" s="246"/>
      <c r="AA155" s="246"/>
      <c r="AB155" s="419"/>
      <c r="BN155" s="248"/>
      <c r="BO155" s="246"/>
    </row>
    <row r="156" spans="1:67" ht="17.25" customHeight="1" thickTop="1">
      <c r="A156" s="246"/>
      <c r="B156" s="246"/>
      <c r="C156" s="277"/>
      <c r="D156" s="277"/>
      <c r="E156" s="246"/>
      <c r="F156" s="246"/>
      <c r="G156" s="246"/>
      <c r="H156" s="246"/>
      <c r="I156" s="246"/>
      <c r="J156" s="246"/>
      <c r="K156" s="246"/>
      <c r="L156" s="246"/>
      <c r="M156" s="246"/>
      <c r="N156" s="246"/>
      <c r="O156" s="246"/>
      <c r="P156" s="246"/>
      <c r="Q156" s="246"/>
      <c r="R156" s="246"/>
      <c r="S156" s="246"/>
      <c r="T156" s="246"/>
      <c r="U156" s="246"/>
      <c r="V156" s="246"/>
      <c r="AA156" s="246"/>
      <c r="AB156" s="419"/>
      <c r="BN156" s="248"/>
      <c r="BO156" s="246"/>
    </row>
    <row r="157" spans="1:67" ht="17.25" customHeight="1">
      <c r="A157" s="246"/>
      <c r="B157" s="246"/>
      <c r="C157" s="277"/>
      <c r="D157" s="277"/>
      <c r="AB157" s="419"/>
      <c r="AC157" s="247" t="s">
        <v>574</v>
      </c>
      <c r="AD157" s="247">
        <v>-1</v>
      </c>
      <c r="BN157" s="248"/>
      <c r="BO157" s="246"/>
    </row>
    <row r="158" spans="1:67" ht="17.25" customHeight="1">
      <c r="A158" s="246"/>
      <c r="B158" s="246"/>
      <c r="C158" s="277"/>
      <c r="D158" s="277"/>
      <c r="E158" s="912" t="s">
        <v>213</v>
      </c>
      <c r="F158" s="913"/>
      <c r="G158" s="913"/>
      <c r="H158" s="913"/>
      <c r="I158" s="913"/>
      <c r="J158" s="913"/>
      <c r="K158" s="913"/>
      <c r="L158" s="913"/>
      <c r="M158" s="913"/>
      <c r="N158" s="913"/>
      <c r="O158" s="914"/>
      <c r="Q158" s="525" t="s">
        <v>576</v>
      </c>
      <c r="R158" s="525"/>
      <c r="S158" s="525"/>
      <c r="T158" s="890" t="str">
        <f>IF(T159&gt;T160,AC157,AC158)</f>
        <v>Soleil au sud</v>
      </c>
      <c r="U158" s="890"/>
      <c r="V158" s="891" t="str">
        <f>IF(VLOOKUP(T158,AC157:AD158,2,FALSE)&lt;0,"Le soleil est au sud, et le nord est dans le dos","Le soleil est au nord, et le sud est dans le dos")</f>
        <v>Le soleil est au sud, et le nord est dans le dos</v>
      </c>
      <c r="W158" s="891"/>
      <c r="X158" s="891"/>
      <c r="Y158" s="891"/>
      <c r="Z158" s="891"/>
      <c r="AA158" s="891"/>
      <c r="AB158" s="419"/>
      <c r="AC158" s="247" t="s">
        <v>573</v>
      </c>
      <c r="AD158" s="247">
        <v>1</v>
      </c>
      <c r="BN158" s="248"/>
      <c r="BO158" s="246"/>
    </row>
    <row r="159" spans="1:67" ht="17.25" customHeight="1">
      <c r="A159" s="246"/>
      <c r="B159" s="246"/>
      <c r="C159" s="277"/>
      <c r="D159" s="277"/>
      <c r="E159" s="581"/>
      <c r="F159" s="581" t="s">
        <v>215</v>
      </c>
      <c r="G159" s="581"/>
      <c r="H159" s="581"/>
      <c r="I159" s="581"/>
      <c r="J159" s="581"/>
      <c r="K159" s="857" t="s">
        <v>217</v>
      </c>
      <c r="L159" s="915"/>
      <c r="M159" s="915"/>
      <c r="N159" s="915"/>
      <c r="O159" s="858"/>
      <c r="Q159" s="525" t="s">
        <v>85</v>
      </c>
      <c r="R159" s="525"/>
      <c r="S159" s="525"/>
      <c r="T159" s="890">
        <f>E69</f>
        <v>46.092764659263878</v>
      </c>
      <c r="U159" s="890"/>
      <c r="V159" s="891" t="str">
        <f>CONCATENATE("Lat et Dec - Meme sens ?: ",AC159)</f>
        <v>Lat et Dec - Meme sens ?: FALSE</v>
      </c>
      <c r="W159" s="891"/>
      <c r="X159" s="891"/>
      <c r="Y159" s="891"/>
      <c r="Z159" s="891"/>
      <c r="AA159" s="891"/>
      <c r="AB159" s="419"/>
      <c r="AC159" s="247" t="b">
        <f>IF(T159*T160&gt;0,TRUE,FALSE)</f>
        <v>0</v>
      </c>
      <c r="BN159" s="248"/>
      <c r="BO159" s="246"/>
    </row>
    <row r="160" spans="1:67" ht="17.25" customHeight="1">
      <c r="A160" s="246"/>
      <c r="B160" s="246"/>
      <c r="C160" s="277"/>
      <c r="D160" s="277"/>
      <c r="E160" s="581"/>
      <c r="F160" s="581" t="s">
        <v>216</v>
      </c>
      <c r="G160" s="581"/>
      <c r="H160" s="581"/>
      <c r="I160" s="581"/>
      <c r="J160" s="581"/>
      <c r="K160" s="857" t="s">
        <v>218</v>
      </c>
      <c r="L160" s="915"/>
      <c r="M160" s="915"/>
      <c r="N160" s="915"/>
      <c r="O160" s="858"/>
      <c r="Q160" s="525" t="s">
        <v>84</v>
      </c>
      <c r="R160" s="525"/>
      <c r="S160" s="525"/>
      <c r="T160" s="890">
        <f>F90</f>
        <v>-14.728333333333333</v>
      </c>
      <c r="U160" s="890"/>
      <c r="V160" s="891" t="str">
        <f>CONCATENATE("Lat &gt; Dec  ? : ",AC160)</f>
        <v>Lat &gt; Dec  ? : TRUE</v>
      </c>
      <c r="W160" s="891"/>
      <c r="X160" s="891"/>
      <c r="Y160" s="891"/>
      <c r="Z160" s="891"/>
      <c r="AA160" s="891"/>
      <c r="AB160" s="419"/>
      <c r="AC160" s="309" t="b">
        <f>IF(ABS(T159)&gt;ABS(T160),TRUE, FALSE)</f>
        <v>1</v>
      </c>
      <c r="BN160" s="248"/>
      <c r="BO160" s="246"/>
    </row>
    <row r="161" spans="1:67" ht="17.25" customHeight="1">
      <c r="A161" s="246"/>
      <c r="B161" s="246"/>
      <c r="C161" s="246"/>
      <c r="D161" s="246"/>
      <c r="E161" s="920" t="s">
        <v>214</v>
      </c>
      <c r="F161" s="920"/>
      <c r="G161" s="920"/>
      <c r="H161" s="920"/>
      <c r="I161" s="920"/>
      <c r="J161" s="920"/>
      <c r="K161" s="857" t="s">
        <v>219</v>
      </c>
      <c r="L161" s="915"/>
      <c r="M161" s="915"/>
      <c r="N161" s="915"/>
      <c r="O161" s="858"/>
      <c r="AB161" s="419"/>
      <c r="AD161" s="281"/>
      <c r="BN161" s="248"/>
      <c r="BO161" s="246"/>
    </row>
    <row r="162" spans="1:67" ht="17.25" customHeight="1">
      <c r="A162" s="246"/>
      <c r="B162" s="246"/>
      <c r="C162" s="278"/>
      <c r="D162" s="278"/>
      <c r="E162" s="246"/>
      <c r="F162" s="246"/>
      <c r="G162" s="246"/>
      <c r="H162" s="246"/>
      <c r="I162" s="246"/>
      <c r="J162" s="246"/>
      <c r="K162" s="246"/>
      <c r="L162" s="246"/>
      <c r="M162" s="246"/>
      <c r="N162" s="246"/>
      <c r="O162" s="246"/>
      <c r="AB162" s="419"/>
      <c r="AD162" s="281"/>
      <c r="BN162" s="248"/>
      <c r="BO162" s="246"/>
    </row>
    <row r="163" spans="1:67" ht="17.25" customHeight="1" thickBot="1">
      <c r="A163" s="246"/>
      <c r="B163" s="246"/>
      <c r="C163" s="278"/>
      <c r="D163" s="278"/>
      <c r="E163" s="278"/>
      <c r="F163" s="278"/>
      <c r="G163" s="278"/>
      <c r="H163" s="246"/>
      <c r="I163" s="246"/>
      <c r="J163" s="246"/>
      <c r="K163" s="246"/>
      <c r="L163" s="246"/>
      <c r="AB163" s="419"/>
      <c r="AD163" s="281"/>
      <c r="BN163" s="248"/>
      <c r="BO163" s="246"/>
    </row>
    <row r="164" spans="1:67" ht="17.25" customHeight="1" thickTop="1">
      <c r="A164" s="246"/>
      <c r="B164" s="246"/>
      <c r="C164" s="278"/>
      <c r="D164" s="278"/>
      <c r="E164" s="278"/>
      <c r="F164" s="278"/>
      <c r="G164" s="278"/>
      <c r="H164" s="467" t="s">
        <v>212</v>
      </c>
      <c r="I164" s="468"/>
      <c r="J164" s="468"/>
      <c r="K164" s="468"/>
      <c r="L164" s="909"/>
      <c r="M164" s="899" cm="1">
        <f t="array" ref="M164">astroCalculLatitude(VLOOKUP(T158,AC157:AD158,2,FALSE), T160, Q154)</f>
        <v>8.1273778154731158</v>
      </c>
      <c r="N164" s="900"/>
      <c r="O164" s="214" t="s">
        <v>28</v>
      </c>
      <c r="P164" s="901" t="str">
        <f>latitudeDecimal2Txt(M164)</f>
        <v>N 08°07.64 (N 08.1273) [N 08°07'38.56]</v>
      </c>
      <c r="Q164" s="902"/>
      <c r="R164" s="902"/>
      <c r="S164" s="902"/>
      <c r="T164" s="902"/>
      <c r="U164" s="902"/>
      <c r="V164" s="247" t="s">
        <v>577</v>
      </c>
      <c r="AB164" s="419"/>
      <c r="BN164" s="248"/>
      <c r="BO164" s="246"/>
    </row>
    <row r="165" spans="1:67" ht="17.25" customHeight="1">
      <c r="A165" s="277"/>
      <c r="B165" s="277"/>
      <c r="C165" s="277"/>
      <c r="D165" s="277"/>
      <c r="M165" s="885">
        <f>IF(AC159,IF(AC160,I153+T160,T160-I153),I153-T160)</f>
        <v>37.584044482139781</v>
      </c>
      <c r="N165" s="886"/>
      <c r="O165" s="356" t="s">
        <v>28</v>
      </c>
      <c r="P165" s="887" t="str">
        <f>latitudeDecimal2Txt(M165)</f>
        <v>N 37°35.04 (N 37.5840) [N 37°35'02.56]</v>
      </c>
      <c r="Q165" s="887"/>
      <c r="R165" s="887"/>
      <c r="S165" s="887"/>
      <c r="T165" s="887"/>
      <c r="U165" s="888"/>
      <c r="V165" s="246" t="s">
        <v>578</v>
      </c>
      <c r="W165" s="246"/>
      <c r="X165" s="246"/>
      <c r="Y165" s="246"/>
      <c r="Z165" s="246"/>
      <c r="AA165" s="246"/>
      <c r="AB165" s="419"/>
      <c r="BN165" s="248"/>
      <c r="BO165" s="246"/>
    </row>
    <row r="166" spans="1:67" s="246" customFormat="1" ht="17.25" customHeight="1">
      <c r="C166" s="278"/>
      <c r="D166" s="278"/>
      <c r="E166" s="278"/>
      <c r="F166" s="278"/>
      <c r="G166" s="278"/>
      <c r="AB166" s="419"/>
      <c r="AC166" s="247"/>
      <c r="AD166" s="247"/>
      <c r="AE166" s="247"/>
      <c r="AF166" s="247"/>
      <c r="AG166" s="247"/>
      <c r="AH166" s="247"/>
      <c r="AI166" s="247"/>
      <c r="AJ166" s="247"/>
      <c r="AK166" s="247"/>
      <c r="AL166" s="247"/>
      <c r="AM166" s="247"/>
      <c r="AN166" s="247"/>
      <c r="AO166" s="247"/>
      <c r="AP166" s="247"/>
      <c r="AQ166" s="247"/>
      <c r="AR166" s="247"/>
      <c r="AS166" s="247"/>
      <c r="AT166" s="247"/>
      <c r="AU166" s="247"/>
      <c r="AV166" s="247"/>
      <c r="AW166" s="247"/>
      <c r="AX166" s="247"/>
      <c r="AY166" s="247"/>
      <c r="AZ166" s="247"/>
      <c r="BA166" s="247"/>
      <c r="BB166" s="247"/>
      <c r="BC166" s="247"/>
      <c r="BD166" s="247"/>
      <c r="BE166" s="247"/>
      <c r="BF166" s="247"/>
      <c r="BG166" s="247"/>
      <c r="BH166" s="247"/>
      <c r="BI166" s="247"/>
      <c r="BJ166" s="247"/>
      <c r="BK166" s="247"/>
      <c r="BL166" s="247"/>
      <c r="BM166" s="247"/>
      <c r="BN166" s="248"/>
    </row>
    <row r="167" spans="1:67" ht="17.25" customHeight="1" thickBot="1">
      <c r="A167" s="246"/>
      <c r="B167" s="246"/>
      <c r="C167" s="278"/>
      <c r="D167" s="278"/>
      <c r="E167" s="278"/>
      <c r="F167" s="278"/>
      <c r="G167" s="278"/>
      <c r="H167" s="246"/>
      <c r="I167" s="246"/>
      <c r="J167" s="246"/>
      <c r="K167" s="246"/>
      <c r="L167" s="246"/>
      <c r="M167" s="246"/>
      <c r="N167" s="246"/>
      <c r="O167" s="246"/>
      <c r="P167" s="246"/>
      <c r="Q167" s="246"/>
      <c r="R167" s="246"/>
      <c r="S167" s="246"/>
      <c r="T167" s="246"/>
      <c r="U167" s="246"/>
      <c r="V167" s="246"/>
      <c r="W167" s="246"/>
      <c r="X167" s="246"/>
      <c r="Y167" s="246"/>
      <c r="Z167" s="246"/>
      <c r="AA167" s="246"/>
      <c r="AB167" s="419"/>
      <c r="BN167" s="248"/>
      <c r="BO167" s="246"/>
    </row>
    <row r="168" spans="1:67" ht="17.25" customHeight="1" thickBot="1">
      <c r="A168" s="246"/>
      <c r="B168" s="250" t="s">
        <v>233</v>
      </c>
      <c r="C168" s="251"/>
      <c r="D168" s="251"/>
      <c r="E168" s="251"/>
      <c r="F168" s="251"/>
      <c r="G168" s="251"/>
      <c r="H168" s="251"/>
      <c r="I168" s="251"/>
      <c r="J168" s="251"/>
      <c r="K168" s="251"/>
      <c r="L168" s="251"/>
      <c r="M168" s="251"/>
      <c r="N168" s="251"/>
      <c r="O168" s="251"/>
      <c r="P168" s="251"/>
      <c r="Q168" s="251"/>
      <c r="R168" s="251"/>
      <c r="S168" s="251"/>
      <c r="T168" s="251"/>
      <c r="U168" s="251"/>
      <c r="V168" s="251"/>
      <c r="W168" s="251"/>
      <c r="X168" s="251"/>
      <c r="Y168" s="251"/>
      <c r="Z168" s="251"/>
      <c r="AA168" s="279"/>
      <c r="AB168" s="422"/>
      <c r="BN168" s="248"/>
      <c r="BO168" s="246"/>
    </row>
    <row r="169" spans="1:67" s="246" customFormat="1" ht="17.25" customHeight="1">
      <c r="C169" s="278"/>
      <c r="D169" s="278"/>
      <c r="E169" s="278"/>
      <c r="F169" s="278"/>
      <c r="G169" s="278"/>
      <c r="AB169" s="419"/>
      <c r="AC169" s="247"/>
      <c r="AD169" s="247"/>
      <c r="AE169" s="247"/>
      <c r="AF169" s="247"/>
      <c r="AG169" s="247"/>
      <c r="AH169" s="247"/>
      <c r="AI169" s="247"/>
      <c r="AJ169" s="247"/>
      <c r="AK169" s="247"/>
      <c r="AL169" s="247"/>
      <c r="AM169" s="247"/>
      <c r="AN169" s="247"/>
      <c r="AO169" s="247"/>
      <c r="AP169" s="247"/>
      <c r="AQ169" s="247"/>
      <c r="AR169" s="247"/>
      <c r="AS169" s="247"/>
      <c r="AT169" s="247"/>
      <c r="AU169" s="247"/>
      <c r="AV169" s="247"/>
      <c r="AW169" s="247"/>
      <c r="AX169" s="247"/>
      <c r="AY169" s="247"/>
      <c r="AZ169" s="247"/>
      <c r="BA169" s="247"/>
      <c r="BB169" s="247"/>
      <c r="BC169" s="247"/>
      <c r="BD169" s="247"/>
      <c r="BE169" s="247"/>
      <c r="BF169" s="247"/>
      <c r="BG169" s="247"/>
      <c r="BH169" s="247"/>
      <c r="BI169" s="247"/>
      <c r="BJ169" s="247"/>
      <c r="BK169" s="247"/>
      <c r="BL169" s="247"/>
      <c r="BM169" s="247"/>
      <c r="BN169" s="248"/>
    </row>
    <row r="170" spans="1:67" ht="17.25" customHeight="1" thickBot="1">
      <c r="A170" s="246"/>
      <c r="B170" s="246"/>
      <c r="C170" s="573" t="s">
        <v>234</v>
      </c>
      <c r="D170" s="573"/>
      <c r="E170" s="573"/>
      <c r="F170" s="573"/>
      <c r="G170" s="103"/>
      <c r="H170" s="573" t="s">
        <v>235</v>
      </c>
      <c r="I170" s="573"/>
      <c r="J170" s="573"/>
      <c r="K170" s="246"/>
      <c r="L170" s="908" t="s">
        <v>224</v>
      </c>
      <c r="M170" s="908"/>
      <c r="N170" s="908"/>
      <c r="O170" s="246"/>
      <c r="P170" s="246"/>
      <c r="Q170" s="471" t="s">
        <v>236</v>
      </c>
      <c r="R170" s="471"/>
      <c r="S170" s="471"/>
      <c r="T170" s="471"/>
      <c r="U170" s="280"/>
      <c r="V170" s="246"/>
      <c r="W170" s="246"/>
      <c r="X170" s="246"/>
      <c r="Y170" s="246"/>
      <c r="Z170" s="246"/>
      <c r="AA170" s="246"/>
      <c r="AB170" s="419"/>
      <c r="AD170" s="281"/>
      <c r="BN170" s="248"/>
      <c r="BO170" s="246"/>
    </row>
    <row r="171" spans="1:67" ht="17.25" customHeight="1" thickTop="1" thickBot="1">
      <c r="A171" s="246"/>
      <c r="B171" s="246"/>
      <c r="C171" s="278"/>
      <c r="D171" s="127" t="s">
        <v>41</v>
      </c>
      <c r="E171" s="581">
        <f>M164</f>
        <v>8.1273778154731158</v>
      </c>
      <c r="F171" s="581"/>
      <c r="G171" s="278"/>
      <c r="H171" s="246"/>
      <c r="I171" s="581">
        <f>W158</f>
        <v>0</v>
      </c>
      <c r="J171" s="581"/>
      <c r="K171" s="246" t="s">
        <v>104</v>
      </c>
      <c r="L171" s="246"/>
      <c r="M171" s="581">
        <v>180</v>
      </c>
      <c r="N171" s="581"/>
      <c r="O171" s="246"/>
      <c r="P171" s="246"/>
      <c r="Q171" s="246"/>
      <c r="R171" s="128" t="s">
        <v>41</v>
      </c>
      <c r="S171" s="469">
        <f>E171</f>
        <v>8.1273778154731158</v>
      </c>
      <c r="T171" s="469"/>
      <c r="U171" s="737" t="str" cm="1">
        <f t="array" ref="U171">latitudeDecimal2Txt(S171)</f>
        <v>N 08°07.64 (N 08.1273) [N 08°07'38.56]</v>
      </c>
      <c r="V171" s="653"/>
      <c r="W171" s="653"/>
      <c r="X171" s="653"/>
      <c r="Y171" s="653"/>
      <c r="Z171" s="654"/>
      <c r="AA171" s="246"/>
      <c r="AB171" s="419"/>
      <c r="AD171" s="281"/>
      <c r="BN171" s="248"/>
      <c r="BO171" s="246"/>
    </row>
    <row r="172" spans="1:67" ht="17.25" customHeight="1" thickTop="1">
      <c r="A172" s="246"/>
      <c r="B172" s="246"/>
      <c r="C172" s="278"/>
      <c r="D172" s="246"/>
      <c r="E172" s="278"/>
      <c r="F172" s="278"/>
      <c r="G172" s="278"/>
      <c r="H172" s="246"/>
      <c r="I172" s="246"/>
      <c r="J172" s="246"/>
      <c r="K172" s="246"/>
      <c r="L172" s="246"/>
      <c r="M172" s="246"/>
      <c r="N172" s="246"/>
      <c r="O172" s="246"/>
      <c r="P172" s="246"/>
      <c r="Q172" s="246"/>
      <c r="R172" s="246"/>
      <c r="S172" s="246"/>
      <c r="T172" s="246"/>
      <c r="U172" s="246"/>
      <c r="V172" s="246"/>
      <c r="W172" s="246"/>
      <c r="X172" s="246"/>
      <c r="Y172" s="246"/>
      <c r="Z172" s="246"/>
      <c r="AA172" s="246"/>
      <c r="AB172" s="419"/>
      <c r="BN172" s="248"/>
      <c r="BO172" s="246"/>
    </row>
    <row r="173" spans="1:67" ht="17.25" customHeight="1">
      <c r="A173" s="246"/>
      <c r="B173" s="246"/>
      <c r="F173" s="278"/>
      <c r="G173" s="278"/>
      <c r="H173" s="246"/>
      <c r="I173" s="246"/>
      <c r="J173" s="246"/>
      <c r="K173" s="246"/>
      <c r="L173" s="246"/>
      <c r="M173" s="246"/>
      <c r="N173" s="246"/>
      <c r="O173" s="246"/>
      <c r="P173" s="246"/>
      <c r="Q173" s="471" t="s">
        <v>237</v>
      </c>
      <c r="R173" s="471"/>
      <c r="S173" s="471"/>
      <c r="T173" s="246"/>
      <c r="U173" s="246"/>
      <c r="V173" s="246"/>
      <c r="W173" s="246"/>
      <c r="X173" s="246"/>
      <c r="Y173" s="246"/>
      <c r="Z173" s="246"/>
      <c r="AA173" s="246"/>
      <c r="AB173" s="419"/>
      <c r="BN173" s="248"/>
      <c r="BO173" s="246"/>
    </row>
    <row r="174" spans="1:67" ht="17.25" customHeight="1">
      <c r="A174" s="246"/>
      <c r="B174" s="246"/>
      <c r="C174" s="278"/>
      <c r="D174" s="278"/>
      <c r="E174" s="278"/>
      <c r="F174" s="278"/>
      <c r="G174" s="278"/>
      <c r="H174" s="246"/>
      <c r="I174" s="246"/>
      <c r="J174" s="246"/>
      <c r="K174" s="246"/>
      <c r="L174" s="246"/>
      <c r="M174" s="246"/>
      <c r="N174" s="246"/>
      <c r="O174" s="246"/>
      <c r="P174" s="246"/>
      <c r="Q174" s="246"/>
      <c r="R174" s="469">
        <f>M171-90</f>
        <v>90</v>
      </c>
      <c r="S174" s="469"/>
      <c r="T174" s="50" t="s">
        <v>28</v>
      </c>
      <c r="U174" s="246"/>
      <c r="V174" s="246"/>
      <c r="W174" s="246"/>
      <c r="X174" s="246"/>
      <c r="Y174" s="246"/>
      <c r="Z174" s="246"/>
      <c r="AA174" s="246"/>
      <c r="AB174" s="419"/>
      <c r="BN174" s="248"/>
      <c r="BO174" s="246"/>
    </row>
    <row r="175" spans="1:67" ht="17.25" customHeight="1"/>
    <row r="176" spans="1:67" ht="17.25" customHeight="1" thickBot="1"/>
    <row r="177" spans="2:33" ht="17.25" customHeight="1" thickBot="1">
      <c r="B177" s="282" t="s">
        <v>241</v>
      </c>
      <c r="C177" s="283"/>
      <c r="D177" s="283"/>
      <c r="E177" s="283"/>
      <c r="F177" s="283"/>
      <c r="G177" s="283"/>
      <c r="H177" s="283"/>
      <c r="I177" s="283"/>
      <c r="J177" s="283"/>
      <c r="K177" s="283"/>
      <c r="L177" s="283"/>
      <c r="M177" s="283"/>
      <c r="N177" s="283"/>
      <c r="O177" s="283"/>
      <c r="P177" s="283"/>
      <c r="Q177" s="283"/>
      <c r="R177" s="283"/>
      <c r="S177" s="283"/>
      <c r="T177" s="283"/>
      <c r="U177" s="283"/>
      <c r="V177" s="283"/>
      <c r="W177" s="283"/>
      <c r="X177" s="283"/>
      <c r="Y177" s="283"/>
      <c r="Z177" s="283"/>
      <c r="AA177" s="284"/>
    </row>
    <row r="178" spans="2:33" ht="17.25" customHeight="1">
      <c r="AD178" s="281"/>
    </row>
    <row r="179" spans="2:33" ht="17.25" customHeight="1" thickBot="1">
      <c r="C179" s="571" t="s">
        <v>236</v>
      </c>
      <c r="D179" s="571"/>
      <c r="E179" s="571"/>
      <c r="F179" s="571"/>
      <c r="G179" s="280"/>
      <c r="H179" s="246"/>
      <c r="I179" s="246"/>
      <c r="J179" s="246"/>
      <c r="K179" s="246"/>
      <c r="L179" s="246"/>
      <c r="Q179" s="285" t="s">
        <v>242</v>
      </c>
      <c r="R179" s="285"/>
      <c r="S179" s="285"/>
      <c r="T179" s="285"/>
      <c r="U179" s="285"/>
      <c r="V179" s="285"/>
      <c r="W179" s="285"/>
    </row>
    <row r="180" spans="2:33" ht="17.25" customHeight="1" thickTop="1" thickBot="1">
      <c r="D180" s="129" t="s">
        <v>41</v>
      </c>
      <c r="E180" s="572">
        <f>I189</f>
        <v>0</v>
      </c>
      <c r="F180" s="572"/>
      <c r="G180" s="470" t="str" cm="1">
        <f t="array" ref="G180">latitudeDecimal2Txt(E180)</f>
        <v>N 00°00.00 (N 00.0000) [N 00°00'00.00]</v>
      </c>
      <c r="H180" s="470"/>
      <c r="I180" s="470"/>
      <c r="J180" s="470"/>
      <c r="K180" s="470"/>
      <c r="L180" s="470"/>
      <c r="R180" s="128" t="s">
        <v>41</v>
      </c>
      <c r="S180" s="469">
        <f>AG183</f>
        <v>8.1273778154731158</v>
      </c>
      <c r="T180" s="469"/>
      <c r="U180" s="470" t="str" cm="1">
        <f t="array" ref="U180">latitudeDecimal2Txt(S180)</f>
        <v>N 08°07.64 (N 08.1273) [N 08°07'38.56]</v>
      </c>
      <c r="V180" s="470"/>
      <c r="W180" s="470"/>
      <c r="X180" s="470"/>
      <c r="Y180" s="470"/>
      <c r="Z180" s="470"/>
      <c r="AC180" s="286" t="s">
        <v>273</v>
      </c>
      <c r="AD180" s="287">
        <f>D184</f>
        <v>30</v>
      </c>
    </row>
    <row r="181" spans="2:33" ht="17.25" customHeight="1" thickTop="1" thickBot="1">
      <c r="D181" s="129" t="s">
        <v>42</v>
      </c>
      <c r="E181" s="572">
        <v>-7</v>
      </c>
      <c r="F181" s="572"/>
      <c r="G181" s="470" t="str" cm="1">
        <f t="array" ref="G181">longitudeDecimal2Txt(E181)</f>
        <v>W 07°00.00 (W 07.0000) [W 07°00'00.00]</v>
      </c>
      <c r="H181" s="470"/>
      <c r="I181" s="470"/>
      <c r="J181" s="470"/>
      <c r="K181" s="470"/>
      <c r="L181" s="470"/>
      <c r="R181" s="128" t="s">
        <v>42</v>
      </c>
      <c r="S181" s="469">
        <f>AG184</f>
        <v>-2.3076562304308039</v>
      </c>
      <c r="T181" s="469"/>
      <c r="U181" s="470" t="str" cm="1">
        <f t="array" ref="U181">longitudeDecimal2Txt(S181)</f>
        <v>W 02°18.45 (W 02.3076) [W 02°18'27.56]</v>
      </c>
      <c r="V181" s="470"/>
      <c r="W181" s="470"/>
      <c r="X181" s="470"/>
      <c r="Y181" s="470"/>
      <c r="Z181" s="470"/>
      <c r="AC181" s="288" t="s">
        <v>275</v>
      </c>
      <c r="AD181" s="287">
        <f>E180</f>
        <v>0</v>
      </c>
    </row>
    <row r="182" spans="2:33" ht="17.25" customHeight="1" thickTop="1">
      <c r="C182" s="246"/>
      <c r="D182" s="246"/>
      <c r="E182" s="246"/>
      <c r="F182" s="246"/>
      <c r="G182" s="246"/>
      <c r="H182" s="246"/>
      <c r="I182" s="246"/>
      <c r="J182" s="246"/>
      <c r="K182" s="246"/>
      <c r="L182" s="246"/>
      <c r="AC182" s="286" t="s">
        <v>276</v>
      </c>
      <c r="AD182" s="287">
        <f>E181</f>
        <v>-7</v>
      </c>
    </row>
    <row r="183" spans="2:33" ht="17.25" customHeight="1">
      <c r="C183" s="571" t="s">
        <v>237</v>
      </c>
      <c r="D183" s="571"/>
      <c r="E183" s="571"/>
      <c r="F183" s="108"/>
      <c r="G183" s="246"/>
      <c r="H183" s="246"/>
      <c r="I183" s="246"/>
      <c r="J183" s="246"/>
      <c r="K183" s="246"/>
      <c r="L183" s="246"/>
      <c r="AC183" s="286" t="s">
        <v>243</v>
      </c>
      <c r="AD183" s="286">
        <f>TAN(AD180*Outils!F37) * (1 / COS(AD181*Outils!F37))</f>
        <v>0</v>
      </c>
      <c r="AE183" s="466" t="s">
        <v>279</v>
      </c>
      <c r="AF183" s="466"/>
      <c r="AG183" s="293">
        <f>S171</f>
        <v>8.1273778154731158</v>
      </c>
    </row>
    <row r="184" spans="2:33" ht="17.25" customHeight="1">
      <c r="D184" s="572">
        <v>30</v>
      </c>
      <c r="E184" s="572"/>
      <c r="F184" s="130" t="s">
        <v>28</v>
      </c>
      <c r="G184" s="246"/>
      <c r="H184" s="246"/>
      <c r="I184" s="246"/>
      <c r="J184" s="246"/>
      <c r="K184" s="246"/>
      <c r="L184" s="246"/>
      <c r="AC184" s="286" t="s">
        <v>244</v>
      </c>
      <c r="AD184" s="286">
        <f>AD182-AD181*AD183</f>
        <v>-7</v>
      </c>
      <c r="AE184" s="466"/>
      <c r="AF184" s="466"/>
      <c r="AG184" s="289">
        <f>E181+(S171-E180)*TAN(D184*Outils!F4)/COS(Outils!F4*E180)</f>
        <v>-2.3076562304308039</v>
      </c>
    </row>
    <row r="186" spans="2:33">
      <c r="S186" s="246"/>
      <c r="T186" s="246"/>
    </row>
    <row r="187" spans="2:33" ht="15.75" thickBot="1"/>
    <row r="188" spans="2:33" ht="15.75" thickBot="1">
      <c r="B188" s="282" t="s">
        <v>526</v>
      </c>
      <c r="C188" s="283"/>
      <c r="D188" s="283"/>
      <c r="E188" s="283"/>
      <c r="F188" s="283"/>
      <c r="G188" s="283"/>
      <c r="H188" s="283"/>
      <c r="I188" s="283"/>
      <c r="J188" s="283"/>
      <c r="K188" s="283"/>
      <c r="L188" s="283"/>
      <c r="M188" s="283"/>
      <c r="N188" s="283"/>
      <c r="O188" s="283"/>
      <c r="P188" s="283"/>
      <c r="Q188" s="283"/>
      <c r="R188" s="283"/>
      <c r="S188" s="283"/>
      <c r="T188" s="283"/>
      <c r="U188" s="283"/>
      <c r="V188" s="283"/>
      <c r="W188" s="283"/>
      <c r="X188" s="283"/>
      <c r="Y188" s="283"/>
      <c r="Z188" s="283"/>
      <c r="AA188" s="284"/>
    </row>
    <row r="189" spans="2:33">
      <c r="K189" s="281"/>
      <c r="L189" s="281"/>
    </row>
    <row r="190" spans="2:33">
      <c r="B190" s="758" t="s">
        <v>1</v>
      </c>
      <c r="C190" s="758"/>
      <c r="D190" s="758" t="str">
        <f>I66</f>
        <v>2025/06/30</v>
      </c>
      <c r="E190" s="758"/>
      <c r="F190" s="758"/>
      <c r="G190" s="758"/>
      <c r="H190" s="294" t="s">
        <v>2</v>
      </c>
      <c r="I190" s="758" t="str">
        <f>M66</f>
        <v>12:33:08.51(12.5523)</v>
      </c>
      <c r="J190" s="758"/>
      <c r="K190" s="758"/>
      <c r="L190" s="758"/>
    </row>
    <row r="191" spans="2:33">
      <c r="B191" s="759" t="s">
        <v>30</v>
      </c>
      <c r="C191" s="759"/>
      <c r="D191" s="1050" t="s">
        <v>416</v>
      </c>
      <c r="E191" s="1050"/>
      <c r="F191" s="1050"/>
      <c r="G191" s="1050"/>
      <c r="H191" s="295"/>
      <c r="I191" s="295"/>
      <c r="J191" s="295"/>
      <c r="K191" s="295"/>
      <c r="L191" s="295"/>
      <c r="AA191" s="296"/>
    </row>
    <row r="192" spans="2:33">
      <c r="B192" s="297"/>
      <c r="C192" s="297"/>
      <c r="D192" s="298"/>
      <c r="E192" s="297"/>
      <c r="AA192" s="296"/>
    </row>
    <row r="193" spans="2:65" s="281" customFormat="1" ht="17.25" customHeight="1" thickBot="1">
      <c r="B193" s="299" t="s">
        <v>386</v>
      </c>
      <c r="C193" s="299"/>
      <c r="D193" s="299"/>
      <c r="E193" s="299"/>
      <c r="F193" s="300"/>
      <c r="G193" s="300"/>
      <c r="H193" s="301"/>
      <c r="I193" s="301"/>
      <c r="J193" s="301"/>
      <c r="K193" s="301"/>
      <c r="L193" s="301"/>
      <c r="M193" s="301"/>
      <c r="N193" s="301"/>
      <c r="O193" s="301"/>
      <c r="P193" s="301"/>
      <c r="Q193" s="301"/>
      <c r="AB193" s="419"/>
      <c r="AC193" s="247"/>
      <c r="AD193" s="247"/>
      <c r="AE193" s="247"/>
      <c r="AF193" s="247"/>
      <c r="AG193" s="247"/>
      <c r="AH193" s="247"/>
      <c r="AI193" s="247"/>
      <c r="AJ193" s="247"/>
      <c r="AK193" s="247"/>
      <c r="AL193" s="247"/>
      <c r="AM193" s="247"/>
      <c r="AN193" s="247"/>
      <c r="AO193" s="247"/>
      <c r="AP193" s="247"/>
      <c r="AQ193" s="247"/>
      <c r="AR193" s="247"/>
      <c r="AS193" s="247"/>
      <c r="AT193" s="247"/>
      <c r="AU193" s="247"/>
      <c r="AV193" s="247"/>
      <c r="AW193" s="247"/>
      <c r="AX193" s="247"/>
      <c r="AY193" s="247"/>
      <c r="AZ193" s="247"/>
      <c r="BA193" s="247"/>
      <c r="BB193" s="247"/>
      <c r="BC193" s="247"/>
      <c r="BD193" s="247"/>
      <c r="BE193" s="247"/>
      <c r="BF193" s="247"/>
      <c r="BG193" s="247"/>
      <c r="BH193" s="247"/>
      <c r="BI193" s="247"/>
      <c r="BJ193" s="247"/>
      <c r="BK193" s="247"/>
      <c r="BL193" s="247"/>
      <c r="BM193" s="247"/>
    </row>
    <row r="194" spans="2:65" s="281" customFormat="1" ht="17.25" customHeight="1" thickTop="1">
      <c r="C194" s="812" t="s">
        <v>466</v>
      </c>
      <c r="D194" s="812"/>
      <c r="E194" s="812" t="str" cm="1">
        <f t="array" ref="E194">angleDecimal2Txt(angleConvert2Decimal(M78))</f>
        <v>+66°57.00 (+66.9500) [+66°57'00.00]</v>
      </c>
      <c r="F194" s="812"/>
      <c r="G194" s="812"/>
      <c r="H194" s="812"/>
      <c r="I194" s="812"/>
      <c r="AB194" s="419"/>
      <c r="AC194" s="247"/>
      <c r="AD194" s="247"/>
      <c r="AE194" s="247"/>
      <c r="AF194" s="247"/>
      <c r="AG194" s="247"/>
      <c r="AH194" s="247"/>
      <c r="AI194" s="247"/>
      <c r="AJ194" s="247"/>
      <c r="AK194" s="247"/>
      <c r="AL194" s="247"/>
      <c r="AM194" s="247"/>
      <c r="AN194" s="247"/>
      <c r="AO194" s="247"/>
      <c r="AP194" s="247"/>
      <c r="AQ194" s="247"/>
      <c r="AR194" s="247"/>
      <c r="AS194" s="247"/>
      <c r="AT194" s="247"/>
      <c r="AU194" s="247"/>
      <c r="AV194" s="247"/>
      <c r="AW194" s="247"/>
      <c r="AX194" s="247"/>
      <c r="AY194" s="247"/>
      <c r="AZ194" s="247"/>
      <c r="BA194" s="247"/>
      <c r="BB194" s="247"/>
      <c r="BC194" s="247"/>
      <c r="BD194" s="247"/>
      <c r="BE194" s="247"/>
      <c r="BF194" s="247"/>
      <c r="BG194" s="247"/>
      <c r="BH194" s="247"/>
      <c r="BI194" s="247"/>
      <c r="BJ194" s="247"/>
      <c r="BK194" s="247"/>
      <c r="BL194" s="247"/>
      <c r="BM194" s="247"/>
    </row>
    <row r="195" spans="2:65" s="281" customFormat="1" ht="17.25" customHeight="1">
      <c r="C195" s="811" t="s">
        <v>70</v>
      </c>
      <c r="D195" s="811"/>
      <c r="E195" s="811" t="str">
        <f>J80</f>
        <v>BordInf</v>
      </c>
      <c r="F195" s="811"/>
      <c r="G195" s="811"/>
      <c r="H195" s="811"/>
      <c r="I195" s="811"/>
      <c r="AB195" s="419"/>
      <c r="AC195" s="247"/>
      <c r="AD195" s="247"/>
      <c r="AE195" s="247"/>
      <c r="AF195" s="247"/>
      <c r="AG195" s="247"/>
      <c r="AH195" s="247"/>
      <c r="AI195" s="247"/>
      <c r="AJ195" s="247"/>
      <c r="AK195" s="247"/>
      <c r="AL195" s="247"/>
      <c r="AM195" s="247"/>
      <c r="AN195" s="247"/>
      <c r="AO195" s="247"/>
      <c r="AP195" s="247"/>
      <c r="AQ195" s="247"/>
      <c r="AR195" s="247"/>
      <c r="AS195" s="247"/>
      <c r="AT195" s="247"/>
      <c r="AU195" s="247"/>
      <c r="AV195" s="247"/>
      <c r="AW195" s="247"/>
      <c r="AX195" s="247"/>
      <c r="AY195" s="247"/>
      <c r="AZ195" s="247"/>
      <c r="BA195" s="247"/>
      <c r="BB195" s="247"/>
      <c r="BC195" s="247"/>
      <c r="BD195" s="247"/>
      <c r="BE195" s="247"/>
      <c r="BF195" s="247"/>
      <c r="BG195" s="247"/>
      <c r="BH195" s="247"/>
      <c r="BI195" s="247"/>
      <c r="BJ195" s="247"/>
      <c r="BK195" s="247"/>
      <c r="BL195" s="247"/>
      <c r="BM195" s="247"/>
    </row>
    <row r="196" spans="2:65" s="281" customFormat="1" ht="17.25" customHeight="1">
      <c r="C196" s="806" t="s">
        <v>388</v>
      </c>
      <c r="D196" s="806"/>
      <c r="E196" s="867" t="str" cm="1">
        <f t="array" ref="E196">angleDecimal2Txt(angleConvert2Decimal(M77))</f>
        <v>+00°01.30 (+00.0216) [+00°01'18.00]</v>
      </c>
      <c r="F196" s="867"/>
      <c r="G196" s="867"/>
      <c r="H196" s="867"/>
      <c r="I196" s="867"/>
      <c r="AB196" s="419"/>
      <c r="AC196" s="247"/>
      <c r="AD196" s="247"/>
      <c r="AE196" s="247"/>
      <c r="AF196" s="247"/>
      <c r="AG196" s="247"/>
      <c r="AH196" s="247"/>
      <c r="AI196" s="247"/>
      <c r="AJ196" s="247"/>
      <c r="AK196" s="247"/>
      <c r="AL196" s="247"/>
      <c r="AM196" s="247"/>
      <c r="AN196" s="247"/>
      <c r="AO196" s="247"/>
      <c r="AP196" s="247"/>
      <c r="AQ196" s="247"/>
      <c r="AR196" s="247"/>
      <c r="AS196" s="247"/>
      <c r="AT196" s="247"/>
      <c r="AU196" s="247"/>
      <c r="AV196" s="247"/>
      <c r="AW196" s="247"/>
      <c r="AX196" s="247"/>
      <c r="AY196" s="247"/>
      <c r="AZ196" s="247"/>
      <c r="BA196" s="247"/>
      <c r="BB196" s="247"/>
      <c r="BC196" s="247"/>
      <c r="BD196" s="247"/>
      <c r="BE196" s="247"/>
      <c r="BF196" s="247"/>
      <c r="BG196" s="247"/>
      <c r="BH196" s="247"/>
      <c r="BI196" s="247"/>
      <c r="BJ196" s="247"/>
      <c r="BK196" s="247"/>
      <c r="BL196" s="247"/>
      <c r="BM196" s="247"/>
    </row>
    <row r="197" spans="2:65" s="281" customFormat="1" ht="17.25" customHeight="1">
      <c r="C197" s="758" t="s">
        <v>389</v>
      </c>
      <c r="D197" s="758"/>
      <c r="E197" s="868" t="str">
        <f>CONCATENATE(M76, " m")</f>
        <v>2 m</v>
      </c>
      <c r="F197" s="868"/>
      <c r="G197" s="868"/>
      <c r="H197" s="868"/>
      <c r="I197" s="868"/>
      <c r="AB197" s="419"/>
      <c r="AC197" s="247"/>
      <c r="AD197" s="247"/>
      <c r="AE197" s="247"/>
      <c r="AF197" s="247"/>
      <c r="AG197" s="247"/>
      <c r="AH197" s="247"/>
      <c r="AI197" s="247"/>
      <c r="AJ197" s="247"/>
      <c r="AK197" s="247"/>
      <c r="AL197" s="247"/>
      <c r="AM197" s="247"/>
      <c r="AN197" s="247"/>
      <c r="AO197" s="247"/>
      <c r="AP197" s="247"/>
      <c r="AQ197" s="247"/>
      <c r="AR197" s="247"/>
      <c r="AS197" s="247"/>
      <c r="AT197" s="247"/>
      <c r="AU197" s="247"/>
      <c r="AV197" s="247"/>
      <c r="AW197" s="247"/>
      <c r="AX197" s="247"/>
      <c r="AY197" s="247"/>
      <c r="AZ197" s="247"/>
      <c r="BA197" s="247"/>
      <c r="BB197" s="247"/>
      <c r="BC197" s="247"/>
      <c r="BD197" s="247"/>
      <c r="BE197" s="247"/>
      <c r="BF197" s="247"/>
      <c r="BG197" s="247"/>
      <c r="BH197" s="247"/>
      <c r="BI197" s="247"/>
      <c r="BJ197" s="247"/>
      <c r="BK197" s="247"/>
      <c r="BL197" s="247"/>
      <c r="BM197" s="247"/>
    </row>
    <row r="198" spans="2:65" s="281" customFormat="1" ht="17.25" customHeight="1">
      <c r="E198" s="807" t="str" cm="1">
        <f t="array" ref="E198">angleDecimal2Txt(O118)</f>
        <v>+66°53.21 (+66.8868) [+66°53'12.82]</v>
      </c>
      <c r="F198" s="807"/>
      <c r="G198" s="807"/>
      <c r="H198" s="807"/>
      <c r="I198" s="807"/>
      <c r="J198" s="807" t="s">
        <v>467</v>
      </c>
      <c r="K198" s="807"/>
      <c r="L198" s="807"/>
      <c r="AB198" s="419"/>
      <c r="AC198" s="247"/>
      <c r="AD198" s="247"/>
      <c r="AE198" s="247"/>
      <c r="AF198" s="247"/>
      <c r="AG198" s="247"/>
      <c r="AH198" s="247"/>
      <c r="AI198" s="247"/>
      <c r="AJ198" s="247"/>
      <c r="AK198" s="247"/>
      <c r="AL198" s="247"/>
      <c r="AM198" s="247"/>
      <c r="AN198" s="247"/>
      <c r="AO198" s="247"/>
      <c r="AP198" s="247"/>
      <c r="AQ198" s="247"/>
      <c r="AR198" s="247"/>
      <c r="AS198" s="247"/>
      <c r="AT198" s="247"/>
      <c r="AU198" s="247"/>
      <c r="AV198" s="247"/>
      <c r="AW198" s="247"/>
      <c r="AX198" s="247"/>
      <c r="AY198" s="247"/>
      <c r="AZ198" s="247"/>
      <c r="BA198" s="247"/>
      <c r="BB198" s="247"/>
      <c r="BC198" s="247"/>
      <c r="BD198" s="247"/>
      <c r="BE198" s="247"/>
      <c r="BF198" s="247"/>
      <c r="BG198" s="247"/>
      <c r="BH198" s="247"/>
      <c r="BI198" s="247"/>
      <c r="BJ198" s="247"/>
      <c r="BK198" s="247"/>
      <c r="BL198" s="247"/>
      <c r="BM198" s="247"/>
    </row>
    <row r="199" spans="2:65" s="281" customFormat="1" ht="17.25" customHeight="1">
      <c r="E199" s="302"/>
      <c r="F199" s="819" t="s">
        <v>389</v>
      </c>
      <c r="G199" s="821"/>
      <c r="H199" s="808" t="str" cm="1">
        <f t="array" ref="H199">angleDecimal2Txt(O116)</f>
        <v>+00°02.48 (+00.0414) [+00°02'29.17]</v>
      </c>
      <c r="I199" s="808"/>
      <c r="J199" s="808"/>
      <c r="K199" s="808"/>
      <c r="L199" s="808"/>
      <c r="AB199" s="419"/>
      <c r="AC199" s="247"/>
      <c r="AD199" s="247"/>
      <c r="AE199" s="247"/>
      <c r="AF199" s="247"/>
      <c r="AG199" s="247"/>
      <c r="AH199" s="247"/>
      <c r="AI199" s="247"/>
      <c r="AJ199" s="247"/>
      <c r="AK199" s="247"/>
      <c r="AL199" s="247"/>
      <c r="AM199" s="247"/>
      <c r="AN199" s="247"/>
      <c r="AO199" s="247"/>
      <c r="AP199" s="247"/>
      <c r="AQ199" s="247"/>
      <c r="AR199" s="247"/>
      <c r="AS199" s="247"/>
      <c r="AT199" s="247"/>
      <c r="AU199" s="247"/>
      <c r="AV199" s="247"/>
      <c r="AW199" s="247"/>
      <c r="AX199" s="247"/>
      <c r="AY199" s="247"/>
      <c r="AZ199" s="247"/>
      <c r="BA199" s="247"/>
      <c r="BB199" s="247"/>
      <c r="BC199" s="247"/>
      <c r="BD199" s="247"/>
      <c r="BE199" s="247"/>
      <c r="BF199" s="247"/>
      <c r="BG199" s="247"/>
      <c r="BH199" s="247"/>
      <c r="BI199" s="247"/>
      <c r="BJ199" s="247"/>
      <c r="BK199" s="247"/>
      <c r="BL199" s="247"/>
      <c r="BM199" s="247"/>
    </row>
    <row r="200" spans="2:65" s="281" customFormat="1" ht="17.25" customHeight="1">
      <c r="F200" s="809" t="s">
        <v>396</v>
      </c>
      <c r="G200" s="809"/>
      <c r="H200" s="808" t="str" cm="1">
        <f t="array" ref="H200">angleDecimal2Txt(O126)</f>
        <v>+00°00.42 (+00.0070) [+00°00'25.46]</v>
      </c>
      <c r="I200" s="808"/>
      <c r="J200" s="808"/>
      <c r="K200" s="808"/>
      <c r="L200" s="808"/>
      <c r="AB200" s="419"/>
      <c r="AC200" s="247"/>
      <c r="AD200" s="247"/>
      <c r="AE200" s="247"/>
      <c r="AF200" s="247"/>
      <c r="AG200" s="247"/>
      <c r="AH200" s="247"/>
      <c r="AI200" s="247"/>
      <c r="AJ200" s="247"/>
      <c r="AK200" s="247"/>
      <c r="AL200" s="247"/>
      <c r="AM200" s="247"/>
      <c r="AN200" s="247"/>
      <c r="AO200" s="247"/>
      <c r="AP200" s="247"/>
      <c r="AQ200" s="247"/>
      <c r="AR200" s="247"/>
      <c r="AS200" s="247"/>
      <c r="AT200" s="247"/>
      <c r="AU200" s="247"/>
      <c r="AV200" s="247"/>
      <c r="AW200" s="247"/>
      <c r="AX200" s="247"/>
      <c r="AY200" s="247"/>
      <c r="AZ200" s="247"/>
      <c r="BA200" s="247"/>
      <c r="BB200" s="247"/>
      <c r="BC200" s="247"/>
      <c r="BD200" s="247"/>
      <c r="BE200" s="247"/>
      <c r="BF200" s="247"/>
      <c r="BG200" s="247"/>
      <c r="BH200" s="247"/>
      <c r="BI200" s="247"/>
      <c r="BJ200" s="247"/>
      <c r="BK200" s="247"/>
      <c r="BL200" s="247"/>
      <c r="BM200" s="247"/>
    </row>
    <row r="201" spans="2:65" s="281" customFormat="1" ht="17.25" customHeight="1">
      <c r="F201" s="809" t="s">
        <v>397</v>
      </c>
      <c r="G201" s="809"/>
      <c r="H201" s="809" t="str" cm="1">
        <f t="array" ref="H201">angleDecimal2Txt(O121)</f>
        <v>+00°00.06 (+00.0011) [+00°00'04.07]</v>
      </c>
      <c r="I201" s="809"/>
      <c r="J201" s="809"/>
      <c r="K201" s="809"/>
      <c r="L201" s="809"/>
      <c r="AB201" s="419"/>
      <c r="AC201" s="247"/>
      <c r="AD201" s="247"/>
      <c r="AE201" s="247"/>
      <c r="AF201" s="247"/>
      <c r="AG201" s="247"/>
      <c r="AH201" s="247"/>
      <c r="AI201" s="247"/>
      <c r="AJ201" s="247"/>
      <c r="AK201" s="247"/>
      <c r="AL201" s="247"/>
      <c r="AM201" s="247"/>
      <c r="AN201" s="247"/>
      <c r="AO201" s="247"/>
      <c r="AP201" s="247"/>
      <c r="AQ201" s="247"/>
      <c r="AR201" s="247"/>
      <c r="AS201" s="247"/>
      <c r="AT201" s="247"/>
      <c r="AU201" s="247"/>
      <c r="AV201" s="247"/>
      <c r="AW201" s="247"/>
      <c r="AX201" s="247"/>
      <c r="AY201" s="247"/>
      <c r="AZ201" s="247"/>
      <c r="BA201" s="247"/>
      <c r="BB201" s="247"/>
      <c r="BC201" s="247"/>
      <c r="BD201" s="247"/>
      <c r="BE201" s="247"/>
      <c r="BF201" s="247"/>
      <c r="BG201" s="247"/>
      <c r="BH201" s="247"/>
      <c r="BI201" s="247"/>
      <c r="BJ201" s="247"/>
      <c r="BK201" s="247"/>
      <c r="BL201" s="247"/>
      <c r="BM201" s="247"/>
    </row>
    <row r="202" spans="2:65" s="281" customFormat="1" ht="17.25" customHeight="1">
      <c r="F202" s="809" t="s">
        <v>100</v>
      </c>
      <c r="G202" s="809"/>
      <c r="H202" s="809" t="str" cm="1">
        <f t="array" ref="H202">angleDecimal2Txt(O128)</f>
        <v>+00°31.60 (+00.5266) [+00°31'36.00]</v>
      </c>
      <c r="I202" s="809"/>
      <c r="J202" s="809"/>
      <c r="K202" s="809"/>
      <c r="L202" s="809"/>
      <c r="AB202" s="419"/>
      <c r="AC202" s="247"/>
      <c r="AD202" s="247"/>
      <c r="AE202" s="247"/>
      <c r="AF202" s="247"/>
      <c r="AG202" s="247"/>
      <c r="AH202" s="247"/>
      <c r="AI202" s="247"/>
      <c r="AJ202" s="247"/>
      <c r="AK202" s="247"/>
      <c r="AL202" s="247"/>
      <c r="AM202" s="247"/>
      <c r="AN202" s="247"/>
      <c r="AO202" s="247"/>
      <c r="AP202" s="247"/>
      <c r="AQ202" s="247"/>
      <c r="AR202" s="247"/>
      <c r="AS202" s="247"/>
      <c r="AT202" s="247"/>
      <c r="AU202" s="247"/>
      <c r="AV202" s="247"/>
      <c r="AW202" s="247"/>
      <c r="AX202" s="247"/>
      <c r="AY202" s="247"/>
      <c r="AZ202" s="247"/>
      <c r="BA202" s="247"/>
      <c r="BB202" s="247"/>
      <c r="BC202" s="247"/>
      <c r="BD202" s="247"/>
      <c r="BE202" s="247"/>
      <c r="BF202" s="247"/>
      <c r="BG202" s="247"/>
      <c r="BH202" s="247"/>
      <c r="BI202" s="247"/>
      <c r="BJ202" s="247"/>
      <c r="BK202" s="247"/>
      <c r="BL202" s="247"/>
      <c r="BM202" s="247"/>
    </row>
    <row r="203" spans="2:65" s="281" customFormat="1" ht="17.25" customHeight="1">
      <c r="F203" s="809" t="s">
        <v>71</v>
      </c>
      <c r="G203" s="809"/>
      <c r="H203" s="809" t="str" cm="1">
        <f t="array" ref="H203">angleDecimal2Txt(O130)</f>
        <v>+00°15.80 (+00.2633) [+00°15'48.00]</v>
      </c>
      <c r="I203" s="809"/>
      <c r="J203" s="809"/>
      <c r="K203" s="809"/>
      <c r="L203" s="809"/>
      <c r="AB203" s="419"/>
      <c r="AC203" s="247"/>
      <c r="AD203" s="247"/>
      <c r="AE203" s="247"/>
      <c r="AF203" s="247"/>
      <c r="AG203" s="247"/>
      <c r="AH203" s="247"/>
      <c r="AI203" s="247"/>
      <c r="AJ203" s="247"/>
      <c r="AK203" s="247"/>
      <c r="AL203" s="247"/>
      <c r="AM203" s="247"/>
      <c r="AN203" s="247"/>
      <c r="AO203" s="247"/>
      <c r="AP203" s="247"/>
      <c r="AQ203" s="247"/>
      <c r="AR203" s="247"/>
      <c r="AS203" s="247"/>
      <c r="AT203" s="247"/>
      <c r="AU203" s="247"/>
      <c r="AV203" s="247"/>
      <c r="AW203" s="247"/>
      <c r="AX203" s="247"/>
      <c r="AY203" s="247"/>
      <c r="AZ203" s="247"/>
      <c r="BA203" s="247"/>
      <c r="BB203" s="247"/>
      <c r="BC203" s="247"/>
      <c r="BD203" s="247"/>
      <c r="BE203" s="247"/>
      <c r="BF203" s="247"/>
      <c r="BG203" s="247"/>
      <c r="BH203" s="247"/>
      <c r="BI203" s="247"/>
      <c r="BJ203" s="247"/>
      <c r="BK203" s="247"/>
      <c r="BL203" s="247"/>
      <c r="BM203" s="247"/>
    </row>
    <row r="204" spans="2:65" s="281" customFormat="1" ht="17.25" customHeight="1">
      <c r="D204" s="303"/>
      <c r="E204" s="807" t="str" cm="1">
        <f t="array" ref="E204">angleDecimal2Txt(F111)</f>
        <v>+67°08.65 (+67.1442) [+67°08'39.43]</v>
      </c>
      <c r="F204" s="807"/>
      <c r="G204" s="807"/>
      <c r="H204" s="807"/>
      <c r="I204" s="807"/>
      <c r="J204" s="807" t="s">
        <v>468</v>
      </c>
      <c r="K204" s="807"/>
      <c r="L204" s="807"/>
      <c r="AB204" s="419"/>
      <c r="AC204" s="247"/>
      <c r="AD204" s="247"/>
      <c r="AE204" s="247"/>
      <c r="AF204" s="247"/>
      <c r="AG204" s="247"/>
      <c r="AH204" s="247"/>
      <c r="AI204" s="247"/>
      <c r="AJ204" s="247"/>
      <c r="AK204" s="247"/>
      <c r="AL204" s="247"/>
      <c r="AM204" s="247"/>
      <c r="AN204" s="247"/>
      <c r="AO204" s="247"/>
      <c r="AP204" s="247"/>
      <c r="AQ204" s="247"/>
      <c r="AR204" s="247"/>
      <c r="AS204" s="247"/>
      <c r="AT204" s="247"/>
      <c r="AU204" s="247"/>
      <c r="AV204" s="247"/>
      <c r="AW204" s="247"/>
      <c r="AX204" s="247"/>
      <c r="AY204" s="247"/>
      <c r="AZ204" s="247"/>
      <c r="BA204" s="247"/>
      <c r="BB204" s="247"/>
      <c r="BC204" s="247"/>
      <c r="BD204" s="247"/>
      <c r="BE204" s="247"/>
      <c r="BF204" s="247"/>
      <c r="BG204" s="247"/>
      <c r="BH204" s="247"/>
      <c r="BI204" s="247"/>
      <c r="BJ204" s="247"/>
      <c r="BK204" s="247"/>
      <c r="BL204" s="247"/>
      <c r="BM204" s="247"/>
    </row>
    <row r="205" spans="2:65" s="281" customFormat="1" ht="17.25" customHeight="1">
      <c r="D205" s="303"/>
      <c r="F205" s="809" t="str" cm="1">
        <f t="array" ref="F205">angleDecimal2Txt(O121-O126-O116)</f>
        <v>-00°02.84 (-00.0473) [-00°02'50.56]</v>
      </c>
      <c r="G205" s="809"/>
      <c r="H205" s="809"/>
      <c r="I205" s="809"/>
      <c r="J205" s="809"/>
      <c r="K205" s="809" t="s">
        <v>398</v>
      </c>
      <c r="L205" s="809"/>
      <c r="M205" s="809"/>
      <c r="N205" s="850" t="s">
        <v>413</v>
      </c>
      <c r="O205" s="850"/>
      <c r="P205" s="850"/>
      <c r="AB205" s="419"/>
      <c r="AC205" s="247"/>
      <c r="AD205" s="247"/>
      <c r="AE205" s="247"/>
      <c r="AF205" s="247"/>
      <c r="AG205" s="247"/>
      <c r="AH205" s="247"/>
      <c r="AI205" s="247"/>
      <c r="AJ205" s="247"/>
      <c r="AK205" s="247"/>
      <c r="AL205" s="247"/>
      <c r="AM205" s="247"/>
      <c r="AN205" s="247"/>
      <c r="AO205" s="247"/>
      <c r="AP205" s="247"/>
      <c r="AQ205" s="247"/>
      <c r="AR205" s="247"/>
      <c r="AS205" s="247"/>
      <c r="AT205" s="247"/>
      <c r="AU205" s="247"/>
      <c r="AV205" s="247"/>
      <c r="AW205" s="247"/>
      <c r="AX205" s="247"/>
      <c r="AY205" s="247"/>
      <c r="AZ205" s="247"/>
      <c r="BA205" s="247"/>
      <c r="BB205" s="247"/>
      <c r="BC205" s="247"/>
      <c r="BD205" s="247"/>
      <c r="BE205" s="247"/>
      <c r="BF205" s="247"/>
      <c r="BG205" s="247"/>
      <c r="BH205" s="247"/>
      <c r="BI205" s="247"/>
      <c r="BJ205" s="247"/>
      <c r="BK205" s="247"/>
      <c r="BL205" s="247"/>
      <c r="BM205" s="247"/>
    </row>
    <row r="206" spans="2:65" s="281" customFormat="1" ht="17.25" customHeight="1">
      <c r="D206" s="303"/>
      <c r="F206" s="809" t="str" cm="1">
        <f t="array" ref="F206">angleDecimal2Txt(O121-O126-O116+O130)</f>
        <v>+00°12.95 (+00.2159) [+00°12'57.43]</v>
      </c>
      <c r="G206" s="809"/>
      <c r="H206" s="809"/>
      <c r="I206" s="809"/>
      <c r="J206" s="809"/>
      <c r="K206" s="809" t="s">
        <v>394</v>
      </c>
      <c r="L206" s="809"/>
      <c r="M206" s="809"/>
      <c r="N206" s="850"/>
      <c r="O206" s="850"/>
      <c r="P206" s="850"/>
      <c r="AB206" s="419"/>
      <c r="AC206" s="247"/>
      <c r="AD206" s="247"/>
      <c r="AE206" s="247"/>
      <c r="AF206" s="247"/>
      <c r="AG206" s="247"/>
      <c r="AH206" s="247"/>
      <c r="AI206" s="247"/>
      <c r="AJ206" s="247"/>
      <c r="AK206" s="247"/>
      <c r="AL206" s="247"/>
      <c r="AM206" s="247"/>
      <c r="AN206" s="247"/>
      <c r="AO206" s="247"/>
      <c r="AP206" s="247"/>
      <c r="AQ206" s="247"/>
      <c r="AR206" s="247"/>
      <c r="AS206" s="247"/>
      <c r="AT206" s="247"/>
      <c r="AU206" s="247"/>
      <c r="AV206" s="247"/>
      <c r="AW206" s="247"/>
      <c r="AX206" s="247"/>
      <c r="AY206" s="247"/>
      <c r="AZ206" s="247"/>
      <c r="BA206" s="247"/>
      <c r="BB206" s="247"/>
      <c r="BC206" s="247"/>
      <c r="BD206" s="247"/>
      <c r="BE206" s="247"/>
      <c r="BF206" s="247"/>
      <c r="BG206" s="247"/>
      <c r="BH206" s="247"/>
      <c r="BI206" s="247"/>
      <c r="BJ206" s="247"/>
      <c r="BK206" s="247"/>
      <c r="BL206" s="247"/>
      <c r="BM206" s="247"/>
    </row>
    <row r="207" spans="2:65" s="281" customFormat="1" ht="17.25" customHeight="1">
      <c r="D207" s="303"/>
      <c r="F207" s="809" t="str" cm="1">
        <f t="array" ref="F207">angleDecimal2Txt(O121-O126+O130)</f>
        <v>+00°15.44 (+00.2573) [+00°15'26.61]</v>
      </c>
      <c r="G207" s="809"/>
      <c r="H207" s="809"/>
      <c r="I207" s="809"/>
      <c r="J207" s="809"/>
      <c r="K207" s="809" t="s">
        <v>395</v>
      </c>
      <c r="L207" s="809"/>
      <c r="M207" s="809"/>
      <c r="N207" s="850"/>
      <c r="O207" s="850"/>
      <c r="P207" s="850"/>
      <c r="AB207" s="419"/>
      <c r="AC207" s="247"/>
      <c r="AD207" s="247"/>
      <c r="AE207" s="247"/>
      <c r="AF207" s="247"/>
      <c r="AG207" s="247"/>
      <c r="AH207" s="247"/>
      <c r="AI207" s="247"/>
      <c r="AJ207" s="247"/>
      <c r="AK207" s="247"/>
      <c r="AL207" s="247"/>
      <c r="AM207" s="247"/>
      <c r="AN207" s="247"/>
      <c r="AO207" s="247"/>
      <c r="AP207" s="247"/>
      <c r="AQ207" s="247"/>
      <c r="AR207" s="247"/>
      <c r="AS207" s="247"/>
      <c r="AT207" s="247"/>
      <c r="AU207" s="247"/>
      <c r="AV207" s="247"/>
      <c r="AW207" s="247"/>
      <c r="AX207" s="247"/>
      <c r="AY207" s="247"/>
      <c r="AZ207" s="247"/>
      <c r="BA207" s="247"/>
      <c r="BB207" s="247"/>
      <c r="BC207" s="247"/>
      <c r="BD207" s="247"/>
      <c r="BE207" s="247"/>
      <c r="BF207" s="247"/>
      <c r="BG207" s="247"/>
      <c r="BH207" s="247"/>
      <c r="BI207" s="247"/>
      <c r="BJ207" s="247"/>
      <c r="BK207" s="247"/>
      <c r="BL207" s="247"/>
      <c r="BM207" s="247"/>
    </row>
    <row r="208" spans="2:65" s="281" customFormat="1" ht="17.25" customHeight="1">
      <c r="AB208" s="419"/>
      <c r="AC208" s="247"/>
      <c r="AD208" s="247"/>
      <c r="AE208" s="247"/>
      <c r="AF208" s="247"/>
      <c r="AG208" s="247"/>
      <c r="AH208" s="247"/>
      <c r="AI208" s="247"/>
      <c r="AJ208" s="247"/>
      <c r="AK208" s="247"/>
      <c r="AL208" s="247"/>
      <c r="AM208" s="247"/>
      <c r="AN208" s="247"/>
      <c r="AO208" s="247"/>
      <c r="AP208" s="247"/>
      <c r="AQ208" s="247"/>
      <c r="AR208" s="247"/>
      <c r="AS208" s="247"/>
      <c r="AT208" s="247"/>
      <c r="AU208" s="247"/>
      <c r="AV208" s="247"/>
      <c r="AW208" s="247"/>
      <c r="AX208" s="247"/>
      <c r="AY208" s="247"/>
      <c r="AZ208" s="247"/>
      <c r="BA208" s="247"/>
      <c r="BB208" s="247"/>
      <c r="BC208" s="247"/>
      <c r="BD208" s="247"/>
      <c r="BE208" s="247"/>
      <c r="BF208" s="247"/>
      <c r="BG208" s="247"/>
      <c r="BH208" s="247"/>
      <c r="BI208" s="247"/>
      <c r="BJ208" s="247"/>
      <c r="BK208" s="247"/>
      <c r="BL208" s="247"/>
      <c r="BM208" s="247"/>
    </row>
    <row r="209" spans="2:65" s="281" customFormat="1" ht="17.25" customHeight="1">
      <c r="AB209" s="419"/>
      <c r="AC209" s="247"/>
      <c r="AD209" s="247"/>
      <c r="AE209" s="247"/>
      <c r="AF209" s="247"/>
      <c r="AG209" s="247"/>
      <c r="AH209" s="247"/>
      <c r="AI209" s="247"/>
      <c r="AJ209" s="247"/>
      <c r="AK209" s="247"/>
      <c r="AL209" s="247"/>
      <c r="AM209" s="247"/>
      <c r="AN209" s="247"/>
      <c r="AO209" s="247"/>
      <c r="AP209" s="247"/>
      <c r="AQ209" s="247"/>
      <c r="AR209" s="247"/>
      <c r="AS209" s="247"/>
      <c r="AT209" s="247"/>
      <c r="AU209" s="247"/>
      <c r="AV209" s="247"/>
      <c r="AW209" s="247"/>
      <c r="AX209" s="247"/>
      <c r="AY209" s="247"/>
      <c r="AZ209" s="247"/>
      <c r="BA209" s="247"/>
      <c r="BB209" s="247"/>
      <c r="BC209" s="247"/>
      <c r="BD209" s="247"/>
      <c r="BE209" s="247"/>
      <c r="BF209" s="247"/>
      <c r="BG209" s="247"/>
      <c r="BH209" s="247"/>
      <c r="BI209" s="247"/>
      <c r="BJ209" s="247"/>
      <c r="BK209" s="247"/>
      <c r="BL209" s="247"/>
      <c r="BM209" s="247"/>
    </row>
    <row r="210" spans="2:65" s="281" customFormat="1" ht="17.25" customHeight="1" thickBot="1">
      <c r="B210" s="340" t="s">
        <v>535</v>
      </c>
      <c r="C210" s="300"/>
      <c r="D210" s="300"/>
      <c r="E210" s="300"/>
      <c r="F210" s="300"/>
      <c r="G210" s="300"/>
      <c r="H210" s="301"/>
      <c r="I210" s="301"/>
      <c r="J210" s="301"/>
      <c r="K210" s="301"/>
      <c r="L210" s="301"/>
      <c r="M210" s="301"/>
      <c r="N210" s="301"/>
      <c r="O210" s="301"/>
      <c r="P210" s="301"/>
      <c r="Q210" s="301"/>
      <c r="AB210" s="419"/>
      <c r="AC210" s="247"/>
      <c r="AD210" s="247"/>
      <c r="AE210" s="247"/>
      <c r="AF210" s="247"/>
      <c r="AG210" s="247"/>
      <c r="AH210" s="247"/>
      <c r="AI210" s="247"/>
      <c r="AJ210" s="247"/>
      <c r="AK210" s="247"/>
      <c r="AL210" s="247"/>
      <c r="AM210" s="247"/>
      <c r="AN210" s="247"/>
      <c r="AO210" s="247"/>
      <c r="AP210" s="247"/>
      <c r="AQ210" s="247"/>
      <c r="AR210" s="247"/>
      <c r="AS210" s="247"/>
      <c r="AT210" s="247"/>
      <c r="AU210" s="247"/>
      <c r="AV210" s="247"/>
      <c r="AW210" s="247"/>
      <c r="AX210" s="247"/>
      <c r="AY210" s="247"/>
      <c r="AZ210" s="247"/>
      <c r="BA210" s="247"/>
      <c r="BB210" s="247"/>
      <c r="BC210" s="247"/>
      <c r="BD210" s="247"/>
      <c r="BE210" s="247"/>
      <c r="BF210" s="247"/>
      <c r="BG210" s="247"/>
      <c r="BH210" s="247"/>
      <c r="BI210" s="247"/>
      <c r="BJ210" s="247"/>
      <c r="BK210" s="247"/>
      <c r="BL210" s="247"/>
      <c r="BM210" s="247"/>
    </row>
    <row r="211" spans="2:65" s="281" customFormat="1" ht="17.25" customHeight="1" thickTop="1">
      <c r="B211" s="1097" t="s">
        <v>536</v>
      </c>
      <c r="C211" s="872" t="s">
        <v>593</v>
      </c>
      <c r="D211" s="872"/>
      <c r="E211" s="872" t="str">
        <f>O11</f>
        <v>N 46°06.00 (N 46.1000) [N 46°06'00.00]</v>
      </c>
      <c r="F211" s="872"/>
      <c r="G211" s="872"/>
      <c r="H211" s="872"/>
      <c r="I211" s="872"/>
      <c r="J211" s="872"/>
      <c r="AB211" s="419"/>
      <c r="AC211" s="247"/>
      <c r="AD211" s="247"/>
      <c r="AE211" s="247"/>
      <c r="AF211" s="247"/>
      <c r="AG211" s="247"/>
      <c r="AH211" s="247"/>
      <c r="AI211" s="247"/>
      <c r="AJ211" s="247"/>
      <c r="AK211" s="247"/>
      <c r="AL211" s="247"/>
      <c r="AM211" s="247"/>
      <c r="AN211" s="247"/>
      <c r="AO211" s="247"/>
      <c r="AP211" s="247"/>
      <c r="AQ211" s="247"/>
      <c r="AR211" s="247"/>
      <c r="AS211" s="247"/>
      <c r="AT211" s="247"/>
      <c r="AU211" s="247"/>
      <c r="AV211" s="247"/>
      <c r="AW211" s="247"/>
      <c r="AX211" s="247"/>
      <c r="AY211" s="247"/>
      <c r="AZ211" s="247"/>
      <c r="BA211" s="247"/>
      <c r="BB211" s="247"/>
      <c r="BC211" s="247"/>
      <c r="BD211" s="247"/>
      <c r="BE211" s="247"/>
      <c r="BF211" s="247"/>
      <c r="BG211" s="247"/>
      <c r="BH211" s="247"/>
      <c r="BI211" s="247"/>
      <c r="BJ211" s="247"/>
      <c r="BK211" s="247"/>
      <c r="BL211" s="247"/>
      <c r="BM211" s="247"/>
    </row>
    <row r="212" spans="2:65" s="281" customFormat="1" ht="17.25" customHeight="1">
      <c r="B212" s="1097"/>
      <c r="C212" s="872" t="s">
        <v>589</v>
      </c>
      <c r="D212" s="872"/>
      <c r="E212" s="872" t="str">
        <f>O13</f>
        <v>W 07°05.00 (W 07.0833) [W 07°05'00.00]</v>
      </c>
      <c r="F212" s="872"/>
      <c r="G212" s="872"/>
      <c r="H212" s="872"/>
      <c r="I212" s="872"/>
      <c r="J212" s="872"/>
      <c r="AB212" s="419"/>
      <c r="AC212" s="247"/>
      <c r="AD212" s="247"/>
      <c r="AE212" s="247"/>
      <c r="AF212" s="247"/>
      <c r="AG212" s="247"/>
      <c r="AH212" s="247"/>
      <c r="AI212" s="247"/>
      <c r="AJ212" s="247"/>
      <c r="AK212" s="247"/>
      <c r="AL212" s="247"/>
      <c r="AM212" s="247"/>
      <c r="AN212" s="247"/>
      <c r="AO212" s="247"/>
      <c r="AP212" s="247"/>
      <c r="AQ212" s="247"/>
      <c r="AR212" s="247"/>
      <c r="AS212" s="247"/>
      <c r="AT212" s="247"/>
      <c r="AU212" s="247"/>
      <c r="AV212" s="247"/>
      <c r="AW212" s="247"/>
      <c r="AX212" s="247"/>
      <c r="AY212" s="247"/>
      <c r="AZ212" s="247"/>
      <c r="BA212" s="247"/>
      <c r="BB212" s="247"/>
      <c r="BC212" s="247"/>
      <c r="BD212" s="247"/>
      <c r="BE212" s="247"/>
      <c r="BF212" s="247"/>
      <c r="BG212" s="247"/>
      <c r="BH212" s="247"/>
      <c r="BI212" s="247"/>
      <c r="BJ212" s="247"/>
      <c r="BK212" s="247"/>
      <c r="BL212" s="247"/>
      <c r="BM212" s="247"/>
    </row>
    <row r="213" spans="2:65" s="281" customFormat="1" ht="17.25" customHeight="1">
      <c r="B213" s="1097"/>
      <c r="C213" s="872" t="s">
        <v>11</v>
      </c>
      <c r="D213" s="872"/>
      <c r="E213" s="872" t="str">
        <f>O9</f>
        <v>10:20:35.00(10.3430)</v>
      </c>
      <c r="F213" s="872"/>
      <c r="G213" s="872"/>
      <c r="H213" s="872"/>
      <c r="I213" s="872"/>
      <c r="J213" s="872"/>
      <c r="AB213" s="419"/>
      <c r="AC213" s="247"/>
      <c r="AD213" s="247"/>
      <c r="AE213" s="247"/>
      <c r="AF213" s="247"/>
      <c r="AG213" s="247"/>
      <c r="AH213" s="247"/>
      <c r="AI213" s="247"/>
      <c r="AJ213" s="247"/>
      <c r="AK213" s="247"/>
      <c r="AL213" s="247"/>
      <c r="AM213" s="247"/>
      <c r="AN213" s="247"/>
      <c r="AO213" s="247"/>
      <c r="AP213" s="247"/>
      <c r="AQ213" s="247"/>
      <c r="AR213" s="247"/>
      <c r="AS213" s="247"/>
      <c r="AT213" s="247"/>
      <c r="AU213" s="247"/>
      <c r="AV213" s="247"/>
      <c r="AW213" s="247"/>
      <c r="AX213" s="247"/>
      <c r="AY213" s="247"/>
      <c r="AZ213" s="247"/>
      <c r="BA213" s="247"/>
      <c r="BB213" s="247"/>
      <c r="BC213" s="247"/>
      <c r="BD213" s="247"/>
      <c r="BE213" s="247"/>
      <c r="BF213" s="247"/>
      <c r="BG213" s="247"/>
      <c r="BH213" s="247"/>
      <c r="BI213" s="247"/>
      <c r="BJ213" s="247"/>
      <c r="BK213" s="247"/>
      <c r="BL213" s="247"/>
      <c r="BM213" s="247"/>
    </row>
    <row r="214" spans="2:65" s="281" customFormat="1" ht="17.25" customHeight="1">
      <c r="B214" s="1097"/>
      <c r="C214" s="872" t="s">
        <v>106</v>
      </c>
      <c r="D214" s="872"/>
      <c r="E214" s="872">
        <f>F17</f>
        <v>260</v>
      </c>
      <c r="F214" s="872"/>
      <c r="G214" s="872"/>
      <c r="H214" s="872"/>
      <c r="I214" s="872"/>
      <c r="J214" s="872"/>
      <c r="AB214" s="419"/>
      <c r="AC214" s="247"/>
      <c r="AD214" s="247"/>
      <c r="AE214" s="247"/>
      <c r="AF214" s="247"/>
      <c r="AG214" s="247"/>
      <c r="AH214" s="247"/>
      <c r="AI214" s="247"/>
      <c r="AJ214" s="247"/>
      <c r="AK214" s="247"/>
      <c r="AL214" s="247"/>
      <c r="AM214" s="247"/>
      <c r="AN214" s="247"/>
      <c r="AO214" s="247"/>
      <c r="AP214" s="247"/>
      <c r="AQ214" s="247"/>
      <c r="AR214" s="247"/>
      <c r="AS214" s="247"/>
      <c r="AT214" s="247"/>
      <c r="AU214" s="247"/>
      <c r="AV214" s="247"/>
      <c r="AW214" s="247"/>
      <c r="AX214" s="247"/>
      <c r="AY214" s="247"/>
      <c r="AZ214" s="247"/>
      <c r="BA214" s="247"/>
      <c r="BB214" s="247"/>
      <c r="BC214" s="247"/>
      <c r="BD214" s="247"/>
      <c r="BE214" s="247"/>
      <c r="BF214" s="247"/>
      <c r="BG214" s="247"/>
      <c r="BH214" s="247"/>
      <c r="BI214" s="247"/>
      <c r="BJ214" s="247"/>
      <c r="BK214" s="247"/>
      <c r="BL214" s="247"/>
      <c r="BM214" s="247"/>
    </row>
    <row r="215" spans="2:65" s="281" customFormat="1" ht="17.25" customHeight="1">
      <c r="B215" s="1097"/>
      <c r="C215" s="872" t="s">
        <v>105</v>
      </c>
      <c r="D215" s="872"/>
      <c r="E215" s="1059">
        <f>E35</f>
        <v>5</v>
      </c>
      <c r="F215" s="1060"/>
      <c r="G215" s="1060"/>
      <c r="H215" s="1060"/>
      <c r="I215" s="1060"/>
      <c r="J215" s="369" t="s">
        <v>539</v>
      </c>
      <c r="AB215" s="419"/>
      <c r="AC215" s="247"/>
      <c r="AD215" s="247"/>
      <c r="AE215" s="247"/>
      <c r="AF215" s="247"/>
      <c r="AG215" s="247"/>
      <c r="AH215" s="247"/>
      <c r="AI215" s="247"/>
      <c r="AJ215" s="247"/>
      <c r="AK215" s="247"/>
      <c r="AL215" s="247"/>
      <c r="AM215" s="247"/>
      <c r="AN215" s="247"/>
      <c r="AO215" s="247"/>
      <c r="AP215" s="247"/>
      <c r="AQ215" s="247"/>
      <c r="AR215" s="247"/>
      <c r="AS215" s="247"/>
      <c r="AT215" s="247"/>
      <c r="AU215" s="247"/>
      <c r="AV215" s="247"/>
      <c r="AW215" s="247"/>
      <c r="AX215" s="247"/>
      <c r="AY215" s="247"/>
      <c r="AZ215" s="247"/>
      <c r="BA215" s="247"/>
      <c r="BB215" s="247"/>
      <c r="BC215" s="247"/>
      <c r="BD215" s="247"/>
      <c r="BE215" s="247"/>
      <c r="BF215" s="247"/>
      <c r="BG215" s="247"/>
      <c r="BH215" s="247"/>
      <c r="BI215" s="247"/>
      <c r="BJ215" s="247"/>
      <c r="BK215" s="247"/>
      <c r="BL215" s="247"/>
      <c r="BM215" s="247"/>
    </row>
    <row r="216" spans="2:65" s="281" customFormat="1" ht="17.25" customHeight="1">
      <c r="B216"/>
      <c r="C216"/>
      <c r="D216"/>
      <c r="E216"/>
      <c r="F216" s="1061" t="s">
        <v>592</v>
      </c>
      <c r="G216" s="1062"/>
      <c r="H216" s="1056" t="str">
        <f>I26</f>
        <v>N 46°05.56 (N 46.0927) [N 46°05'33.95]</v>
      </c>
      <c r="I216" s="1053"/>
      <c r="J216" s="1053"/>
      <c r="K216" s="1053"/>
      <c r="L216" s="1057"/>
      <c r="AB216" s="419"/>
      <c r="AC216" s="247"/>
      <c r="AD216" s="247"/>
      <c r="AE216" s="247"/>
      <c r="AF216" s="247"/>
      <c r="AG216" s="247"/>
      <c r="AH216" s="247"/>
      <c r="AI216" s="247"/>
      <c r="AJ216" s="247"/>
      <c r="AK216" s="247"/>
      <c r="AL216" s="247"/>
      <c r="AM216" s="247"/>
      <c r="AN216" s="247"/>
      <c r="AO216" s="247"/>
      <c r="AP216" s="247"/>
      <c r="AQ216" s="247"/>
      <c r="AR216" s="247"/>
      <c r="AS216" s="247"/>
      <c r="AT216" s="247"/>
      <c r="AU216" s="247"/>
      <c r="AV216" s="247"/>
      <c r="AW216" s="247"/>
      <c r="AX216" s="247"/>
      <c r="AY216" s="247"/>
      <c r="AZ216" s="247"/>
      <c r="BA216" s="247"/>
      <c r="BB216" s="247"/>
      <c r="BC216" s="247"/>
      <c r="BD216" s="247"/>
      <c r="BE216" s="247"/>
      <c r="BF216" s="247"/>
      <c r="BG216" s="247"/>
      <c r="BH216" s="247"/>
      <c r="BI216" s="247"/>
      <c r="BJ216" s="247"/>
      <c r="BK216" s="247"/>
      <c r="BL216" s="247"/>
      <c r="BM216" s="247"/>
    </row>
    <row r="217" spans="2:65" s="281" customFormat="1" ht="17.25" customHeight="1">
      <c r="C217"/>
      <c r="D217"/>
      <c r="E217"/>
      <c r="F217" s="1063" t="s">
        <v>538</v>
      </c>
      <c r="G217" s="1064"/>
      <c r="H217" s="1051">
        <f>P34</f>
        <v>-4.9240387650610398</v>
      </c>
      <c r="I217" s="1052"/>
      <c r="J217" s="1052"/>
      <c r="K217" s="1052"/>
      <c r="L217" s="341" t="s">
        <v>539</v>
      </c>
      <c r="AB217" s="419"/>
      <c r="AC217" s="247"/>
      <c r="AD217" s="247"/>
      <c r="AE217" s="247"/>
      <c r="AF217" s="247"/>
      <c r="AG217" s="247"/>
      <c r="AH217" s="247"/>
      <c r="AI217" s="247"/>
      <c r="AJ217" s="247"/>
      <c r="AK217" s="247"/>
      <c r="AL217" s="247"/>
      <c r="AM217" s="247"/>
      <c r="AN217" s="247"/>
      <c r="AO217" s="247"/>
      <c r="AP217" s="247"/>
      <c r="AQ217" s="247"/>
      <c r="AR217" s="247"/>
      <c r="AS217" s="247"/>
      <c r="AT217" s="247"/>
      <c r="AU217" s="247"/>
      <c r="AV217" s="247"/>
      <c r="AW217" s="247"/>
      <c r="AX217" s="247"/>
      <c r="AY217" s="247"/>
      <c r="AZ217" s="247"/>
      <c r="BA217" s="247"/>
      <c r="BB217" s="247"/>
      <c r="BC217" s="247"/>
      <c r="BD217" s="247"/>
      <c r="BE217" s="247"/>
      <c r="BF217" s="247"/>
      <c r="BG217" s="247"/>
      <c r="BH217" s="247"/>
      <c r="BI217" s="247"/>
      <c r="BJ217" s="247"/>
      <c r="BK217" s="247"/>
      <c r="BL217" s="247"/>
      <c r="BM217" s="247"/>
    </row>
    <row r="218" spans="2:65" s="281" customFormat="1" ht="17.25" customHeight="1">
      <c r="C218"/>
      <c r="D218"/>
      <c r="E218"/>
      <c r="F218" s="1065"/>
      <c r="G218" s="1066"/>
      <c r="H218" s="1051">
        <f>X39</f>
        <v>0.11833909603247456</v>
      </c>
      <c r="I218" s="1052"/>
      <c r="J218" s="1052"/>
      <c r="K218" s="1052"/>
      <c r="L218" s="371" t="s">
        <v>540</v>
      </c>
      <c r="M218" s="820" t="str">
        <f>P39</f>
        <v>Vers l'Ouest</v>
      </c>
      <c r="N218" s="821"/>
      <c r="AB218" s="419"/>
      <c r="AC218" s="247"/>
      <c r="AD218" s="247"/>
      <c r="AE218" s="247"/>
      <c r="AF218" s="247"/>
      <c r="AG218" s="247"/>
      <c r="AH218" s="247"/>
      <c r="AI218" s="247"/>
      <c r="AJ218" s="247"/>
      <c r="AK218" s="247"/>
      <c r="AL218" s="247"/>
      <c r="AM218" s="247"/>
      <c r="AN218" s="247"/>
      <c r="AO218" s="247"/>
      <c r="AP218" s="247"/>
      <c r="AQ218" s="247"/>
      <c r="AR218" s="247"/>
      <c r="AS218" s="247"/>
      <c r="AT218" s="247"/>
      <c r="AU218" s="247"/>
      <c r="AV218" s="247"/>
      <c r="AW218" s="247"/>
      <c r="AX218" s="247"/>
      <c r="AY218" s="247"/>
      <c r="AZ218" s="247"/>
      <c r="BA218" s="247"/>
      <c r="BB218" s="247"/>
      <c r="BC218" s="247"/>
      <c r="BD218" s="247"/>
      <c r="BE218" s="247"/>
      <c r="BF218" s="247"/>
      <c r="BG218" s="247"/>
      <c r="BH218" s="247"/>
      <c r="BI218" s="247"/>
      <c r="BJ218" s="247"/>
      <c r="BK218" s="247"/>
      <c r="BL218" s="247"/>
      <c r="BM218" s="247"/>
    </row>
    <row r="219" spans="2:65" s="281" customFormat="1" ht="17.25" customHeight="1">
      <c r="C219" s="811" t="s">
        <v>537</v>
      </c>
      <c r="D219" s="811"/>
      <c r="E219" s="811"/>
      <c r="F219" s="811" t="str">
        <f>O21</f>
        <v>12:03:46.00(12.0627)</v>
      </c>
      <c r="G219" s="811"/>
      <c r="H219" s="1058"/>
      <c r="I219" s="1058"/>
      <c r="J219" s="1058"/>
      <c r="K219"/>
      <c r="L219"/>
      <c r="AB219" s="419"/>
      <c r="AC219" s="247"/>
      <c r="AD219" s="247"/>
      <c r="AE219" s="247"/>
      <c r="AF219" s="247"/>
      <c r="AG219" s="247"/>
      <c r="AH219" s="247"/>
      <c r="AI219" s="247"/>
      <c r="AJ219" s="247"/>
      <c r="AK219" s="247"/>
      <c r="AL219" s="247"/>
      <c r="AM219" s="247"/>
      <c r="AN219" s="247"/>
      <c r="AO219" s="247"/>
      <c r="AP219" s="247"/>
      <c r="AQ219" s="247"/>
      <c r="AR219" s="247"/>
      <c r="AS219" s="247"/>
      <c r="AT219" s="247"/>
      <c r="AU219" s="247"/>
      <c r="AV219" s="247"/>
      <c r="AW219" s="247"/>
      <c r="AX219" s="247"/>
      <c r="AY219" s="247"/>
      <c r="AZ219" s="247"/>
      <c r="BA219" s="247"/>
      <c r="BB219" s="247"/>
      <c r="BC219" s="247"/>
      <c r="BD219" s="247"/>
      <c r="BE219" s="247"/>
      <c r="BF219" s="247"/>
      <c r="BG219" s="247"/>
      <c r="BH219" s="247"/>
      <c r="BI219" s="247"/>
      <c r="BJ219" s="247"/>
      <c r="BK219" s="247"/>
      <c r="BL219" s="247"/>
      <c r="BM219" s="247"/>
    </row>
    <row r="220" spans="2:65" s="281" customFormat="1" ht="17.25" customHeight="1">
      <c r="C220"/>
      <c r="D220" s="1054" t="s">
        <v>595</v>
      </c>
      <c r="E220" s="1055"/>
      <c r="F220" s="820" t="s">
        <v>541</v>
      </c>
      <c r="G220" s="820"/>
      <c r="H220" s="819" t="e">
        <f>#REF!</f>
        <v>#REF!</v>
      </c>
      <c r="I220" s="1052"/>
      <c r="J220" s="1052"/>
      <c r="K220" s="1052"/>
      <c r="L220" s="342" t="s">
        <v>258</v>
      </c>
      <c r="AB220" s="419"/>
      <c r="AC220" s="247"/>
      <c r="AD220" s="247"/>
      <c r="AE220" s="247"/>
      <c r="AF220" s="247"/>
      <c r="AG220" s="247"/>
      <c r="AH220" s="247"/>
      <c r="AI220" s="247"/>
      <c r="AJ220" s="247"/>
      <c r="AK220" s="247"/>
      <c r="AL220" s="247"/>
      <c r="AM220" s="247"/>
      <c r="AN220" s="247"/>
      <c r="AO220" s="247"/>
      <c r="AP220" s="247"/>
      <c r="AQ220" s="247"/>
      <c r="AR220" s="247"/>
      <c r="AS220" s="247"/>
      <c r="AT220" s="247"/>
      <c r="AU220" s="247"/>
      <c r="AV220" s="247"/>
      <c r="AW220" s="247"/>
      <c r="AX220" s="247"/>
      <c r="AY220" s="247"/>
      <c r="AZ220" s="247"/>
      <c r="BA220" s="247"/>
      <c r="BB220" s="247"/>
      <c r="BC220" s="247"/>
      <c r="BD220" s="247"/>
      <c r="BE220" s="247"/>
      <c r="BF220" s="247"/>
      <c r="BG220" s="247"/>
      <c r="BH220" s="247"/>
      <c r="BI220" s="247"/>
      <c r="BJ220" s="247"/>
      <c r="BK220" s="247"/>
      <c r="BL220" s="247"/>
      <c r="BM220" s="247"/>
    </row>
    <row r="221" spans="2:65" s="281" customFormat="1" ht="17.25" customHeight="1">
      <c r="C221"/>
      <c r="D221" s="1055"/>
      <c r="E221" s="1055"/>
      <c r="F221" s="1053" t="s">
        <v>542</v>
      </c>
      <c r="G221" s="1053"/>
      <c r="H221" s="819">
        <f>V56</f>
        <v>11.046545041329722</v>
      </c>
      <c r="I221" s="1052"/>
      <c r="J221" s="1052"/>
      <c r="K221" s="1052"/>
      <c r="L221" s="342" t="s">
        <v>104</v>
      </c>
      <c r="AB221" s="419"/>
      <c r="AC221" s="247"/>
      <c r="AD221" s="247"/>
      <c r="AE221" s="247"/>
      <c r="AF221" s="247"/>
      <c r="AG221" s="247"/>
      <c r="AH221" s="247"/>
      <c r="AI221" s="247"/>
      <c r="AJ221" s="247"/>
      <c r="AK221" s="247"/>
      <c r="AL221" s="247"/>
      <c r="AM221" s="247"/>
      <c r="AN221" s="247"/>
      <c r="AO221" s="247"/>
      <c r="AP221" s="247"/>
      <c r="AQ221" s="247"/>
      <c r="AR221" s="247"/>
      <c r="AS221" s="247"/>
      <c r="AT221" s="247"/>
      <c r="AU221" s="247"/>
      <c r="AV221" s="247"/>
      <c r="AW221" s="247"/>
      <c r="AX221" s="247"/>
      <c r="AY221" s="247"/>
      <c r="AZ221" s="247"/>
      <c r="BA221" s="247"/>
      <c r="BB221" s="247"/>
      <c r="BC221" s="247"/>
      <c r="BD221" s="247"/>
      <c r="BE221" s="247"/>
      <c r="BF221" s="247"/>
      <c r="BG221" s="247"/>
      <c r="BH221" s="247"/>
      <c r="BI221" s="247"/>
      <c r="BJ221" s="247"/>
      <c r="BK221" s="247"/>
      <c r="BL221" s="247"/>
      <c r="BM221" s="247"/>
    </row>
    <row r="222" spans="2:65" s="281" customFormat="1" ht="17.25" customHeight="1">
      <c r="C222"/>
      <c r="D222" s="1055"/>
      <c r="E222" s="1055"/>
      <c r="F222" s="1053" t="s">
        <v>543</v>
      </c>
      <c r="G222" s="1053"/>
      <c r="H222" s="1056" t="str">
        <f>CONCATENATE(V58, "° (", V58*60,"')")</f>
        <v>-0.261447630894595° (-15.6868578536757')</v>
      </c>
      <c r="I222" s="1053"/>
      <c r="J222" s="1053"/>
      <c r="K222" s="1053"/>
      <c r="L222" s="1057"/>
      <c r="AB222" s="419"/>
      <c r="AC222" s="247"/>
      <c r="AD222" s="247"/>
      <c r="AE222" s="247"/>
      <c r="AF222" s="247"/>
      <c r="AG222" s="247"/>
      <c r="AH222" s="247"/>
      <c r="AI222" s="247"/>
      <c r="AJ222" s="247"/>
      <c r="AK222" s="247"/>
      <c r="AL222" s="247"/>
      <c r="AM222" s="247"/>
      <c r="AN222" s="247"/>
      <c r="AO222" s="247"/>
      <c r="AP222" s="247"/>
      <c r="AQ222" s="247"/>
      <c r="AR222" s="247"/>
      <c r="AS222" s="247"/>
      <c r="AT222" s="247"/>
      <c r="AU222" s="247"/>
      <c r="AV222" s="247"/>
      <c r="AW222" s="247"/>
      <c r="AX222" s="247"/>
      <c r="AY222" s="247"/>
      <c r="AZ222" s="247"/>
      <c r="BA222" s="247"/>
      <c r="BB222" s="247"/>
      <c r="BC222" s="247"/>
      <c r="BD222" s="247"/>
      <c r="BE222" s="247"/>
      <c r="BF222" s="247"/>
      <c r="BG222" s="247"/>
      <c r="BH222" s="247"/>
      <c r="BI222" s="247"/>
      <c r="BJ222" s="247"/>
      <c r="BK222" s="247"/>
      <c r="BL222" s="247"/>
      <c r="BM222" s="247"/>
    </row>
    <row r="223" spans="2:65" s="281" customFormat="1" ht="17.25" customHeight="1">
      <c r="C223"/>
      <c r="D223" s="1055"/>
      <c r="E223" s="1055"/>
      <c r="F223" s="1071" t="s">
        <v>11</v>
      </c>
      <c r="G223" s="1072"/>
      <c r="H223" s="1075" t="str">
        <f>X62</f>
        <v>12:33:08.51(12.5523)</v>
      </c>
      <c r="I223" s="1075"/>
      <c r="J223" s="1075"/>
      <c r="K223" s="1075"/>
      <c r="L223" s="1075"/>
      <c r="AB223" s="419"/>
      <c r="AC223" s="247"/>
      <c r="AD223" s="247"/>
      <c r="AE223" s="247"/>
      <c r="AF223" s="247"/>
      <c r="AG223" s="247"/>
      <c r="AH223" s="247"/>
      <c r="AI223" s="247"/>
      <c r="AJ223" s="247"/>
      <c r="AK223" s="247"/>
      <c r="AL223" s="247"/>
      <c r="AM223" s="247"/>
      <c r="AN223" s="247"/>
      <c r="AO223" s="247"/>
      <c r="AP223" s="247"/>
      <c r="AQ223" s="247"/>
      <c r="AR223" s="247"/>
      <c r="AS223" s="247"/>
      <c r="AT223" s="247"/>
      <c r="AU223" s="247"/>
      <c r="AV223" s="247"/>
      <c r="AW223" s="247"/>
      <c r="AX223" s="247"/>
      <c r="AY223" s="247"/>
      <c r="AZ223" s="247"/>
      <c r="BA223" s="247"/>
      <c r="BB223" s="247"/>
      <c r="BC223" s="247"/>
      <c r="BD223" s="247"/>
      <c r="BE223" s="247"/>
      <c r="BF223" s="247"/>
      <c r="BG223" s="247"/>
      <c r="BH223" s="247"/>
      <c r="BI223" s="247"/>
      <c r="BJ223" s="247"/>
      <c r="BK223" s="247"/>
      <c r="BL223" s="247"/>
      <c r="BM223" s="247"/>
    </row>
    <row r="224" spans="2:65" s="281" customFormat="1" ht="17.25" customHeight="1">
      <c r="C224"/>
      <c r="D224" s="1055"/>
      <c r="E224" s="1055"/>
      <c r="F224" s="1073" t="s">
        <v>171</v>
      </c>
      <c r="G224" s="1074"/>
      <c r="H224" s="1074" t="str">
        <f>X60</f>
        <v>W 07°20.68 (W 07.3447) [W 07°20'41.21]</v>
      </c>
      <c r="I224" s="1074"/>
      <c r="J224" s="1074"/>
      <c r="K224" s="1074"/>
      <c r="L224" s="1074"/>
      <c r="AB224" s="419"/>
      <c r="AC224" s="247"/>
      <c r="AD224" s="247"/>
      <c r="AE224" s="247"/>
      <c r="AF224" s="247"/>
      <c r="AG224" s="247"/>
      <c r="AH224" s="247"/>
      <c r="AI224" s="247"/>
      <c r="AJ224" s="247"/>
      <c r="AK224" s="247"/>
      <c r="AL224" s="247"/>
      <c r="AM224" s="247"/>
      <c r="AN224" s="247"/>
      <c r="AO224" s="247"/>
      <c r="AP224" s="247"/>
      <c r="AQ224" s="247"/>
      <c r="AR224" s="247"/>
      <c r="AS224" s="247"/>
      <c r="AT224" s="247"/>
      <c r="AU224" s="247"/>
      <c r="AV224" s="247"/>
      <c r="AW224" s="247"/>
      <c r="AX224" s="247"/>
      <c r="AY224" s="247"/>
      <c r="AZ224" s="247"/>
      <c r="BA224" s="247"/>
      <c r="BB224" s="247"/>
      <c r="BC224" s="247"/>
      <c r="BD224" s="247"/>
      <c r="BE224" s="247"/>
      <c r="BF224" s="247"/>
      <c r="BG224" s="247"/>
      <c r="BH224" s="247"/>
      <c r="BI224" s="247"/>
      <c r="BJ224" s="247"/>
      <c r="BK224" s="247"/>
      <c r="BL224" s="247"/>
      <c r="BM224" s="247"/>
    </row>
    <row r="225" spans="2:66" s="281" customFormat="1" ht="17.25" customHeight="1">
      <c r="C225" s="303"/>
      <c r="AB225" s="419"/>
      <c r="AC225" s="247"/>
      <c r="AD225" s="247"/>
      <c r="AE225" s="247"/>
      <c r="AF225" s="247"/>
      <c r="AG225" s="247"/>
      <c r="AH225" s="247"/>
      <c r="AI225" s="247"/>
      <c r="AJ225" s="247"/>
      <c r="AK225" s="247"/>
      <c r="AL225" s="247"/>
      <c r="AM225" s="247"/>
      <c r="AN225" s="247"/>
      <c r="AO225" s="247"/>
      <c r="AP225" s="247"/>
      <c r="AQ225" s="247"/>
      <c r="AR225" s="247"/>
      <c r="AS225" s="247"/>
      <c r="AT225" s="247"/>
      <c r="AU225" s="247"/>
      <c r="AV225" s="247"/>
      <c r="AW225" s="247"/>
      <c r="AX225" s="247"/>
      <c r="AY225" s="247"/>
      <c r="AZ225" s="247"/>
      <c r="BA225" s="247"/>
      <c r="BB225" s="247"/>
      <c r="BC225" s="247"/>
      <c r="BD225" s="247"/>
      <c r="BE225" s="247"/>
      <c r="BF225" s="247"/>
      <c r="BG225" s="247"/>
      <c r="BH225" s="247"/>
      <c r="BI225" s="247"/>
      <c r="BJ225" s="247"/>
      <c r="BK225" s="247"/>
      <c r="BL225" s="247"/>
      <c r="BM225" s="247"/>
    </row>
    <row r="226" spans="2:66" s="281" customFormat="1" ht="17.25" customHeight="1" thickBot="1">
      <c r="B226" s="301" t="s">
        <v>534</v>
      </c>
      <c r="C226" s="300"/>
      <c r="D226" s="300"/>
      <c r="E226" s="300"/>
      <c r="F226" s="300"/>
      <c r="G226" s="300"/>
      <c r="H226" s="301"/>
      <c r="I226" s="301"/>
      <c r="J226" s="301"/>
      <c r="K226" s="301"/>
      <c r="L226" s="301"/>
      <c r="M226" s="301"/>
      <c r="N226" s="301"/>
      <c r="O226" s="301"/>
      <c r="P226" s="301"/>
      <c r="Q226" s="301"/>
      <c r="AB226" s="419"/>
      <c r="AC226" s="247"/>
      <c r="AD226" s="247"/>
      <c r="AE226" s="247"/>
      <c r="AF226" s="247"/>
      <c r="AG226" s="247"/>
      <c r="AH226" s="247"/>
      <c r="AI226" s="247"/>
      <c r="AJ226" s="247"/>
      <c r="AK226" s="247"/>
      <c r="AL226" s="247"/>
      <c r="AM226" s="247"/>
      <c r="AN226" s="247"/>
      <c r="AO226" s="247"/>
      <c r="AP226" s="247"/>
      <c r="AQ226" s="247"/>
      <c r="AR226" s="247"/>
      <c r="AS226" s="247"/>
      <c r="AT226" s="247"/>
      <c r="AU226" s="247"/>
      <c r="AV226" s="247"/>
      <c r="AW226" s="247"/>
      <c r="AX226" s="247"/>
      <c r="AY226" s="247"/>
      <c r="AZ226" s="247"/>
      <c r="BA226" s="247"/>
      <c r="BB226" s="247"/>
      <c r="BC226" s="247"/>
      <c r="BD226" s="247"/>
      <c r="BE226" s="247"/>
      <c r="BF226" s="247"/>
      <c r="BG226" s="247"/>
      <c r="BH226" s="247"/>
      <c r="BI226" s="247"/>
      <c r="BJ226" s="247"/>
      <c r="BK226" s="247"/>
      <c r="BL226" s="247"/>
      <c r="BM226" s="247"/>
    </row>
    <row r="227" spans="2:66" s="281" customFormat="1" ht="17.25" customHeight="1" thickTop="1">
      <c r="C227" s="872" t="s">
        <v>399</v>
      </c>
      <c r="D227" s="872"/>
      <c r="E227" s="872" t="str" cm="1">
        <f t="array" ref="E227">latitudeDecimal2Txt(E69)</f>
        <v>N 46°05.56 (N 46.0927) [N 46°05'33.95]</v>
      </c>
      <c r="F227" s="872"/>
      <c r="G227" s="872"/>
      <c r="H227" s="872"/>
      <c r="I227" s="872"/>
      <c r="J227" s="872"/>
      <c r="AB227" s="419"/>
      <c r="AC227" s="247"/>
      <c r="AD227" s="247"/>
      <c r="AE227" s="247"/>
      <c r="AF227" s="247"/>
      <c r="AG227" s="247"/>
      <c r="AH227" s="247"/>
      <c r="AI227" s="247"/>
      <c r="AJ227" s="247"/>
      <c r="AK227" s="247"/>
      <c r="AL227" s="247"/>
      <c r="AM227" s="247"/>
      <c r="AN227" s="247"/>
      <c r="AO227" s="247"/>
      <c r="AP227" s="247"/>
      <c r="AQ227" s="247"/>
      <c r="AR227" s="247"/>
      <c r="AS227" s="247"/>
      <c r="AT227" s="247"/>
      <c r="AU227" s="247"/>
      <c r="AV227" s="247"/>
      <c r="AW227" s="247"/>
      <c r="AX227" s="247"/>
      <c r="AY227" s="247"/>
      <c r="AZ227" s="247"/>
      <c r="BA227" s="247"/>
      <c r="BB227" s="247"/>
      <c r="BC227" s="247"/>
      <c r="BD227" s="247"/>
      <c r="BE227" s="247"/>
      <c r="BF227" s="247"/>
      <c r="BG227" s="247"/>
      <c r="BH227" s="247"/>
      <c r="BI227" s="247"/>
      <c r="BJ227" s="247"/>
      <c r="BK227" s="247"/>
      <c r="BL227" s="247"/>
      <c r="BM227" s="247"/>
    </row>
    <row r="228" spans="2:66" s="281" customFormat="1" ht="17.25" customHeight="1">
      <c r="F228" s="850" t="str">
        <f>CONCATENATE("Déc. - ", G91)</f>
        <v>Déc. - Par valeur</v>
      </c>
      <c r="G228" s="850"/>
      <c r="H228" s="809" t="str">
        <f>IF($G$91=$AD$91,M95,CONCATENATE("T0:",M103))</f>
        <v>T0:</v>
      </c>
      <c r="I228" s="809"/>
      <c r="J228" s="809" t="str" cm="1">
        <f t="array" ref="J228">IF($G$91=$AD$91,angleDecimal2Txt(AE94,0),CONCATENATE("Pos. à T0:",angleDecimal2Txt(AD102,0)))</f>
        <v>Pos. à T0:+23°10.59</v>
      </c>
      <c r="K228" s="809"/>
      <c r="L228" s="809"/>
      <c r="M228" s="809"/>
      <c r="AB228" s="419"/>
      <c r="AC228" s="247"/>
      <c r="AD228" s="247"/>
      <c r="AE228" s="247"/>
      <c r="AF228" s="247"/>
      <c r="AG228" s="247"/>
      <c r="AH228" s="247"/>
      <c r="AI228" s="247"/>
      <c r="AJ228" s="247"/>
      <c r="AK228" s="247"/>
      <c r="AL228" s="247"/>
      <c r="AM228" s="247"/>
      <c r="AN228" s="247"/>
      <c r="AO228" s="247"/>
      <c r="AP228" s="247"/>
      <c r="AQ228" s="247"/>
      <c r="AR228" s="247"/>
      <c r="AS228" s="247"/>
      <c r="AT228" s="247"/>
      <c r="AU228" s="247"/>
      <c r="AV228" s="247"/>
      <c r="AW228" s="247"/>
      <c r="AX228" s="247"/>
      <c r="AY228" s="247"/>
      <c r="AZ228" s="247"/>
      <c r="BA228" s="247"/>
      <c r="BB228" s="247"/>
      <c r="BC228" s="247"/>
      <c r="BD228" s="247"/>
      <c r="BE228" s="247"/>
      <c r="BF228" s="247"/>
      <c r="BG228" s="247"/>
      <c r="BH228" s="247"/>
      <c r="BI228" s="247"/>
      <c r="BJ228" s="247"/>
      <c r="BK228" s="247"/>
      <c r="BL228" s="247"/>
      <c r="BM228" s="247"/>
    </row>
    <row r="229" spans="2:66" s="281" customFormat="1" ht="17.25" customHeight="1">
      <c r="F229" s="850"/>
      <c r="G229" s="850"/>
      <c r="H229" s="809" t="str" cm="1">
        <f t="array" ref="H229">IF($G$91=$AD$91,M97,CONCATENATE("V:",angleDecimal2Txt(AD104,0)))</f>
        <v>V:+00°00.19</v>
      </c>
      <c r="I229" s="809"/>
      <c r="J229" s="809" t="str" cm="1">
        <f t="array" ref="J229">IF($G$91=$AD$91,angleDecimal2Txt(AE95,0),CONCATENATE("dt:",TEXT((I103-M103),"0.000")," h"))</f>
        <v>dt:0.000 h</v>
      </c>
      <c r="K229" s="809"/>
      <c r="L229" s="809"/>
      <c r="M229" s="809"/>
      <c r="AB229" s="419"/>
      <c r="AC229" s="247"/>
      <c r="AD229" s="247"/>
      <c r="AE229" s="247"/>
      <c r="AF229" s="247"/>
      <c r="AG229" s="247"/>
      <c r="AH229" s="247"/>
      <c r="AI229" s="247"/>
      <c r="AJ229" s="247"/>
      <c r="AK229" s="247"/>
      <c r="AL229" s="247"/>
      <c r="AM229" s="247"/>
      <c r="AN229" s="247"/>
      <c r="AO229" s="247"/>
      <c r="AP229" s="247"/>
      <c r="AQ229" s="247"/>
      <c r="AR229" s="247"/>
      <c r="AS229" s="247"/>
      <c r="AT229" s="247"/>
      <c r="AU229" s="247"/>
      <c r="AV229" s="247"/>
      <c r="AW229" s="247"/>
      <c r="AX229" s="247"/>
      <c r="AY229" s="247"/>
      <c r="AZ229" s="247"/>
      <c r="BA229" s="247"/>
      <c r="BB229" s="247"/>
      <c r="BC229" s="247"/>
      <c r="BD229" s="247"/>
      <c r="BE229" s="247"/>
      <c r="BF229" s="247"/>
      <c r="BG229" s="247"/>
      <c r="BH229" s="247"/>
      <c r="BI229" s="247"/>
      <c r="BJ229" s="247"/>
      <c r="BK229" s="247"/>
      <c r="BL229" s="247"/>
      <c r="BM229" s="247"/>
    </row>
    <row r="230" spans="2:66" s="281" customFormat="1" ht="17.25" customHeight="1">
      <c r="C230" s="859" t="s">
        <v>9</v>
      </c>
      <c r="D230" s="859"/>
      <c r="E230" s="859" t="str" cm="1">
        <f t="array" ref="E230">latitudeDecimal2Txt(F90)</f>
        <v>S 14°43.70 (S 14.7283) [S 14°43'42.00]</v>
      </c>
      <c r="F230" s="859"/>
      <c r="G230" s="859"/>
      <c r="H230" s="859"/>
      <c r="I230" s="859"/>
      <c r="J230" s="859"/>
      <c r="AB230" s="419"/>
      <c r="AC230" s="247"/>
      <c r="AD230" s="247"/>
      <c r="AE230" s="247"/>
      <c r="AF230" s="247"/>
      <c r="AG230" s="247"/>
      <c r="AH230" s="247"/>
      <c r="AI230" s="247"/>
      <c r="AJ230" s="247"/>
      <c r="AK230" s="247"/>
      <c r="AL230" s="247"/>
      <c r="AM230" s="247"/>
      <c r="AN230" s="247"/>
      <c r="AO230" s="247"/>
      <c r="AP230" s="247"/>
      <c r="AQ230" s="247"/>
      <c r="AR230" s="247"/>
      <c r="AS230" s="247"/>
      <c r="AT230" s="247"/>
      <c r="AU230" s="247"/>
      <c r="AV230" s="247"/>
      <c r="AW230" s="247"/>
      <c r="AX230" s="247"/>
      <c r="AY230" s="247"/>
      <c r="AZ230" s="247"/>
      <c r="BA230" s="247"/>
      <c r="BB230" s="247"/>
      <c r="BC230" s="247"/>
      <c r="BD230" s="247"/>
      <c r="BE230" s="247"/>
      <c r="BF230" s="247"/>
      <c r="BG230" s="247"/>
      <c r="BH230" s="247"/>
      <c r="BI230" s="247"/>
      <c r="BJ230" s="247"/>
      <c r="BK230" s="247"/>
      <c r="BL230" s="247"/>
      <c r="BM230" s="247"/>
    </row>
    <row r="231" spans="2:66" s="281" customFormat="1" ht="17.25" customHeight="1">
      <c r="F231" s="819" t="s">
        <v>417</v>
      </c>
      <c r="G231" s="820"/>
      <c r="H231" s="820"/>
      <c r="I231" s="820"/>
      <c r="J231" s="820"/>
      <c r="K231" s="820"/>
      <c r="L231" s="820"/>
      <c r="M231" s="821"/>
      <c r="AB231" s="419"/>
      <c r="AC231" s="247"/>
      <c r="AD231" s="247"/>
      <c r="AE231" s="247"/>
      <c r="AF231" s="247"/>
      <c r="AG231" s="247"/>
      <c r="AH231" s="247"/>
      <c r="AI231" s="247"/>
      <c r="AJ231" s="247"/>
      <c r="AK231" s="247"/>
      <c r="AL231" s="247"/>
      <c r="AM231" s="247"/>
      <c r="AN231" s="247"/>
      <c r="AO231" s="247"/>
      <c r="AP231" s="247"/>
      <c r="AQ231" s="247"/>
      <c r="AR231" s="247"/>
      <c r="AS231" s="247"/>
      <c r="AT231" s="247"/>
      <c r="AU231" s="247"/>
      <c r="AV231" s="247"/>
      <c r="AW231" s="247"/>
      <c r="AX231" s="247"/>
      <c r="AY231" s="247"/>
      <c r="AZ231" s="247"/>
      <c r="BA231" s="247"/>
      <c r="BB231" s="247"/>
      <c r="BC231" s="247"/>
      <c r="BD231" s="247"/>
      <c r="BE231" s="247"/>
      <c r="BF231" s="247"/>
      <c r="BG231" s="247"/>
      <c r="BH231" s="247"/>
      <c r="BI231" s="247"/>
      <c r="BJ231" s="247"/>
      <c r="BK231" s="247"/>
      <c r="BL231" s="247"/>
      <c r="BM231" s="247"/>
    </row>
    <row r="232" spans="2:66" s="281" customFormat="1" ht="17.25" customHeight="1">
      <c r="F232" s="809" t="s">
        <v>72</v>
      </c>
      <c r="G232" s="809"/>
      <c r="H232" s="819" t="str" cm="1">
        <f t="array" ref="H232">angleDecimal2Txt(Q154,0)</f>
        <v>+67°08.65</v>
      </c>
      <c r="I232" s="820"/>
      <c r="J232" s="820"/>
      <c r="K232" s="820"/>
      <c r="L232" s="820"/>
      <c r="M232" s="821"/>
      <c r="AB232" s="419"/>
      <c r="AC232" s="247"/>
      <c r="AD232" s="247"/>
      <c r="AE232" s="247"/>
      <c r="AF232" s="247"/>
      <c r="AG232" s="247"/>
      <c r="AH232" s="247"/>
      <c r="AI232" s="247"/>
      <c r="AJ232" s="247"/>
      <c r="AK232" s="247"/>
      <c r="AL232" s="247"/>
      <c r="AM232" s="247"/>
      <c r="AN232" s="247"/>
      <c r="AO232" s="247"/>
      <c r="AP232" s="247"/>
      <c r="AQ232" s="247"/>
      <c r="AR232" s="247"/>
      <c r="AS232" s="247"/>
      <c r="AT232" s="247"/>
      <c r="AU232" s="247"/>
      <c r="AV232" s="247"/>
      <c r="AW232" s="247"/>
      <c r="AX232" s="247"/>
      <c r="AY232" s="247"/>
      <c r="AZ232" s="247"/>
      <c r="BA232" s="247"/>
      <c r="BB232" s="247"/>
      <c r="BC232" s="247"/>
      <c r="BD232" s="247"/>
      <c r="BE232" s="247"/>
      <c r="BF232" s="247"/>
      <c r="BG232" s="247"/>
      <c r="BH232" s="247"/>
      <c r="BI232" s="247"/>
      <c r="BJ232" s="247"/>
      <c r="BK232" s="247"/>
      <c r="BL232" s="247"/>
      <c r="BM232" s="247"/>
    </row>
    <row r="233" spans="2:66" s="281" customFormat="1" ht="17.25" customHeight="1">
      <c r="C233" s="807" t="s">
        <v>418</v>
      </c>
      <c r="D233" s="807"/>
      <c r="E233" s="807" t="str">
        <f>angleDecimal2Txt(I153,1)</f>
        <v>+22°51.34 (+22.8557) [+22°51'20.56]</v>
      </c>
      <c r="F233" s="807"/>
      <c r="G233" s="807"/>
      <c r="H233" s="807"/>
      <c r="I233" s="807"/>
      <c r="J233" s="807"/>
      <c r="AB233" s="419"/>
      <c r="AC233" s="247"/>
      <c r="AD233" s="247"/>
      <c r="AE233" s="247"/>
      <c r="AF233" s="247"/>
      <c r="AG233" s="247"/>
      <c r="AH233" s="247"/>
      <c r="AI233" s="247"/>
      <c r="AJ233" s="247"/>
      <c r="AK233" s="247"/>
      <c r="AL233" s="247"/>
      <c r="AM233" s="247"/>
      <c r="AN233" s="247"/>
      <c r="AO233" s="247"/>
      <c r="AP233" s="247"/>
      <c r="AQ233" s="247"/>
      <c r="AR233" s="247"/>
      <c r="AS233" s="247"/>
      <c r="AT233" s="247"/>
      <c r="AU233" s="247"/>
      <c r="AV233" s="247"/>
      <c r="AW233" s="247"/>
      <c r="AX233" s="247"/>
      <c r="AY233" s="247"/>
      <c r="AZ233" s="247"/>
      <c r="BA233" s="247"/>
      <c r="BB233" s="247"/>
      <c r="BC233" s="247"/>
      <c r="BD233" s="247"/>
      <c r="BE233" s="247"/>
      <c r="BF233" s="247"/>
      <c r="BG233" s="247"/>
      <c r="BH233" s="247"/>
      <c r="BI233" s="247"/>
      <c r="BJ233" s="247"/>
      <c r="BK233" s="247"/>
      <c r="BL233" s="247"/>
      <c r="BM233" s="247"/>
    </row>
    <row r="234" spans="2:66" s="246" customFormat="1" ht="17.25" customHeight="1">
      <c r="C234" s="278"/>
      <c r="D234" s="278"/>
      <c r="E234" s="278"/>
      <c r="F234" s="1067" t="s">
        <v>213</v>
      </c>
      <c r="G234" s="1068"/>
      <c r="H234" s="1068"/>
      <c r="I234" s="1068"/>
      <c r="J234" s="1068"/>
      <c r="K234" s="1068"/>
      <c r="L234" s="1068"/>
      <c r="M234" s="1068"/>
      <c r="N234" s="1068"/>
      <c r="O234" s="1068"/>
      <c r="P234" s="1069"/>
      <c r="Q234" s="247"/>
      <c r="AB234" s="419"/>
      <c r="AC234" s="247"/>
      <c r="AD234" s="247"/>
      <c r="AE234" s="247"/>
      <c r="AF234" s="247"/>
      <c r="AG234" s="247"/>
      <c r="AH234" s="247"/>
      <c r="AI234" s="247"/>
      <c r="AJ234" s="247"/>
      <c r="AK234" s="247"/>
      <c r="AL234" s="247"/>
      <c r="AM234" s="247"/>
      <c r="AN234" s="247"/>
      <c r="AO234" s="247"/>
      <c r="AP234" s="247"/>
      <c r="AQ234" s="247"/>
      <c r="AR234" s="247"/>
      <c r="AS234" s="247"/>
      <c r="AT234" s="247"/>
      <c r="AU234" s="247"/>
      <c r="AV234" s="247"/>
      <c r="AW234" s="247"/>
      <c r="AX234" s="247"/>
      <c r="AY234" s="247"/>
      <c r="AZ234" s="247"/>
      <c r="BA234" s="247"/>
      <c r="BB234" s="247"/>
      <c r="BC234" s="247"/>
      <c r="BD234" s="247"/>
      <c r="BE234" s="247"/>
      <c r="BF234" s="247"/>
      <c r="BG234" s="247"/>
      <c r="BH234" s="247"/>
      <c r="BI234" s="247"/>
      <c r="BJ234" s="247"/>
      <c r="BK234" s="247"/>
      <c r="BL234" s="247"/>
      <c r="BM234" s="247"/>
      <c r="BN234" s="248"/>
    </row>
    <row r="235" spans="2:66" s="246" customFormat="1" ht="17.25" customHeight="1">
      <c r="C235" s="278"/>
      <c r="D235" s="278"/>
      <c r="E235" s="278"/>
      <c r="F235" s="1070"/>
      <c r="G235" s="1070" t="s">
        <v>215</v>
      </c>
      <c r="H235" s="1070"/>
      <c r="I235" s="1070"/>
      <c r="J235" s="1070"/>
      <c r="K235" s="1070"/>
      <c r="L235" s="1084" t="s">
        <v>217</v>
      </c>
      <c r="M235" s="1085"/>
      <c r="N235" s="1085"/>
      <c r="O235" s="1085"/>
      <c r="P235" s="1086"/>
      <c r="Q235" s="247"/>
      <c r="AB235" s="419"/>
      <c r="AC235" s="247"/>
      <c r="AD235" s="247"/>
      <c r="AE235" s="247"/>
      <c r="AF235" s="247"/>
      <c r="AG235" s="247"/>
      <c r="AH235" s="247"/>
      <c r="AI235" s="247"/>
      <c r="AJ235" s="247"/>
      <c r="AK235" s="247"/>
      <c r="AL235" s="247"/>
      <c r="AM235" s="247"/>
      <c r="AN235" s="247"/>
      <c r="AO235" s="247"/>
      <c r="AP235" s="247"/>
      <c r="AQ235" s="247"/>
      <c r="AR235" s="247"/>
      <c r="AS235" s="247"/>
      <c r="AT235" s="247"/>
      <c r="AU235" s="247"/>
      <c r="AV235" s="247"/>
      <c r="AW235" s="247"/>
      <c r="AX235" s="247"/>
      <c r="AY235" s="247"/>
      <c r="AZ235" s="247"/>
      <c r="BA235" s="247"/>
      <c r="BB235" s="247"/>
      <c r="BC235" s="247"/>
      <c r="BD235" s="247"/>
      <c r="BE235" s="247"/>
      <c r="BF235" s="247"/>
      <c r="BG235" s="247"/>
      <c r="BH235" s="247"/>
      <c r="BI235" s="247"/>
      <c r="BJ235" s="247"/>
      <c r="BK235" s="247"/>
      <c r="BL235" s="247"/>
      <c r="BM235" s="247"/>
      <c r="BN235" s="248"/>
    </row>
    <row r="236" spans="2:66" s="246" customFormat="1" ht="17.25" customHeight="1">
      <c r="C236" s="278"/>
      <c r="D236" s="278"/>
      <c r="E236" s="278"/>
      <c r="F236" s="1070"/>
      <c r="G236" s="1070" t="s">
        <v>216</v>
      </c>
      <c r="H236" s="1070"/>
      <c r="I236" s="1070"/>
      <c r="J236" s="1070"/>
      <c r="K236" s="1070"/>
      <c r="L236" s="1084" t="s">
        <v>218</v>
      </c>
      <c r="M236" s="1085"/>
      <c r="N236" s="1085"/>
      <c r="O236" s="1085"/>
      <c r="P236" s="1086"/>
      <c r="Q236" s="247"/>
      <c r="AB236" s="419"/>
      <c r="AC236" s="247"/>
      <c r="AD236" s="247"/>
      <c r="AE236" s="247"/>
      <c r="AF236" s="247"/>
      <c r="AG236" s="247"/>
      <c r="AH236" s="247"/>
      <c r="AI236" s="247"/>
      <c r="AJ236" s="247"/>
      <c r="AK236" s="247"/>
      <c r="AL236" s="247"/>
      <c r="AM236" s="247"/>
      <c r="AN236" s="247"/>
      <c r="AO236" s="247"/>
      <c r="AP236" s="247"/>
      <c r="AQ236" s="247"/>
      <c r="AR236" s="247"/>
      <c r="AS236" s="247"/>
      <c r="AT236" s="247"/>
      <c r="AU236" s="247"/>
      <c r="AV236" s="247"/>
      <c r="AW236" s="247"/>
      <c r="AX236" s="247"/>
      <c r="AY236" s="247"/>
      <c r="AZ236" s="247"/>
      <c r="BA236" s="247"/>
      <c r="BB236" s="247"/>
      <c r="BC236" s="247"/>
      <c r="BD236" s="247"/>
      <c r="BE236" s="247"/>
      <c r="BF236" s="247"/>
      <c r="BG236" s="247"/>
      <c r="BH236" s="247"/>
      <c r="BI236" s="247"/>
      <c r="BJ236" s="247"/>
      <c r="BK236" s="247"/>
      <c r="BL236" s="247"/>
      <c r="BM236" s="247"/>
      <c r="BN236" s="248"/>
    </row>
    <row r="237" spans="2:66" s="246" customFormat="1" ht="17.25" customHeight="1">
      <c r="C237" s="278"/>
      <c r="D237" s="278"/>
      <c r="E237" s="278"/>
      <c r="F237" s="1087" t="s">
        <v>214</v>
      </c>
      <c r="G237" s="1087"/>
      <c r="H237" s="1087"/>
      <c r="I237" s="1087"/>
      <c r="J237" s="1087"/>
      <c r="K237" s="1087"/>
      <c r="L237" s="1084" t="s">
        <v>219</v>
      </c>
      <c r="M237" s="1085"/>
      <c r="N237" s="1085"/>
      <c r="O237" s="1085"/>
      <c r="P237" s="1086"/>
      <c r="Q237" s="247"/>
      <c r="AB237" s="419"/>
      <c r="AC237" s="247"/>
      <c r="AD237" s="247"/>
      <c r="AE237" s="247"/>
      <c r="AF237" s="247"/>
      <c r="AG237" s="247"/>
      <c r="AH237" s="247"/>
      <c r="AI237" s="247"/>
      <c r="AJ237" s="247"/>
      <c r="AK237" s="247"/>
      <c r="AL237" s="247"/>
      <c r="AM237" s="247"/>
      <c r="AN237" s="247"/>
      <c r="AO237" s="247"/>
      <c r="AP237" s="247"/>
      <c r="AQ237" s="247"/>
      <c r="AR237" s="247"/>
      <c r="AS237" s="247"/>
      <c r="AT237" s="247"/>
      <c r="AU237" s="247"/>
      <c r="AV237" s="247"/>
      <c r="AW237" s="247"/>
      <c r="AX237" s="247"/>
      <c r="AY237" s="247"/>
      <c r="AZ237" s="247"/>
      <c r="BA237" s="247"/>
      <c r="BB237" s="247"/>
      <c r="BC237" s="247"/>
      <c r="BD237" s="247"/>
      <c r="BE237" s="247"/>
      <c r="BF237" s="247"/>
      <c r="BG237" s="247"/>
      <c r="BH237" s="247"/>
      <c r="BI237" s="247"/>
      <c r="BJ237" s="247"/>
      <c r="BK237" s="247"/>
      <c r="BL237" s="247"/>
      <c r="BM237" s="247"/>
      <c r="BN237" s="248"/>
    </row>
    <row r="238" spans="2:66" s="246" customFormat="1" ht="17.25" customHeight="1">
      <c r="C238" s="278"/>
      <c r="D238" s="278"/>
      <c r="E238" s="278"/>
      <c r="F238" s="809" t="s">
        <v>419</v>
      </c>
      <c r="G238" s="809"/>
      <c r="H238" s="819" t="b">
        <f>((E69*F90)&gt;0)</f>
        <v>0</v>
      </c>
      <c r="I238" s="820"/>
      <c r="J238" s="820"/>
      <c r="K238" s="820"/>
      <c r="L238" s="820"/>
      <c r="M238" s="821"/>
      <c r="Q238" s="247"/>
      <c r="AB238" s="419"/>
      <c r="AC238" s="247"/>
      <c r="AD238" s="247"/>
      <c r="AE238" s="247"/>
      <c r="AF238" s="247"/>
      <c r="AG238" s="247"/>
      <c r="AH238" s="247"/>
      <c r="AI238" s="247"/>
      <c r="AJ238" s="247"/>
      <c r="AK238" s="247"/>
      <c r="AL238" s="247"/>
      <c r="AM238" s="247"/>
      <c r="AN238" s="247"/>
      <c r="AO238" s="247"/>
      <c r="AP238" s="247"/>
      <c r="AQ238" s="247"/>
      <c r="AR238" s="247"/>
      <c r="AS238" s="247"/>
      <c r="AT238" s="247"/>
      <c r="AU238" s="247"/>
      <c r="AV238" s="247"/>
      <c r="AW238" s="247"/>
      <c r="AX238" s="247"/>
      <c r="AY238" s="247"/>
      <c r="AZ238" s="247"/>
      <c r="BA238" s="247"/>
      <c r="BB238" s="247"/>
      <c r="BC238" s="247"/>
      <c r="BD238" s="247"/>
      <c r="BE238" s="247"/>
      <c r="BF238" s="247"/>
      <c r="BG238" s="247"/>
      <c r="BH238" s="247"/>
      <c r="BI238" s="247"/>
      <c r="BJ238" s="247"/>
      <c r="BK238" s="247"/>
      <c r="BL238" s="247"/>
      <c r="BM238" s="247"/>
      <c r="BN238" s="248"/>
    </row>
    <row r="239" spans="2:66" s="246" customFormat="1" ht="17.25" customHeight="1">
      <c r="C239" s="278"/>
      <c r="D239" s="278"/>
      <c r="E239" s="278"/>
      <c r="F239" s="809" t="s">
        <v>420</v>
      </c>
      <c r="G239" s="809"/>
      <c r="H239" s="819" t="b">
        <f>(E69&gt;F90)</f>
        <v>1</v>
      </c>
      <c r="I239" s="820"/>
      <c r="J239" s="820"/>
      <c r="K239" s="820"/>
      <c r="L239" s="820"/>
      <c r="M239" s="821"/>
      <c r="N239" s="271" t="s">
        <v>598</v>
      </c>
      <c r="O239" s="1096" t="str">
        <f>P165</f>
        <v>N 37°35.04 (N 37.5840) [N 37°35'02.56]</v>
      </c>
      <c r="P239" s="887"/>
      <c r="Q239" s="887"/>
      <c r="R239" s="887"/>
      <c r="S239" s="888"/>
      <c r="T239"/>
      <c r="AB239" s="419"/>
      <c r="AC239" s="247"/>
      <c r="AD239" s="247"/>
      <c r="AE239" s="247"/>
      <c r="AF239" s="247"/>
      <c r="AG239" s="247"/>
      <c r="AH239" s="247"/>
      <c r="AI239" s="247"/>
      <c r="AJ239" s="247"/>
      <c r="AK239" s="247"/>
      <c r="AL239" s="247"/>
      <c r="AM239" s="247"/>
      <c r="AN239" s="247"/>
      <c r="AO239" s="247"/>
      <c r="AP239" s="247"/>
      <c r="AQ239" s="247"/>
      <c r="AR239" s="247"/>
      <c r="AS239" s="247"/>
      <c r="AT239" s="247"/>
      <c r="AU239" s="247"/>
      <c r="AV239" s="247"/>
      <c r="AW239" s="247"/>
      <c r="AX239" s="247"/>
      <c r="AY239" s="247"/>
      <c r="AZ239" s="247"/>
      <c r="BA239" s="247"/>
      <c r="BB239" s="247"/>
      <c r="BC239" s="247"/>
      <c r="BD239" s="247"/>
      <c r="BE239" s="247"/>
      <c r="BF239" s="247"/>
      <c r="BG239" s="247"/>
      <c r="BH239" s="247"/>
      <c r="BI239" s="247"/>
      <c r="BJ239" s="247"/>
      <c r="BK239" s="247"/>
      <c r="BL239" s="247"/>
      <c r="BM239" s="247"/>
      <c r="BN239" s="248"/>
    </row>
    <row r="240" spans="2:66" s="246" customFormat="1" ht="17.25" customHeight="1">
      <c r="C240" s="352"/>
      <c r="D240" s="1076" t="s">
        <v>557</v>
      </c>
      <c r="E240" s="1077"/>
      <c r="F240" s="1078" t="s">
        <v>576</v>
      </c>
      <c r="G240" s="1078"/>
      <c r="H240" s="1082" t="str">
        <f>V158</f>
        <v>Le soleil est au sud, et le nord est dans le dos</v>
      </c>
      <c r="I240" s="1083"/>
      <c r="J240" s="1083"/>
      <c r="K240" s="1083"/>
      <c r="L240" s="1083"/>
      <c r="M240" s="1083"/>
      <c r="P240" s="304"/>
      <c r="Q240" s="304"/>
      <c r="AB240" s="419"/>
      <c r="AC240" s="247"/>
      <c r="AD240" s="247"/>
      <c r="AE240" s="247"/>
      <c r="AF240" s="247"/>
      <c r="AG240" s="247"/>
      <c r="AH240" s="247"/>
      <c r="AI240" s="247"/>
      <c r="AJ240" s="247"/>
      <c r="AK240" s="247"/>
      <c r="AL240" s="247"/>
      <c r="AM240" s="247"/>
      <c r="AN240" s="247"/>
      <c r="AO240" s="247"/>
      <c r="AP240" s="247"/>
      <c r="AQ240" s="247"/>
      <c r="AR240" s="247"/>
      <c r="AS240" s="247"/>
      <c r="AT240" s="247"/>
      <c r="AU240" s="247"/>
      <c r="AV240" s="247"/>
      <c r="AW240" s="247"/>
      <c r="AX240" s="247"/>
      <c r="AY240" s="247"/>
      <c r="AZ240" s="247"/>
      <c r="BA240" s="247"/>
      <c r="BB240" s="247"/>
      <c r="BC240" s="247"/>
      <c r="BD240" s="247"/>
      <c r="BE240" s="247"/>
      <c r="BF240" s="247"/>
      <c r="BG240" s="247"/>
      <c r="BH240" s="247"/>
      <c r="BI240" s="247"/>
      <c r="BJ240" s="247"/>
      <c r="BK240" s="247"/>
      <c r="BL240" s="247"/>
      <c r="BM240" s="247"/>
      <c r="BN240" s="248"/>
    </row>
    <row r="241" spans="2:66" s="246" customFormat="1" ht="17.25" customHeight="1">
      <c r="C241" s="352"/>
      <c r="D241" s="1076"/>
      <c r="E241" s="1077"/>
      <c r="F241" s="1079" t="s">
        <v>596</v>
      </c>
      <c r="G241" s="1080"/>
      <c r="H241" s="1082" t="str">
        <f>V159</f>
        <v>Lat et Dec - Meme sens ?: FALSE</v>
      </c>
      <c r="I241" s="1083"/>
      <c r="J241" s="1083"/>
      <c r="K241" s="1083"/>
      <c r="L241" s="1083"/>
      <c r="M241" s="1083"/>
      <c r="P241" s="304"/>
      <c r="Q241" s="304"/>
      <c r="AB241" s="419"/>
      <c r="AC241" s="247"/>
      <c r="AD241" s="247"/>
      <c r="AE241" s="247"/>
      <c r="AF241" s="247"/>
      <c r="AG241" s="247"/>
      <c r="AH241" s="247"/>
      <c r="AI241" s="247"/>
      <c r="AJ241" s="247"/>
      <c r="AK241" s="247"/>
      <c r="AL241" s="247"/>
      <c r="AM241" s="247"/>
      <c r="AN241" s="247"/>
      <c r="AO241" s="247"/>
      <c r="AP241" s="247"/>
      <c r="AQ241" s="247"/>
      <c r="AR241" s="247"/>
      <c r="AS241" s="247"/>
      <c r="AT241" s="247"/>
      <c r="AU241" s="247"/>
      <c r="AV241" s="247"/>
      <c r="AW241" s="247"/>
      <c r="AX241" s="247"/>
      <c r="AY241" s="247"/>
      <c r="AZ241" s="247"/>
      <c r="BA241" s="247"/>
      <c r="BB241" s="247"/>
      <c r="BC241" s="247"/>
      <c r="BD241" s="247"/>
      <c r="BE241" s="247"/>
      <c r="BF241" s="247"/>
      <c r="BG241" s="247"/>
      <c r="BH241" s="247"/>
      <c r="BI241" s="247"/>
      <c r="BJ241" s="247"/>
      <c r="BK241" s="247"/>
      <c r="BL241" s="247"/>
      <c r="BM241" s="247"/>
      <c r="BN241" s="248"/>
    </row>
    <row r="242" spans="2:66" s="246" customFormat="1" ht="17.25" customHeight="1">
      <c r="C242" s="352"/>
      <c r="D242" s="1076"/>
      <c r="E242" s="1077"/>
      <c r="F242" s="1079" t="s">
        <v>597</v>
      </c>
      <c r="G242" s="1081"/>
      <c r="H242" s="1082" t="str">
        <f>V160</f>
        <v>Lat &gt; Dec  ? : TRUE</v>
      </c>
      <c r="I242" s="1083"/>
      <c r="J242" s="1083"/>
      <c r="K242" s="1083"/>
      <c r="L242" s="1083"/>
      <c r="M242" s="1083"/>
      <c r="N242" s="271" t="s">
        <v>598</v>
      </c>
      <c r="O242" s="1096" t="str">
        <f>P164</f>
        <v>N 08°07.64 (N 08.1273) [N 08°07'38.56]</v>
      </c>
      <c r="P242" s="887"/>
      <c r="Q242" s="887"/>
      <c r="R242" s="887"/>
      <c r="S242" s="888"/>
      <c r="T242"/>
      <c r="AB242" s="419"/>
      <c r="AC242" s="247"/>
      <c r="AD242" s="247"/>
      <c r="AE242" s="247"/>
      <c r="AF242" s="247"/>
      <c r="AG242" s="247"/>
      <c r="AH242" s="247"/>
      <c r="AI242" s="247"/>
      <c r="AJ242" s="247"/>
      <c r="AK242" s="247"/>
      <c r="AL242" s="247"/>
      <c r="AM242" s="247"/>
      <c r="AN242" s="247"/>
      <c r="AO242" s="247"/>
      <c r="AP242" s="247"/>
      <c r="AQ242" s="247"/>
      <c r="AR242" s="247"/>
      <c r="AS242" s="247"/>
      <c r="AT242" s="247"/>
      <c r="AU242" s="247"/>
      <c r="AV242" s="247"/>
      <c r="AW242" s="247"/>
      <c r="AX242" s="247"/>
      <c r="AY242" s="247"/>
      <c r="AZ242" s="247"/>
      <c r="BA242" s="247"/>
      <c r="BB242" s="247"/>
      <c r="BC242" s="247"/>
      <c r="BD242" s="247"/>
      <c r="BE242" s="247"/>
      <c r="BF242" s="247"/>
      <c r="BG242" s="247"/>
      <c r="BH242" s="247"/>
      <c r="BI242" s="247"/>
      <c r="BJ242" s="247"/>
      <c r="BK242" s="247"/>
      <c r="BL242" s="247"/>
      <c r="BM242" s="247"/>
      <c r="BN242" s="248"/>
    </row>
    <row r="243" spans="2:66" s="246" customFormat="1" ht="17.25" customHeight="1">
      <c r="B243" s="905" t="s">
        <v>212</v>
      </c>
      <c r="C243" s="906"/>
      <c r="D243" s="907"/>
      <c r="E243" s="827" t="str" cm="1">
        <f t="array" ref="E243">latitudeDecimal2Txt(M164)</f>
        <v>N 08°07.64 (N 08.1273) [N 08°07'38.56]</v>
      </c>
      <c r="F243" s="827"/>
      <c r="G243" s="827"/>
      <c r="H243" s="827"/>
      <c r="I243" s="827"/>
      <c r="J243" s="827"/>
      <c r="N243" s="304"/>
      <c r="O243" s="304"/>
      <c r="P243" s="304"/>
      <c r="Q243" s="304"/>
      <c r="AB243" s="419"/>
      <c r="AC243" s="247"/>
      <c r="AD243" s="247"/>
      <c r="AE243" s="247"/>
      <c r="AF243" s="247"/>
      <c r="AG243" s="247"/>
      <c r="AH243" s="247"/>
      <c r="AI243" s="247"/>
      <c r="AJ243" s="247"/>
      <c r="AK243" s="247"/>
      <c r="AL243" s="247"/>
      <c r="AM243" s="247"/>
      <c r="AN243" s="247"/>
      <c r="AO243" s="247"/>
      <c r="AP243" s="247"/>
      <c r="AQ243" s="247"/>
      <c r="AR243" s="247"/>
      <c r="AS243" s="247"/>
      <c r="AT243" s="247"/>
      <c r="AU243" s="247"/>
      <c r="AV243" s="247"/>
      <c r="AW243" s="247"/>
      <c r="AX243" s="247"/>
      <c r="AY243" s="247"/>
      <c r="AZ243" s="247"/>
      <c r="BA243" s="247"/>
      <c r="BB243" s="247"/>
      <c r="BC243" s="247"/>
      <c r="BD243" s="247"/>
      <c r="BE243" s="247"/>
      <c r="BF243" s="247"/>
      <c r="BG243" s="247"/>
      <c r="BH243" s="247"/>
      <c r="BI243" s="247"/>
      <c r="BJ243" s="247"/>
      <c r="BK243" s="247"/>
      <c r="BL243" s="247"/>
      <c r="BM243" s="247"/>
      <c r="BN243" s="248"/>
    </row>
    <row r="244" spans="2:66" s="246" customFormat="1" ht="17.25" customHeight="1">
      <c r="B244" s="892" t="s">
        <v>469</v>
      </c>
      <c r="C244" s="892"/>
      <c r="D244" s="892"/>
      <c r="E244" s="892" t="str">
        <f>longitudeDecimal2Txt(V60)</f>
        <v>W 07°20.68 (W 07.3447) [W 07°20'41.21]</v>
      </c>
      <c r="F244" s="892"/>
      <c r="G244" s="892"/>
      <c r="H244" s="892"/>
      <c r="I244" s="892"/>
      <c r="J244" s="892"/>
      <c r="AB244" s="419"/>
      <c r="AC244" s="247"/>
      <c r="AD244" s="247"/>
      <c r="AE244" s="247"/>
      <c r="AF244" s="247"/>
      <c r="AG244" s="247"/>
      <c r="AH244" s="247"/>
      <c r="AI244" s="247"/>
      <c r="AJ244" s="247"/>
      <c r="AK244" s="247"/>
      <c r="AL244" s="247"/>
      <c r="AM244" s="247"/>
      <c r="AN244" s="247"/>
      <c r="AO244" s="247"/>
      <c r="AP244" s="247"/>
      <c r="AQ244" s="247"/>
      <c r="AR244" s="247"/>
      <c r="AS244" s="247"/>
      <c r="AT244" s="247"/>
      <c r="AU244" s="247"/>
      <c r="AV244" s="247"/>
      <c r="AW244" s="247"/>
      <c r="AX244" s="247"/>
      <c r="AY244" s="247"/>
      <c r="AZ244" s="247"/>
      <c r="BA244" s="247"/>
      <c r="BB244" s="247"/>
      <c r="BC244" s="247"/>
      <c r="BD244" s="247"/>
      <c r="BE244" s="247"/>
      <c r="BF244" s="247"/>
      <c r="BG244" s="247"/>
      <c r="BH244" s="247"/>
      <c r="BI244" s="247"/>
      <c r="BJ244" s="247"/>
      <c r="BK244" s="247"/>
      <c r="BL244" s="247"/>
      <c r="BM244" s="247"/>
      <c r="BN244" s="248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70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402" customWidth="1"/>
    <col min="29" max="30" width="16.140625" style="351" customWidth="1"/>
    <col min="31" max="31" width="9.5703125" style="351" bestFit="1" customWidth="1"/>
    <col min="32" max="32" width="6.5703125" style="351" bestFit="1" customWidth="1"/>
    <col min="33" max="33" width="9.5703125" style="351" bestFit="1" customWidth="1"/>
    <col min="34" max="34" width="8.5703125" bestFit="1" customWidth="1"/>
  </cols>
  <sheetData>
    <row r="1" spans="1:66" s="16" customFormat="1" ht="17.25" customHeight="1">
      <c r="C1" s="1192" t="s">
        <v>132</v>
      </c>
      <c r="D1" s="1192"/>
      <c r="E1" s="1192"/>
      <c r="F1" s="1192"/>
      <c r="G1" s="1193" t="s">
        <v>133</v>
      </c>
      <c r="H1" s="1193"/>
      <c r="I1" s="1193"/>
      <c r="J1" s="1193"/>
      <c r="K1" s="1193"/>
      <c r="L1" s="1193"/>
      <c r="M1" s="1193"/>
      <c r="N1" s="1193"/>
      <c r="O1" s="1193"/>
      <c r="P1" s="1193"/>
      <c r="Q1" s="1193"/>
      <c r="R1" s="1193"/>
      <c r="S1" s="1193"/>
      <c r="T1" s="1193"/>
      <c r="U1" s="1193"/>
      <c r="V1" s="1193"/>
      <c r="W1" s="1193"/>
      <c r="X1" s="1193"/>
      <c r="Y1" s="1193"/>
      <c r="AB1" s="398"/>
      <c r="AC1" s="351"/>
      <c r="AD1" s="351"/>
      <c r="AE1" s="351"/>
      <c r="AF1" s="351"/>
      <c r="AG1" s="35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1192"/>
      <c r="D2" s="1192"/>
      <c r="E2" s="1192"/>
      <c r="F2" s="1192"/>
      <c r="G2" s="1193"/>
      <c r="H2" s="1193"/>
      <c r="I2" s="1193"/>
      <c r="J2" s="1193"/>
      <c r="K2" s="1193"/>
      <c r="L2" s="1193"/>
      <c r="M2" s="1193"/>
      <c r="N2" s="1193"/>
      <c r="O2" s="1193"/>
      <c r="P2" s="1193"/>
      <c r="Q2" s="1193"/>
      <c r="R2" s="1193"/>
      <c r="S2" s="1193"/>
      <c r="T2" s="1193"/>
      <c r="U2" s="1193"/>
      <c r="V2" s="1193"/>
      <c r="W2" s="1193"/>
      <c r="X2" s="1193"/>
      <c r="Y2" s="1193"/>
      <c r="AB2" s="398"/>
      <c r="AC2" s="351"/>
      <c r="AD2" s="351"/>
      <c r="AE2" s="351"/>
      <c r="AF2" s="351"/>
      <c r="AG2" s="351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1192"/>
      <c r="D3" s="1192"/>
      <c r="E3" s="1192"/>
      <c r="F3" s="1192"/>
      <c r="G3" s="602" t="s">
        <v>137</v>
      </c>
      <c r="H3" s="602"/>
      <c r="I3" s="602"/>
      <c r="J3" s="603" t="s">
        <v>136</v>
      </c>
      <c r="K3" s="603"/>
      <c r="L3" s="603"/>
      <c r="N3" s="1194" t="s">
        <v>227</v>
      </c>
      <c r="O3" s="1194"/>
      <c r="P3" s="1194"/>
      <c r="Q3" s="1195" t="s">
        <v>192</v>
      </c>
      <c r="R3" s="1195"/>
      <c r="S3" s="1195"/>
      <c r="AB3" s="398"/>
      <c r="AC3" s="351"/>
      <c r="AD3" s="351"/>
      <c r="AE3" s="351"/>
      <c r="AF3" s="351"/>
      <c r="AG3" s="351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1192"/>
      <c r="D4" s="1192"/>
      <c r="E4" s="1192"/>
      <c r="F4" s="1192"/>
      <c r="G4" s="485"/>
      <c r="H4" s="485"/>
      <c r="I4" s="485"/>
      <c r="J4" s="604"/>
      <c r="K4" s="604"/>
      <c r="L4" s="604"/>
      <c r="N4" s="1194"/>
      <c r="O4" s="1194"/>
      <c r="P4" s="1194"/>
      <c r="Q4" s="1195"/>
      <c r="R4" s="1195"/>
      <c r="S4" s="1195"/>
      <c r="AB4" s="398"/>
      <c r="AC4" s="351"/>
      <c r="AD4" s="351"/>
      <c r="AE4" s="351"/>
      <c r="AF4" s="351"/>
      <c r="AG4" s="351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98"/>
      <c r="AC5" s="351"/>
      <c r="AD5" s="351"/>
      <c r="AE5" s="351"/>
      <c r="AF5" s="351"/>
      <c r="AG5" s="351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246" customFormat="1" ht="17.25" customHeight="1" thickBot="1">
      <c r="B6" s="306" t="s">
        <v>259</v>
      </c>
      <c r="C6" s="307"/>
      <c r="D6" s="307"/>
      <c r="E6" s="307"/>
      <c r="F6" s="307"/>
      <c r="G6" s="307"/>
      <c r="H6" s="307"/>
      <c r="I6" s="307"/>
      <c r="J6" s="307"/>
      <c r="K6" s="307"/>
      <c r="L6" s="94" t="str">
        <f>dateDecimale2txt(dateConvert2Decimal(F7),0)</f>
        <v>2025/06/30</v>
      </c>
      <c r="M6" s="380"/>
      <c r="N6" s="251" t="s">
        <v>315</v>
      </c>
      <c r="O6" s="251"/>
      <c r="P6" s="251"/>
      <c r="Q6" s="251"/>
      <c r="R6" s="251"/>
      <c r="S6" s="251" t="s">
        <v>316</v>
      </c>
      <c r="T6" s="564">
        <f>dateConvert2Decimal(F7)</f>
        <v>1751241600</v>
      </c>
      <c r="U6" s="564"/>
      <c r="V6" s="564"/>
      <c r="W6" s="251" t="s">
        <v>317</v>
      </c>
      <c r="X6" s="526">
        <f>(T6/86400)+DATE(1970,1,1)</f>
        <v>45838</v>
      </c>
      <c r="Y6" s="526"/>
      <c r="Z6" s="251" t="s">
        <v>318</v>
      </c>
      <c r="AA6" s="254">
        <f>INT(MONTH(X6))</f>
        <v>6</v>
      </c>
      <c r="AB6" s="399"/>
      <c r="AC6" s="247"/>
      <c r="AD6" s="247"/>
      <c r="AE6" s="247"/>
      <c r="AF6" s="247"/>
      <c r="AG6" s="247"/>
      <c r="AH6" s="247"/>
      <c r="AI6" s="247"/>
      <c r="AJ6" s="247"/>
      <c r="AK6" s="247"/>
      <c r="AL6" s="247"/>
      <c r="AM6" s="247"/>
      <c r="AN6" s="247"/>
      <c r="AO6" s="247"/>
      <c r="AP6" s="247"/>
      <c r="AQ6" s="247"/>
      <c r="AR6" s="247"/>
      <c r="AS6" s="247"/>
      <c r="AT6" s="247"/>
      <c r="AU6" s="247"/>
      <c r="AV6" s="247"/>
      <c r="AW6" s="247"/>
      <c r="AX6" s="247"/>
      <c r="AY6" s="247"/>
      <c r="AZ6" s="247"/>
      <c r="BA6" s="247"/>
      <c r="BB6" s="247"/>
      <c r="BC6" s="247"/>
      <c r="BD6" s="247"/>
      <c r="BE6" s="247"/>
      <c r="BF6" s="247"/>
      <c r="BG6" s="247"/>
      <c r="BH6" s="247"/>
      <c r="BI6" s="247"/>
      <c r="BJ6" s="247"/>
      <c r="BK6" s="247"/>
      <c r="BL6" s="247"/>
      <c r="BM6" s="247"/>
      <c r="BN6" s="248"/>
    </row>
    <row r="7" spans="1:66" s="246" customFormat="1" ht="17.25" customHeight="1" thickBot="1">
      <c r="C7" s="1002" t="s">
        <v>1</v>
      </c>
      <c r="D7" s="1003"/>
      <c r="E7" s="1003"/>
      <c r="F7" s="585" t="s">
        <v>228</v>
      </c>
      <c r="G7" s="586"/>
      <c r="H7" s="586"/>
      <c r="L7" s="247"/>
      <c r="M7" s="247"/>
      <c r="N7" s="247"/>
      <c r="O7" s="247"/>
      <c r="AB7" s="400"/>
      <c r="AC7" s="247"/>
      <c r="AD7" s="247"/>
      <c r="AE7" s="247"/>
      <c r="AF7" s="247"/>
      <c r="AG7" s="247"/>
      <c r="AH7" s="247"/>
      <c r="AI7" s="247"/>
      <c r="AJ7" s="247"/>
      <c r="AK7" s="247"/>
      <c r="AL7" s="247"/>
      <c r="AM7" s="247"/>
      <c r="AN7" s="247"/>
      <c r="AO7" s="247"/>
      <c r="AP7" s="247"/>
      <c r="AQ7" s="247"/>
      <c r="AR7" s="247"/>
      <c r="AS7" s="247"/>
      <c r="AT7" s="247"/>
      <c r="AU7" s="247"/>
      <c r="AV7" s="247"/>
      <c r="AW7" s="247"/>
      <c r="AX7" s="247"/>
      <c r="AY7" s="247"/>
      <c r="AZ7" s="247"/>
      <c r="BA7" s="247"/>
      <c r="BB7" s="247"/>
      <c r="BC7" s="247"/>
      <c r="BD7" s="247"/>
      <c r="BE7" s="247"/>
      <c r="BF7" s="247"/>
      <c r="BG7" s="247"/>
      <c r="BH7" s="247"/>
      <c r="BI7" s="247"/>
      <c r="BJ7" s="247"/>
      <c r="BK7" s="247"/>
      <c r="BL7" s="247"/>
      <c r="BM7" s="247"/>
      <c r="BN7" s="248"/>
    </row>
    <row r="8" spans="1:66" s="246" customFormat="1" ht="12" customHeight="1" thickTop="1" thickBot="1">
      <c r="C8" s="994" t="s">
        <v>251</v>
      </c>
      <c r="D8" s="995"/>
      <c r="E8" s="996"/>
      <c r="F8" s="629">
        <f>heureConvert2Decimal(I8)</f>
        <v>10.343055555555557</v>
      </c>
      <c r="G8" s="630"/>
      <c r="H8" s="630"/>
      <c r="I8" s="955" t="s">
        <v>528</v>
      </c>
      <c r="J8" s="730"/>
      <c r="K8" s="730"/>
      <c r="L8" s="730"/>
      <c r="M8" s="730"/>
      <c r="N8" s="956"/>
      <c r="O8" s="549" t="str">
        <f>heureDecimal2Txt(F8)</f>
        <v>10:20:35.00(10.3430)</v>
      </c>
      <c r="P8" s="549"/>
      <c r="Q8" s="549"/>
      <c r="R8" s="549"/>
      <c r="S8" s="549"/>
      <c r="T8" s="549"/>
      <c r="U8" s="549"/>
      <c r="V8" s="549"/>
      <c r="W8" s="549"/>
      <c r="X8" s="549"/>
      <c r="Y8" s="373"/>
      <c r="Z8" s="373"/>
      <c r="AB8" s="398"/>
      <c r="AE8" s="247"/>
      <c r="AF8" s="247"/>
      <c r="AG8" s="247"/>
      <c r="AH8" s="247"/>
      <c r="AI8" s="247"/>
      <c r="AJ8" s="247"/>
      <c r="AK8" s="247"/>
      <c r="AL8" s="247"/>
      <c r="AM8" s="247"/>
      <c r="AN8" s="247"/>
      <c r="AO8" s="247"/>
      <c r="AP8" s="247"/>
      <c r="AQ8" s="247"/>
      <c r="AR8" s="247"/>
      <c r="AS8" s="247"/>
      <c r="AT8" s="247"/>
      <c r="AU8" s="247"/>
      <c r="AV8" s="247"/>
      <c r="AW8" s="247"/>
      <c r="AX8" s="247"/>
      <c r="AY8" s="247"/>
      <c r="AZ8" s="247"/>
      <c r="BA8" s="247"/>
      <c r="BB8" s="247"/>
      <c r="BC8" s="247"/>
      <c r="BD8" s="247"/>
      <c r="BE8" s="247"/>
      <c r="BF8" s="247"/>
      <c r="BG8" s="247"/>
      <c r="BH8" s="247"/>
      <c r="BI8" s="247"/>
      <c r="BJ8" s="247"/>
      <c r="BK8" s="247"/>
      <c r="BL8" s="247"/>
      <c r="BM8" s="247"/>
      <c r="BN8" s="248"/>
    </row>
    <row r="9" spans="1:66" s="246" customFormat="1" ht="12" customHeight="1" thickTop="1" thickBot="1">
      <c r="C9" s="997"/>
      <c r="D9" s="998"/>
      <c r="E9" s="999"/>
      <c r="F9" s="630"/>
      <c r="G9" s="630"/>
      <c r="H9" s="630"/>
      <c r="I9" s="957"/>
      <c r="J9" s="501"/>
      <c r="K9" s="501"/>
      <c r="L9" s="501"/>
      <c r="M9" s="501"/>
      <c r="N9" s="958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373"/>
      <c r="Z9" s="373"/>
      <c r="AB9" s="398"/>
      <c r="AE9" s="247"/>
      <c r="AF9" s="247"/>
      <c r="AG9" s="247"/>
      <c r="AH9" s="247"/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7"/>
      <c r="BI9" s="247"/>
      <c r="BJ9" s="247"/>
      <c r="BK9" s="247"/>
      <c r="BL9" s="247"/>
      <c r="BM9" s="247"/>
      <c r="BN9" s="248"/>
    </row>
    <row r="10" spans="1:66" s="246" customFormat="1" ht="12" customHeight="1" thickTop="1" thickBot="1">
      <c r="A10"/>
      <c r="B10"/>
      <c r="C10" s="989" t="s">
        <v>7</v>
      </c>
      <c r="D10" s="880"/>
      <c r="E10" s="990"/>
      <c r="F10" s="629">
        <f>AD11</f>
        <v>46.1</v>
      </c>
      <c r="G10" s="630"/>
      <c r="H10" s="630"/>
      <c r="I10" s="511" t="s">
        <v>3</v>
      </c>
      <c r="J10" s="614" t="s">
        <v>269</v>
      </c>
      <c r="K10" s="511"/>
      <c r="L10" s="511"/>
      <c r="M10" s="511"/>
      <c r="N10" s="511"/>
      <c r="O10" s="549" t="str" cm="1">
        <f t="array" ref="O10">latitudeDecimal2Txt(F10)</f>
        <v>N 46°06.00 (N 46.1000) [N 46°06'00.00]</v>
      </c>
      <c r="P10" s="549"/>
      <c r="Q10" s="549"/>
      <c r="R10" s="549"/>
      <c r="S10" s="549"/>
      <c r="T10" s="549"/>
      <c r="U10" s="549"/>
      <c r="V10" s="549"/>
      <c r="W10" s="549"/>
      <c r="X10" s="549"/>
      <c r="AB10" s="400"/>
      <c r="AC10" s="117" t="s">
        <v>168</v>
      </c>
      <c r="AD10" s="3">
        <f>VLOOKUP(I10,Outils!$C$9:$E$10,3)</f>
        <v>1</v>
      </c>
      <c r="AE10" s="247"/>
      <c r="AF10" s="247"/>
      <c r="AG10" s="247"/>
      <c r="AH10" s="247"/>
      <c r="AI10" s="247"/>
      <c r="AJ10" s="247"/>
      <c r="AK10" s="247"/>
      <c r="AL10" s="247"/>
      <c r="AM10" s="247"/>
      <c r="AN10" s="247"/>
      <c r="AO10" s="247"/>
      <c r="AP10" s="247"/>
      <c r="AQ10" s="247"/>
      <c r="AR10" s="247"/>
      <c r="AS10" s="247"/>
      <c r="AT10" s="247"/>
      <c r="AU10" s="247"/>
      <c r="AV10" s="247"/>
      <c r="AW10" s="247"/>
      <c r="AX10" s="247"/>
      <c r="AY10" s="247"/>
      <c r="AZ10" s="247"/>
      <c r="BA10" s="247"/>
      <c r="BB10" s="247"/>
      <c r="BC10" s="247"/>
      <c r="BD10" s="247"/>
      <c r="BE10" s="247"/>
      <c r="BF10" s="247"/>
      <c r="BG10" s="247"/>
      <c r="BH10" s="247"/>
      <c r="BI10" s="247"/>
      <c r="BJ10" s="247"/>
      <c r="BK10" s="247"/>
      <c r="BL10" s="247"/>
      <c r="BM10" s="247"/>
      <c r="BN10" s="261"/>
    </row>
    <row r="11" spans="1:66" s="246" customFormat="1" ht="12" customHeight="1" thickTop="1" thickBot="1">
      <c r="C11" s="991"/>
      <c r="D11" s="992"/>
      <c r="E11" s="993"/>
      <c r="F11" s="630"/>
      <c r="G11" s="630"/>
      <c r="H11" s="630"/>
      <c r="I11" s="511"/>
      <c r="J11" s="511"/>
      <c r="K11" s="511"/>
      <c r="L11" s="511"/>
      <c r="M11" s="511"/>
      <c r="N11" s="511"/>
      <c r="O11" s="549"/>
      <c r="P11" s="549"/>
      <c r="Q11" s="549"/>
      <c r="R11" s="549"/>
      <c r="S11" s="549"/>
      <c r="T11" s="549"/>
      <c r="U11" s="549"/>
      <c r="V11" s="549"/>
      <c r="W11" s="549"/>
      <c r="X11" s="549"/>
      <c r="AB11" s="400"/>
      <c r="AC11" s="117" t="s">
        <v>169</v>
      </c>
      <c r="AD11" s="3" cm="1">
        <f t="array" ref="AD11">angleConvert2Decimal(J10)*AD10</f>
        <v>46.1</v>
      </c>
      <c r="AE11" s="247"/>
      <c r="AF11" s="247"/>
      <c r="AG11" s="247"/>
      <c r="AH11" s="247"/>
      <c r="AI11" s="247"/>
      <c r="AJ11" s="247"/>
      <c r="AK11" s="247"/>
      <c r="AL11" s="247"/>
      <c r="AM11" s="247"/>
      <c r="AN11" s="247"/>
      <c r="AO11" s="247"/>
      <c r="AP11" s="247"/>
      <c r="AQ11" s="247"/>
      <c r="AR11" s="247"/>
      <c r="AS11" s="247"/>
      <c r="AT11" s="247"/>
      <c r="AU11" s="247"/>
      <c r="AV11" s="247"/>
      <c r="AW11" s="247"/>
      <c r="AX11" s="247"/>
      <c r="AY11" s="247"/>
      <c r="AZ11" s="247"/>
      <c r="BA11" s="247"/>
      <c r="BB11" s="247"/>
      <c r="BC11" s="247"/>
      <c r="BD11" s="247"/>
      <c r="BE11" s="247"/>
      <c r="BF11" s="247"/>
      <c r="BG11" s="247"/>
      <c r="BH11" s="247"/>
      <c r="BI11" s="247"/>
      <c r="BJ11" s="247"/>
      <c r="BK11" s="247"/>
      <c r="BL11" s="247"/>
      <c r="BM11" s="247"/>
      <c r="BN11" s="261"/>
    </row>
    <row r="12" spans="1:66" s="246" customFormat="1" ht="12" customHeight="1" thickTop="1" thickBot="1">
      <c r="C12" s="994" t="s">
        <v>8</v>
      </c>
      <c r="D12" s="995"/>
      <c r="E12" s="996"/>
      <c r="F12" s="629">
        <f>AD13</f>
        <v>-5</v>
      </c>
      <c r="G12" s="630"/>
      <c r="H12" s="630"/>
      <c r="I12" s="1010" t="s">
        <v>6</v>
      </c>
      <c r="J12" s="614">
        <v>5</v>
      </c>
      <c r="K12" s="511"/>
      <c r="L12" s="511"/>
      <c r="M12" s="511"/>
      <c r="N12" s="511"/>
      <c r="O12" s="549" t="str" cm="1">
        <f t="array" ref="O12">longitudeDecimal2Txt(F12)</f>
        <v>W 05°00.00 (W 05.0000) [W 05°00'00.00]</v>
      </c>
      <c r="P12" s="549"/>
      <c r="Q12" s="549"/>
      <c r="R12" s="549"/>
      <c r="S12" s="549"/>
      <c r="T12" s="549"/>
      <c r="U12" s="549"/>
      <c r="V12" s="549"/>
      <c r="W12" s="549"/>
      <c r="X12" s="549"/>
      <c r="AB12" s="398"/>
      <c r="AC12" s="117" t="s">
        <v>170</v>
      </c>
      <c r="AD12" s="3">
        <f>VLOOKUP(I12,Outils!$D$9:$E$10,2)</f>
        <v>-1</v>
      </c>
      <c r="AE12" s="247"/>
      <c r="AF12" s="247"/>
      <c r="AG12" s="247"/>
      <c r="AH12" s="247"/>
      <c r="AI12" s="247"/>
      <c r="AJ12" s="247"/>
      <c r="AK12" s="247"/>
      <c r="AL12" s="247"/>
      <c r="AM12" s="247"/>
      <c r="AN12" s="247"/>
      <c r="AO12" s="247"/>
      <c r="AP12" s="247"/>
      <c r="AQ12" s="247"/>
      <c r="AR12" s="247"/>
      <c r="AS12" s="247"/>
      <c r="AT12" s="247"/>
      <c r="AU12" s="247"/>
      <c r="AV12" s="247"/>
      <c r="AW12" s="247"/>
      <c r="AX12" s="247"/>
      <c r="AY12" s="247"/>
      <c r="AZ12" s="247"/>
      <c r="BA12" s="247"/>
      <c r="BB12" s="247"/>
      <c r="BC12" s="247"/>
      <c r="BD12" s="247"/>
      <c r="BE12" s="247"/>
      <c r="BF12" s="247"/>
      <c r="BG12" s="247"/>
      <c r="BH12" s="247"/>
      <c r="BI12" s="247"/>
      <c r="BJ12" s="247"/>
      <c r="BK12" s="247"/>
      <c r="BL12" s="247"/>
      <c r="BM12" s="247"/>
      <c r="BN12" s="261"/>
    </row>
    <row r="13" spans="1:66" s="246" customFormat="1" ht="12" customHeight="1" thickTop="1" thickBot="1">
      <c r="A13"/>
      <c r="B13"/>
      <c r="C13" s="997"/>
      <c r="D13" s="998"/>
      <c r="E13" s="999"/>
      <c r="F13" s="630"/>
      <c r="G13" s="630"/>
      <c r="H13" s="630"/>
      <c r="I13" s="721"/>
      <c r="J13" s="511"/>
      <c r="K13" s="511"/>
      <c r="L13" s="511"/>
      <c r="M13" s="511"/>
      <c r="N13" s="511"/>
      <c r="O13" s="549"/>
      <c r="P13" s="549"/>
      <c r="Q13" s="549"/>
      <c r="R13" s="549"/>
      <c r="S13" s="549"/>
      <c r="T13" s="549"/>
      <c r="U13" s="549"/>
      <c r="V13" s="549"/>
      <c r="W13" s="549"/>
      <c r="X13" s="549"/>
      <c r="AB13" s="398"/>
      <c r="AC13" s="117" t="s">
        <v>171</v>
      </c>
      <c r="AD13" s="3" cm="1">
        <f t="array" ref="AD13">angleConvert2Decimal(J12)*AD12</f>
        <v>-5</v>
      </c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  <c r="BM13" s="247"/>
      <c r="BN13" s="261"/>
    </row>
    <row r="14" spans="1:66" s="246" customFormat="1" ht="12" customHeight="1" thickTop="1" thickBot="1">
      <c r="C14" s="373"/>
      <c r="D14" s="373"/>
      <c r="I14" s="373"/>
      <c r="J14" s="373"/>
      <c r="K14" s="373"/>
      <c r="L14" s="373"/>
      <c r="M14" s="373"/>
      <c r="N14" s="373"/>
      <c r="O14" s="373"/>
      <c r="P14" s="373"/>
      <c r="Q14" s="373"/>
      <c r="R14" s="373"/>
      <c r="S14" s="373"/>
      <c r="T14" s="373"/>
      <c r="U14" s="373"/>
      <c r="V14" s="373"/>
      <c r="AB14" s="398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61"/>
    </row>
    <row r="15" spans="1:66" s="246" customFormat="1" ht="17.25" customHeight="1" thickBot="1">
      <c r="B15" s="250" t="s">
        <v>260</v>
      </c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V15" s="251"/>
      <c r="W15" s="251"/>
      <c r="X15" s="251"/>
      <c r="Y15" s="251"/>
      <c r="Z15" s="251"/>
      <c r="AA15" s="279"/>
      <c r="AB15" s="399"/>
      <c r="AC15" s="247"/>
      <c r="AD15" s="247"/>
      <c r="AE15" s="247"/>
      <c r="AF15" s="247"/>
      <c r="AG15" s="247"/>
      <c r="AH15" s="247"/>
      <c r="AI15" s="247"/>
      <c r="AJ15" s="247"/>
      <c r="AK15" s="247"/>
      <c r="AL15" s="247"/>
      <c r="AM15" s="247"/>
      <c r="AN15" s="247"/>
      <c r="AO15" s="247"/>
      <c r="AP15" s="247"/>
      <c r="AQ15" s="247"/>
      <c r="AR15" s="247"/>
      <c r="AS15" s="247"/>
      <c r="AT15" s="247"/>
      <c r="AU15" s="247"/>
      <c r="AV15" s="247"/>
      <c r="AW15" s="247"/>
      <c r="AX15" s="247"/>
      <c r="AY15" s="247"/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48"/>
    </row>
    <row r="16" spans="1:66" s="247" customFormat="1" ht="12.75" customHeight="1" thickBot="1">
      <c r="C16" s="1000" t="s">
        <v>613</v>
      </c>
      <c r="D16" s="1001"/>
      <c r="E16" s="1001"/>
      <c r="F16" s="1004" cm="1">
        <f t="array" ref="F16">angleConvert2Decimal(I16)</f>
        <v>21</v>
      </c>
      <c r="G16" s="1005"/>
      <c r="H16" s="1005"/>
      <c r="I16" s="1008">
        <v>21</v>
      </c>
      <c r="J16" s="1009"/>
      <c r="K16" s="1009"/>
      <c r="L16" s="1009"/>
      <c r="M16" s="1009"/>
      <c r="N16" s="1009"/>
      <c r="O16" s="1007" t="str" cm="1">
        <f t="array" ref="O16">angleDecimal2Txt(F16)</f>
        <v>+21°00.00 (+21.0000) [+21°00'00.00]</v>
      </c>
      <c r="P16" s="1007"/>
      <c r="Q16" s="1007"/>
      <c r="R16" s="1007"/>
      <c r="S16" s="1007"/>
      <c r="T16" s="1007"/>
      <c r="U16" s="1007"/>
      <c r="V16" s="1007"/>
      <c r="W16" s="1007"/>
      <c r="X16" s="1007"/>
      <c r="AB16" s="401"/>
    </row>
    <row r="17" spans="2:33" s="247" customFormat="1" ht="12.75" customHeight="1" thickTop="1" thickBot="1">
      <c r="C17" s="656"/>
      <c r="D17" s="656"/>
      <c r="E17" s="656"/>
      <c r="F17" s="1006"/>
      <c r="G17" s="1006"/>
      <c r="H17" s="1006"/>
      <c r="I17" s="546"/>
      <c r="J17" s="546"/>
      <c r="K17" s="546"/>
      <c r="L17" s="546"/>
      <c r="M17" s="546"/>
      <c r="N17" s="546"/>
      <c r="O17" s="634"/>
      <c r="P17" s="634"/>
      <c r="Q17" s="634"/>
      <c r="R17" s="634"/>
      <c r="S17" s="634"/>
      <c r="T17" s="634"/>
      <c r="U17" s="634"/>
      <c r="V17" s="634"/>
      <c r="W17" s="634"/>
      <c r="X17" s="634"/>
      <c r="AB17" s="401"/>
    </row>
    <row r="18" spans="2:33" s="247" customFormat="1" ht="12.75" customHeight="1" thickTop="1" thickBot="1">
      <c r="C18" s="882" t="s">
        <v>614</v>
      </c>
      <c r="D18" s="656"/>
      <c r="E18" s="656"/>
      <c r="F18" s="879">
        <f>I18</f>
        <v>5</v>
      </c>
      <c r="G18" s="1006"/>
      <c r="H18" s="1006"/>
      <c r="I18" s="646">
        <v>5</v>
      </c>
      <c r="J18" s="546"/>
      <c r="K18" s="546"/>
      <c r="L18" s="546"/>
      <c r="M18" s="546"/>
      <c r="N18" s="546"/>
      <c r="O18" s="634"/>
      <c r="P18" s="634"/>
      <c r="Q18" s="634"/>
      <c r="R18" s="634"/>
      <c r="S18" s="634"/>
      <c r="T18" s="634"/>
      <c r="U18" s="634"/>
      <c r="V18" s="634"/>
      <c r="W18" s="634"/>
      <c r="X18" s="634"/>
      <c r="AB18" s="401"/>
    </row>
    <row r="19" spans="2:33" s="247" customFormat="1" ht="12.75" customHeight="1" thickTop="1" thickBot="1">
      <c r="C19" s="656"/>
      <c r="D19" s="656"/>
      <c r="E19" s="656"/>
      <c r="F19" s="1006"/>
      <c r="G19" s="1006"/>
      <c r="H19" s="1006"/>
      <c r="I19" s="546"/>
      <c r="J19" s="546"/>
      <c r="K19" s="546"/>
      <c r="L19" s="546"/>
      <c r="M19" s="546"/>
      <c r="N19" s="546"/>
      <c r="O19" s="634"/>
      <c r="P19" s="634"/>
      <c r="Q19" s="634"/>
      <c r="R19" s="634"/>
      <c r="S19" s="634"/>
      <c r="T19" s="634"/>
      <c r="U19" s="634"/>
      <c r="V19" s="634"/>
      <c r="W19" s="634"/>
      <c r="X19" s="634"/>
      <c r="AB19" s="401"/>
    </row>
    <row r="20" spans="2:33" s="247" customFormat="1" ht="12.75" customHeight="1" thickTop="1" thickBot="1">
      <c r="C20" s="1028" t="s">
        <v>615</v>
      </c>
      <c r="D20" s="1029"/>
      <c r="E20" s="1029"/>
      <c r="F20" s="953">
        <f>heureConvert2Decimal(I20)</f>
        <v>12.062777777777779</v>
      </c>
      <c r="G20" s="630"/>
      <c r="H20" s="630"/>
      <c r="I20" s="955" t="s">
        <v>533</v>
      </c>
      <c r="J20" s="730"/>
      <c r="K20" s="730"/>
      <c r="L20" s="730"/>
      <c r="M20" s="730"/>
      <c r="N20" s="956"/>
      <c r="O20" s="549" t="str">
        <f>heureDecimal2Txt(F20)</f>
        <v>12:03:46.00(12.0627)</v>
      </c>
      <c r="P20" s="549"/>
      <c r="Q20" s="549"/>
      <c r="R20" s="549"/>
      <c r="S20" s="549"/>
      <c r="T20" s="549"/>
      <c r="U20" s="549"/>
      <c r="V20" s="549"/>
      <c r="W20" s="549"/>
      <c r="X20" s="549"/>
      <c r="AB20" s="401"/>
    </row>
    <row r="21" spans="2:33" s="247" customFormat="1" ht="12.75" customHeight="1" thickTop="1" thickBot="1">
      <c r="C21" s="1029"/>
      <c r="D21" s="1029"/>
      <c r="E21" s="1029"/>
      <c r="F21" s="954"/>
      <c r="G21" s="630"/>
      <c r="H21" s="630"/>
      <c r="I21" s="957"/>
      <c r="J21" s="501"/>
      <c r="K21" s="501"/>
      <c r="L21" s="501"/>
      <c r="M21" s="501"/>
      <c r="N21" s="958"/>
      <c r="O21" s="549"/>
      <c r="P21" s="549"/>
      <c r="Q21" s="549"/>
      <c r="R21" s="549"/>
      <c r="S21" s="549"/>
      <c r="T21" s="549"/>
      <c r="U21" s="549"/>
      <c r="V21" s="549"/>
      <c r="W21" s="549"/>
      <c r="X21" s="549"/>
      <c r="AB21" s="401"/>
    </row>
    <row r="22" spans="2:33" s="247" customFormat="1" ht="12.75" customHeight="1" thickTop="1">
      <c r="F22"/>
      <c r="G22"/>
      <c r="H22"/>
      <c r="I22"/>
      <c r="J22"/>
      <c r="K22"/>
      <c r="AB22" s="401"/>
    </row>
    <row r="23" spans="2:33" s="247" customFormat="1" ht="12.75" customHeight="1">
      <c r="C23" s="1030" t="s">
        <v>415</v>
      </c>
      <c r="D23" s="1031"/>
      <c r="E23" s="1031"/>
      <c r="F23" s="1031"/>
      <c r="G23" s="1031"/>
      <c r="H23" s="1031"/>
      <c r="I23" s="1031"/>
      <c r="J23" s="1031"/>
      <c r="K23" s="1032"/>
      <c r="AB23" s="401"/>
    </row>
    <row r="24" spans="2:33" s="247" customFormat="1" ht="12.75" customHeight="1" thickBot="1">
      <c r="C24" s="1033"/>
      <c r="D24" s="1034"/>
      <c r="E24" s="1034"/>
      <c r="F24" s="1034"/>
      <c r="G24" s="1034"/>
      <c r="H24" s="1034"/>
      <c r="I24" s="1034"/>
      <c r="J24" s="1034"/>
      <c r="K24" s="1035"/>
      <c r="AB24" s="401"/>
    </row>
    <row r="25" spans="2:33" s="247" customFormat="1" ht="12.75" customHeight="1" thickTop="1" thickBot="1">
      <c r="C25" s="126"/>
      <c r="D25" s="126"/>
      <c r="E25" s="126"/>
      <c r="F25" s="959">
        <f>IF(C26=AC26,F10,(F10+F27)/2)</f>
        <v>46.138899184437385</v>
      </c>
      <c r="G25" s="960"/>
      <c r="H25" s="960"/>
      <c r="I25" s="963" t="str" cm="1">
        <f t="array" ref="I25">latitudeDecimal2Txt(F25)</f>
        <v>N 46°08.33 (N 46.1388) [N 46°08'20.03]</v>
      </c>
      <c r="J25" s="963"/>
      <c r="K25" s="963"/>
      <c r="L25" s="963"/>
      <c r="M25" s="963"/>
      <c r="N25" s="963"/>
      <c r="O25" s="963"/>
      <c r="P25" s="963"/>
      <c r="Q25" s="963"/>
      <c r="R25" s="963"/>
      <c r="AB25" s="401"/>
    </row>
    <row r="26" spans="2:33" s="247" customFormat="1" ht="12.75" customHeight="1" thickTop="1" thickBot="1">
      <c r="C26" s="964" t="s">
        <v>591</v>
      </c>
      <c r="D26" s="964"/>
      <c r="E26" s="964"/>
      <c r="F26" s="961"/>
      <c r="G26" s="962"/>
      <c r="H26" s="962"/>
      <c r="I26" s="963"/>
      <c r="J26" s="963"/>
      <c r="K26" s="963"/>
      <c r="L26" s="963"/>
      <c r="M26" s="963"/>
      <c r="N26" s="963"/>
      <c r="O26" s="963"/>
      <c r="P26" s="963"/>
      <c r="Q26" s="963"/>
      <c r="R26" s="963"/>
      <c r="AB26" s="401"/>
      <c r="AC26" s="370" t="s">
        <v>580</v>
      </c>
    </row>
    <row r="27" spans="2:33" s="247" customFormat="1" ht="12.75" customHeight="1" thickTop="1">
      <c r="C27" s="964"/>
      <c r="D27" s="964"/>
      <c r="E27" s="965"/>
      <c r="F27" s="966">
        <f>F10+SIN((90-F16)*Outils!$F$4)*F18/60</f>
        <v>46.177798368874768</v>
      </c>
      <c r="G27" s="941"/>
      <c r="H27" s="941"/>
      <c r="T27" s="255"/>
      <c r="AB27" s="401"/>
      <c r="AC27" s="370" t="s">
        <v>590</v>
      </c>
    </row>
    <row r="28" spans="2:33" s="126" customFormat="1" ht="12.75" customHeight="1">
      <c r="F28" s="941"/>
      <c r="G28" s="941"/>
      <c r="H28" s="941"/>
      <c r="I28"/>
      <c r="J28"/>
      <c r="K28"/>
      <c r="L28"/>
      <c r="M28"/>
      <c r="N28"/>
      <c r="T28" s="392"/>
      <c r="U28" s="392"/>
      <c r="AB28" s="402"/>
      <c r="AD28"/>
      <c r="AE28" s="375"/>
      <c r="AF28" s="375"/>
      <c r="AG28" s="375"/>
    </row>
    <row r="29" spans="2:33" s="126" customFormat="1" ht="12.75" customHeight="1" thickBot="1">
      <c r="I29"/>
      <c r="J29"/>
      <c r="K29"/>
      <c r="L29"/>
      <c r="M29"/>
      <c r="N29"/>
      <c r="AB29" s="402"/>
      <c r="AD29"/>
      <c r="AE29" s="375"/>
      <c r="AF29" s="375"/>
      <c r="AG29" s="375"/>
    </row>
    <row r="30" spans="2:33" s="247" customFormat="1" ht="15.75" thickBot="1">
      <c r="B30" s="982" t="s">
        <v>616</v>
      </c>
      <c r="C30" s="983"/>
      <c r="D30" s="983"/>
      <c r="E30" s="983"/>
      <c r="F30" s="983"/>
      <c r="G30" s="983"/>
      <c r="H30" s="983"/>
      <c r="I30" s="983"/>
      <c r="J30" s="983"/>
      <c r="K30" s="983"/>
      <c r="L30" s="983"/>
      <c r="M30" s="983"/>
      <c r="N30" s="983"/>
      <c r="O30" s="983"/>
      <c r="P30" s="983"/>
      <c r="Q30" s="983"/>
      <c r="R30" s="983"/>
      <c r="S30" s="983"/>
      <c r="T30" s="983"/>
      <c r="U30" s="983"/>
      <c r="V30" s="983"/>
      <c r="W30" s="983"/>
      <c r="X30" s="983"/>
      <c r="Y30" s="983"/>
      <c r="Z30" s="983"/>
      <c r="AA30" s="983"/>
      <c r="AB30" s="399"/>
    </row>
    <row r="31" spans="2:33" s="247" customFormat="1">
      <c r="AB31" s="401"/>
    </row>
    <row r="32" spans="2:33" s="247" customFormat="1">
      <c r="C32" s="949" t="s">
        <v>261</v>
      </c>
      <c r="D32" s="950"/>
      <c r="E32" s="950"/>
      <c r="F32" s="950"/>
      <c r="G32" s="950"/>
      <c r="H32" s="950"/>
      <c r="I32" s="950"/>
      <c r="J32" s="950"/>
      <c r="K32" s="950"/>
      <c r="L32" s="950"/>
      <c r="M32" s="950"/>
      <c r="N32" s="950"/>
      <c r="O32" s="950"/>
      <c r="P32" s="950"/>
      <c r="Q32" s="950"/>
      <c r="R32" s="1088"/>
      <c r="AB32" s="401"/>
    </row>
    <row r="33" spans="3:28" s="247" customFormat="1">
      <c r="C33" s="903" t="s">
        <v>106</v>
      </c>
      <c r="D33" s="903"/>
      <c r="E33" s="903">
        <f>F16</f>
        <v>21</v>
      </c>
      <c r="F33" s="903"/>
      <c r="G33" s="903"/>
      <c r="I33" s="946" t="s">
        <v>262</v>
      </c>
      <c r="J33" s="946"/>
      <c r="K33" s="980" t="b">
        <f>IF(E33&lt;180,TRUE,FALSE)</f>
        <v>1</v>
      </c>
      <c r="L33" s="980"/>
      <c r="N33" s="1089" t="s">
        <v>247</v>
      </c>
      <c r="O33" s="1089"/>
      <c r="P33" s="1090">
        <f>E34*ABS(SIN(Outils!$F$4*E33))*(IF(K33,1,-1))</f>
        <v>1.7918397477265013</v>
      </c>
      <c r="Q33" s="1091"/>
      <c r="R33" s="1094" t="s">
        <v>246</v>
      </c>
      <c r="AB33" s="401"/>
    </row>
    <row r="34" spans="3:28" s="247" customFormat="1">
      <c r="C34" s="525" t="s">
        <v>105</v>
      </c>
      <c r="D34" s="525"/>
      <c r="E34" s="525">
        <f>F18</f>
        <v>5</v>
      </c>
      <c r="F34" s="525"/>
      <c r="G34" s="525"/>
      <c r="I34" s="947"/>
      <c r="J34" s="947"/>
      <c r="K34" s="981"/>
      <c r="L34" s="981"/>
      <c r="N34" s="1019"/>
      <c r="O34" s="1019"/>
      <c r="P34" s="1092"/>
      <c r="Q34" s="1093"/>
      <c r="R34" s="1095"/>
      <c r="AB34" s="401"/>
    </row>
    <row r="35" spans="3:28" s="247" customFormat="1">
      <c r="AB35" s="401"/>
    </row>
    <row r="36" spans="3:28" s="247" customFormat="1">
      <c r="AB36" s="401"/>
    </row>
    <row r="37" spans="3:28" s="247" customFormat="1">
      <c r="C37" s="949" t="s">
        <v>249</v>
      </c>
      <c r="D37" s="950"/>
      <c r="E37" s="950"/>
      <c r="F37" s="950"/>
      <c r="G37" s="950"/>
      <c r="H37" s="950"/>
      <c r="I37" s="950"/>
      <c r="J37" s="950"/>
      <c r="K37" s="951"/>
      <c r="L37" s="951"/>
      <c r="M37" s="951"/>
      <c r="N37" s="951"/>
      <c r="O37" s="952"/>
      <c r="AB37" s="401"/>
    </row>
    <row r="38" spans="3:28" s="247" customFormat="1">
      <c r="C38" s="903" t="s">
        <v>239</v>
      </c>
      <c r="D38" s="903"/>
      <c r="E38" s="903">
        <f>F25</f>
        <v>46.138899184437385</v>
      </c>
      <c r="F38" s="903"/>
      <c r="G38" s="903"/>
      <c r="I38" s="1018" t="s">
        <v>248</v>
      </c>
      <c r="J38" s="1018"/>
      <c r="K38" s="1015" t="s">
        <v>74</v>
      </c>
      <c r="L38" s="1016">
        <f>$P$33/(60 * COS($E$38*Outils!$F$4))</f>
        <v>4.3099232541779581E-2</v>
      </c>
      <c r="M38" s="1016"/>
      <c r="N38" s="1016"/>
      <c r="O38" s="1017" t="s">
        <v>250</v>
      </c>
      <c r="P38" s="1019" t="str">
        <f>IF(K33,"Vers l'Est","Vers l'Ouest")</f>
        <v>Vers l'Est</v>
      </c>
      <c r="Q38" s="1019"/>
      <c r="R38" s="1019"/>
      <c r="U38" s="1020" t="s">
        <v>264</v>
      </c>
      <c r="V38" s="1021"/>
      <c r="W38" s="1022"/>
      <c r="X38" s="942">
        <f>IF(K33,-1*ABS(L38),ABS(L38))</f>
        <v>-4.3099232541779581E-2</v>
      </c>
      <c r="Y38" s="943"/>
      <c r="Z38" s="943"/>
      <c r="AA38" s="985" t="s">
        <v>250</v>
      </c>
      <c r="AB38" s="401"/>
    </row>
    <row r="39" spans="3:28" s="247" customFormat="1">
      <c r="C39" s="525" t="str">
        <f>N33</f>
        <v>VLong.</v>
      </c>
      <c r="D39" s="525"/>
      <c r="E39" s="525">
        <f>P33</f>
        <v>1.7918397477265013</v>
      </c>
      <c r="F39" s="525"/>
      <c r="G39" s="525"/>
      <c r="I39" s="1018"/>
      <c r="J39" s="1018"/>
      <c r="K39" s="1015"/>
      <c r="L39" s="1016"/>
      <c r="M39" s="1016"/>
      <c r="N39" s="1016"/>
      <c r="O39" s="1017"/>
      <c r="P39" s="1019"/>
      <c r="Q39" s="1019"/>
      <c r="R39" s="1019"/>
      <c r="U39" s="1023"/>
      <c r="V39" s="1024"/>
      <c r="W39" s="1025"/>
      <c r="X39" s="944"/>
      <c r="Y39" s="945"/>
      <c r="Z39" s="945"/>
      <c r="AA39" s="986"/>
      <c r="AB39" s="401"/>
    </row>
    <row r="40" spans="3:28" s="247" customFormat="1">
      <c r="AB40" s="401"/>
    </row>
    <row r="41" spans="3:28" s="247" customFormat="1">
      <c r="AB41" s="401"/>
    </row>
    <row r="42" spans="3:28" s="247" customFormat="1" ht="18.75" customHeight="1">
      <c r="C42" s="1012" t="s">
        <v>594</v>
      </c>
      <c r="D42" s="1013"/>
      <c r="E42" s="1013"/>
      <c r="F42" s="1013"/>
      <c r="G42" s="1013"/>
      <c r="H42" s="1013"/>
      <c r="I42" s="1013"/>
      <c r="J42" s="1013"/>
      <c r="K42" s="1013"/>
      <c r="L42" s="1013"/>
      <c r="M42" s="1013"/>
      <c r="N42" s="1013"/>
      <c r="O42" s="1014"/>
      <c r="AB42" s="401"/>
    </row>
    <row r="43" spans="3:28" s="247" customFormat="1" ht="15" customHeight="1">
      <c r="C43" s="903" t="s">
        <v>171</v>
      </c>
      <c r="D43" s="903"/>
      <c r="E43" s="903">
        <f>F12</f>
        <v>-5</v>
      </c>
      <c r="F43" s="903"/>
      <c r="G43" s="903"/>
      <c r="I43" s="1026" t="s">
        <v>252</v>
      </c>
      <c r="J43" s="1027"/>
      <c r="K43" s="1011">
        <f>longitude2LongitudeHoraire(E43)</f>
        <v>5</v>
      </c>
      <c r="L43" s="1011"/>
      <c r="M43" s="1011"/>
      <c r="N43" s="1011"/>
      <c r="O43" s="114" t="s">
        <v>28</v>
      </c>
      <c r="P43" s="987" t="str">
        <f>longitudeDecimal2Txt(E43)</f>
        <v>W 05°00.00 (W 05.0000) [W 05°00'00.00]</v>
      </c>
      <c r="Q43" s="988"/>
      <c r="R43" s="988"/>
      <c r="S43" s="988"/>
      <c r="T43" s="988"/>
      <c r="U43" s="988"/>
      <c r="AB43" s="401"/>
    </row>
    <row r="44" spans="3:28" s="247" customFormat="1">
      <c r="AB44" s="401"/>
    </row>
    <row r="45" spans="3:28" s="247" customFormat="1">
      <c r="AB45" s="401"/>
    </row>
    <row r="46" spans="3:28" s="247" customFormat="1">
      <c r="C46" s="984" t="s">
        <v>253</v>
      </c>
      <c r="D46" s="984"/>
      <c r="E46" s="984"/>
      <c r="F46" s="984"/>
      <c r="G46" s="984"/>
      <c r="H46" s="984"/>
      <c r="I46" s="984"/>
      <c r="J46" s="984"/>
      <c r="K46" s="984"/>
      <c r="L46" s="984"/>
      <c r="M46" s="984"/>
      <c r="N46" s="984"/>
      <c r="O46" s="984"/>
      <c r="AB46" s="401"/>
    </row>
    <row r="47" spans="3:28" s="247" customFormat="1" ht="15" customHeight="1" thickBot="1">
      <c r="C47" s="978" t="s">
        <v>263</v>
      </c>
      <c r="D47" s="978"/>
      <c r="E47" s="978"/>
      <c r="F47" s="978"/>
      <c r="G47" s="978"/>
      <c r="H47" s="978"/>
      <c r="I47" s="978"/>
      <c r="J47" s="978"/>
      <c r="K47" s="978"/>
      <c r="L47" s="978"/>
      <c r="M47" s="978"/>
      <c r="N47" s="978"/>
      <c r="O47" s="978"/>
      <c r="P47" s="308" t="s">
        <v>266</v>
      </c>
      <c r="Q47" s="979" t="s">
        <v>265</v>
      </c>
      <c r="R47" s="979"/>
      <c r="S47" s="979"/>
      <c r="T47" s="979"/>
      <c r="U47" s="979"/>
      <c r="V47" s="414">
        <v>15.002000000000001</v>
      </c>
      <c r="W47" s="116" t="s">
        <v>250</v>
      </c>
      <c r="AB47" s="401"/>
    </row>
    <row r="48" spans="3:28" s="247" customFormat="1" ht="15.75" thickTop="1">
      <c r="C48" s="978"/>
      <c r="D48" s="978"/>
      <c r="E48" s="978"/>
      <c r="F48" s="978"/>
      <c r="G48" s="978"/>
      <c r="H48" s="978"/>
      <c r="I48" s="978"/>
      <c r="J48" s="978"/>
      <c r="K48" s="978"/>
      <c r="L48" s="978"/>
      <c r="M48" s="978"/>
      <c r="N48" s="978"/>
      <c r="O48" s="978"/>
      <c r="AB48" s="401"/>
    </row>
    <row r="49" spans="3:33" s="247" customFormat="1">
      <c r="C49" s="978"/>
      <c r="D49" s="978"/>
      <c r="E49" s="978"/>
      <c r="F49" s="978"/>
      <c r="G49" s="978"/>
      <c r="H49" s="978"/>
      <c r="I49" s="978"/>
      <c r="J49" s="978"/>
      <c r="K49" s="978"/>
      <c r="L49" s="978"/>
      <c r="M49" s="978"/>
      <c r="N49" s="978"/>
      <c r="O49" s="978"/>
      <c r="AB49" s="401"/>
    </row>
    <row r="50" spans="3:33" s="247" customFormat="1">
      <c r="AB50" s="401"/>
    </row>
    <row r="51" spans="3:33" s="247" customFormat="1">
      <c r="AB51" s="401"/>
    </row>
    <row r="52" spans="3:33" s="247" customFormat="1">
      <c r="AB52" s="401"/>
      <c r="AC52" s="3" t="s">
        <v>626</v>
      </c>
      <c r="AD52" s="5">
        <f>F20</f>
        <v>12.062777777777779</v>
      </c>
      <c r="AE52" s="247" t="s">
        <v>258</v>
      </c>
    </row>
    <row r="53" spans="3:33" s="247" customFormat="1" ht="15" customHeight="1">
      <c r="H53" s="941" t="str">
        <f>CONCATENATE("T = Temps pour que le soleil passe a la meridienne locale: ",P43)</f>
        <v>T = Temps pour que le soleil passe a la meridienne locale: W 05°00.00 (W 05.0000) [W 05°00'00.00]</v>
      </c>
      <c r="I53" s="941"/>
      <c r="J53" s="941"/>
      <c r="K53" s="941"/>
      <c r="L53" s="941"/>
      <c r="M53" s="941"/>
      <c r="N53" s="941"/>
      <c r="O53" s="941"/>
      <c r="P53" s="941"/>
      <c r="Q53" s="941"/>
      <c r="R53" s="941"/>
      <c r="S53" s="941"/>
      <c r="T53" s="941"/>
      <c r="U53" s="941"/>
      <c r="V53" s="948">
        <f>AD58</f>
        <v>2.0471299193002674</v>
      </c>
      <c r="W53" s="948"/>
      <c r="X53" s="948" t="s">
        <v>258</v>
      </c>
      <c r="AB53" s="401"/>
      <c r="AC53" s="3" t="s">
        <v>627</v>
      </c>
      <c r="AD53" s="5">
        <f>F8</f>
        <v>10.343055555555557</v>
      </c>
      <c r="AE53" s="247" t="s">
        <v>258</v>
      </c>
    </row>
    <row r="54" spans="3:33" s="247" customFormat="1">
      <c r="H54" s="941"/>
      <c r="I54" s="941"/>
      <c r="J54" s="941"/>
      <c r="K54" s="941"/>
      <c r="L54" s="941"/>
      <c r="M54" s="941"/>
      <c r="N54" s="941"/>
      <c r="O54" s="941"/>
      <c r="P54" s="941"/>
      <c r="Q54" s="941"/>
      <c r="R54" s="941"/>
      <c r="S54" s="941"/>
      <c r="T54" s="941"/>
      <c r="U54" s="941"/>
      <c r="V54" s="948"/>
      <c r="W54" s="948"/>
      <c r="X54" s="974"/>
      <c r="AB54" s="401"/>
      <c r="AC54" s="3" t="s">
        <v>628</v>
      </c>
      <c r="AD54" s="3">
        <f>(AD53-AD52)*((-1)*V47)</f>
        <v>25.799272777777773</v>
      </c>
      <c r="AE54" s="247" t="s">
        <v>28</v>
      </c>
    </row>
    <row r="55" spans="3:33" s="247" customFormat="1">
      <c r="H55" s="893" t="s">
        <v>271</v>
      </c>
      <c r="I55" s="893"/>
      <c r="J55" s="893"/>
      <c r="K55" s="893"/>
      <c r="L55" s="893"/>
      <c r="M55" s="893"/>
      <c r="N55" s="893"/>
      <c r="O55" s="893"/>
      <c r="P55" s="893"/>
      <c r="Q55" s="893"/>
      <c r="R55" s="893"/>
      <c r="S55" s="893"/>
      <c r="T55" s="893"/>
      <c r="U55" s="893"/>
      <c r="V55" s="939">
        <f>AD58*E34</f>
        <v>10.235649596501338</v>
      </c>
      <c r="W55" s="940"/>
      <c r="X55" s="969" t="s">
        <v>104</v>
      </c>
      <c r="AB55" s="401"/>
      <c r="AC55" s="3" t="s">
        <v>631</v>
      </c>
      <c r="AD55" s="3">
        <f>(-1)*V47</f>
        <v>-15.002000000000001</v>
      </c>
      <c r="AE55" s="415" t="s">
        <v>540</v>
      </c>
    </row>
    <row r="56" spans="3:33" s="247" customFormat="1">
      <c r="H56" s="893"/>
      <c r="I56" s="893"/>
      <c r="J56" s="893"/>
      <c r="K56" s="893"/>
      <c r="L56" s="893"/>
      <c r="M56" s="893"/>
      <c r="N56" s="893"/>
      <c r="O56" s="893"/>
      <c r="P56" s="893"/>
      <c r="Q56" s="893"/>
      <c r="R56" s="893"/>
      <c r="S56" s="893"/>
      <c r="T56" s="893"/>
      <c r="U56" s="893"/>
      <c r="V56" s="940"/>
      <c r="W56" s="940"/>
      <c r="X56" s="970"/>
      <c r="AB56" s="401"/>
      <c r="AC56" s="3" t="s">
        <v>629</v>
      </c>
      <c r="AD56" s="5">
        <f>E43</f>
        <v>-5</v>
      </c>
      <c r="AE56" s="415" t="s">
        <v>28</v>
      </c>
    </row>
    <row r="57" spans="3:33" s="247" customFormat="1">
      <c r="H57" s="893" t="s">
        <v>471</v>
      </c>
      <c r="I57" s="893"/>
      <c r="J57" s="893"/>
      <c r="K57" s="893"/>
      <c r="L57" s="893"/>
      <c r="M57" s="893"/>
      <c r="N57" s="893"/>
      <c r="O57" s="893"/>
      <c r="P57" s="893"/>
      <c r="Q57" s="893"/>
      <c r="R57" s="893"/>
      <c r="S57" s="893"/>
      <c r="T57" s="893"/>
      <c r="U57" s="893"/>
      <c r="V57" s="939">
        <f>AD58*L38</f>
        <v>8.8229728435156696E-2</v>
      </c>
      <c r="W57" s="971"/>
      <c r="X57" s="972" t="s">
        <v>28</v>
      </c>
      <c r="AB57" s="401"/>
      <c r="AC57" s="3" t="s">
        <v>630</v>
      </c>
      <c r="AD57" s="3">
        <f>L38</f>
        <v>4.3099232541779581E-2</v>
      </c>
      <c r="AE57" s="415" t="s">
        <v>540</v>
      </c>
    </row>
    <row r="58" spans="3:33" s="247" customFormat="1">
      <c r="H58" s="893"/>
      <c r="I58" s="893"/>
      <c r="J58" s="893"/>
      <c r="K58" s="893"/>
      <c r="L58" s="893"/>
      <c r="M58" s="893"/>
      <c r="N58" s="893"/>
      <c r="O58" s="893"/>
      <c r="P58" s="893"/>
      <c r="Q58" s="893"/>
      <c r="R58" s="893"/>
      <c r="S58" s="893"/>
      <c r="T58" s="893"/>
      <c r="U58" s="893"/>
      <c r="V58" s="940"/>
      <c r="W58" s="971"/>
      <c r="X58" s="973"/>
      <c r="AB58" s="401"/>
      <c r="AC58" s="3" t="s">
        <v>625</v>
      </c>
      <c r="AD58" s="3">
        <f>(AD54-AD56)/(AD57-AD55)</f>
        <v>2.0471299193002674</v>
      </c>
      <c r="AE58" s="415" t="s">
        <v>258</v>
      </c>
    </row>
    <row r="59" spans="3:33" s="247" customFormat="1">
      <c r="H59" s="893" t="s">
        <v>470</v>
      </c>
      <c r="I59" s="893"/>
      <c r="J59" s="893"/>
      <c r="K59" s="893"/>
      <c r="L59" s="893"/>
      <c r="M59" s="893"/>
      <c r="N59" s="893"/>
      <c r="O59" s="893"/>
      <c r="P59" s="893"/>
      <c r="Q59" s="893"/>
      <c r="R59" s="893"/>
      <c r="S59" s="893"/>
      <c r="T59" s="893"/>
      <c r="U59" s="893"/>
      <c r="V59" s="894">
        <f>E43+AD58*L38</f>
        <v>-4.9117702715648432</v>
      </c>
      <c r="W59" s="895"/>
      <c r="X59" s="898" t="str">
        <f>longitudeDecimal2Txt(V59)</f>
        <v>W 04°54.70 (W 04.9117) [W 04°54'42.37]</v>
      </c>
      <c r="Y59" s="898"/>
      <c r="Z59" s="898"/>
      <c r="AA59" s="898"/>
      <c r="AB59" s="898"/>
      <c r="AC59" s="898"/>
      <c r="AD59" s="883" t="str" cm="1">
        <f t="array" ref="AD59">CONCATENATE("Memo depart: ", longitudeDecimal2Txt(E43))</f>
        <v>Memo depart: W 05°00.00 (W 05.0000) [W 05°00'00.00]</v>
      </c>
      <c r="AE59" s="884"/>
      <c r="AF59" s="884"/>
      <c r="AG59" s="884"/>
    </row>
    <row r="60" spans="3:33" s="247" customFormat="1">
      <c r="H60" s="893"/>
      <c r="I60" s="893"/>
      <c r="J60" s="893"/>
      <c r="K60" s="893"/>
      <c r="L60" s="893"/>
      <c r="M60" s="893"/>
      <c r="N60" s="893"/>
      <c r="O60" s="893"/>
      <c r="P60" s="893"/>
      <c r="Q60" s="893"/>
      <c r="R60" s="893"/>
      <c r="S60" s="893"/>
      <c r="T60" s="893"/>
      <c r="U60" s="893"/>
      <c r="V60" s="896"/>
      <c r="W60" s="897"/>
      <c r="X60" s="898"/>
      <c r="Y60" s="898"/>
      <c r="Z60" s="898"/>
      <c r="AA60" s="898"/>
      <c r="AB60" s="898"/>
      <c r="AC60" s="898"/>
      <c r="AD60" s="883"/>
      <c r="AE60" s="884"/>
      <c r="AF60" s="884"/>
      <c r="AG60" s="884"/>
    </row>
    <row r="61" spans="3:33" s="247" customFormat="1">
      <c r="H61" s="1098" t="s">
        <v>267</v>
      </c>
      <c r="I61" s="1098"/>
      <c r="J61" s="1098"/>
      <c r="K61" s="1098"/>
      <c r="L61" s="1098"/>
      <c r="M61" s="1098"/>
      <c r="N61" s="1098"/>
      <c r="O61" s="1098"/>
      <c r="P61" s="1098"/>
      <c r="Q61" s="1098"/>
      <c r="R61" s="1098"/>
      <c r="S61" s="1098"/>
      <c r="T61" s="1098"/>
      <c r="U61" s="1098"/>
      <c r="V61" s="975">
        <f>AD53+AD58</f>
        <v>12.390185474855825</v>
      </c>
      <c r="W61" s="976"/>
      <c r="X61" s="1099" t="str">
        <f>heureDecimal2Txt(V61)</f>
        <v>12:23:24.66(12.3901)</v>
      </c>
      <c r="Y61" s="1099"/>
      <c r="Z61" s="1099"/>
      <c r="AA61" s="1099"/>
      <c r="AB61" s="1099"/>
      <c r="AC61" s="1099"/>
    </row>
    <row r="62" spans="3:33" s="247" customFormat="1">
      <c r="H62" s="1098"/>
      <c r="I62" s="1098"/>
      <c r="J62" s="1098"/>
      <c r="K62" s="1098"/>
      <c r="L62" s="1098"/>
      <c r="M62" s="1098"/>
      <c r="N62" s="1098"/>
      <c r="O62" s="1098"/>
      <c r="P62" s="1098"/>
      <c r="Q62" s="1098"/>
      <c r="R62" s="1098"/>
      <c r="S62" s="1098"/>
      <c r="T62" s="1098"/>
      <c r="U62" s="1098"/>
      <c r="V62" s="977"/>
      <c r="W62" s="976"/>
      <c r="X62" s="1099"/>
      <c r="Y62" s="1099"/>
      <c r="Z62" s="1099"/>
      <c r="AA62" s="1099"/>
      <c r="AB62" s="1099"/>
      <c r="AC62" s="1099"/>
    </row>
    <row r="63" spans="3:33" s="247" customFormat="1">
      <c r="AB63" s="401"/>
    </row>
    <row r="64" spans="3:33" s="247" customFormat="1" ht="15.75" thickBot="1">
      <c r="AB64" s="401"/>
    </row>
    <row r="65" spans="1:74" s="246" customFormat="1" ht="17.25" customHeight="1" thickBot="1">
      <c r="B65" s="388" t="s">
        <v>617</v>
      </c>
      <c r="C65" s="391"/>
      <c r="D65" s="391"/>
      <c r="E65" s="391"/>
      <c r="F65" s="391"/>
      <c r="G65" s="391"/>
      <c r="H65" s="389"/>
      <c r="I65" s="94" t="str">
        <f>L6</f>
        <v>2025/06/30</v>
      </c>
      <c r="J65" s="94"/>
      <c r="K65" s="252"/>
      <c r="L65" s="253"/>
      <c r="M65" s="94" t="str">
        <f>heureDecimal2Txt(E67)</f>
        <v>12:23:24.66(12.3901)</v>
      </c>
      <c r="N65" s="94"/>
      <c r="O65" s="94"/>
      <c r="P65" s="389"/>
      <c r="Q65" s="389"/>
      <c r="R65" s="389"/>
      <c r="S65" s="389"/>
      <c r="T65" s="389"/>
      <c r="U65" s="389"/>
      <c r="V65" s="390"/>
      <c r="W65" s="389"/>
      <c r="X65" s="389"/>
      <c r="Y65" s="389"/>
      <c r="Z65" s="389"/>
      <c r="AA65" s="390"/>
      <c r="AB65" s="403"/>
      <c r="AC65" s="247"/>
      <c r="AD65" s="247"/>
      <c r="AE65" s="247"/>
      <c r="AF65" s="247"/>
      <c r="AG65" s="247"/>
      <c r="AH65" s="247"/>
      <c r="AI65" s="247"/>
      <c r="AJ65" s="247"/>
      <c r="AK65" s="247"/>
      <c r="AL65" s="247"/>
      <c r="AM65" s="247"/>
      <c r="AN65" s="247"/>
      <c r="AO65" s="247"/>
      <c r="AP65" s="247"/>
      <c r="AQ65" s="247"/>
      <c r="AR65" s="247"/>
      <c r="AS65" s="247"/>
      <c r="AT65" s="247"/>
      <c r="AU65" s="247"/>
      <c r="AV65" s="247"/>
      <c r="AW65" s="247"/>
      <c r="AX65" s="247"/>
      <c r="AY65" s="247"/>
      <c r="AZ65" s="247"/>
      <c r="BA65" s="247"/>
      <c r="BB65" s="247"/>
      <c r="BC65" s="247"/>
      <c r="BD65" s="247"/>
      <c r="BE65" s="247"/>
      <c r="BF65" s="247"/>
      <c r="BG65" s="247"/>
      <c r="BH65" s="247"/>
      <c r="BI65" s="247"/>
      <c r="BJ65" s="247"/>
      <c r="BK65" s="247"/>
      <c r="BL65" s="247"/>
      <c r="BM65" s="247"/>
      <c r="BN65" s="248"/>
    </row>
    <row r="66" spans="1:74" s="246" customFormat="1" ht="17.25" customHeight="1" thickBot="1">
      <c r="C66" s="1196" t="s">
        <v>1</v>
      </c>
      <c r="D66" s="1197"/>
      <c r="E66" s="1198" t="s">
        <v>228</v>
      </c>
      <c r="F66" s="1199"/>
      <c r="G66" s="1200"/>
      <c r="H66" s="374"/>
      <c r="AB66" s="400"/>
      <c r="AC66" s="247"/>
      <c r="AD66" s="247"/>
      <c r="AE66" s="247"/>
      <c r="AF66" s="247"/>
      <c r="AG66" s="247"/>
      <c r="AH66" s="247"/>
      <c r="AI66" s="247"/>
      <c r="AJ66" s="247"/>
      <c r="AK66" s="247"/>
      <c r="AL66" s="247"/>
      <c r="AM66" s="247"/>
      <c r="AN66" s="247"/>
      <c r="AO66" s="247"/>
      <c r="AP66" s="247"/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D66" s="247"/>
      <c r="BE66" s="247"/>
      <c r="BF66" s="247"/>
      <c r="BG66" s="247"/>
      <c r="BH66" s="247"/>
      <c r="BI66" s="247"/>
      <c r="BJ66" s="247"/>
      <c r="BK66" s="247"/>
      <c r="BL66" s="247"/>
      <c r="BM66" s="247"/>
      <c r="BN66" s="248"/>
    </row>
    <row r="67" spans="1:74" s="246" customFormat="1" ht="17.25" customHeight="1" thickTop="1" thickBot="1">
      <c r="C67" s="386" t="s">
        <v>618</v>
      </c>
      <c r="D67" s="386"/>
      <c r="E67" s="1201">
        <f>V61</f>
        <v>12.390185474855825</v>
      </c>
      <c r="F67" s="1202"/>
      <c r="G67" s="1203"/>
      <c r="H67" s="694" t="str" cm="1">
        <f t="array" ref="H67">heureDecimal2Txt(E67)</f>
        <v>12:23:24.66(12.3901)</v>
      </c>
      <c r="I67" s="695"/>
      <c r="J67" s="695"/>
      <c r="K67" s="695"/>
      <c r="L67" s="695"/>
      <c r="M67" s="696"/>
      <c r="N67" s="247"/>
      <c r="O67" s="247"/>
      <c r="P67" s="247"/>
      <c r="Q67" s="247"/>
      <c r="R67" s="247"/>
      <c r="S67" s="247"/>
      <c r="T67" s="247"/>
      <c r="U67" s="247"/>
      <c r="V67" s="247"/>
      <c r="W67" s="247"/>
      <c r="X67" s="247"/>
      <c r="Y67" s="247"/>
      <c r="AB67" s="404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7"/>
      <c r="AO67" s="247"/>
      <c r="AP67" s="247"/>
      <c r="AQ67" s="247"/>
      <c r="AR67" s="247"/>
      <c r="AS67" s="247"/>
      <c r="AT67" s="247"/>
      <c r="AU67" s="247"/>
      <c r="AV67" s="247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8"/>
    </row>
    <row r="68" spans="1:74" s="246" customFormat="1" ht="17.25" customHeight="1" thickTop="1" thickBot="1">
      <c r="C68" s="386" t="s">
        <v>7</v>
      </c>
      <c r="D68" s="386"/>
      <c r="E68" s="1204">
        <f>F25</f>
        <v>46.138899184437385</v>
      </c>
      <c r="F68" s="1205"/>
      <c r="G68" s="1206"/>
      <c r="H68" s="694" t="str" cm="1">
        <f t="array" ref="H68">latitudeDecimal2Txt(E68)</f>
        <v>N 46°08.33 (N 46.1388) [N 46°08'20.03]</v>
      </c>
      <c r="I68" s="695"/>
      <c r="J68" s="695"/>
      <c r="K68" s="695"/>
      <c r="L68" s="695"/>
      <c r="M68" s="696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AB68" s="404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7"/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8"/>
    </row>
    <row r="69" spans="1:74" ht="15.75" thickTop="1"/>
    <row r="70" spans="1:74" ht="15.75" thickBot="1"/>
    <row r="71" spans="1:74" s="16" customFormat="1" ht="17.25" customHeight="1" thickBot="1">
      <c r="B71" s="132" t="s">
        <v>282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405"/>
      <c r="AC71" s="351"/>
      <c r="AD71" s="351"/>
      <c r="AE71" s="351"/>
      <c r="AF71" s="351"/>
      <c r="AG71" s="351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154" t="s">
        <v>60</v>
      </c>
      <c r="F72" s="1155"/>
      <c r="G72" s="1228" t="s">
        <v>2</v>
      </c>
      <c r="H72" s="1229"/>
      <c r="I72" s="1229"/>
      <c r="J72" s="582" t="s">
        <v>229</v>
      </c>
      <c r="K72" s="582"/>
      <c r="L72" s="582"/>
      <c r="M72" s="1132" t="s">
        <v>284</v>
      </c>
      <c r="N72" s="1133"/>
      <c r="O72" s="1133"/>
      <c r="P72" s="1134"/>
      <c r="Q72" s="1132" t="s">
        <v>283</v>
      </c>
      <c r="R72" s="1133"/>
      <c r="S72" s="1133"/>
      <c r="T72" s="1134"/>
      <c r="U72" s="1138" t="s">
        <v>122</v>
      </c>
      <c r="V72" s="1138"/>
      <c r="W72" s="1138"/>
      <c r="X72" s="1225" t="s">
        <v>285</v>
      </c>
      <c r="Y72" s="1226"/>
      <c r="Z72" s="1226"/>
      <c r="AA72" s="1227"/>
      <c r="AB72" s="406"/>
      <c r="AC72" s="351"/>
      <c r="AD72" s="351"/>
      <c r="AE72" s="351"/>
      <c r="AF72" s="351"/>
      <c r="AG72" s="351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507"/>
      <c r="F73" s="509"/>
      <c r="G73" s="1230"/>
      <c r="H73" s="1231"/>
      <c r="I73" s="1231"/>
      <c r="J73" s="582"/>
      <c r="K73" s="582"/>
      <c r="L73" s="582"/>
      <c r="M73" s="1135"/>
      <c r="N73" s="1136"/>
      <c r="O73" s="1136"/>
      <c r="P73" s="1137"/>
      <c r="Q73" s="1135"/>
      <c r="R73" s="1136"/>
      <c r="S73" s="1136"/>
      <c r="T73" s="1137"/>
      <c r="U73" s="1138"/>
      <c r="V73" s="1138"/>
      <c r="W73" s="1138"/>
      <c r="X73" s="1135"/>
      <c r="Y73" s="1136"/>
      <c r="Z73" s="1136"/>
      <c r="AA73" s="1137"/>
      <c r="AB73" s="406"/>
      <c r="AC73" s="393" t="s">
        <v>620</v>
      </c>
      <c r="AD73" s="1119" t="s">
        <v>621</v>
      </c>
      <c r="AE73" s="1119"/>
      <c r="AF73" s="1119"/>
      <c r="AG73" s="1119"/>
      <c r="AH73" s="1108" t="s">
        <v>622</v>
      </c>
      <c r="AI73" s="1108"/>
      <c r="AJ73" s="1108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200</v>
      </c>
      <c r="D74" s="137"/>
      <c r="E74" s="1130" t="s">
        <v>210</v>
      </c>
      <c r="F74" s="1131"/>
      <c r="G74" s="1191" t="str">
        <f>heureDecimal2Txt(AC74)</f>
        <v>10:30:50.00(10.5138)</v>
      </c>
      <c r="H74" s="1145"/>
      <c r="I74" s="1146"/>
      <c r="J74" s="1140" t="s">
        <v>220</v>
      </c>
      <c r="K74" s="1139"/>
      <c r="L74" s="1139"/>
      <c r="M74" s="1139">
        <v>0</v>
      </c>
      <c r="N74" s="1139"/>
      <c r="O74" s="1139"/>
      <c r="P74" s="1139"/>
      <c r="Q74" s="1116">
        <v>2</v>
      </c>
      <c r="R74" s="1116"/>
      <c r="S74" s="1116"/>
      <c r="T74" s="1116"/>
      <c r="U74" s="1117" t="s">
        <v>286</v>
      </c>
      <c r="V74" s="1118"/>
      <c r="W74" s="1118"/>
      <c r="X74" s="1160" t="str">
        <f>heureDecimal2Txt(AH74)</f>
        <v>01:52:34.66(01.8762)</v>
      </c>
      <c r="Y74" s="1160"/>
      <c r="Z74" s="1160"/>
      <c r="AA74" s="1160"/>
      <c r="AB74" s="407"/>
      <c r="AC74" s="394">
        <f>AD74+(AE74+AF74+AG74)/3600</f>
        <v>10.513888888888889</v>
      </c>
      <c r="AD74" s="395">
        <f>heureConvert2Decimal(J74)</f>
        <v>10.340277777777779</v>
      </c>
      <c r="AE74" s="396">
        <f>M74*3600</f>
        <v>0</v>
      </c>
      <c r="AF74" s="397">
        <f>Q74</f>
        <v>2</v>
      </c>
      <c r="AG74" s="395">
        <f>heureConvert2Decimal(U74)*60</f>
        <v>623</v>
      </c>
      <c r="AH74" s="1109">
        <f>$E$67-AC74</f>
        <v>1.8762965859669354</v>
      </c>
      <c r="AI74" s="1109"/>
      <c r="AJ74" s="1109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202</v>
      </c>
      <c r="D75" s="135"/>
      <c r="E75" s="1130" t="s">
        <v>295</v>
      </c>
      <c r="F75" s="1131"/>
      <c r="G75" s="1191" t="str">
        <f>heureDecimal2Txt(AC75)</f>
        <v>10:45:50.00(10.7638)</v>
      </c>
      <c r="H75" s="1145"/>
      <c r="I75" s="1146"/>
      <c r="J75" s="1140" t="s">
        <v>289</v>
      </c>
      <c r="K75" s="1139"/>
      <c r="L75" s="1139"/>
      <c r="M75" s="1139">
        <v>0</v>
      </c>
      <c r="N75" s="1139"/>
      <c r="O75" s="1139"/>
      <c r="P75" s="1139"/>
      <c r="Q75" s="1116">
        <v>2</v>
      </c>
      <c r="R75" s="1116"/>
      <c r="S75" s="1116"/>
      <c r="T75" s="1116"/>
      <c r="U75" s="1117" t="s">
        <v>286</v>
      </c>
      <c r="V75" s="1118"/>
      <c r="W75" s="1118"/>
      <c r="X75" s="1160" t="str">
        <f>heureDecimal2Txt(AH75)</f>
        <v>01:37:34.66(01.6262)</v>
      </c>
      <c r="Y75" s="1160"/>
      <c r="Z75" s="1160"/>
      <c r="AA75" s="1160"/>
      <c r="AB75" s="407"/>
      <c r="AC75" s="394">
        <f>AD75+(AE75+AF75+AG75)/3600</f>
        <v>10.763888888888889</v>
      </c>
      <c r="AD75" s="395">
        <f>heureConvert2Decimal(J75)</f>
        <v>10.590277777777779</v>
      </c>
      <c r="AE75" s="396">
        <f>M75*3600</f>
        <v>0</v>
      </c>
      <c r="AF75" s="397">
        <f>Q75</f>
        <v>2</v>
      </c>
      <c r="AG75" s="395">
        <f>heureConvert2Decimal(U75)*60</f>
        <v>623</v>
      </c>
      <c r="AH75" s="1109">
        <f>$E$67-AC75</f>
        <v>1.6262965859669354</v>
      </c>
      <c r="AI75" s="1109"/>
      <c r="AJ75" s="1109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204</v>
      </c>
      <c r="D76" s="135"/>
      <c r="E76" s="1130" t="s">
        <v>296</v>
      </c>
      <c r="F76" s="1131"/>
      <c r="G76" s="1191" t="str">
        <f>heureDecimal2Txt(AC76)</f>
        <v>11:04:50.00(11.0805)</v>
      </c>
      <c r="H76" s="1145"/>
      <c r="I76" s="1146"/>
      <c r="J76" s="1140" t="s">
        <v>290</v>
      </c>
      <c r="K76" s="1139"/>
      <c r="L76" s="1139"/>
      <c r="M76" s="1139">
        <v>0</v>
      </c>
      <c r="N76" s="1139"/>
      <c r="O76" s="1139"/>
      <c r="P76" s="1139"/>
      <c r="Q76" s="1116">
        <v>2</v>
      </c>
      <c r="R76" s="1116"/>
      <c r="S76" s="1116"/>
      <c r="T76" s="1116"/>
      <c r="U76" s="1117" t="s">
        <v>286</v>
      </c>
      <c r="V76" s="1118"/>
      <c r="W76" s="1118"/>
      <c r="X76" s="1160" t="str">
        <f>heureDecimal2Txt(AH76)</f>
        <v>01:18:34.66(01.3096)</v>
      </c>
      <c r="Y76" s="1160"/>
      <c r="Z76" s="1160"/>
      <c r="AA76" s="1160"/>
      <c r="AB76" s="407"/>
      <c r="AC76" s="394">
        <f>AD76+(AE76+AF76+AG76)/3600</f>
        <v>11.080555555555556</v>
      </c>
      <c r="AD76" s="395">
        <f>heureConvert2Decimal(J76)</f>
        <v>10.906944444444445</v>
      </c>
      <c r="AE76" s="396">
        <f>M76*3600</f>
        <v>0</v>
      </c>
      <c r="AF76" s="397">
        <f>Q76</f>
        <v>2</v>
      </c>
      <c r="AG76" s="395">
        <f>heureConvert2Decimal(U76)*60</f>
        <v>623</v>
      </c>
      <c r="AH76" s="1109">
        <f>$E$67-AC76</f>
        <v>1.309629919300269</v>
      </c>
      <c r="AI76" s="1109"/>
      <c r="AJ76" s="1109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206</v>
      </c>
      <c r="D77" s="135"/>
      <c r="E77" s="1130" t="s">
        <v>297</v>
      </c>
      <c r="F77" s="1131"/>
      <c r="G77" s="1191" t="str">
        <f>heureDecimal2Txt(AC77)</f>
        <v>11:20:50.00(11.3472)</v>
      </c>
      <c r="H77" s="1145"/>
      <c r="I77" s="1146"/>
      <c r="J77" s="1140" t="s">
        <v>291</v>
      </c>
      <c r="K77" s="1139"/>
      <c r="L77" s="1139"/>
      <c r="M77" s="1139">
        <v>0</v>
      </c>
      <c r="N77" s="1139"/>
      <c r="O77" s="1139"/>
      <c r="P77" s="1139"/>
      <c r="Q77" s="1116">
        <v>2</v>
      </c>
      <c r="R77" s="1116"/>
      <c r="S77" s="1116"/>
      <c r="T77" s="1116"/>
      <c r="U77" s="1117" t="s">
        <v>286</v>
      </c>
      <c r="V77" s="1118"/>
      <c r="W77" s="1118"/>
      <c r="X77" s="1160" t="str">
        <f>heureDecimal2Txt(AH77)</f>
        <v>01:02:34.66(01.0429)</v>
      </c>
      <c r="Y77" s="1160"/>
      <c r="Z77" s="1160"/>
      <c r="AA77" s="1160"/>
      <c r="AB77" s="407"/>
      <c r="AC77" s="394">
        <f>AD77+(AE77+AF77+AG77)/3600</f>
        <v>11.347222222222221</v>
      </c>
      <c r="AD77" s="395">
        <f>heureConvert2Decimal(J77)</f>
        <v>11.173611111111111</v>
      </c>
      <c r="AE77" s="396">
        <f>M77*3600</f>
        <v>0</v>
      </c>
      <c r="AF77" s="397">
        <f>Q77</f>
        <v>2</v>
      </c>
      <c r="AG77" s="395">
        <f>heureConvert2Decimal(U77)*60</f>
        <v>623</v>
      </c>
      <c r="AH77" s="1109">
        <f>$E$67-AC77</f>
        <v>1.0429632526336032</v>
      </c>
      <c r="AI77" s="1109"/>
      <c r="AJ77" s="1109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208</v>
      </c>
      <c r="D78" s="139"/>
      <c r="E78" s="1218" t="s">
        <v>298</v>
      </c>
      <c r="F78" s="1219"/>
      <c r="G78" s="1220" t="str">
        <f>heureDecimal2Txt(AC78)</f>
        <v>12:20:50.00(12.3472)</v>
      </c>
      <c r="H78" s="1221"/>
      <c r="I78" s="1222"/>
      <c r="J78" s="1223" t="s">
        <v>292</v>
      </c>
      <c r="K78" s="1224"/>
      <c r="L78" s="1224"/>
      <c r="M78" s="1224">
        <v>0</v>
      </c>
      <c r="N78" s="1224"/>
      <c r="O78" s="1224"/>
      <c r="P78" s="1224"/>
      <c r="Q78" s="1179">
        <v>2</v>
      </c>
      <c r="R78" s="1179"/>
      <c r="S78" s="1179"/>
      <c r="T78" s="1179"/>
      <c r="U78" s="1182" t="s">
        <v>286</v>
      </c>
      <c r="V78" s="1183"/>
      <c r="W78" s="1183"/>
      <c r="X78" s="1184" t="str">
        <f>heureDecimal2Txt(AH78)</f>
        <v>00:02:34.66(00.0429)</v>
      </c>
      <c r="Y78" s="1184"/>
      <c r="Z78" s="1184"/>
      <c r="AA78" s="1184"/>
      <c r="AB78" s="407"/>
      <c r="AC78" s="394">
        <f>AD78+(AE78+AF78+AG78)/3600</f>
        <v>12.347222222222221</v>
      </c>
      <c r="AD78" s="395">
        <f>heureConvert2Decimal(J78)</f>
        <v>12.173611111111111</v>
      </c>
      <c r="AE78" s="396">
        <f>M78*3600</f>
        <v>0</v>
      </c>
      <c r="AF78" s="397">
        <f>Q78</f>
        <v>2</v>
      </c>
      <c r="AG78" s="395">
        <f>heureConvert2Decimal(U78)*60</f>
        <v>623</v>
      </c>
      <c r="AH78" s="1109">
        <f>$E$67-AC78</f>
        <v>4.2963252633603233E-2</v>
      </c>
      <c r="AI78" s="1109"/>
      <c r="AJ78" s="1109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207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208"/>
      <c r="D79" s="1208"/>
      <c r="E79" s="1208"/>
      <c r="F79" s="1208"/>
      <c r="G79" s="1208"/>
      <c r="H79" s="1208"/>
      <c r="I79" s="1208"/>
      <c r="J79" s="1208"/>
      <c r="K79" s="1208"/>
      <c r="L79" s="1208"/>
      <c r="M79" s="1208"/>
      <c r="N79" s="1208"/>
      <c r="O79" s="1208"/>
      <c r="P79" s="1208"/>
      <c r="Q79" s="1208"/>
      <c r="R79" s="1208"/>
      <c r="S79" s="1208"/>
      <c r="T79" s="1208"/>
      <c r="U79" s="1208"/>
      <c r="V79" s="1208"/>
      <c r="W79" s="1208"/>
      <c r="X79" s="1208"/>
      <c r="Y79" s="1208"/>
      <c r="Z79" s="1208"/>
      <c r="AA79" s="1209"/>
      <c r="AB79" s="408"/>
      <c r="AC79"/>
      <c r="AD79"/>
      <c r="AE79"/>
      <c r="AF79"/>
      <c r="AG79"/>
      <c r="AH79"/>
      <c r="AI79"/>
      <c r="AJ79"/>
    </row>
    <row r="80" spans="1:74" s="8" customFormat="1" ht="15.75" customHeight="1">
      <c r="B80" s="1210"/>
      <c r="C80" s="1211"/>
      <c r="D80" s="1211"/>
      <c r="E80" s="1211"/>
      <c r="F80" s="1211"/>
      <c r="G80" s="1211"/>
      <c r="H80" s="1211"/>
      <c r="I80" s="1211"/>
      <c r="J80" s="1211"/>
      <c r="K80" s="1211"/>
      <c r="L80" s="1211"/>
      <c r="M80" s="1211"/>
      <c r="N80" s="1211"/>
      <c r="O80" s="1211"/>
      <c r="P80" s="1211"/>
      <c r="Q80" s="1211"/>
      <c r="R80" s="1211"/>
      <c r="S80" s="1211"/>
      <c r="T80" s="1211"/>
      <c r="U80" s="1211"/>
      <c r="V80" s="1211"/>
      <c r="W80" s="1211"/>
      <c r="X80" s="1211"/>
      <c r="Y80" s="1211"/>
      <c r="Z80" s="1211"/>
      <c r="AA80" s="1212"/>
      <c r="AB80" s="408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89" t="s">
        <v>287</v>
      </c>
      <c r="F81" s="1189"/>
      <c r="G81" s="1161" t="s">
        <v>288</v>
      </c>
      <c r="H81" s="1161"/>
      <c r="I81" s="1161"/>
      <c r="J81" s="1186" t="s">
        <v>309</v>
      </c>
      <c r="K81" s="1187"/>
      <c r="L81" s="1187"/>
      <c r="M81" s="1187"/>
      <c r="N81" s="1187"/>
      <c r="O81" s="1187"/>
      <c r="P81" s="1187"/>
      <c r="Q81" s="1187"/>
      <c r="R81" s="1187"/>
      <c r="S81" s="1187"/>
      <c r="T81" s="1187"/>
      <c r="U81" s="1187"/>
      <c r="V81" s="1187"/>
      <c r="W81" s="1187"/>
      <c r="X81" s="1187"/>
      <c r="Y81" s="1187"/>
      <c r="Z81" s="1188"/>
      <c r="AA81" s="1180" t="s">
        <v>293</v>
      </c>
      <c r="AB81" s="409"/>
      <c r="AC81" s="413" t="s">
        <v>294</v>
      </c>
      <c r="AD81" s="413" t="s">
        <v>3</v>
      </c>
      <c r="AE81" s="413" t="s">
        <v>308</v>
      </c>
      <c r="AF81" s="351"/>
      <c r="AG81" s="35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90"/>
      <c r="F82" s="1190"/>
      <c r="G82" s="1162"/>
      <c r="H82" s="1162"/>
      <c r="I82" s="1162"/>
      <c r="J82" s="1175" t="s">
        <v>299</v>
      </c>
      <c r="K82" s="1175"/>
      <c r="L82" s="1175"/>
      <c r="M82" s="1185" t="s">
        <v>229</v>
      </c>
      <c r="N82" s="1185"/>
      <c r="O82" s="1185"/>
      <c r="P82" s="1141" t="s">
        <v>284</v>
      </c>
      <c r="Q82" s="1141"/>
      <c r="R82" s="1141"/>
      <c r="S82" s="1141"/>
      <c r="T82" s="1141" t="s">
        <v>283</v>
      </c>
      <c r="U82" s="1141"/>
      <c r="V82" s="1141"/>
      <c r="W82" s="1141"/>
      <c r="X82" s="1141" t="s">
        <v>122</v>
      </c>
      <c r="Y82" s="1141"/>
      <c r="Z82" s="1141"/>
      <c r="AA82" s="1181"/>
      <c r="AB82" s="410"/>
      <c r="AC82" s="393" t="s">
        <v>623</v>
      </c>
      <c r="AD82" s="1110" t="s">
        <v>624</v>
      </c>
      <c r="AE82" s="1111"/>
      <c r="AF82" s="1111"/>
      <c r="AG82" s="1111"/>
      <c r="AH82" s="111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716" t="s">
        <v>209</v>
      </c>
      <c r="D83" s="716"/>
      <c r="E83" s="1143" t="str">
        <f>E78</f>
        <v>6°54</v>
      </c>
      <c r="F83" s="1144"/>
      <c r="G83" s="1129" t="str">
        <f>heureDecimal2Txt(AC83)</f>
        <v>12:25:59.33(12.4331)</v>
      </c>
      <c r="H83" s="1129"/>
      <c r="I83" s="1129"/>
      <c r="J83" s="1149" t="str">
        <f>heureDecimal2Txt(AD83)</f>
        <v>12:53:25.00(12.8902)</v>
      </c>
      <c r="K83" s="1149"/>
      <c r="L83" s="1150"/>
      <c r="M83" s="1151" t="s">
        <v>619</v>
      </c>
      <c r="N83" s="1152"/>
      <c r="O83" s="1152"/>
      <c r="P83" s="1152">
        <v>0</v>
      </c>
      <c r="Q83" s="1152"/>
      <c r="R83" s="1152"/>
      <c r="S83" s="1152"/>
      <c r="T83" s="1142">
        <v>2</v>
      </c>
      <c r="U83" s="1142"/>
      <c r="V83" s="1142"/>
      <c r="W83" s="1142"/>
      <c r="X83" s="1147" t="s">
        <v>286</v>
      </c>
      <c r="Y83" s="1148"/>
      <c r="Z83" s="1148"/>
      <c r="AA83" s="140" t="s">
        <v>294</v>
      </c>
      <c r="AB83" s="411"/>
      <c r="AC83" s="393">
        <f>AC78+2*AH78</f>
        <v>12.433148727489428</v>
      </c>
      <c r="AD83" s="394">
        <f>AE83+(AF83+AG83+AH83)/3600</f>
        <v>12.890277777777778</v>
      </c>
      <c r="AE83" s="395">
        <f>heureConvert2Decimal(M83)</f>
        <v>12.716666666666667</v>
      </c>
      <c r="AF83" s="396">
        <f>P83*3600</f>
        <v>0</v>
      </c>
      <c r="AG83" s="397">
        <f>T83</f>
        <v>2</v>
      </c>
      <c r="AH83" s="395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716" t="s">
        <v>207</v>
      </c>
      <c r="D84" s="716"/>
      <c r="E84" s="1143" t="str">
        <f>E77</f>
        <v>5°54</v>
      </c>
      <c r="F84" s="1144"/>
      <c r="G84" s="1129" t="str">
        <f>heureDecimal2Txt(AC84)</f>
        <v>13:25:59.33(13.4331)</v>
      </c>
      <c r="H84" s="1129"/>
      <c r="I84" s="1129"/>
      <c r="J84" s="1145" t="str">
        <f>heureDecimal2Txt(AD84)</f>
        <v>13:50:25.00(13.8402)</v>
      </c>
      <c r="K84" s="1145"/>
      <c r="L84" s="1146"/>
      <c r="M84" s="1140" t="s">
        <v>306</v>
      </c>
      <c r="N84" s="1139"/>
      <c r="O84" s="1139"/>
      <c r="P84" s="1139">
        <v>0</v>
      </c>
      <c r="Q84" s="1139"/>
      <c r="R84" s="1139"/>
      <c r="S84" s="1139"/>
      <c r="T84" s="1116">
        <v>2</v>
      </c>
      <c r="U84" s="1116"/>
      <c r="V84" s="1116"/>
      <c r="W84" s="1116"/>
      <c r="X84" s="1117" t="s">
        <v>286</v>
      </c>
      <c r="Y84" s="1118"/>
      <c r="Z84" s="1118"/>
      <c r="AA84" s="140" t="s">
        <v>308</v>
      </c>
      <c r="AB84" s="411"/>
      <c r="AC84" s="393">
        <f>AC77+2*AH77</f>
        <v>13.433148727489428</v>
      </c>
      <c r="AD84" s="394">
        <f>AE84+(AF84+AG84+AH84)/3600</f>
        <v>13.840277777777777</v>
      </c>
      <c r="AE84" s="395">
        <f>heureConvert2Decimal(M84)</f>
        <v>13.666666666666666</v>
      </c>
      <c r="AF84" s="396">
        <f>P84*3600</f>
        <v>0</v>
      </c>
      <c r="AG84" s="397">
        <f>T84</f>
        <v>2</v>
      </c>
      <c r="AH84" s="395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716" t="s">
        <v>205</v>
      </c>
      <c r="D85" s="716"/>
      <c r="E85" s="1143" t="str">
        <f>E76</f>
        <v>4°54</v>
      </c>
      <c r="F85" s="1144"/>
      <c r="G85" s="1129" t="str">
        <f>heureDecimal2Txt(AC85)</f>
        <v>13:41:59.33(13.6998)</v>
      </c>
      <c r="H85" s="1129"/>
      <c r="I85" s="1129"/>
      <c r="J85" s="1145" t="str">
        <f>heureDecimal2Txt(AD85)</f>
        <v>13:52:02.00(13.8672)</v>
      </c>
      <c r="K85" s="1145"/>
      <c r="L85" s="1146"/>
      <c r="M85" s="1140" t="s">
        <v>305</v>
      </c>
      <c r="N85" s="1139"/>
      <c r="O85" s="1139"/>
      <c r="P85" s="1139">
        <v>0</v>
      </c>
      <c r="Q85" s="1139"/>
      <c r="R85" s="1139"/>
      <c r="S85" s="1139"/>
      <c r="T85" s="1116">
        <v>2</v>
      </c>
      <c r="U85" s="1116"/>
      <c r="V85" s="1116"/>
      <c r="W85" s="1116"/>
      <c r="X85" s="1117" t="s">
        <v>121</v>
      </c>
      <c r="Y85" s="1118"/>
      <c r="Z85" s="1118"/>
      <c r="AA85" s="140" t="s">
        <v>308</v>
      </c>
      <c r="AB85" s="412"/>
      <c r="AC85" s="393">
        <f>AC76+2*AH76</f>
        <v>13.699815394156094</v>
      </c>
      <c r="AD85" s="394">
        <f>AE85+(AF85+AG85+AH85)/3600</f>
        <v>13.867222222222223</v>
      </c>
      <c r="AE85" s="395">
        <f>heureConvert2Decimal(M85)</f>
        <v>13.866666666666667</v>
      </c>
      <c r="AF85" s="396">
        <f>P85*3600</f>
        <v>0</v>
      </c>
      <c r="AG85" s="397">
        <f>T85</f>
        <v>2</v>
      </c>
      <c r="AH85" s="395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716" t="s">
        <v>203</v>
      </c>
      <c r="D86" s="716"/>
      <c r="E86" s="1143" t="str">
        <f>E75</f>
        <v>3°54</v>
      </c>
      <c r="F86" s="1144"/>
      <c r="G86" s="1129" t="str">
        <f>heureDecimal2Txt(AC86)</f>
        <v>14:00:59.33(14.0164)</v>
      </c>
      <c r="H86" s="1129"/>
      <c r="I86" s="1129"/>
      <c r="J86" s="1145" t="str">
        <f>heureDecimal2Txt(AD86)</f>
        <v>14:10:02.00(14.1672)</v>
      </c>
      <c r="K86" s="1145"/>
      <c r="L86" s="1146"/>
      <c r="M86" s="1140" t="s">
        <v>304</v>
      </c>
      <c r="N86" s="1139"/>
      <c r="O86" s="1139"/>
      <c r="P86" s="1139">
        <v>0</v>
      </c>
      <c r="Q86" s="1139"/>
      <c r="R86" s="1139"/>
      <c r="S86" s="1139"/>
      <c r="T86" s="1116">
        <v>2</v>
      </c>
      <c r="U86" s="1116"/>
      <c r="V86" s="1116"/>
      <c r="W86" s="1116"/>
      <c r="X86" s="1117" t="s">
        <v>121</v>
      </c>
      <c r="Y86" s="1118"/>
      <c r="Z86" s="1118"/>
      <c r="AA86" s="140" t="s">
        <v>294</v>
      </c>
      <c r="AB86" s="412"/>
      <c r="AC86" s="393">
        <f>AC75+2*AH75</f>
        <v>14.01648206082276</v>
      </c>
      <c r="AD86" s="394">
        <f>AE86+(AF86+AG86+AH86)/3600</f>
        <v>14.167222222222222</v>
      </c>
      <c r="AE86" s="395">
        <f>heureConvert2Decimal(M86)</f>
        <v>14.166666666666666</v>
      </c>
      <c r="AF86" s="396">
        <f>P86*3600</f>
        <v>0</v>
      </c>
      <c r="AG86" s="397">
        <f>T86</f>
        <v>2</v>
      </c>
      <c r="AH86" s="395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716" t="s">
        <v>201</v>
      </c>
      <c r="D87" s="716"/>
      <c r="E87" s="1143" t="str">
        <f>E74</f>
        <v>2°54</v>
      </c>
      <c r="F87" s="1144"/>
      <c r="G87" s="1129" t="str">
        <f>heureDecimal2Txt(AC87)</f>
        <v>14:15:59.33(14.2664)</v>
      </c>
      <c r="H87" s="1129"/>
      <c r="I87" s="1129"/>
      <c r="J87" s="1145" t="str">
        <f>heureDecimal2Txt(AD87)</f>
        <v>14:32:03.00(14.5341)</v>
      </c>
      <c r="K87" s="1145"/>
      <c r="L87" s="1146"/>
      <c r="M87" s="1140" t="s">
        <v>302</v>
      </c>
      <c r="N87" s="1139"/>
      <c r="O87" s="1139"/>
      <c r="P87" s="1139">
        <v>0</v>
      </c>
      <c r="Q87" s="1139"/>
      <c r="R87" s="1139"/>
      <c r="S87" s="1139"/>
      <c r="T87" s="1116">
        <v>2</v>
      </c>
      <c r="U87" s="1116"/>
      <c r="V87" s="1116"/>
      <c r="W87" s="1116"/>
      <c r="X87" s="1117" t="s">
        <v>121</v>
      </c>
      <c r="Y87" s="1118"/>
      <c r="Z87" s="1118"/>
      <c r="AA87" s="140" t="s">
        <v>308</v>
      </c>
      <c r="AB87" s="412"/>
      <c r="AC87" s="393">
        <f>AC74+2*AH74</f>
        <v>14.26648206082276</v>
      </c>
      <c r="AD87" s="394">
        <f>AE87+(AF87+AG87+AH87)/3600</f>
        <v>14.534166666666666</v>
      </c>
      <c r="AE87" s="395">
        <f>heureConvert2Decimal(M87)</f>
        <v>14.53361111111111</v>
      </c>
      <c r="AF87" s="396">
        <f>P87*3600</f>
        <v>0</v>
      </c>
      <c r="AG87" s="397">
        <f>T87</f>
        <v>2</v>
      </c>
      <c r="AH87" s="395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300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108" t="s">
        <v>301</v>
      </c>
      <c r="F91" s="1108"/>
      <c r="G91" s="1108" t="s">
        <v>11</v>
      </c>
      <c r="H91" s="1108"/>
      <c r="I91" s="1108"/>
      <c r="J91" s="1108"/>
      <c r="K91" s="1108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200</v>
      </c>
      <c r="D92" s="189"/>
      <c r="E92" s="1108" t="b">
        <f>(AA87="O")</f>
        <v>0</v>
      </c>
      <c r="F92" s="1108"/>
      <c r="G92" s="1108">
        <f>IF(E92,(AD87+AC74)/2,0)</f>
        <v>0</v>
      </c>
      <c r="H92" s="1108"/>
      <c r="I92" s="91" t="str">
        <f>heureDecimal2Txt(G92)</f>
        <v>00:00:00.00(00.0000)</v>
      </c>
      <c r="J92" s="91"/>
      <c r="K92" s="91"/>
      <c r="Z92" s="16"/>
      <c r="AA92" s="16"/>
      <c r="AC92" s="351" t="s">
        <v>310</v>
      </c>
      <c r="AD92" s="351">
        <f>IF(G92&gt;0,1,0)</f>
        <v>0</v>
      </c>
    </row>
    <row r="93" spans="2:48">
      <c r="B93" s="16"/>
      <c r="C93" s="134" t="s">
        <v>202</v>
      </c>
      <c r="D93" s="190"/>
      <c r="E93" s="1108" t="b">
        <f>(AA86="O")</f>
        <v>1</v>
      </c>
      <c r="F93" s="1108"/>
      <c r="G93" s="1108">
        <f>IF(E93,(AD86+AC75)/2,0)</f>
        <v>12.465555555555556</v>
      </c>
      <c r="H93" s="1108"/>
      <c r="I93" s="91" t="str">
        <f t="shared" ref="I93:I98" si="0">heureDecimal2Txt(G93)</f>
        <v>12:27:56.00(12.4655)</v>
      </c>
      <c r="J93" s="91"/>
      <c r="K93" s="91"/>
      <c r="Z93" s="16"/>
      <c r="AA93" s="16"/>
      <c r="AC93" s="351" t="s">
        <v>310</v>
      </c>
      <c r="AD93" s="351">
        <f>IF(G93&gt;0,1,0)</f>
        <v>1</v>
      </c>
    </row>
    <row r="94" spans="2:48">
      <c r="B94" s="16"/>
      <c r="C94" s="134" t="s">
        <v>204</v>
      </c>
      <c r="D94" s="190"/>
      <c r="E94" s="1108" t="b">
        <f>(AA85="O")</f>
        <v>0</v>
      </c>
      <c r="F94" s="1108"/>
      <c r="G94" s="1108">
        <f>IF(E94,(AD85+AC76)/2,0)</f>
        <v>0</v>
      </c>
      <c r="H94" s="1108"/>
      <c r="I94" s="91" t="str">
        <f t="shared" si="0"/>
        <v>00:00:00.00(00.0000)</v>
      </c>
      <c r="J94" s="91"/>
      <c r="K94" s="91"/>
      <c r="Z94" s="16"/>
      <c r="AA94" s="16"/>
      <c r="AC94" s="351" t="s">
        <v>310</v>
      </c>
      <c r="AD94" s="351">
        <f>IF(G94&gt;0,1,0)</f>
        <v>0</v>
      </c>
    </row>
    <row r="95" spans="2:48">
      <c r="C95" s="134" t="s">
        <v>206</v>
      </c>
      <c r="D95" s="190"/>
      <c r="E95" s="1108" t="b">
        <f>(AA84="O")</f>
        <v>0</v>
      </c>
      <c r="F95" s="1108"/>
      <c r="G95" s="1108">
        <f>IF(E95,(AD84+AC77)/2,0)</f>
        <v>0</v>
      </c>
      <c r="H95" s="1108"/>
      <c r="I95" s="91" t="str">
        <f t="shared" si="0"/>
        <v>00:00:00.00(00.0000)</v>
      </c>
      <c r="J95" s="91"/>
      <c r="K95" s="91"/>
      <c r="AC95" s="351" t="s">
        <v>310</v>
      </c>
      <c r="AD95" s="351">
        <f>IF(G95&gt;0,1,0)</f>
        <v>0</v>
      </c>
    </row>
    <row r="96" spans="2:48">
      <c r="C96" s="138" t="s">
        <v>208</v>
      </c>
      <c r="D96" s="191"/>
      <c r="E96" s="1108" t="b">
        <f>(AA83="O")</f>
        <v>1</v>
      </c>
      <c r="F96" s="1108"/>
      <c r="G96" s="1108">
        <f>IF(E96,(AD83+AC78)/2,0)</f>
        <v>12.618749999999999</v>
      </c>
      <c r="H96" s="1108"/>
      <c r="I96" s="91" t="str">
        <f t="shared" si="0"/>
        <v>12:37:07.49(12.6187)</v>
      </c>
      <c r="J96" s="91"/>
      <c r="K96" s="91"/>
      <c r="AC96" s="351" t="s">
        <v>310</v>
      </c>
      <c r="AD96" s="351">
        <f>IF(G96&gt;0,1,0)</f>
        <v>1</v>
      </c>
    </row>
    <row r="98" spans="2:66">
      <c r="E98" t="s">
        <v>303</v>
      </c>
      <c r="G98" s="1127">
        <f>SUM(G92:G96)/SUM(AD92:AD96)</f>
        <v>12.542152777777776</v>
      </c>
      <c r="H98" s="1127"/>
      <c r="I98" t="str">
        <f t="shared" si="0"/>
        <v>12:32:31.74(12.5421)</v>
      </c>
      <c r="N98" s="1114" t="s">
        <v>307</v>
      </c>
      <c r="O98" s="1114"/>
      <c r="P98" s="1114"/>
      <c r="Q98" s="1114">
        <f>G98</f>
        <v>12.542152777777776</v>
      </c>
      <c r="R98" s="1114"/>
      <c r="S98" s="1115" t="str">
        <f>heureDecimal2Txt(Q98)</f>
        <v>12:32:31.74(12.5421)</v>
      </c>
      <c r="T98" s="1115"/>
      <c r="U98" s="1115"/>
      <c r="V98" s="1115"/>
      <c r="W98" s="1115"/>
      <c r="X98" s="1115"/>
      <c r="Y98" s="1115"/>
    </row>
    <row r="99" spans="2:66">
      <c r="N99" s="1114"/>
      <c r="O99" s="1114"/>
      <c r="P99" s="1114"/>
      <c r="Q99" s="1114"/>
      <c r="R99" s="1114"/>
      <c r="S99" s="1115"/>
      <c r="T99" s="1115"/>
      <c r="U99" s="1115"/>
      <c r="V99" s="1115"/>
      <c r="W99" s="1115"/>
      <c r="X99" s="1115"/>
      <c r="Y99" s="1115"/>
    </row>
    <row r="100" spans="2:66">
      <c r="N100" s="1114" t="s">
        <v>171</v>
      </c>
      <c r="O100" s="1114"/>
      <c r="P100" s="1114"/>
      <c r="Q100" s="1113">
        <f>(F20-Q98)*V47</f>
        <v>-7.1915837499999622</v>
      </c>
      <c r="R100" s="1114"/>
      <c r="S100" s="1115" t="str">
        <f>longitudeDecimal2Txt(Q100)</f>
        <v>W 07°11.49 (W 07.1915) [W 07°11'29.70]</v>
      </c>
      <c r="T100" s="1115"/>
      <c r="U100" s="1115"/>
      <c r="V100" s="1115"/>
      <c r="W100" s="1115"/>
      <c r="X100" s="1115"/>
      <c r="Y100" s="1115"/>
    </row>
    <row r="101" spans="2:66">
      <c r="N101" s="1114"/>
      <c r="O101" s="1114"/>
      <c r="P101" s="1114"/>
      <c r="Q101" s="1114"/>
      <c r="R101" s="1114"/>
      <c r="S101" s="1115"/>
      <c r="T101" s="1115"/>
      <c r="U101" s="1115"/>
      <c r="V101" s="1115"/>
      <c r="W101" s="1115"/>
      <c r="X101" s="1115"/>
      <c r="Y101" s="1115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99"/>
      <c r="AC103" s="351"/>
      <c r="AD103" s="351"/>
      <c r="AE103" s="351"/>
      <c r="AF103" s="351"/>
      <c r="AG103" s="351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77" t="s">
        <v>165</v>
      </c>
      <c r="D104" s="678"/>
      <c r="E104" s="678"/>
      <c r="F104" s="678"/>
      <c r="G104" s="678"/>
      <c r="H104" s="678"/>
      <c r="I104" s="679"/>
      <c r="J104" s="680" t="s">
        <v>167</v>
      </c>
      <c r="K104" s="681"/>
      <c r="L104" s="681"/>
      <c r="M104" s="681"/>
      <c r="N104" s="681"/>
      <c r="O104" s="682"/>
      <c r="P104"/>
      <c r="Q104"/>
      <c r="R104"/>
      <c r="S104"/>
      <c r="T104"/>
      <c r="U104"/>
      <c r="V104"/>
      <c r="W104"/>
      <c r="X104"/>
      <c r="Y104"/>
      <c r="Z104"/>
      <c r="AA104"/>
      <c r="AB104" s="398"/>
      <c r="AC104" s="359" t="s">
        <v>166</v>
      </c>
      <c r="AD104" s="360" t="s">
        <v>167</v>
      </c>
      <c r="AE104" s="351"/>
      <c r="AF104" s="351"/>
      <c r="AG104" s="351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77" t="s">
        <v>128</v>
      </c>
      <c r="D105" s="678"/>
      <c r="E105" s="678"/>
      <c r="F105" s="678"/>
      <c r="G105" s="678"/>
      <c r="H105" s="678"/>
      <c r="I105" s="679"/>
      <c r="J105" s="1036" cm="1">
        <f t="array" ref="J105">angleConvert2Decimal(M105)</f>
        <v>0.9</v>
      </c>
      <c r="K105" s="1037"/>
      <c r="L105" s="1038"/>
      <c r="M105" s="1039" t="s">
        <v>99</v>
      </c>
      <c r="N105" s="1040"/>
      <c r="O105" s="1041"/>
      <c r="P105" s="804" t="str" cm="1">
        <f t="array" ref="P105">angleDecimal2Txt(J105)</f>
        <v>+00°54.00 (+00.9000) [+00°54'00.00]</v>
      </c>
      <c r="Q105" s="805"/>
      <c r="R105" s="805"/>
      <c r="S105" s="805"/>
      <c r="T105" s="805"/>
      <c r="U105" s="805"/>
      <c r="V105" s="805"/>
      <c r="W105" s="805"/>
      <c r="X105" s="494"/>
      <c r="Y105" s="14"/>
      <c r="AB105" s="398"/>
      <c r="AC105" s="351"/>
      <c r="AD105" s="351"/>
      <c r="AE105" s="351"/>
      <c r="AF105" s="351"/>
      <c r="AG105" s="351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533" t="s">
        <v>127</v>
      </c>
      <c r="D106" s="533"/>
      <c r="E106" s="533"/>
      <c r="F106" s="533"/>
      <c r="G106" s="533"/>
      <c r="H106" s="533"/>
      <c r="I106" s="533"/>
      <c r="J106" s="528" cm="1">
        <f t="array" ref="J106">angleConvert2Decimal(M106)</f>
        <v>33.4</v>
      </c>
      <c r="K106" s="676"/>
      <c r="L106" s="529"/>
      <c r="M106" s="1044" t="s">
        <v>211</v>
      </c>
      <c r="N106" s="1045"/>
      <c r="O106" s="1046"/>
      <c r="P106" s="472" t="str" cm="1">
        <f t="array" ref="P106">angleDecimal2Txt(J106)</f>
        <v>+33°24.00 (+33.3999) [+33°24'00.00]</v>
      </c>
      <c r="Q106" s="472"/>
      <c r="R106" s="472"/>
      <c r="S106" s="472"/>
      <c r="T106" s="472"/>
      <c r="U106" s="472"/>
      <c r="V106" s="472"/>
      <c r="W106" s="472"/>
      <c r="X106" s="472"/>
      <c r="Y106" s="14"/>
      <c r="AB106" s="398"/>
      <c r="AC106" s="351"/>
      <c r="AD106" s="351"/>
      <c r="AE106" s="351"/>
      <c r="AF106" s="351"/>
      <c r="AG106" s="351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533" t="s">
        <v>135</v>
      </c>
      <c r="D107" s="533"/>
      <c r="E107" s="533"/>
      <c r="F107" s="533"/>
      <c r="G107" s="533"/>
      <c r="H107" s="533"/>
      <c r="I107" s="533"/>
      <c r="J107" s="528" cm="1">
        <f t="array" ref="J107">angleConvert2Decimal(M107)</f>
        <v>16.25</v>
      </c>
      <c r="K107" s="676"/>
      <c r="L107" s="529"/>
      <c r="M107" s="1044">
        <f>(J106-J105)/2</f>
        <v>16.25</v>
      </c>
      <c r="N107" s="1045"/>
      <c r="O107" s="1046"/>
      <c r="P107" s="472" t="str" cm="1">
        <f t="array" ref="P107">angleDecimal2Txt(J107)</f>
        <v>+16°15.00 (+16.2500) [+16°15'00.00]</v>
      </c>
      <c r="Q107" s="472"/>
      <c r="R107" s="472"/>
      <c r="S107" s="472"/>
      <c r="T107" s="472"/>
      <c r="U107" s="472"/>
      <c r="V107" s="472"/>
      <c r="W107" s="472"/>
      <c r="X107" s="472"/>
      <c r="Y107" s="14"/>
      <c r="AB107" s="398"/>
      <c r="AC107" s="351"/>
      <c r="AD107" s="351"/>
      <c r="AE107" s="351"/>
      <c r="AF107" s="351"/>
      <c r="AG107" s="351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84" t="s">
        <v>19</v>
      </c>
      <c r="D108" s="684"/>
      <c r="E108" s="684"/>
      <c r="F108" s="684"/>
      <c r="G108" s="684"/>
      <c r="H108" s="684"/>
      <c r="I108" s="684"/>
      <c r="J108" s="671">
        <f>M108</f>
        <v>2</v>
      </c>
      <c r="K108" s="672"/>
      <c r="L108" s="673"/>
      <c r="M108" s="584">
        <v>2</v>
      </c>
      <c r="N108" s="584"/>
      <c r="O108" s="58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98"/>
      <c r="AC108" s="351"/>
      <c r="AD108" s="351"/>
      <c r="AE108" s="351"/>
      <c r="AF108" s="351"/>
      <c r="AG108" s="351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97" t="s">
        <v>20</v>
      </c>
      <c r="D109" s="698"/>
      <c r="E109" s="698"/>
      <c r="F109" s="698"/>
      <c r="G109" s="698"/>
      <c r="H109" s="698"/>
      <c r="I109" s="699"/>
      <c r="J109" s="528" cm="1">
        <f t="array" ref="J109">angleConvert2Decimal(M109)</f>
        <v>2.1666666666666667E-2</v>
      </c>
      <c r="K109" s="676"/>
      <c r="L109" s="529"/>
      <c r="M109" s="583" t="s">
        <v>245</v>
      </c>
      <c r="N109" s="584"/>
      <c r="O109" s="584"/>
      <c r="P109" s="472" t="str" cm="1">
        <f t="array" ref="P109">angleDecimal2Txt(J109)</f>
        <v>+00°01.30 (+00.0216) [+00°01'18.00]</v>
      </c>
      <c r="Q109" s="472"/>
      <c r="R109" s="472"/>
      <c r="S109" s="472"/>
      <c r="T109" s="472"/>
      <c r="U109" s="472"/>
      <c r="V109" s="472"/>
      <c r="W109" s="472"/>
      <c r="X109" s="472"/>
      <c r="Y109" s="14"/>
      <c r="AB109" s="398"/>
      <c r="AC109" s="351"/>
      <c r="AD109" s="351"/>
      <c r="AE109" s="351"/>
      <c r="AF109" s="351"/>
      <c r="AG109" s="351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548" t="s">
        <v>26</v>
      </c>
      <c r="D110" s="548"/>
      <c r="E110" s="548"/>
      <c r="F110" s="548"/>
      <c r="G110" s="548"/>
      <c r="H110" s="548"/>
      <c r="I110" s="548"/>
      <c r="J110" s="926" cm="1">
        <f t="array" ref="J110">IF(J104=AC104,J107,angleConvert2Decimal(M110))</f>
        <v>66.95</v>
      </c>
      <c r="K110" s="927"/>
      <c r="L110" s="928"/>
      <c r="M110" s="583" t="s">
        <v>254</v>
      </c>
      <c r="N110" s="584"/>
      <c r="O110" s="584"/>
      <c r="P110" s="472" t="str" cm="1">
        <f t="array" ref="P110">angleDecimal2Txt(J110)</f>
        <v>+66°57.00 (+66.9500) [+66°57'00.00]</v>
      </c>
      <c r="Q110" s="472"/>
      <c r="R110" s="472"/>
      <c r="S110" s="472"/>
      <c r="T110" s="472"/>
      <c r="U110" s="472"/>
      <c r="V110" s="472"/>
      <c r="W110" s="472"/>
      <c r="X110" s="472"/>
      <c r="Y110" s="14"/>
      <c r="AB110" s="398"/>
      <c r="AC110" s="351"/>
      <c r="AD110" s="351"/>
      <c r="AE110" s="351"/>
      <c r="AF110" s="351"/>
      <c r="AG110" s="351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624" t="s">
        <v>30</v>
      </c>
      <c r="D111" s="624"/>
      <c r="E111" s="624"/>
      <c r="F111" s="624"/>
      <c r="G111" s="624"/>
      <c r="H111" s="624"/>
      <c r="I111" s="624"/>
      <c r="J111" s="519" t="str">
        <f>M111</f>
        <v>Soleil</v>
      </c>
      <c r="K111" s="520"/>
      <c r="L111" s="521"/>
      <c r="M111" s="1176" t="s">
        <v>31</v>
      </c>
      <c r="N111" s="1177"/>
      <c r="O111" s="1178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98"/>
      <c r="AC111" s="351"/>
      <c r="AD111" s="351"/>
      <c r="AE111" s="351"/>
      <c r="AF111" s="351"/>
      <c r="AG111" s="364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624" t="s">
        <v>56</v>
      </c>
      <c r="D112" s="624"/>
      <c r="E112" s="624"/>
      <c r="F112" s="624"/>
      <c r="G112" s="624"/>
      <c r="H112" s="624"/>
      <c r="I112" s="624"/>
      <c r="J112" s="519" t="str">
        <f>M112</f>
        <v>BordSup</v>
      </c>
      <c r="K112" s="520"/>
      <c r="L112" s="521"/>
      <c r="M112" s="650" t="s">
        <v>188</v>
      </c>
      <c r="N112" s="650"/>
      <c r="O112" s="650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98"/>
      <c r="AC112"/>
      <c r="AD112"/>
      <c r="AE112"/>
      <c r="AF112"/>
      <c r="AG112" s="364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618" t="s">
        <v>151</v>
      </c>
      <c r="D113" s="619"/>
      <c r="E113" s="27"/>
      <c r="F113" s="27"/>
      <c r="G113" s="27"/>
      <c r="H113" s="27"/>
      <c r="I113" s="28"/>
      <c r="J113" s="481" cm="1">
        <f t="array" ref="J113">angleConvert2Decimal(M113)</f>
        <v>2.8833333333333302E-3</v>
      </c>
      <c r="K113" s="482"/>
      <c r="L113" s="483"/>
      <c r="M113" s="475">
        <f>P115</f>
        <v>2.8833333333333302E-3</v>
      </c>
      <c r="N113" s="476"/>
      <c r="O113" s="476"/>
      <c r="P113" s="922" t="s">
        <v>97</v>
      </c>
      <c r="Q113" s="922"/>
      <c r="R113" s="922"/>
      <c r="S113" s="381"/>
      <c r="T113" s="381"/>
      <c r="U113" s="381"/>
      <c r="V113" s="381"/>
      <c r="W113" s="381"/>
      <c r="X113" s="381"/>
      <c r="Y113" s="14"/>
      <c r="AB113" s="398"/>
      <c r="AC113"/>
      <c r="AD113"/>
      <c r="AE113"/>
      <c r="AF113"/>
      <c r="AG113" s="364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935" t="s">
        <v>152</v>
      </c>
      <c r="E114" s="935"/>
      <c r="F114" s="935"/>
      <c r="G114" s="935"/>
      <c r="H114" s="935"/>
      <c r="I114" s="936"/>
      <c r="J114" s="484"/>
      <c r="K114" s="485"/>
      <c r="L114" s="486"/>
      <c r="M114" s="477"/>
      <c r="N114" s="478"/>
      <c r="O114" s="478"/>
      <c r="P114" s="922"/>
      <c r="Q114" s="922"/>
      <c r="R114" s="922"/>
      <c r="S114" s="381"/>
      <c r="T114" s="381"/>
      <c r="U114" s="381"/>
      <c r="V114" s="381"/>
      <c r="W114" s="381"/>
      <c r="X114" s="381"/>
      <c r="Y114" s="14"/>
      <c r="AB114" s="398"/>
      <c r="AC114"/>
      <c r="AD114"/>
      <c r="AE114"/>
      <c r="AF114"/>
      <c r="AG114" s="36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935"/>
      <c r="E115" s="935"/>
      <c r="F115" s="935"/>
      <c r="G115" s="935"/>
      <c r="H115" s="935"/>
      <c r="I115" s="936"/>
      <c r="J115" s="484"/>
      <c r="K115" s="485"/>
      <c r="L115" s="486"/>
      <c r="M115" s="477"/>
      <c r="N115" s="478"/>
      <c r="O115" s="478"/>
      <c r="P115" s="648" cm="1">
        <f t="array" ref="P115">astroHPSoleilEnDegre()</f>
        <v>2.8833333333333302E-3</v>
      </c>
      <c r="Q115" s="648"/>
      <c r="R115" s="648"/>
      <c r="S115" s="615" t="str" cm="1">
        <f t="array" ref="S115">angleDecimal2Txt(angleConvert2Decimal(P115))</f>
        <v>+00°00.17 (+00.0028) [+00°00'10.37]</v>
      </c>
      <c r="T115" s="615"/>
      <c r="U115" s="615"/>
      <c r="V115" s="615"/>
      <c r="W115" s="615"/>
      <c r="X115" s="616"/>
      <c r="Y115" s="14"/>
      <c r="AB115" s="398"/>
      <c r="AC115" s="351"/>
      <c r="AD115" s="351"/>
      <c r="AE115" s="351"/>
      <c r="AF115" s="351"/>
      <c r="AG115" s="351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937"/>
      <c r="E116" s="937"/>
      <c r="F116" s="937"/>
      <c r="G116" s="937"/>
      <c r="H116" s="937"/>
      <c r="I116" s="938"/>
      <c r="J116" s="923"/>
      <c r="K116" s="924"/>
      <c r="L116" s="925"/>
      <c r="M116" s="479"/>
      <c r="N116" s="480"/>
      <c r="O116" s="480"/>
      <c r="P116" s="565" t="str" cm="1">
        <f t="array" ref="P116">angleDecimal2Txt(J113)</f>
        <v>+00°00.17 (+00.0028) [+00°00'10.37]</v>
      </c>
      <c r="Q116" s="565"/>
      <c r="R116" s="565"/>
      <c r="S116" s="472"/>
      <c r="T116" s="472"/>
      <c r="U116" s="472"/>
      <c r="V116" s="472"/>
      <c r="W116" s="472"/>
      <c r="X116" s="472"/>
      <c r="Y116" s="14"/>
      <c r="AB116" s="398"/>
      <c r="AC116" s="361" t="s">
        <v>98</v>
      </c>
      <c r="AD116" s="362" t="s">
        <v>57</v>
      </c>
      <c r="AE116" s="362" t="s">
        <v>188</v>
      </c>
      <c r="AF116" s="362" t="s">
        <v>58</v>
      </c>
      <c r="AG116" s="351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100" t="s">
        <v>100</v>
      </c>
      <c r="D117" s="1101"/>
      <c r="E117" s="1101"/>
      <c r="F117" s="1101"/>
      <c r="G117" s="1101"/>
      <c r="H117" s="1101"/>
      <c r="I117" s="1102"/>
      <c r="J117" s="481" cm="1">
        <f t="array" ref="J117">angleConvert2Decimal(M117)</f>
        <v>0.52666666699999998</v>
      </c>
      <c r="K117" s="482"/>
      <c r="L117" s="483"/>
      <c r="M117" s="475">
        <f>P119</f>
        <v>0.52666666699999998</v>
      </c>
      <c r="N117" s="476"/>
      <c r="O117" s="476"/>
      <c r="P117" s="922" t="s">
        <v>97</v>
      </c>
      <c r="Q117" s="922"/>
      <c r="R117" s="922"/>
      <c r="S117" s="381"/>
      <c r="T117" s="381"/>
      <c r="U117" s="381"/>
      <c r="V117" s="381"/>
      <c r="W117" s="381"/>
      <c r="X117" s="381"/>
      <c r="Y117" s="14"/>
      <c r="AB117" s="398"/>
      <c r="AC117"/>
      <c r="AD117"/>
      <c r="AE117"/>
      <c r="AF117"/>
      <c r="AG117" s="351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103"/>
      <c r="D118" s="532"/>
      <c r="E118" s="532"/>
      <c r="F118" s="532"/>
      <c r="G118" s="532"/>
      <c r="H118" s="532"/>
      <c r="I118" s="1104"/>
      <c r="J118" s="484"/>
      <c r="K118" s="485"/>
      <c r="L118" s="486"/>
      <c r="M118" s="477"/>
      <c r="N118" s="478"/>
      <c r="O118" s="478"/>
      <c r="P118" s="922"/>
      <c r="Q118" s="922"/>
      <c r="R118" s="922"/>
      <c r="S118" s="381"/>
      <c r="T118" s="381"/>
      <c r="U118" s="381"/>
      <c r="V118" s="381"/>
      <c r="W118" s="381"/>
      <c r="X118" s="381"/>
      <c r="Y118" s="14"/>
      <c r="AB118" s="398"/>
      <c r="AC118" s="351"/>
      <c r="AD118" s="351"/>
      <c r="AE118" s="351"/>
      <c r="AF118" s="351"/>
      <c r="AG118" s="351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103"/>
      <c r="D119" s="532"/>
      <c r="E119" s="532"/>
      <c r="F119" s="532"/>
      <c r="G119" s="532"/>
      <c r="H119" s="532"/>
      <c r="I119" s="1104"/>
      <c r="J119" s="484"/>
      <c r="K119" s="485"/>
      <c r="L119" s="486"/>
      <c r="M119" s="477"/>
      <c r="N119" s="478"/>
      <c r="O119" s="478"/>
      <c r="P119" s="648" cm="1">
        <f t="array" ref="P119">astroDiametreSoleilEnDegre(AA6)</f>
        <v>0.52666666699999998</v>
      </c>
      <c r="Q119" s="648"/>
      <c r="R119" s="648"/>
      <c r="S119" s="615" t="str" cm="1">
        <f t="array" ref="S119">angleDecimal2Txt(angleConvert2Decimal(P119))</f>
        <v>+00°31.60 (+00.5266) [+00°31'36.00]</v>
      </c>
      <c r="T119" s="615"/>
      <c r="U119" s="615"/>
      <c r="V119" s="615"/>
      <c r="W119" s="615"/>
      <c r="X119" s="616"/>
      <c r="Y119" s="14"/>
      <c r="AB119" s="398"/>
      <c r="AC119" s="351"/>
      <c r="AD119" s="351"/>
      <c r="AE119" s="351"/>
      <c r="AF119" s="351"/>
      <c r="AG119" s="351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105"/>
      <c r="D120" s="1106"/>
      <c r="E120" s="1106"/>
      <c r="F120" s="1106"/>
      <c r="G120" s="1106"/>
      <c r="H120" s="1106"/>
      <c r="I120" s="1107"/>
      <c r="J120" s="487"/>
      <c r="K120" s="488"/>
      <c r="L120" s="489"/>
      <c r="M120" s="479"/>
      <c r="N120" s="480"/>
      <c r="O120" s="480"/>
      <c r="P120" s="565" t="str" cm="1">
        <f t="array" ref="P120">angleDecimal2Txt(J117)</f>
        <v>+00°31.60 (+00.5266) [+00°31'36.00]</v>
      </c>
      <c r="Q120" s="565"/>
      <c r="R120" s="565"/>
      <c r="S120" s="472"/>
      <c r="T120" s="472"/>
      <c r="U120" s="472"/>
      <c r="V120" s="472"/>
      <c r="W120" s="472"/>
      <c r="X120" s="472"/>
      <c r="Y120" s="14"/>
      <c r="AB120" s="398"/>
      <c r="AC120" s="351"/>
      <c r="AD120" s="351"/>
      <c r="AE120" s="351"/>
      <c r="AF120" s="351"/>
      <c r="AG120" s="351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98"/>
      <c r="AC121" s="351"/>
      <c r="AD121" s="351"/>
      <c r="AE121" s="351"/>
      <c r="AF121" s="351"/>
      <c r="AG121" s="35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A122" s="246"/>
      <c r="B122" s="250" t="s">
        <v>9</v>
      </c>
      <c r="C122" s="251"/>
      <c r="D122" s="251"/>
      <c r="E122" s="251"/>
      <c r="F122" s="554">
        <f>IF(G123=AD123,D126,IF(G123=AD124,D133,D139))</f>
        <v>-14.728333333333333</v>
      </c>
      <c r="G122" s="554"/>
      <c r="H122" s="554"/>
      <c r="I122" s="251"/>
      <c r="J122" s="251"/>
      <c r="K122" s="251" t="str" cm="1">
        <f t="array" ref="K122">latitudeDecimal2Txt(F122)</f>
        <v>S 14°43.70 (S 14.7283) [S 14°43'42.00]</v>
      </c>
      <c r="L122" s="251"/>
      <c r="M122" s="251"/>
      <c r="N122" s="251"/>
      <c r="O122" s="251"/>
      <c r="P122" s="251"/>
      <c r="Q122" s="251"/>
      <c r="R122" s="251"/>
      <c r="S122" s="251"/>
      <c r="T122" s="251"/>
      <c r="U122" s="251"/>
      <c r="V122" s="251"/>
      <c r="W122" s="251"/>
      <c r="X122" s="251"/>
      <c r="Y122" s="251"/>
      <c r="Z122" s="251"/>
      <c r="AA122" s="251"/>
      <c r="AB122" s="424"/>
      <c r="AC122" s="247"/>
      <c r="AD122" s="263" t="s">
        <v>544</v>
      </c>
      <c r="AE122" s="246"/>
      <c r="AF122" s="383"/>
      <c r="AG122" s="383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262"/>
      <c r="B123" s="262"/>
      <c r="C123" s="607" t="s">
        <v>35</v>
      </c>
      <c r="D123" s="607"/>
      <c r="E123" s="607"/>
      <c r="F123" s="607"/>
      <c r="G123" s="610" t="s">
        <v>544</v>
      </c>
      <c r="H123" s="611"/>
      <c r="I123" s="612"/>
      <c r="J123" s="262"/>
      <c r="K123" s="262"/>
      <c r="L123" s="262"/>
      <c r="M123" s="262"/>
      <c r="N123" s="262"/>
      <c r="O123" s="262"/>
      <c r="P123" s="262"/>
      <c r="Q123" s="262"/>
      <c r="R123" s="262"/>
      <c r="S123" s="262"/>
      <c r="T123" s="262"/>
      <c r="U123" s="262"/>
      <c r="V123" s="262"/>
      <c r="W123" s="262"/>
      <c r="X123" s="262"/>
      <c r="Y123" s="262"/>
      <c r="Z123" s="262"/>
      <c r="AA123" s="262"/>
      <c r="AB123" s="425"/>
      <c r="AC123" s="715" t="s">
        <v>36</v>
      </c>
      <c r="AD123" s="263" t="s">
        <v>10</v>
      </c>
      <c r="AE123" s="247"/>
      <c r="AF123" s="383"/>
      <c r="AG123" s="38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A124" s="246"/>
      <c r="B124" s="246"/>
      <c r="C124" s="876" t="s">
        <v>10</v>
      </c>
      <c r="D124" s="878" t="s">
        <v>9</v>
      </c>
      <c r="E124" s="656"/>
      <c r="F124" s="656"/>
      <c r="G124" s="656"/>
      <c r="H124" s="656"/>
      <c r="I124" s="504" t="s">
        <v>609</v>
      </c>
      <c r="J124" s="597"/>
      <c r="K124" s="504" t="s">
        <v>13</v>
      </c>
      <c r="L124" s="505"/>
      <c r="M124" s="506"/>
      <c r="N124" s="510" t="s">
        <v>15</v>
      </c>
      <c r="O124" s="510"/>
      <c r="P124" s="510"/>
      <c r="Q124" s="510"/>
      <c r="R124" s="510"/>
      <c r="S124" s="381"/>
      <c r="T124" s="246"/>
      <c r="U124" s="246"/>
      <c r="V124" s="246"/>
      <c r="W124" s="246"/>
      <c r="X124" s="246"/>
      <c r="Y124" s="246"/>
      <c r="Z124" s="246"/>
      <c r="AA124" s="246"/>
      <c r="AB124" s="419"/>
      <c r="AC124" s="715"/>
      <c r="AD124" s="263" t="s">
        <v>14</v>
      </c>
      <c r="AE124" s="247"/>
      <c r="AF124" s="383"/>
      <c r="AG124" s="383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A125" s="246"/>
      <c r="B125" s="246"/>
      <c r="C125" s="876"/>
      <c r="D125" s="878"/>
      <c r="E125" s="656"/>
      <c r="F125" s="656"/>
      <c r="G125" s="656"/>
      <c r="H125" s="656"/>
      <c r="I125" s="600"/>
      <c r="J125" s="601"/>
      <c r="K125" s="507"/>
      <c r="L125" s="508"/>
      <c r="M125" s="509"/>
      <c r="N125" s="510"/>
      <c r="O125" s="510"/>
      <c r="P125" s="510"/>
      <c r="Q125" s="510"/>
      <c r="R125" s="510"/>
      <c r="S125" s="381"/>
      <c r="T125" s="246"/>
      <c r="U125" s="246"/>
      <c r="V125" s="246"/>
      <c r="W125" s="246"/>
      <c r="X125" s="246"/>
      <c r="Y125" s="246"/>
      <c r="Z125" s="246"/>
      <c r="AA125" s="246"/>
      <c r="AB125" s="419"/>
      <c r="AC125" s="247"/>
      <c r="AD125" s="71" t="s">
        <v>73</v>
      </c>
      <c r="AE125" s="3" t="s">
        <v>180</v>
      </c>
      <c r="AF125" s="383"/>
      <c r="AG125" s="383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A126" s="246"/>
      <c r="B126" s="246"/>
      <c r="C126" s="876"/>
      <c r="D126" s="482" t="str">
        <f>IF(G123=AD123,AD131,"---")</f>
        <v>---</v>
      </c>
      <c r="E126" s="482"/>
      <c r="F126" s="482"/>
      <c r="G126" s="482"/>
      <c r="H126" s="483"/>
      <c r="I126" s="746" t="b">
        <f>E95</f>
        <v>0</v>
      </c>
      <c r="J126" s="747"/>
      <c r="K126" s="535">
        <v>10</v>
      </c>
      <c r="L126" s="536"/>
      <c r="M126" s="537"/>
      <c r="N126" s="511" t="s">
        <v>3</v>
      </c>
      <c r="O126" s="512" t="s">
        <v>529</v>
      </c>
      <c r="P126" s="513"/>
      <c r="Q126" s="513"/>
      <c r="R126" s="513"/>
      <c r="S126" s="549" t="str" cm="1">
        <f t="array" ref="S126">angleDecimal2Txt(AE126)</f>
        <v>+23°08.50 (+23.1416) [+23°08'30.00]</v>
      </c>
      <c r="T126" s="550"/>
      <c r="U126" s="550"/>
      <c r="V126" s="550"/>
      <c r="W126" s="550"/>
      <c r="X126" s="246"/>
      <c r="Y126" s="246"/>
      <c r="Z126" s="246"/>
      <c r="AA126" s="246"/>
      <c r="AB126" s="419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383"/>
      <c r="AG126" s="383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A127" s="246"/>
      <c r="B127" s="246"/>
      <c r="C127" s="876"/>
      <c r="D127" s="485"/>
      <c r="E127" s="485"/>
      <c r="F127" s="485"/>
      <c r="G127" s="485"/>
      <c r="H127" s="486"/>
      <c r="I127" s="490"/>
      <c r="J127" s="877"/>
      <c r="K127" s="538"/>
      <c r="L127" s="539"/>
      <c r="M127" s="540"/>
      <c r="N127" s="511"/>
      <c r="O127" s="514"/>
      <c r="P127" s="514"/>
      <c r="Q127" s="514"/>
      <c r="R127" s="514"/>
      <c r="S127" s="550"/>
      <c r="T127" s="550"/>
      <c r="U127" s="550"/>
      <c r="V127" s="550"/>
      <c r="W127" s="550"/>
      <c r="X127" s="246"/>
      <c r="Y127" s="246"/>
      <c r="Z127" s="246"/>
      <c r="AA127" s="246"/>
      <c r="AB127" s="419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383"/>
      <c r="AG127" s="383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A128" s="246"/>
      <c r="B128" s="246"/>
      <c r="C128" s="876"/>
      <c r="D128" s="485"/>
      <c r="E128" s="485"/>
      <c r="F128" s="485"/>
      <c r="G128" s="485"/>
      <c r="H128" s="486"/>
      <c r="I128" s="490"/>
      <c r="J128" s="877"/>
      <c r="K128" s="625">
        <v>11</v>
      </c>
      <c r="L128" s="626"/>
      <c r="M128" s="627"/>
      <c r="N128" s="511" t="s">
        <v>3</v>
      </c>
      <c r="O128" s="547" t="s">
        <v>530</v>
      </c>
      <c r="P128" s="514"/>
      <c r="Q128" s="514"/>
      <c r="R128" s="514"/>
      <c r="S128" s="549" t="str" cm="1">
        <f t="array" ref="S128">angleDecimal2Txt((AE127))</f>
        <v>+23°08.30 (+23.1383) [+23°08'18.00]</v>
      </c>
      <c r="T128" s="550"/>
      <c r="U128" s="550"/>
      <c r="V128" s="550"/>
      <c r="W128" s="550"/>
      <c r="X128" s="246"/>
      <c r="Y128" s="246"/>
      <c r="Z128" s="246"/>
      <c r="AA128" s="246"/>
      <c r="AB128" s="419"/>
      <c r="AC128" s="3" t="s">
        <v>38</v>
      </c>
      <c r="AD128" s="5">
        <f>AE127-AE126</f>
        <v>-3.3333333333338544E-3</v>
      </c>
      <c r="AE128" s="247"/>
      <c r="AF128" s="383"/>
      <c r="AG128" s="383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A129" s="246"/>
      <c r="B129" s="246"/>
      <c r="C129" s="876"/>
      <c r="D129" s="654" t="e" cm="1">
        <f t="array" ref="D129">latitudeDecimal2Txt(D126)</f>
        <v>#VALUE!</v>
      </c>
      <c r="E129" s="470"/>
      <c r="F129" s="470"/>
      <c r="G129" s="470"/>
      <c r="H129" s="470"/>
      <c r="I129" s="748"/>
      <c r="J129" s="749"/>
      <c r="K129" s="538"/>
      <c r="L129" s="539"/>
      <c r="M129" s="540"/>
      <c r="N129" s="511"/>
      <c r="O129" s="514"/>
      <c r="P129" s="514"/>
      <c r="Q129" s="514"/>
      <c r="R129" s="514"/>
      <c r="S129" s="550"/>
      <c r="T129" s="550"/>
      <c r="U129" s="550"/>
      <c r="V129" s="550"/>
      <c r="W129" s="550"/>
      <c r="X129" s="246"/>
      <c r="Y129" s="246"/>
      <c r="Z129" s="246"/>
      <c r="AA129" s="246"/>
      <c r="AB129" s="419"/>
      <c r="AC129" s="3" t="s">
        <v>174</v>
      </c>
      <c r="AD129" s="5">
        <f>K128-K126</f>
        <v>1</v>
      </c>
      <c r="AE129" s="246"/>
      <c r="AF129" s="383"/>
      <c r="AG129" s="383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246"/>
      <c r="B130" s="246"/>
      <c r="C130" s="382"/>
      <c r="D130" s="382"/>
      <c r="E130" s="382"/>
      <c r="F130" s="246"/>
      <c r="G130" s="246"/>
      <c r="H130" s="246"/>
      <c r="I130" s="246"/>
      <c r="J130" s="246"/>
      <c r="K130" s="246"/>
      <c r="L130" s="246"/>
      <c r="M130" s="246"/>
      <c r="N130" s="246"/>
      <c r="O130" s="246"/>
      <c r="P130" s="246"/>
      <c r="Q130" s="246"/>
      <c r="R130" s="246"/>
      <c r="S130" s="246"/>
      <c r="T130" s="246"/>
      <c r="U130" s="246"/>
      <c r="V130" s="246"/>
      <c r="W130" s="246"/>
      <c r="X130" s="246"/>
      <c r="Y130" s="246"/>
      <c r="Z130" s="246"/>
      <c r="AA130" s="246"/>
      <c r="AB130" s="419"/>
      <c r="AC130" s="3" t="s">
        <v>39</v>
      </c>
      <c r="AD130" s="5">
        <f>I126-K126</f>
        <v>-10</v>
      </c>
      <c r="AE130" s="247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A131" s="246"/>
      <c r="B131" s="246"/>
      <c r="C131" s="655" t="s">
        <v>14</v>
      </c>
      <c r="D131" s="656" t="s">
        <v>9</v>
      </c>
      <c r="E131" s="656"/>
      <c r="F131" s="656"/>
      <c r="G131" s="656"/>
      <c r="H131" s="656"/>
      <c r="I131" s="504" t="s">
        <v>609</v>
      </c>
      <c r="J131" s="597"/>
      <c r="K131" s="504" t="s">
        <v>601</v>
      </c>
      <c r="L131" s="505"/>
      <c r="M131" s="506"/>
      <c r="N131" s="510" t="s">
        <v>16</v>
      </c>
      <c r="O131" s="510"/>
      <c r="P131" s="510"/>
      <c r="Q131" s="510"/>
      <c r="R131" s="510"/>
      <c r="S131" s="510" t="s">
        <v>131</v>
      </c>
      <c r="T131" s="510"/>
      <c r="U131" s="510"/>
      <c r="V131" s="510"/>
      <c r="W131" s="510"/>
      <c r="X131" s="246"/>
      <c r="Y131" s="246"/>
      <c r="Z131" s="246"/>
      <c r="AA131" s="381"/>
      <c r="AB131" s="419"/>
      <c r="AC131" s="3" t="s">
        <v>37</v>
      </c>
      <c r="AD131" s="3">
        <f>AE126+(AD128/AD129)*AD130</f>
        <v>23.175000000000004</v>
      </c>
      <c r="AE131" s="247"/>
      <c r="AF131" s="364"/>
      <c r="AG131" s="364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A132" s="246"/>
      <c r="B132" s="246"/>
      <c r="C132" s="655"/>
      <c r="D132" s="656"/>
      <c r="E132" s="656"/>
      <c r="F132" s="656"/>
      <c r="G132" s="656"/>
      <c r="H132" s="656"/>
      <c r="I132" s="600"/>
      <c r="J132" s="601"/>
      <c r="K132" s="507"/>
      <c r="L132" s="508"/>
      <c r="M132" s="509"/>
      <c r="N132" s="510"/>
      <c r="O132" s="510"/>
      <c r="P132" s="510"/>
      <c r="Q132" s="510"/>
      <c r="R132" s="510"/>
      <c r="S132" s="510"/>
      <c r="T132" s="510"/>
      <c r="U132" s="510"/>
      <c r="V132" s="510"/>
      <c r="W132" s="510"/>
      <c r="X132" s="246"/>
      <c r="Y132" s="246"/>
      <c r="Z132" s="246"/>
      <c r="AA132" s="381"/>
      <c r="AB132" s="419"/>
      <c r="AC132" s="247"/>
      <c r="AD132" s="247"/>
      <c r="AE132" s="247"/>
      <c r="AF132" s="383"/>
      <c r="AG132" s="383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A133" s="246"/>
      <c r="B133" s="246"/>
      <c r="C133" s="655"/>
      <c r="D133" s="482" t="str">
        <f>IF(G123=AD124,AD137,"---")</f>
        <v>---</v>
      </c>
      <c r="E133" s="482"/>
      <c r="F133" s="482"/>
      <c r="G133" s="482"/>
      <c r="H133" s="482"/>
      <c r="I133" s="652" t="b">
        <f>E95</f>
        <v>0</v>
      </c>
      <c r="J133" s="652"/>
      <c r="K133" s="499">
        <v>0</v>
      </c>
      <c r="L133" s="499"/>
      <c r="M133" s="717"/>
      <c r="N133" s="511" t="s">
        <v>3</v>
      </c>
      <c r="O133" s="720" t="s">
        <v>600</v>
      </c>
      <c r="P133" s="721"/>
      <c r="Q133" s="721"/>
      <c r="R133" s="721"/>
      <c r="S133" s="511" t="s">
        <v>3</v>
      </c>
      <c r="T133" s="720">
        <f>0.2/60</f>
        <v>3.3333333333333335E-3</v>
      </c>
      <c r="U133" s="721"/>
      <c r="V133" s="721"/>
      <c r="W133" s="721"/>
      <c r="X133" s="246"/>
      <c r="Y133" s="246"/>
      <c r="Z133" s="246"/>
      <c r="AA133" s="381"/>
      <c r="AB133" s="419"/>
      <c r="AC133" s="3" t="s">
        <v>175</v>
      </c>
      <c r="AD133" s="3">
        <f>VLOOKUP(N133,Outils!$C$9:$E$10,3)</f>
        <v>1</v>
      </c>
      <c r="AE133" s="247"/>
      <c r="AF133" s="383"/>
      <c r="AG133" s="38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A134" s="246"/>
      <c r="B134" s="246"/>
      <c r="C134" s="655"/>
      <c r="D134" s="485"/>
      <c r="E134" s="485"/>
      <c r="F134" s="485"/>
      <c r="G134" s="485"/>
      <c r="H134" s="485"/>
      <c r="I134" s="652"/>
      <c r="J134" s="652"/>
      <c r="K134" s="501"/>
      <c r="L134" s="501"/>
      <c r="M134" s="718"/>
      <c r="N134" s="511"/>
      <c r="O134" s="511"/>
      <c r="P134" s="511"/>
      <c r="Q134" s="511"/>
      <c r="R134" s="511"/>
      <c r="S134" s="511"/>
      <c r="T134" s="511"/>
      <c r="U134" s="511"/>
      <c r="V134" s="511"/>
      <c r="W134" s="511"/>
      <c r="X134" s="246"/>
      <c r="Y134" s="246"/>
      <c r="Z134" s="381"/>
      <c r="AA134" s="381"/>
      <c r="AB134" s="419"/>
      <c r="AC134" s="3" t="s">
        <v>176</v>
      </c>
      <c r="AD134" s="3" cm="1">
        <f t="array" ref="AD134">angleConvert2Decimal(O133)*AD133</f>
        <v>23.176666666666666</v>
      </c>
      <c r="AE134" s="247"/>
      <c r="AF134" s="383"/>
      <c r="AG134" s="383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A135" s="246"/>
      <c r="B135" s="246"/>
      <c r="C135" s="655"/>
      <c r="D135" s="654" t="e" cm="1">
        <f t="array" ref="D135">latitudeDecimal2Txt(D133)</f>
        <v>#VALUE!</v>
      </c>
      <c r="E135" s="470"/>
      <c r="F135" s="470"/>
      <c r="G135" s="470"/>
      <c r="H135" s="737"/>
      <c r="I135" s="652"/>
      <c r="J135" s="652"/>
      <c r="K135" s="653" t="str" cm="1">
        <f t="array" ref="K135">heureDecimal2Txt(K133)</f>
        <v>00:00:00.00(00.0000)</v>
      </c>
      <c r="L135" s="653"/>
      <c r="M135" s="654"/>
      <c r="N135" s="472" t="str" cm="1">
        <f t="array" ref="N135">angleDecimal2Txt(AD134)</f>
        <v>+23°10.59 (+23.1766) [+23°10'36.00]</v>
      </c>
      <c r="O135" s="472"/>
      <c r="P135" s="472"/>
      <c r="Q135" s="472"/>
      <c r="R135" s="472"/>
      <c r="S135" s="472" t="str" cm="1">
        <f t="array" ref="S135">angleDecimal2Txt(AD136)</f>
        <v>+00°00.19 (+00.0033) [+00°00'11.99]</v>
      </c>
      <c r="T135" s="722"/>
      <c r="U135" s="722"/>
      <c r="V135" s="722"/>
      <c r="W135" s="722"/>
      <c r="X135" s="246"/>
      <c r="Y135" s="246"/>
      <c r="Z135" s="381"/>
      <c r="AA135" s="246"/>
      <c r="AB135" s="419"/>
      <c r="AC135" s="3" t="s">
        <v>177</v>
      </c>
      <c r="AD135" s="3">
        <f>VLOOKUP(S133,Outils!$C$9:$E$10,3)</f>
        <v>1</v>
      </c>
      <c r="AE135" s="247"/>
      <c r="AF135" s="383"/>
      <c r="AG135" s="383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264" t="s">
        <v>527</v>
      </c>
      <c r="B136" s="246"/>
      <c r="C136" s="382"/>
      <c r="D136" s="382"/>
      <c r="E136" s="382"/>
      <c r="F136" s="246"/>
      <c r="G136" s="246"/>
      <c r="H136" s="246"/>
      <c r="I136"/>
      <c r="J136" s="246"/>
      <c r="K136" s="246"/>
      <c r="L136" s="246"/>
      <c r="M136" s="246"/>
      <c r="N136" s="246"/>
      <c r="O136" s="246"/>
      <c r="P136" s="246"/>
      <c r="Q136" s="246"/>
      <c r="R136" s="246"/>
      <c r="S136" s="246"/>
      <c r="T136" s="246"/>
      <c r="U136" s="246"/>
      <c r="V136" s="246"/>
      <c r="W136" s="246"/>
      <c r="X136" s="246"/>
      <c r="Y136" s="246"/>
      <c r="Z136" s="381"/>
      <c r="AA136" s="246"/>
      <c r="AB136" s="419"/>
      <c r="AC136" s="3" t="s">
        <v>178</v>
      </c>
      <c r="AD136" s="3" cm="1">
        <f t="array" ref="AD136">angleConvert2Decimal(T133)*AD135</f>
        <v>3.3333333333333301E-3</v>
      </c>
      <c r="AE136" s="247"/>
      <c r="AF136" s="364"/>
      <c r="AG136" s="364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A137" s="246"/>
      <c r="B137" s="246"/>
      <c r="C137" s="655" t="s">
        <v>610</v>
      </c>
      <c r="D137" s="656" t="s">
        <v>9</v>
      </c>
      <c r="E137" s="656"/>
      <c r="F137" s="656"/>
      <c r="G137" s="656"/>
      <c r="H137" s="656"/>
      <c r="I137" s="587" t="s">
        <v>546</v>
      </c>
      <c r="J137" s="588"/>
      <c r="K137" s="588"/>
      <c r="L137" s="588"/>
      <c r="M137" s="589"/>
      <c r="N137" s="246"/>
      <c r="O137" s="246"/>
      <c r="P137" s="246"/>
      <c r="Q137" s="246"/>
      <c r="R137" s="246"/>
      <c r="S137" s="246"/>
      <c r="T137" s="246"/>
      <c r="U137" s="246"/>
      <c r="V137" s="246"/>
      <c r="W137" s="246"/>
      <c r="X137" s="246"/>
      <c r="Y137" s="246"/>
      <c r="Z137" s="246"/>
      <c r="AA137" s="246"/>
      <c r="AB137" s="419"/>
      <c r="AC137" s="3" t="s">
        <v>179</v>
      </c>
      <c r="AD137" s="3">
        <f>AD134+AD136*(I133-K133)</f>
        <v>23.176666666666666</v>
      </c>
      <c r="AE137" s="247"/>
      <c r="AF137" s="383"/>
      <c r="AG137" s="383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A138" s="246"/>
      <c r="B138" s="246"/>
      <c r="C138" s="655"/>
      <c r="D138" s="656"/>
      <c r="E138" s="656"/>
      <c r="F138" s="656"/>
      <c r="G138" s="656"/>
      <c r="H138" s="656"/>
      <c r="I138" s="590"/>
      <c r="J138" s="591"/>
      <c r="K138" s="591"/>
      <c r="L138" s="591"/>
      <c r="M138" s="592"/>
      <c r="N138" s="246"/>
      <c r="O138" s="246"/>
      <c r="P138" s="246"/>
      <c r="Q138" s="246"/>
      <c r="R138" s="246"/>
      <c r="S138"/>
      <c r="T138"/>
      <c r="U138"/>
      <c r="V138"/>
      <c r="W138"/>
      <c r="X138"/>
      <c r="Y138"/>
      <c r="Z138" s="246"/>
      <c r="AA138" s="246"/>
      <c r="AB138" s="419"/>
      <c r="AC138" s="3"/>
      <c r="AD138" s="3"/>
      <c r="AE138" s="247"/>
      <c r="AF138" s="383"/>
      <c r="AG138" s="383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A139" s="246"/>
      <c r="B139" s="246"/>
      <c r="C139" s="655"/>
      <c r="D139" s="484">
        <f>IF(G123=AD122,AD140,"---")</f>
        <v>-14.728333333333333</v>
      </c>
      <c r="E139" s="485"/>
      <c r="F139" s="485"/>
      <c r="G139" s="485"/>
      <c r="H139" s="485"/>
      <c r="I139" s="546" t="s">
        <v>4</v>
      </c>
      <c r="J139" s="646" t="s">
        <v>608</v>
      </c>
      <c r="K139" s="646"/>
      <c r="L139" s="646"/>
      <c r="M139" s="646"/>
      <c r="N139" s="246"/>
      <c r="O139" s="246"/>
      <c r="P139" s="246"/>
      <c r="Q139" s="246"/>
      <c r="R139" s="246"/>
      <c r="S139" s="246"/>
      <c r="T139" s="246"/>
      <c r="U139"/>
      <c r="V139"/>
      <c r="W139"/>
      <c r="X139"/>
      <c r="Y139"/>
      <c r="Z139" s="246"/>
      <c r="AA139" s="246"/>
      <c r="AB139" s="419"/>
      <c r="AC139" s="3" t="s">
        <v>175</v>
      </c>
      <c r="AD139" s="3">
        <f>VLOOKUP(I139,Outils!$C$9:$E$10,3)</f>
        <v>-1</v>
      </c>
      <c r="AE139" s="247"/>
      <c r="AF139" s="383"/>
      <c r="AG139" s="383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A140" s="246"/>
      <c r="B140" s="246"/>
      <c r="C140" s="655"/>
      <c r="D140" s="657"/>
      <c r="E140" s="658"/>
      <c r="F140" s="658"/>
      <c r="G140" s="658"/>
      <c r="H140" s="658"/>
      <c r="I140" s="546"/>
      <c r="J140" s="646"/>
      <c r="K140" s="646"/>
      <c r="L140" s="646"/>
      <c r="M140" s="646"/>
      <c r="N140" s="246"/>
      <c r="O140" s="246"/>
      <c r="P140" s="246"/>
      <c r="Q140" s="246"/>
      <c r="R140" s="246"/>
      <c r="S140" s="246"/>
      <c r="T140" s="246"/>
      <c r="U140"/>
      <c r="V140"/>
      <c r="W140"/>
      <c r="X140"/>
      <c r="Y140"/>
      <c r="Z140" s="246"/>
      <c r="AA140" s="246"/>
      <c r="AB140" s="419"/>
      <c r="AC140" s="3" t="s">
        <v>176</v>
      </c>
      <c r="AD140" s="3" cm="1">
        <f t="array" ref="AD140">angleConvert2Decimal(J139)*AD139</f>
        <v>-14.728333333333333</v>
      </c>
      <c r="AE140" s="247"/>
      <c r="AF140" s="383"/>
      <c r="AG140" s="383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A141" s="246"/>
      <c r="B141" s="246"/>
      <c r="C141" s="655"/>
      <c r="D141" s="470" t="str" cm="1">
        <f t="array" ref="D141">latitudeDecimal2Txt(AD140)</f>
        <v>S 14°43.70 (S 14.7283) [S 14°43'42.00]</v>
      </c>
      <c r="E141" s="470"/>
      <c r="F141" s="470"/>
      <c r="G141" s="470"/>
      <c r="H141" s="470"/>
      <c r="I141"/>
      <c r="J141"/>
      <c r="K141"/>
      <c r="L141"/>
      <c r="M141" s="246"/>
      <c r="N141"/>
      <c r="O141"/>
      <c r="P141" s="246"/>
      <c r="Q141" s="246"/>
      <c r="R141" s="246"/>
      <c r="S141" s="246"/>
      <c r="T141" s="246"/>
      <c r="U141"/>
      <c r="V141"/>
      <c r="W141"/>
      <c r="X141"/>
      <c r="Y141"/>
      <c r="Z141" s="246"/>
      <c r="AA141" s="246"/>
      <c r="AB141" s="419"/>
      <c r="AC141"/>
      <c r="AD141"/>
      <c r="AE141" s="247"/>
      <c r="AF141" s="383"/>
      <c r="AG141" s="383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98"/>
      <c r="AC142" s="351"/>
      <c r="AD142" s="351"/>
      <c r="AE142" s="351"/>
      <c r="AF142" s="351"/>
      <c r="AG142" s="351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1173" t="s">
        <v>72</v>
      </c>
      <c r="E143" s="1174"/>
      <c r="F143" s="554">
        <f>IF(G144=AD144,O181,O171)</f>
        <v>66.61762218419355</v>
      </c>
      <c r="G143" s="554"/>
      <c r="H143" s="554"/>
      <c r="I143" s="26"/>
      <c r="J143" s="26"/>
      <c r="K143" s="26"/>
      <c r="L143" s="26" t="s">
        <v>60</v>
      </c>
      <c r="M143" s="1173">
        <f>O146</f>
        <v>66.95</v>
      </c>
      <c r="N143" s="1173"/>
      <c r="O143" s="26"/>
      <c r="P143" s="60"/>
      <c r="Q143" s="26" t="s">
        <v>95</v>
      </c>
      <c r="R143" s="26"/>
      <c r="S143" s="725">
        <f>-O158+O153+O162</f>
        <v>-0.26927469176226565</v>
      </c>
      <c r="T143" s="726"/>
      <c r="U143" s="727"/>
      <c r="V143" s="929" t="str" cm="1">
        <f t="array" ref="V143">angleDecimal2Txt(S143)</f>
        <v>-00°16.15 (-00.2692) [-00°16'09.38]</v>
      </c>
      <c r="W143" s="930"/>
      <c r="X143" s="930"/>
      <c r="Y143" s="930"/>
      <c r="Z143" s="931"/>
      <c r="AA143" s="26"/>
      <c r="AB143" s="399"/>
      <c r="AC143" s="351"/>
      <c r="AD143" s="351"/>
      <c r="AE143" s="351"/>
      <c r="AF143" s="351"/>
      <c r="AG143" s="351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532" t="s">
        <v>35</v>
      </c>
      <c r="D144" s="532"/>
      <c r="E144" s="532"/>
      <c r="F144" s="532"/>
      <c r="G144" s="611" t="s">
        <v>51</v>
      </c>
      <c r="H144" s="611"/>
      <c r="I144" s="611"/>
      <c r="P144" s="16" t="s">
        <v>69</v>
      </c>
      <c r="V144" s="14"/>
      <c r="W144" s="14"/>
      <c r="X144" s="14"/>
      <c r="Y144" s="14"/>
      <c r="Z144" s="14"/>
      <c r="AB144" s="398"/>
      <c r="AC144" s="1171" t="s">
        <v>36</v>
      </c>
      <c r="AD144" s="360" t="s">
        <v>50</v>
      </c>
      <c r="AE144" s="351"/>
      <c r="AF144" s="351"/>
      <c r="AG144" s="351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1128" t="s">
        <v>62</v>
      </c>
      <c r="G145" s="1128"/>
      <c r="H145" s="1172"/>
      <c r="I145" s="1172"/>
      <c r="J145" s="926">
        <f>IF(G144=AD144,"---",O171)</f>
        <v>66.61762218419355</v>
      </c>
      <c r="K145" s="927"/>
      <c r="L145" s="928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98"/>
      <c r="AC145" s="1171"/>
      <c r="AD145" s="360" t="s">
        <v>51</v>
      </c>
      <c r="AE145" s="351"/>
      <c r="AF145" s="351"/>
      <c r="AG145" s="351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541" t="s">
        <v>47</v>
      </c>
      <c r="I146" s="542"/>
      <c r="J146" s="542"/>
      <c r="K146" s="542"/>
      <c r="L146" s="542"/>
      <c r="M146" s="542"/>
      <c r="N146" s="543"/>
      <c r="O146" s="525">
        <f>J110</f>
        <v>66.95</v>
      </c>
      <c r="P146" s="525"/>
      <c r="Q146" s="525"/>
      <c r="R146" s="525"/>
      <c r="S146" s="16" t="s">
        <v>54</v>
      </c>
      <c r="U146" s="804" t="str" cm="1">
        <f t="array" ref="U146">angleDecimal2Txt(O146)</f>
        <v>+66°57.00 (+66.9500) [+66°57'00.00]</v>
      </c>
      <c r="V146" s="805"/>
      <c r="W146" s="805"/>
      <c r="X146" s="805"/>
      <c r="Y146" s="805"/>
      <c r="Z146" s="494"/>
      <c r="AB146" s="398"/>
      <c r="AC146" s="351"/>
      <c r="AD146" s="351"/>
      <c r="AE146" s="351"/>
      <c r="AF146" s="351"/>
      <c r="AG146" s="351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541" t="s">
        <v>24</v>
      </c>
      <c r="I147" s="542"/>
      <c r="J147" s="542"/>
      <c r="K147" s="542"/>
      <c r="L147" s="542"/>
      <c r="M147" s="542"/>
      <c r="N147" s="543"/>
      <c r="O147" s="525">
        <f>J109</f>
        <v>2.1666666666666667E-2</v>
      </c>
      <c r="P147" s="525"/>
      <c r="Q147" s="525"/>
      <c r="R147" s="525"/>
      <c r="S147" s="16" t="s">
        <v>54</v>
      </c>
      <c r="U147" s="804" t="str" cm="1">
        <f t="array" ref="U147">angleDecimal2Txt(O147)</f>
        <v>+00°01.30 (+00.0216) [+00°01'18.00]</v>
      </c>
      <c r="V147" s="805"/>
      <c r="W147" s="805"/>
      <c r="X147" s="805"/>
      <c r="Y147" s="805"/>
      <c r="Z147" s="494"/>
      <c r="AB147" s="398"/>
      <c r="AC147" s="357" t="s">
        <v>59</v>
      </c>
      <c r="AD147" s="22">
        <f>O147</f>
        <v>2.1666666666666667E-2</v>
      </c>
      <c r="AE147" s="351"/>
      <c r="AF147" s="351"/>
      <c r="AG147" s="351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541" t="s">
        <v>68</v>
      </c>
      <c r="I148" s="542"/>
      <c r="J148" s="542"/>
      <c r="K148" s="542"/>
      <c r="L148" s="542"/>
      <c r="M148" s="542"/>
      <c r="N148" s="543"/>
      <c r="O148" s="651">
        <f>AD149</f>
        <v>4.1436457377531689E-2</v>
      </c>
      <c r="P148" s="651"/>
      <c r="Q148" s="651"/>
      <c r="R148" s="651"/>
      <c r="S148" s="16" t="s">
        <v>54</v>
      </c>
      <c r="U148" s="804" t="str" cm="1">
        <f t="array" ref="U148">angleDecimal2Txt(O148)</f>
        <v>+00°02.48 (+00.0414) [+00°02'29.17]</v>
      </c>
      <c r="V148" s="805"/>
      <c r="W148" s="805"/>
      <c r="X148" s="805"/>
      <c r="Y148" s="805"/>
      <c r="Z148" s="494"/>
      <c r="AB148" s="398"/>
      <c r="AC148" s="357" t="s">
        <v>46</v>
      </c>
      <c r="AD148" s="358">
        <f>J108</f>
        <v>2</v>
      </c>
      <c r="AE148" s="351"/>
      <c r="AF148" s="351"/>
      <c r="AG148" s="351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921" t="s">
        <v>113</v>
      </c>
      <c r="N149" s="921"/>
      <c r="O149" s="921"/>
      <c r="P149" s="921"/>
      <c r="Q149" s="14"/>
      <c r="R149" s="14"/>
      <c r="U149" s="14"/>
      <c r="V149" s="14"/>
      <c r="W149" s="14"/>
      <c r="X149" s="14"/>
      <c r="Y149" s="14"/>
      <c r="Z149" s="14"/>
      <c r="AB149" s="398"/>
      <c r="AC149" s="363" t="s">
        <v>67</v>
      </c>
      <c r="AD149" s="358">
        <f>0.0293 * SQRT(AD148)</f>
        <v>4.1436457377531689E-2</v>
      </c>
      <c r="AE149" s="351"/>
      <c r="AF149" s="351"/>
      <c r="AG149" s="351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516" t="s">
        <v>48</v>
      </c>
      <c r="I150" s="517"/>
      <c r="J150" s="517"/>
      <c r="K150" s="517"/>
      <c r="L150" s="517"/>
      <c r="M150" s="517"/>
      <c r="N150" s="518"/>
      <c r="O150" s="528">
        <f>O146-O147-O148</f>
        <v>66.886896875955813</v>
      </c>
      <c r="P150" s="529"/>
      <c r="Q150" s="16" t="s">
        <v>54</v>
      </c>
      <c r="R150" s="742">
        <f>O150*Outils!F4</f>
        <v>1.1673965769273382</v>
      </c>
      <c r="S150" s="742"/>
      <c r="T150" s="37" t="s">
        <v>64</v>
      </c>
      <c r="U150" s="804" t="str" cm="1">
        <f t="array" ref="U150">angleDecimal2Txt(O150)</f>
        <v>+66°53.21 (+66.8868) [+66°53'12.82]</v>
      </c>
      <c r="V150" s="805"/>
      <c r="W150" s="805"/>
      <c r="X150" s="805"/>
      <c r="Y150" s="805"/>
      <c r="Z150" s="494"/>
      <c r="AB150" s="398"/>
      <c r="AC150" s="351"/>
      <c r="AD150" s="351"/>
      <c r="AE150" s="351"/>
      <c r="AF150" s="351"/>
      <c r="AG150" s="351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98"/>
      <c r="AC151" s="351"/>
      <c r="AD151" s="351"/>
      <c r="AE151" s="351"/>
      <c r="AF151" s="351"/>
      <c r="AG151" s="3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519" t="s">
        <v>52</v>
      </c>
      <c r="I152" s="520"/>
      <c r="J152" s="520"/>
      <c r="K152" s="520"/>
      <c r="L152" s="520"/>
      <c r="M152" s="520"/>
      <c r="N152" s="521"/>
      <c r="O152" s="530">
        <f>J113</f>
        <v>2.8833333333333302E-3</v>
      </c>
      <c r="P152" s="531"/>
      <c r="Q152" s="531"/>
      <c r="R152" s="531"/>
      <c r="S152" s="16" t="s">
        <v>54</v>
      </c>
      <c r="T152" s="16"/>
      <c r="U152" s="804" t="str" cm="1">
        <f t="array" ref="U152">angleDecimal2Txt(O152)</f>
        <v>+00°00.17 (+00.0028) [+00°00'10.37]</v>
      </c>
      <c r="V152" s="805"/>
      <c r="W152" s="805"/>
      <c r="X152" s="805"/>
      <c r="Y152" s="805"/>
      <c r="Z152" s="494"/>
      <c r="AA152" s="16"/>
      <c r="AB152" s="398"/>
      <c r="AC152" s="357" t="s">
        <v>183</v>
      </c>
      <c r="AD152" s="358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714" t="s">
        <v>140</v>
      </c>
      <c r="I153" s="517"/>
      <c r="J153" s="517"/>
      <c r="K153" s="517"/>
      <c r="L153" s="517"/>
      <c r="M153" s="517"/>
      <c r="N153" s="518"/>
      <c r="O153" s="496">
        <f>AD152</f>
        <v>1.1318451843031951E-3</v>
      </c>
      <c r="P153" s="496"/>
      <c r="Q153" s="496"/>
      <c r="R153" s="496"/>
      <c r="S153" s="16" t="s">
        <v>54</v>
      </c>
      <c r="T153" s="16"/>
      <c r="U153" s="804" t="str" cm="1">
        <f t="array" ref="U153">angleDecimal2Txt(O153)</f>
        <v>+00°00.06 (+00.0011) [+00°00'04.07]</v>
      </c>
      <c r="V153" s="805"/>
      <c r="W153" s="805"/>
      <c r="X153" s="805"/>
      <c r="Y153" s="805"/>
      <c r="Z153" s="494"/>
      <c r="AA153" s="16"/>
      <c r="AB153" s="398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98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66" t="s">
        <v>126</v>
      </c>
      <c r="T155" s="567"/>
      <c r="U155" s="568"/>
      <c r="V155" s="16"/>
      <c r="W155" s="16"/>
      <c r="X155" s="16"/>
      <c r="Y155" s="14"/>
      <c r="Z155" s="14"/>
      <c r="AA155" s="16"/>
      <c r="AB155" s="398"/>
      <c r="AC155" s="357" t="s">
        <v>49</v>
      </c>
      <c r="AD155" s="358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519" t="s">
        <v>65</v>
      </c>
      <c r="I156" s="520"/>
      <c r="J156" s="520"/>
      <c r="K156" s="520"/>
      <c r="L156" s="520"/>
      <c r="M156" s="520"/>
      <c r="N156" s="521"/>
      <c r="O156" s="712">
        <f>S156</f>
        <v>10</v>
      </c>
      <c r="P156" s="713"/>
      <c r="Q156" s="713"/>
      <c r="R156" s="713"/>
      <c r="S156" s="706">
        <v>10</v>
      </c>
      <c r="T156" s="707"/>
      <c r="U156" s="708"/>
      <c r="V156" s="16"/>
      <c r="W156" s="16"/>
      <c r="X156" s="16"/>
      <c r="Y156" s="14"/>
      <c r="Z156" s="14"/>
      <c r="AA156" s="16"/>
      <c r="AB156" s="398"/>
      <c r="AC156" s="357" t="s">
        <v>186</v>
      </c>
      <c r="AD156" s="358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519" t="s">
        <v>66</v>
      </c>
      <c r="I157" s="520"/>
      <c r="J157" s="520"/>
      <c r="K157" s="520"/>
      <c r="L157" s="520"/>
      <c r="M157" s="520"/>
      <c r="N157" s="521"/>
      <c r="O157" s="712">
        <f>S157</f>
        <v>1010</v>
      </c>
      <c r="P157" s="713"/>
      <c r="Q157" s="713"/>
      <c r="R157" s="713"/>
      <c r="S157" s="706">
        <v>1010</v>
      </c>
      <c r="T157" s="707"/>
      <c r="U157" s="708"/>
      <c r="V157" s="16"/>
      <c r="W157" s="16"/>
      <c r="X157" s="16"/>
      <c r="Y157" s="14"/>
      <c r="Z157" s="14"/>
      <c r="AA157" s="16"/>
      <c r="AB157" s="398"/>
      <c r="AC157" s="357" t="s">
        <v>187</v>
      </c>
      <c r="AD157" s="358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714" t="s">
        <v>141</v>
      </c>
      <c r="I158" s="517"/>
      <c r="J158" s="517"/>
      <c r="K158" s="517"/>
      <c r="L158" s="517"/>
      <c r="M158" s="517"/>
      <c r="N158" s="518"/>
      <c r="O158" s="496">
        <f>AD159</f>
        <v>7.0732034465688749E-3</v>
      </c>
      <c r="P158" s="496"/>
      <c r="Q158" s="496"/>
      <c r="R158" s="496"/>
      <c r="S158" s="16" t="s">
        <v>54</v>
      </c>
      <c r="T158" s="16"/>
      <c r="U158" s="804" t="str" cm="1">
        <f t="array" ref="U158">angleDecimal2Txt(O158)</f>
        <v>+00°00.42 (+00.0070) [+00°00'25.46]</v>
      </c>
      <c r="V158" s="805"/>
      <c r="W158" s="805"/>
      <c r="X158" s="805"/>
      <c r="Y158" s="805"/>
      <c r="Z158" s="494"/>
      <c r="AA158" s="16"/>
      <c r="AB158" s="398"/>
      <c r="AC158" s="357" t="s">
        <v>96</v>
      </c>
      <c r="AD158" s="358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98"/>
      <c r="AC159" s="357" t="s">
        <v>184</v>
      </c>
      <c r="AD159" s="358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519" t="s">
        <v>100</v>
      </c>
      <c r="I160" s="520"/>
      <c r="J160" s="520"/>
      <c r="K160" s="520"/>
      <c r="L160" s="520"/>
      <c r="M160" s="520"/>
      <c r="N160" s="521"/>
      <c r="O160" s="745">
        <f>J117</f>
        <v>0.52666666699999998</v>
      </c>
      <c r="P160" s="745"/>
      <c r="Q160" s="745"/>
      <c r="R160" s="745"/>
      <c r="S160" s="16"/>
      <c r="T160" s="16"/>
      <c r="U160" s="16"/>
      <c r="V160" s="16"/>
      <c r="W160" s="16"/>
      <c r="X160" s="16"/>
      <c r="Y160" s="16"/>
      <c r="Z160" s="16"/>
      <c r="AA160" s="16"/>
      <c r="AB160" s="398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519" t="s">
        <v>70</v>
      </c>
      <c r="I161" s="520"/>
      <c r="J161" s="520"/>
      <c r="K161" s="520"/>
      <c r="L161" s="520"/>
      <c r="M161" s="520"/>
      <c r="N161" s="521"/>
      <c r="O161" s="745" t="str">
        <f>J112</f>
        <v>BordSup</v>
      </c>
      <c r="P161" s="745"/>
      <c r="Q161" s="745"/>
      <c r="R161" s="745"/>
      <c r="S161" s="16"/>
      <c r="T161" s="16"/>
      <c r="U161" s="16"/>
      <c r="V161" s="16"/>
      <c r="W161" s="16"/>
      <c r="X161" s="16"/>
      <c r="Y161" s="16"/>
      <c r="Z161" s="16"/>
      <c r="AA161" s="16"/>
      <c r="AB161" s="398"/>
      <c r="AC161" s="358" t="s">
        <v>30</v>
      </c>
      <c r="AD161" s="496" t="str">
        <f>J111</f>
        <v>Soleil</v>
      </c>
      <c r="AE161" s="496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714" t="s">
        <v>71</v>
      </c>
      <c r="I162" s="517"/>
      <c r="J162" s="517"/>
      <c r="K162" s="517"/>
      <c r="L162" s="517"/>
      <c r="M162" s="517"/>
      <c r="N162" s="518"/>
      <c r="O162" s="527">
        <f>AD165</f>
        <v>-0.26333333349999999</v>
      </c>
      <c r="P162" s="527"/>
      <c r="Q162" s="527"/>
      <c r="R162" s="527"/>
      <c r="S162" s="16" t="s">
        <v>54</v>
      </c>
      <c r="T162" s="16"/>
      <c r="U162" s="804" t="str" cm="1">
        <f t="array" ref="U162">angleDecimal2Txt(O162)</f>
        <v>-00°15.80 (-00.2633) [-00°15'48.00]</v>
      </c>
      <c r="V162" s="805"/>
      <c r="W162" s="805"/>
      <c r="X162" s="805"/>
      <c r="Y162" s="805"/>
      <c r="Z162" s="494"/>
      <c r="AA162" s="16"/>
      <c r="AB162" s="398"/>
      <c r="AC162" s="358" t="s">
        <v>190</v>
      </c>
      <c r="AD162" s="496" t="str">
        <f>O161</f>
        <v>BordSup</v>
      </c>
      <c r="AE162" s="496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98"/>
      <c r="AC163" s="358" t="s">
        <v>191</v>
      </c>
      <c r="AD163" s="497">
        <f>HLOOKUP(AD162,AD116:AF117,2)</f>
        <v>0</v>
      </c>
      <c r="AE163" s="497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93" t="s">
        <v>107</v>
      </c>
      <c r="H164" s="794"/>
      <c r="I164" s="794"/>
      <c r="J164" s="794"/>
      <c r="K164" s="794"/>
      <c r="L164" s="794"/>
      <c r="M164" s="794"/>
      <c r="N164" s="794"/>
      <c r="O164" s="794"/>
      <c r="P164" s="794"/>
      <c r="Q164" s="794"/>
      <c r="R164" s="794"/>
      <c r="S164" s="795"/>
      <c r="T164" s="14"/>
      <c r="U164" s="14"/>
      <c r="V164" s="14"/>
      <c r="W164" s="14"/>
      <c r="X164" s="14"/>
      <c r="Y164" s="14"/>
      <c r="Z164" s="14"/>
      <c r="AA164" s="16"/>
      <c r="AB164" s="398"/>
      <c r="AC164" s="358" t="s">
        <v>100</v>
      </c>
      <c r="AD164" s="358" cm="1">
        <f t="array" ref="AD164">astroDiametreSoleilEnDegre($AA$6)</f>
        <v>0.52666666699999998</v>
      </c>
      <c r="AE164" s="358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746" t="s">
        <v>115</v>
      </c>
      <c r="H165" s="747"/>
      <c r="I165" s="790" t="s">
        <v>110</v>
      </c>
      <c r="J165" s="791"/>
      <c r="K165" s="791"/>
      <c r="L165" s="791"/>
      <c r="M165" s="791"/>
      <c r="N165" s="792"/>
      <c r="O165" s="796">
        <f>(O153-O158-O148+O160/2) * 60</f>
        <v>12.957331071612156</v>
      </c>
      <c r="P165" s="788"/>
      <c r="Q165" s="788"/>
      <c r="R165" s="788"/>
      <c r="S165" s="743" t="s">
        <v>108</v>
      </c>
      <c r="T165" s="14"/>
      <c r="U165" s="14"/>
      <c r="V165" s="14"/>
      <c r="W165" s="14"/>
      <c r="X165" s="14"/>
      <c r="Y165" s="14"/>
      <c r="Z165" s="14"/>
      <c r="AA165" s="16"/>
      <c r="AB165" s="398"/>
      <c r="AC165" s="358" t="s">
        <v>191</v>
      </c>
      <c r="AD165" s="497" cm="1">
        <f t="array" ref="AD165">astroDiametreSoleilEnDegre($AA$6,AD162)</f>
        <v>-0.26333333349999999</v>
      </c>
      <c r="AE165" s="497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748"/>
      <c r="H166" s="749"/>
      <c r="I166" s="801" t="s">
        <v>114</v>
      </c>
      <c r="J166" s="802"/>
      <c r="K166" s="802"/>
      <c r="L166" s="802"/>
      <c r="M166" s="802"/>
      <c r="N166" s="803"/>
      <c r="O166" s="797"/>
      <c r="P166" s="789"/>
      <c r="Q166" s="789"/>
      <c r="R166" s="789"/>
      <c r="S166" s="744"/>
      <c r="T166" s="14"/>
      <c r="U166" s="14"/>
      <c r="V166" s="14"/>
      <c r="W166" s="14"/>
      <c r="X166" s="14"/>
      <c r="Y166" s="14"/>
      <c r="Z166" s="14"/>
      <c r="AA166" s="16"/>
      <c r="AB166" s="398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90" t="s">
        <v>111</v>
      </c>
      <c r="J167" s="791"/>
      <c r="K167" s="791"/>
      <c r="L167" s="791"/>
      <c r="M167" s="791"/>
      <c r="N167" s="792"/>
      <c r="O167" s="788">
        <f>(O153-O158+O160/2)*60</f>
        <v>15.44351851426406</v>
      </c>
      <c r="P167" s="788"/>
      <c r="Q167" s="788"/>
      <c r="R167" s="788"/>
      <c r="S167" s="743" t="s">
        <v>108</v>
      </c>
      <c r="T167" s="14"/>
      <c r="U167" s="14"/>
      <c r="V167" s="14"/>
      <c r="W167" s="14"/>
      <c r="X167" s="14"/>
      <c r="Y167" s="14"/>
      <c r="Z167" s="14"/>
      <c r="AA167" s="16"/>
      <c r="AB167" s="398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801" t="s">
        <v>112</v>
      </c>
      <c r="J168" s="802"/>
      <c r="K168" s="802"/>
      <c r="L168" s="802"/>
      <c r="M168" s="802"/>
      <c r="N168" s="803"/>
      <c r="O168" s="789"/>
      <c r="P168" s="789"/>
      <c r="Q168" s="789"/>
      <c r="R168" s="789"/>
      <c r="S168" s="744"/>
      <c r="T168" s="14"/>
      <c r="U168" s="14"/>
      <c r="V168" s="14"/>
      <c r="W168" s="14"/>
      <c r="X168" s="14"/>
      <c r="Y168" s="14"/>
      <c r="Z168" s="14"/>
      <c r="AA168" s="16"/>
      <c r="AB168" s="398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522" t="s">
        <v>71</v>
      </c>
      <c r="J169" s="523"/>
      <c r="K169" s="523"/>
      <c r="L169" s="523"/>
      <c r="M169" s="523"/>
      <c r="N169" s="524"/>
      <c r="O169" s="780">
        <f>O162*60</f>
        <v>-15.80000001</v>
      </c>
      <c r="P169" s="781"/>
      <c r="Q169" s="781"/>
      <c r="R169" s="781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98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98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1124" t="s">
        <v>142</v>
      </c>
      <c r="I171" s="1125"/>
      <c r="J171" s="1125"/>
      <c r="K171" s="1125"/>
      <c r="L171" s="1125"/>
      <c r="M171" s="1125"/>
      <c r="N171" s="1126"/>
      <c r="O171" s="529">
        <f>O150-O158+O153+O162</f>
        <v>66.61762218419355</v>
      </c>
      <c r="P171" s="496"/>
      <c r="Q171" s="496"/>
      <c r="R171" s="496"/>
      <c r="S171" s="16" t="s">
        <v>54</v>
      </c>
      <c r="T171" s="16"/>
      <c r="U171" s="804" t="str" cm="1">
        <f t="array" ref="U171">angleDecimal2Txt(O171)</f>
        <v>+66°37.05 (+66.6176) [+66°37'03.43]</v>
      </c>
      <c r="V171" s="805"/>
      <c r="W171" s="805"/>
      <c r="X171" s="805"/>
      <c r="Y171" s="805"/>
      <c r="Z171" s="494"/>
      <c r="AA171" s="16"/>
      <c r="AB171" s="398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98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1128" t="s">
        <v>63</v>
      </c>
      <c r="G173" s="1128"/>
      <c r="H173" s="1128"/>
      <c r="I173" s="1128"/>
      <c r="J173" s="528" t="str">
        <f>IF(G144=AD144,O181,"---")</f>
        <v>---</v>
      </c>
      <c r="K173" s="676"/>
      <c r="L173" s="529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98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98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1166" t="s">
        <v>33</v>
      </c>
      <c r="V175" s="1166"/>
      <c r="W175" s="16"/>
      <c r="X175" s="16"/>
      <c r="Y175" s="16"/>
      <c r="Z175" s="16"/>
      <c r="AA175" s="16"/>
      <c r="AB175" s="398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1166" t="s">
        <v>80</v>
      </c>
      <c r="V176" s="1166"/>
      <c r="W176" s="16"/>
      <c r="X176" s="16"/>
      <c r="Y176" s="16"/>
      <c r="Z176" s="16"/>
      <c r="AA176" s="16"/>
      <c r="AB176" s="398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1167" t="s">
        <v>75</v>
      </c>
      <c r="L177" s="16" t="s">
        <v>59</v>
      </c>
      <c r="M177" s="16"/>
      <c r="N177" s="1167" t="s">
        <v>77</v>
      </c>
      <c r="O177" s="40" t="s">
        <v>231</v>
      </c>
      <c r="P177" s="16"/>
      <c r="Q177" s="1167" t="s">
        <v>77</v>
      </c>
      <c r="R177" s="16" t="s">
        <v>232</v>
      </c>
      <c r="S177" s="16"/>
      <c r="T177" s="99" t="s">
        <v>79</v>
      </c>
      <c r="U177" s="1168" t="s">
        <v>81</v>
      </c>
      <c r="V177" s="1168"/>
      <c r="W177" s="16"/>
      <c r="X177" s="16"/>
      <c r="Y177" s="16"/>
      <c r="AB177" s="398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1167"/>
      <c r="L178" s="782">
        <f>O147</f>
        <v>2.1666666666666667E-2</v>
      </c>
      <c r="M178" s="783"/>
      <c r="N178" s="1167"/>
      <c r="O178" s="786" t="s">
        <v>146</v>
      </c>
      <c r="P178" s="787"/>
      <c r="Q178" s="1167"/>
      <c r="R178" s="102" t="s">
        <v>79</v>
      </c>
      <c r="S178" s="16"/>
      <c r="T178" s="16"/>
      <c r="U178" s="16"/>
      <c r="AB178" s="398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230</v>
      </c>
      <c r="L179" s="784" cm="1">
        <f t="array" ref="L179">angleConvert2Decimal(L178)</f>
        <v>2.1666666666666699E-2</v>
      </c>
      <c r="M179" s="785"/>
      <c r="N179" s="16"/>
      <c r="O179" s="740" cm="1">
        <f t="array" ref="O179">angleConvert2Decimal(O178)</f>
        <v>0.17166666666666669</v>
      </c>
      <c r="P179" s="741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804" t="str" cm="1">
        <f t="array" ref="W179">angleDecimal2Txt(V179)</f>
        <v>-00°21.69 (-00.3616) [-00°21'42.00]</v>
      </c>
      <c r="X179" s="805"/>
      <c r="Y179" s="805"/>
      <c r="Z179" s="805"/>
      <c r="AA179" s="494"/>
      <c r="AB179" s="398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98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1124" t="s">
        <v>145</v>
      </c>
      <c r="I181" s="1125"/>
      <c r="J181" s="1125"/>
      <c r="K181" s="1125"/>
      <c r="L181" s="1125"/>
      <c r="M181" s="1125"/>
      <c r="N181" s="1126"/>
      <c r="O181" s="529">
        <f>J178-L179+O179+R179</f>
        <v>66.566666666666677</v>
      </c>
      <c r="P181" s="496"/>
      <c r="Q181" s="496"/>
      <c r="R181" s="496"/>
      <c r="S181" s="16" t="s">
        <v>54</v>
      </c>
      <c r="T181" s="16"/>
      <c r="U181" s="804" t="str" cm="1">
        <f t="array" ref="U181">angleDecimal2Txt(O181)</f>
        <v>+66°34.00 (+66.5666) [+66°34'00.00]</v>
      </c>
      <c r="V181" s="805"/>
      <c r="W181" s="805"/>
      <c r="X181" s="805"/>
      <c r="Y181" s="805"/>
      <c r="Z181" s="494"/>
      <c r="AA181" s="16"/>
      <c r="AB181" s="398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98"/>
      <c r="BN182" s="24"/>
      <c r="BO182" s="16"/>
    </row>
    <row r="183" spans="1:67" ht="17.25" customHeight="1" thickBot="1">
      <c r="A183" s="16"/>
      <c r="B183" s="1169" t="s">
        <v>255</v>
      </c>
      <c r="C183" s="1170"/>
      <c r="D183" s="1170"/>
      <c r="E183" s="1170"/>
      <c r="F183" s="1170"/>
      <c r="G183" s="1170"/>
      <c r="H183" s="1170"/>
      <c r="I183" s="1170"/>
      <c r="J183" s="1170"/>
      <c r="K183" s="1170"/>
      <c r="L183" s="1170"/>
      <c r="M183" s="1170"/>
      <c r="N183" s="1170"/>
      <c r="O183" s="1170"/>
      <c r="P183" s="1170"/>
      <c r="Q183" s="1170"/>
      <c r="R183" s="1170"/>
      <c r="S183" s="1170"/>
      <c r="T183" s="1170"/>
      <c r="U183" s="1170"/>
      <c r="V183" s="1170"/>
      <c r="W183" s="1170"/>
      <c r="X183" s="1170"/>
      <c r="Y183" s="1170"/>
      <c r="Z183" s="1170"/>
      <c r="AA183" s="1170"/>
      <c r="AB183" s="399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98"/>
      <c r="BN184" s="24"/>
      <c r="BO184" s="16"/>
    </row>
    <row r="185" spans="1:67" ht="17.25" customHeight="1">
      <c r="A185" s="16"/>
      <c r="B185" s="16"/>
      <c r="C185" s="14"/>
      <c r="D185" s="14"/>
      <c r="E185" s="750" t="s">
        <v>257</v>
      </c>
      <c r="F185" s="751"/>
      <c r="G185" s="751"/>
      <c r="H185" s="751"/>
      <c r="I185" s="481">
        <f>90-Q186</f>
        <v>23.38237781580645</v>
      </c>
      <c r="J185" s="482"/>
      <c r="K185" s="482"/>
      <c r="L185" s="482"/>
      <c r="M185" s="483"/>
      <c r="N185" s="16"/>
      <c r="O185" s="916" t="s">
        <v>256</v>
      </c>
      <c r="P185" s="917"/>
      <c r="Q185" s="918"/>
      <c r="R185" s="918"/>
      <c r="S185" s="918"/>
      <c r="T185" s="919"/>
      <c r="AB185" s="398"/>
      <c r="BN185" s="24"/>
      <c r="BO185" s="16"/>
    </row>
    <row r="186" spans="1:67" ht="17.25" customHeight="1" thickBot="1">
      <c r="A186" s="16"/>
      <c r="B186" s="16"/>
      <c r="C186" s="14"/>
      <c r="D186" s="14"/>
      <c r="E186" s="752"/>
      <c r="F186" s="753"/>
      <c r="G186" s="753"/>
      <c r="H186" s="753"/>
      <c r="I186" s="657"/>
      <c r="J186" s="658"/>
      <c r="K186" s="658"/>
      <c r="L186" s="658"/>
      <c r="M186" s="768"/>
      <c r="N186" s="48" t="s">
        <v>116</v>
      </c>
      <c r="O186" s="903" t="s">
        <v>72</v>
      </c>
      <c r="P186" s="904"/>
      <c r="Q186" s="575">
        <f>F143</f>
        <v>66.61762218419355</v>
      </c>
      <c r="R186" s="576"/>
      <c r="S186" s="576"/>
      <c r="T186" s="113" t="s">
        <v>54</v>
      </c>
      <c r="Y186" s="16"/>
      <c r="Z186" s="16"/>
      <c r="AA186" s="16"/>
      <c r="AB186" s="398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54"/>
      <c r="F187" s="755"/>
      <c r="G187" s="755"/>
      <c r="H187" s="755"/>
      <c r="I187" s="804" t="str" cm="1">
        <f t="array" ref="I187">angleDecimal2Txt(I185)</f>
        <v>+23°22.94 (+23.3823) [+23°22'56.56]</v>
      </c>
      <c r="J187" s="805"/>
      <c r="K187" s="805"/>
      <c r="L187" s="805"/>
      <c r="M187" s="494"/>
      <c r="N187" s="16"/>
      <c r="O187" s="903" t="s">
        <v>84</v>
      </c>
      <c r="P187" s="904"/>
      <c r="Q187" s="575">
        <f>F129</f>
        <v>0</v>
      </c>
      <c r="R187" s="576"/>
      <c r="S187" s="576"/>
      <c r="T187" s="113" t="s">
        <v>54</v>
      </c>
      <c r="Y187" s="16"/>
      <c r="Z187" s="16"/>
      <c r="AA187" s="16"/>
      <c r="AB187" s="398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98"/>
      <c r="BN188" s="24"/>
      <c r="BO188" s="16"/>
    </row>
    <row r="189" spans="1:67" ht="17.25" customHeight="1">
      <c r="A189" s="16"/>
      <c r="B189" s="16"/>
      <c r="C189" s="14"/>
      <c r="D189" s="14"/>
      <c r="AB189" s="398"/>
      <c r="AC189" s="350" t="s">
        <v>574</v>
      </c>
      <c r="AD189" s="350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912" t="s">
        <v>213</v>
      </c>
      <c r="F190" s="913"/>
      <c r="G190" s="913"/>
      <c r="H190" s="913"/>
      <c r="I190" s="913"/>
      <c r="J190" s="913"/>
      <c r="K190" s="913"/>
      <c r="L190" s="913"/>
      <c r="M190" s="913"/>
      <c r="N190" s="913"/>
      <c r="O190" s="914"/>
      <c r="Q190" s="525" t="s">
        <v>576</v>
      </c>
      <c r="R190" s="525"/>
      <c r="S190" s="525"/>
      <c r="T190" s="890" t="str">
        <f>IF(T191&gt;T192,AC189,AC190)</f>
        <v>Soleil au Nord</v>
      </c>
      <c r="U190" s="890"/>
      <c r="V190" s="891" t="str">
        <f>IF(VLOOKUP(T190,AC189:AD190,2,FALSE)&lt;0,"Le soleil est au sud, et le nord est dans le dos","Le soleil est au nord, et le sud est dans le dos")</f>
        <v>Le soleil est au nord, et le sud est dans le dos</v>
      </c>
      <c r="W190" s="891"/>
      <c r="X190" s="891"/>
      <c r="Y190" s="891"/>
      <c r="Z190" s="891"/>
      <c r="AA190" s="891"/>
      <c r="AB190" s="398"/>
      <c r="AC190" s="350" t="s">
        <v>573</v>
      </c>
      <c r="AD190" s="350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81"/>
      <c r="F191" s="581" t="s">
        <v>215</v>
      </c>
      <c r="G191" s="581"/>
      <c r="H191" s="581"/>
      <c r="I191" s="581"/>
      <c r="J191" s="581"/>
      <c r="K191" s="857" t="s">
        <v>217</v>
      </c>
      <c r="L191" s="915"/>
      <c r="M191" s="915"/>
      <c r="N191" s="915"/>
      <c r="O191" s="858"/>
      <c r="Q191" s="525" t="s">
        <v>85</v>
      </c>
      <c r="R191" s="525"/>
      <c r="S191" s="525"/>
      <c r="T191" s="890">
        <f>F125</f>
        <v>0</v>
      </c>
      <c r="U191" s="890"/>
      <c r="V191" s="891" t="str">
        <f>CONCATENATE("Lat et Dec - Meme sens ?: ",AC191)</f>
        <v>Lat et Dec - Meme sens ?: FALSE</v>
      </c>
      <c r="W191" s="891"/>
      <c r="X191" s="891"/>
      <c r="Y191" s="891"/>
      <c r="Z191" s="891"/>
      <c r="AA191" s="891"/>
      <c r="AB191" s="398"/>
      <c r="AC191" s="351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81"/>
      <c r="F192" s="581" t="s">
        <v>216</v>
      </c>
      <c r="G192" s="581"/>
      <c r="H192" s="581"/>
      <c r="I192" s="581"/>
      <c r="J192" s="581"/>
      <c r="K192" s="857" t="s">
        <v>218</v>
      </c>
      <c r="L192" s="915"/>
      <c r="M192" s="915"/>
      <c r="N192" s="915"/>
      <c r="O192" s="858"/>
      <c r="Q192" s="525" t="s">
        <v>84</v>
      </c>
      <c r="R192" s="525"/>
      <c r="S192" s="525"/>
      <c r="T192" s="890">
        <f>Q187</f>
        <v>0</v>
      </c>
      <c r="U192" s="890"/>
      <c r="V192" s="891" t="str">
        <f>CONCATENATE("Lat &gt; Dec  ? : ",AC192)</f>
        <v>Lat &gt; Dec  ? : FALSE</v>
      </c>
      <c r="W192" s="891"/>
      <c r="X192" s="891"/>
      <c r="Y192" s="891"/>
      <c r="Z192" s="891"/>
      <c r="AA192" s="891"/>
      <c r="AB192" s="398"/>
      <c r="AC192" s="351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920" t="s">
        <v>214</v>
      </c>
      <c r="F193" s="920"/>
      <c r="G193" s="920"/>
      <c r="H193" s="920"/>
      <c r="I193" s="920"/>
      <c r="J193" s="920"/>
      <c r="K193" s="857" t="s">
        <v>219</v>
      </c>
      <c r="L193" s="915"/>
      <c r="M193" s="915"/>
      <c r="N193" s="915"/>
      <c r="O193" s="858"/>
      <c r="AB193" s="398"/>
      <c r="AD193" s="364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98"/>
      <c r="AD194" s="364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98"/>
      <c r="AD195" s="364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1157" t="s">
        <v>212</v>
      </c>
      <c r="I196" s="1158"/>
      <c r="J196" s="1158"/>
      <c r="K196" s="1158"/>
      <c r="L196" s="1159"/>
      <c r="M196" s="899" cm="1">
        <f t="array" ref="M196">astroCalculLatitude(VLOOKUP(T190,AC189:AD190,2,FALSE),T192,Q186)</f>
        <v>-23.38237781580645</v>
      </c>
      <c r="N196" s="900"/>
      <c r="O196" s="214" t="s">
        <v>28</v>
      </c>
      <c r="P196" s="901" t="str">
        <f>latitudeDecimal2Txt(M196)</f>
        <v>S 23°22.94 (S 23.3823) [S 23°22'56.56]</v>
      </c>
      <c r="Q196" s="902"/>
      <c r="R196" s="902"/>
      <c r="S196" s="902"/>
      <c r="T196" s="902"/>
      <c r="U196" s="902"/>
      <c r="V196" t="s">
        <v>579</v>
      </c>
      <c r="AB196" s="398"/>
      <c r="BN196" s="24"/>
      <c r="BO196" s="16"/>
    </row>
    <row r="197" spans="1:67" ht="17.25" customHeight="1">
      <c r="A197" s="14"/>
      <c r="B197" s="14"/>
      <c r="C197" s="14"/>
      <c r="D197" s="14"/>
      <c r="M197" s="1120">
        <f>IF(AC191,IF(AC192,I185+T192,T192-I185),I185-T192)</f>
        <v>23.38237781580645</v>
      </c>
      <c r="N197" s="1121"/>
      <c r="O197" s="355" t="s">
        <v>28</v>
      </c>
      <c r="P197" s="1122" t="str">
        <f>latitudeDecimal2Txt(M197)</f>
        <v>N 23°22.94 (N 23.3823) [N 23°22'56.56]</v>
      </c>
      <c r="Q197" s="1123"/>
      <c r="R197" s="1123"/>
      <c r="S197" s="1123"/>
      <c r="T197" s="1123"/>
      <c r="U197" s="1123"/>
      <c r="V197" s="246" t="s">
        <v>578</v>
      </c>
      <c r="W197" s="16"/>
      <c r="X197" s="16"/>
      <c r="Y197" s="16"/>
      <c r="Z197" s="16"/>
      <c r="AA197" s="16"/>
      <c r="AB197" s="398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1157" t="s">
        <v>171</v>
      </c>
      <c r="I198" s="1158"/>
      <c r="J198" s="1158"/>
      <c r="K198" s="1158"/>
      <c r="L198" s="1159"/>
      <c r="M198" s="1163">
        <f>Q100</f>
        <v>-7.1915837499999622</v>
      </c>
      <c r="N198" s="1164"/>
      <c r="O198" s="354" t="s">
        <v>28</v>
      </c>
      <c r="P198" s="1165" t="str">
        <f>longitudeDecimal2Txt(M198)</f>
        <v>W 07°11.49 (W 07.1915) [W 07°11'29.70]</v>
      </c>
      <c r="Q198" s="565"/>
      <c r="R198" s="565"/>
      <c r="S198" s="565"/>
      <c r="T198" s="565"/>
      <c r="U198" s="565"/>
      <c r="AB198" s="398"/>
      <c r="AC198" s="351"/>
      <c r="AD198" s="351"/>
      <c r="AE198" s="351"/>
      <c r="AF198" s="351"/>
      <c r="AG198" s="351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98"/>
      <c r="BN199" s="24"/>
      <c r="BO199" s="16"/>
    </row>
    <row r="200" spans="1:67" ht="17.25" customHeight="1" thickBot="1">
      <c r="A200" s="16"/>
      <c r="B200" s="25" t="s">
        <v>233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99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98"/>
      <c r="AC201" s="351"/>
      <c r="AD201" s="351"/>
      <c r="AE201" s="351"/>
      <c r="AF201" s="351"/>
      <c r="AG201" s="35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73" t="s">
        <v>234</v>
      </c>
      <c r="D202" s="573"/>
      <c r="E202" s="573"/>
      <c r="F202" s="573"/>
      <c r="G202" s="103"/>
      <c r="H202" s="573" t="s">
        <v>235</v>
      </c>
      <c r="I202" s="573"/>
      <c r="J202" s="573"/>
      <c r="K202" s="16"/>
      <c r="L202" s="908" t="s">
        <v>224</v>
      </c>
      <c r="M202" s="908"/>
      <c r="N202" s="908"/>
      <c r="O202" s="16"/>
      <c r="P202" s="16"/>
      <c r="Q202" s="1156" t="s">
        <v>236</v>
      </c>
      <c r="R202" s="1156"/>
      <c r="S202" s="1156"/>
      <c r="T202" s="1156"/>
      <c r="U202" s="90"/>
      <c r="V202" s="16"/>
      <c r="W202" s="16"/>
      <c r="X202" s="16"/>
      <c r="Y202" s="16"/>
      <c r="Z202" s="16"/>
      <c r="AA202" s="16"/>
      <c r="AB202" s="398"/>
      <c r="AD202" s="364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81">
        <f>M196</f>
        <v>-23.38237781580645</v>
      </c>
      <c r="F203" s="581"/>
      <c r="G203" s="59"/>
      <c r="H203" s="16"/>
      <c r="I203" s="581" t="str">
        <f>V190</f>
        <v>Le soleil est au nord, et le sud est dans le dos</v>
      </c>
      <c r="J203" s="581"/>
      <c r="K203" s="16" t="s">
        <v>104</v>
      </c>
      <c r="L203" s="16"/>
      <c r="M203" s="581">
        <v>180</v>
      </c>
      <c r="N203" s="581"/>
      <c r="O203" s="16"/>
      <c r="P203" s="16"/>
      <c r="Q203" s="16"/>
      <c r="R203" s="128" t="s">
        <v>41</v>
      </c>
      <c r="S203" s="469">
        <f>E203</f>
        <v>-23.38237781580645</v>
      </c>
      <c r="T203" s="469"/>
      <c r="U203" s="737" t="str" cm="1">
        <f t="array" ref="U203">latitudeDecimal2Txt(S203)</f>
        <v>S 23°22.94 (S 23.3823) [S 23°22'56.56]</v>
      </c>
      <c r="V203" s="653"/>
      <c r="W203" s="653"/>
      <c r="X203" s="653"/>
      <c r="Y203" s="653"/>
      <c r="Z203" s="654"/>
      <c r="AA203" s="16"/>
      <c r="AB203" s="398"/>
      <c r="AD203" s="364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81">
        <f>M198</f>
        <v>-7.1915837499999622</v>
      </c>
      <c r="F204" s="581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98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156" t="s">
        <v>237</v>
      </c>
      <c r="R205" s="1156"/>
      <c r="S205" s="1156"/>
      <c r="T205" s="16"/>
      <c r="U205" s="16"/>
      <c r="V205" s="16"/>
      <c r="W205" s="16"/>
      <c r="X205" s="16"/>
      <c r="Y205" s="16"/>
      <c r="Z205" s="16"/>
      <c r="AA205" s="16"/>
      <c r="AB205" s="398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69">
        <f>M203-90</f>
        <v>90</v>
      </c>
      <c r="S206" s="469"/>
      <c r="T206" s="50" t="s">
        <v>28</v>
      </c>
      <c r="U206" s="16"/>
      <c r="V206" s="16"/>
      <c r="W206" s="16"/>
      <c r="X206" s="16"/>
      <c r="Y206" s="16"/>
      <c r="Z206" s="16"/>
      <c r="AA206" s="16"/>
      <c r="AB206" s="398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241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364"/>
    </row>
    <row r="211" spans="2:33" ht="17.25" customHeight="1" thickBot="1">
      <c r="C211" s="571" t="s">
        <v>236</v>
      </c>
      <c r="D211" s="571"/>
      <c r="E211" s="571"/>
      <c r="F211" s="571"/>
      <c r="G211" s="90"/>
      <c r="H211" s="16"/>
      <c r="I211" s="16"/>
      <c r="J211" s="16"/>
      <c r="K211" s="16"/>
      <c r="L211" s="16"/>
      <c r="Q211" s="104" t="s">
        <v>242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72">
        <f>I221</f>
        <v>0</v>
      </c>
      <c r="F212" s="572"/>
      <c r="G212" s="470" t="str" cm="1">
        <f t="array" ref="G212">latitudeDecimal2Txt(E212)</f>
        <v>N 00°00.00 (N 00.0000) [N 00°00'00.00]</v>
      </c>
      <c r="H212" s="470"/>
      <c r="I212" s="470"/>
      <c r="J212" s="470"/>
      <c r="K212" s="470"/>
      <c r="L212" s="470"/>
      <c r="R212" s="128" t="s">
        <v>41</v>
      </c>
      <c r="S212" s="469">
        <f>AG215</f>
        <v>-23.38237781580645</v>
      </c>
      <c r="T212" s="469"/>
      <c r="U212" s="470" t="str" cm="1">
        <f t="array" ref="U212">latitudeDecimal2Txt(S212)</f>
        <v>S 23°22.94 (S 23.3823) [S 23°22'56.56]</v>
      </c>
      <c r="V212" s="470"/>
      <c r="W212" s="470"/>
      <c r="X212" s="470"/>
      <c r="Y212" s="470"/>
      <c r="Z212" s="470"/>
      <c r="AC212" s="365" t="s">
        <v>273</v>
      </c>
      <c r="AD212" s="366">
        <f>D216</f>
        <v>30</v>
      </c>
    </row>
    <row r="213" spans="2:33" ht="17.25" customHeight="1" thickTop="1" thickBot="1">
      <c r="D213" s="129" t="s">
        <v>42</v>
      </c>
      <c r="E213" s="572">
        <v>-7</v>
      </c>
      <c r="F213" s="572"/>
      <c r="G213" s="470" t="str" cm="1">
        <f t="array" ref="G213">longitudeDecimal2Txt(E213)</f>
        <v>W 07°00.00 (W 07.0000) [W 07°00'00.00]</v>
      </c>
      <c r="H213" s="470"/>
      <c r="I213" s="470"/>
      <c r="J213" s="470"/>
      <c r="K213" s="470"/>
      <c r="L213" s="470"/>
      <c r="R213" s="128" t="s">
        <v>42</v>
      </c>
      <c r="S213" s="469">
        <f>AG216</f>
        <v>-20.499822126249384</v>
      </c>
      <c r="T213" s="469"/>
      <c r="U213" s="470" t="str" cm="1">
        <f t="array" ref="U213">longitudeDecimal2Txt(S213)</f>
        <v>W 20°29.98 (W 20.4998) [W 20°29'59.35]</v>
      </c>
      <c r="V213" s="470"/>
      <c r="W213" s="470"/>
      <c r="X213" s="470"/>
      <c r="Y213" s="470"/>
      <c r="Z213" s="470"/>
      <c r="AC213" s="365" t="s">
        <v>582</v>
      </c>
      <c r="AD213" s="366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365" t="s">
        <v>581</v>
      </c>
      <c r="AD214" s="366">
        <f>E213</f>
        <v>-7</v>
      </c>
    </row>
    <row r="215" spans="2:33" ht="17.25" customHeight="1">
      <c r="C215" s="571" t="s">
        <v>237</v>
      </c>
      <c r="D215" s="571"/>
      <c r="E215" s="571"/>
      <c r="F215" s="108"/>
      <c r="G215" s="16"/>
      <c r="H215" s="16"/>
      <c r="I215" s="16"/>
      <c r="J215" s="16"/>
      <c r="K215" s="16"/>
      <c r="L215" s="16"/>
      <c r="AC215" s="365" t="s">
        <v>243</v>
      </c>
      <c r="AD215" s="365">
        <f>TAN(AD212*Outils!F37) * (1 / COS(AD213*Outils!F37))</f>
        <v>0</v>
      </c>
      <c r="AE215" s="1153" t="s">
        <v>279</v>
      </c>
      <c r="AF215" s="1153"/>
      <c r="AG215" s="367">
        <f>S203</f>
        <v>-23.38237781580645</v>
      </c>
    </row>
    <row r="216" spans="2:33" ht="17.25" customHeight="1">
      <c r="D216" s="572">
        <v>30</v>
      </c>
      <c r="E216" s="572"/>
      <c r="F216" s="130" t="s">
        <v>28</v>
      </c>
      <c r="G216" s="16"/>
      <c r="H216" s="16"/>
      <c r="I216" s="16"/>
      <c r="J216" s="16"/>
      <c r="K216" s="16"/>
      <c r="L216" s="16"/>
      <c r="AC216" s="365" t="s">
        <v>244</v>
      </c>
      <c r="AD216" s="365">
        <f>AD214-AD213*AD215</f>
        <v>-7</v>
      </c>
      <c r="AE216" s="1153"/>
      <c r="AF216" s="1153"/>
      <c r="AG216" s="368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s="247" customFormat="1" ht="15.75" thickBot="1">
      <c r="B222" s="282" t="s">
        <v>525</v>
      </c>
      <c r="C222" s="283"/>
      <c r="D222" s="283"/>
      <c r="E222" s="283"/>
      <c r="F222" s="283"/>
      <c r="G222" s="283"/>
      <c r="H222" s="283"/>
      <c r="I222" s="283"/>
      <c r="J222" s="283"/>
      <c r="K222" s="283"/>
      <c r="L222" s="283"/>
      <c r="M222" s="283"/>
      <c r="N222" s="283"/>
      <c r="O222" s="283"/>
      <c r="P222" s="283"/>
      <c r="Q222" s="283"/>
      <c r="R222" s="283"/>
      <c r="S222" s="283"/>
      <c r="T222" s="283"/>
      <c r="U222" s="283"/>
      <c r="V222" s="283"/>
      <c r="W222" s="283"/>
      <c r="X222" s="283"/>
      <c r="Y222" s="283"/>
      <c r="Z222" s="283"/>
      <c r="AA222" s="284"/>
      <c r="AB222" s="401"/>
      <c r="AC222" s="350"/>
      <c r="AD222" s="350"/>
      <c r="AE222" s="350"/>
      <c r="AF222" s="350"/>
      <c r="AG222" s="350"/>
    </row>
    <row r="223" spans="2:33" s="247" customFormat="1">
      <c r="K223" s="281"/>
      <c r="L223" s="281"/>
      <c r="AB223" s="401"/>
      <c r="AC223" s="350"/>
      <c r="AD223" s="350"/>
      <c r="AE223" s="350"/>
      <c r="AF223" s="350"/>
      <c r="AG223" s="350"/>
    </row>
    <row r="224" spans="2:33" s="247" customFormat="1">
      <c r="B224" s="758" t="s">
        <v>1</v>
      </c>
      <c r="C224" s="758"/>
      <c r="D224" s="758" t="e">
        <f>#REF!</f>
        <v>#REF!</v>
      </c>
      <c r="E224" s="758"/>
      <c r="F224" s="758"/>
      <c r="G224" s="758"/>
      <c r="H224" s="294" t="s">
        <v>2</v>
      </c>
      <c r="I224" s="758" t="e">
        <f>#REF!</f>
        <v>#REF!</v>
      </c>
      <c r="J224" s="758"/>
      <c r="K224" s="758"/>
      <c r="L224" s="758"/>
      <c r="AB224" s="401"/>
      <c r="AC224" s="350"/>
      <c r="AD224" s="350"/>
      <c r="AE224" s="350"/>
      <c r="AF224" s="350"/>
      <c r="AG224" s="350"/>
    </row>
    <row r="225" spans="2:65" s="247" customFormat="1">
      <c r="B225" s="759" t="s">
        <v>30</v>
      </c>
      <c r="C225" s="759"/>
      <c r="D225" s="1050" t="s">
        <v>416</v>
      </c>
      <c r="E225" s="1050"/>
      <c r="F225" s="1050"/>
      <c r="G225" s="1050"/>
      <c r="H225" s="295"/>
      <c r="I225" s="295"/>
      <c r="J225" s="295"/>
      <c r="K225" s="295"/>
      <c r="L225" s="295"/>
      <c r="AA225" s="296"/>
      <c r="AB225" s="401"/>
      <c r="AC225" s="350"/>
      <c r="AD225" s="350"/>
      <c r="AE225" s="350"/>
      <c r="AF225" s="350"/>
      <c r="AG225" s="350"/>
    </row>
    <row r="226" spans="2:65" s="247" customFormat="1">
      <c r="B226" s="297"/>
      <c r="C226" s="297"/>
      <c r="D226" s="298"/>
      <c r="E226" s="297"/>
      <c r="AA226" s="296"/>
      <c r="AB226" s="401"/>
      <c r="AC226" s="350"/>
      <c r="AD226" s="350"/>
      <c r="AE226" s="350"/>
      <c r="AF226" s="350"/>
      <c r="AG226" s="350"/>
    </row>
    <row r="227" spans="2:65" s="281" customFormat="1" ht="17.25" customHeight="1" thickBot="1">
      <c r="B227" s="299" t="s">
        <v>386</v>
      </c>
      <c r="C227" s="299"/>
      <c r="D227" s="299"/>
      <c r="E227" s="299"/>
      <c r="F227" s="300"/>
      <c r="G227" s="300"/>
      <c r="H227" s="301"/>
      <c r="I227" s="301"/>
      <c r="J227" s="301"/>
      <c r="K227" s="301"/>
      <c r="L227" s="301"/>
      <c r="M227" s="301"/>
      <c r="N227" s="301"/>
      <c r="O227" s="301"/>
      <c r="P227" s="301"/>
      <c r="Q227" s="301"/>
      <c r="AB227" s="400"/>
      <c r="AC227" s="350"/>
      <c r="AD227" s="350"/>
      <c r="AE227" s="350"/>
      <c r="AF227" s="350"/>
      <c r="AG227" s="350"/>
      <c r="AH227" s="247"/>
      <c r="AI227" s="247"/>
      <c r="AJ227" s="247"/>
      <c r="AK227" s="247"/>
      <c r="AL227" s="247"/>
      <c r="AM227" s="247"/>
      <c r="AN227" s="247"/>
      <c r="AO227" s="247"/>
      <c r="AP227" s="247"/>
      <c r="AQ227" s="247"/>
      <c r="AR227" s="247"/>
      <c r="AS227" s="247"/>
      <c r="AT227" s="247"/>
      <c r="AU227" s="247"/>
      <c r="AV227" s="247"/>
      <c r="AW227" s="247"/>
      <c r="AX227" s="247"/>
      <c r="AY227" s="247"/>
      <c r="AZ227" s="247"/>
      <c r="BA227" s="247"/>
      <c r="BB227" s="247"/>
      <c r="BC227" s="247"/>
      <c r="BD227" s="247"/>
      <c r="BE227" s="247"/>
      <c r="BF227" s="247"/>
      <c r="BG227" s="247"/>
      <c r="BH227" s="247"/>
      <c r="BI227" s="247"/>
      <c r="BJ227" s="247"/>
      <c r="BK227" s="247"/>
      <c r="BL227" s="247"/>
      <c r="BM227" s="247"/>
    </row>
    <row r="228" spans="2:65" s="281" customFormat="1" ht="17.25" customHeight="1" thickTop="1">
      <c r="C228" s="812" t="s">
        <v>466</v>
      </c>
      <c r="D228" s="812"/>
      <c r="E228" s="872" t="str">
        <f>P110</f>
        <v>+66°57.00 (+66.9500) [+66°57'00.00]</v>
      </c>
      <c r="F228" s="812"/>
      <c r="G228" s="812"/>
      <c r="H228" s="812"/>
      <c r="I228" s="812"/>
      <c r="AB228" s="400"/>
      <c r="AC228" s="350"/>
      <c r="AD228" s="350"/>
      <c r="AE228" s="350"/>
      <c r="AF228" s="350"/>
      <c r="AG228" s="350"/>
      <c r="AH228" s="247"/>
      <c r="AI228" s="247"/>
      <c r="AJ228" s="247"/>
      <c r="AK228" s="247"/>
      <c r="AL228" s="247"/>
      <c r="AM228" s="247"/>
      <c r="AN228" s="247"/>
      <c r="AO228" s="247"/>
      <c r="AP228" s="247"/>
      <c r="AQ228" s="247"/>
      <c r="AR228" s="247"/>
      <c r="AS228" s="247"/>
      <c r="AT228" s="247"/>
      <c r="AU228" s="247"/>
      <c r="AV228" s="247"/>
      <c r="AW228" s="247"/>
      <c r="AX228" s="247"/>
      <c r="AY228" s="247"/>
      <c r="AZ228" s="247"/>
      <c r="BA228" s="247"/>
      <c r="BB228" s="247"/>
      <c r="BC228" s="247"/>
      <c r="BD228" s="247"/>
      <c r="BE228" s="247"/>
      <c r="BF228" s="247"/>
      <c r="BG228" s="247"/>
      <c r="BH228" s="247"/>
      <c r="BI228" s="247"/>
      <c r="BJ228" s="247"/>
      <c r="BK228" s="247"/>
      <c r="BL228" s="247"/>
      <c r="BM228" s="247"/>
    </row>
    <row r="229" spans="2:65" s="281" customFormat="1" ht="17.25" customHeight="1">
      <c r="C229" s="811" t="s">
        <v>70</v>
      </c>
      <c r="D229" s="811"/>
      <c r="E229" s="811" t="str">
        <f>M112</f>
        <v>BordSup</v>
      </c>
      <c r="F229" s="811"/>
      <c r="G229" s="811"/>
      <c r="H229" s="811"/>
      <c r="I229" s="811"/>
      <c r="AB229" s="400"/>
      <c r="AC229" s="350"/>
      <c r="AD229" s="350"/>
      <c r="AE229" s="350"/>
      <c r="AF229" s="350"/>
      <c r="AG229" s="350"/>
      <c r="AH229" s="247"/>
      <c r="AI229" s="247"/>
      <c r="AJ229" s="247"/>
      <c r="AK229" s="247"/>
      <c r="AL229" s="247"/>
      <c r="AM229" s="247"/>
      <c r="AN229" s="247"/>
      <c r="AO229" s="247"/>
      <c r="AP229" s="247"/>
      <c r="AQ229" s="247"/>
      <c r="AR229" s="247"/>
      <c r="AS229" s="247"/>
      <c r="AT229" s="247"/>
      <c r="AU229" s="247"/>
      <c r="AV229" s="247"/>
      <c r="AW229" s="247"/>
      <c r="AX229" s="247"/>
      <c r="AY229" s="247"/>
      <c r="AZ229" s="247"/>
      <c r="BA229" s="247"/>
      <c r="BB229" s="247"/>
      <c r="BC229" s="247"/>
      <c r="BD229" s="247"/>
      <c r="BE229" s="247"/>
      <c r="BF229" s="247"/>
      <c r="BG229" s="247"/>
      <c r="BH229" s="247"/>
      <c r="BI229" s="247"/>
      <c r="BJ229" s="247"/>
      <c r="BK229" s="247"/>
      <c r="BL229" s="247"/>
      <c r="BM229" s="247"/>
    </row>
    <row r="230" spans="2:65" s="281" customFormat="1" ht="17.25" customHeight="1">
      <c r="C230" s="806" t="s">
        <v>388</v>
      </c>
      <c r="D230" s="806"/>
      <c r="E230" s="811" t="str">
        <f>P109</f>
        <v>+00°01.30 (+00.0216) [+00°01'18.00]</v>
      </c>
      <c r="F230" s="867"/>
      <c r="G230" s="867"/>
      <c r="H230" s="867"/>
      <c r="I230" s="867"/>
      <c r="AB230" s="400"/>
      <c r="AC230" s="350"/>
      <c r="AD230" s="350"/>
      <c r="AE230" s="350"/>
      <c r="AF230" s="350"/>
      <c r="AG230" s="350"/>
      <c r="AH230" s="247"/>
      <c r="AI230" s="247"/>
      <c r="AJ230" s="247"/>
      <c r="AK230" s="247"/>
      <c r="AL230" s="247"/>
      <c r="AM230" s="247"/>
      <c r="AN230" s="247"/>
      <c r="AO230" s="247"/>
      <c r="AP230" s="247"/>
      <c r="AQ230" s="247"/>
      <c r="AR230" s="247"/>
      <c r="AS230" s="247"/>
      <c r="AT230" s="247"/>
      <c r="AU230" s="247"/>
      <c r="AV230" s="247"/>
      <c r="AW230" s="247"/>
      <c r="AX230" s="247"/>
      <c r="AY230" s="247"/>
      <c r="AZ230" s="247"/>
      <c r="BA230" s="247"/>
      <c r="BB230" s="247"/>
      <c r="BC230" s="247"/>
      <c r="BD230" s="247"/>
      <c r="BE230" s="247"/>
      <c r="BF230" s="247"/>
      <c r="BG230" s="247"/>
      <c r="BH230" s="247"/>
      <c r="BI230" s="247"/>
      <c r="BJ230" s="247"/>
      <c r="BK230" s="247"/>
      <c r="BL230" s="247"/>
      <c r="BM230" s="247"/>
    </row>
    <row r="231" spans="2:65" s="281" customFormat="1" ht="17.25" customHeight="1">
      <c r="C231" s="758" t="s">
        <v>389</v>
      </c>
      <c r="D231" s="758"/>
      <c r="E231" s="868" t="str">
        <f>CONCATENATE(M108, " m")</f>
        <v>2 m</v>
      </c>
      <c r="F231" s="868"/>
      <c r="G231" s="868"/>
      <c r="H231" s="868"/>
      <c r="I231" s="868"/>
      <c r="AB231" s="400"/>
      <c r="AC231" s="350"/>
      <c r="AD231" s="350"/>
      <c r="AE231" s="350"/>
      <c r="AF231" s="350"/>
      <c r="AG231" s="350"/>
      <c r="AH231" s="247"/>
      <c r="AI231" s="247"/>
      <c r="AJ231" s="247"/>
      <c r="AK231" s="247"/>
      <c r="AL231" s="247"/>
      <c r="AM231" s="247"/>
      <c r="AN231" s="247"/>
      <c r="AO231" s="247"/>
      <c r="AP231" s="247"/>
      <c r="AQ231" s="247"/>
      <c r="AR231" s="247"/>
      <c r="AS231" s="247"/>
      <c r="AT231" s="247"/>
      <c r="AU231" s="247"/>
      <c r="AV231" s="247"/>
      <c r="AW231" s="247"/>
      <c r="AX231" s="247"/>
      <c r="AY231" s="247"/>
      <c r="AZ231" s="247"/>
      <c r="BA231" s="247"/>
      <c r="BB231" s="247"/>
      <c r="BC231" s="247"/>
      <c r="BD231" s="247"/>
      <c r="BE231" s="247"/>
      <c r="BF231" s="247"/>
      <c r="BG231" s="247"/>
      <c r="BH231" s="247"/>
      <c r="BI231" s="247"/>
      <c r="BJ231" s="247"/>
      <c r="BK231" s="247"/>
      <c r="BL231" s="247"/>
      <c r="BM231" s="247"/>
    </row>
    <row r="232" spans="2:65" s="281" customFormat="1" ht="17.25" customHeight="1">
      <c r="E232" s="807" t="str">
        <f>U150</f>
        <v>+66°53.21 (+66.8868) [+66°53'12.82]</v>
      </c>
      <c r="F232" s="807"/>
      <c r="G232" s="807"/>
      <c r="H232" s="807"/>
      <c r="I232" s="807"/>
      <c r="J232" s="807" t="s">
        <v>467</v>
      </c>
      <c r="K232" s="807"/>
      <c r="L232" s="807"/>
      <c r="AB232" s="400"/>
      <c r="AC232" s="350"/>
      <c r="AD232" s="350"/>
      <c r="AE232" s="350"/>
      <c r="AF232" s="350"/>
      <c r="AG232" s="350"/>
      <c r="AH232" s="247"/>
      <c r="AI232" s="247"/>
      <c r="AJ232" s="247"/>
      <c r="AK232" s="247"/>
      <c r="AL232" s="247"/>
      <c r="AM232" s="247"/>
      <c r="AN232" s="247"/>
      <c r="AO232" s="247"/>
      <c r="AP232" s="247"/>
      <c r="AQ232" s="247"/>
      <c r="AR232" s="247"/>
      <c r="AS232" s="247"/>
      <c r="AT232" s="247"/>
      <c r="AU232" s="247"/>
      <c r="AV232" s="247"/>
      <c r="AW232" s="247"/>
      <c r="AX232" s="247"/>
      <c r="AY232" s="247"/>
      <c r="AZ232" s="247"/>
      <c r="BA232" s="247"/>
      <c r="BB232" s="247"/>
      <c r="BC232" s="247"/>
      <c r="BD232" s="247"/>
      <c r="BE232" s="247"/>
      <c r="BF232" s="247"/>
      <c r="BG232" s="247"/>
      <c r="BH232" s="247"/>
      <c r="BI232" s="247"/>
      <c r="BJ232" s="247"/>
      <c r="BK232" s="247"/>
      <c r="BL232" s="247"/>
      <c r="BM232" s="247"/>
    </row>
    <row r="233" spans="2:65" s="281" customFormat="1" ht="17.25" customHeight="1">
      <c r="E233" s="302"/>
      <c r="F233" s="819" t="s">
        <v>389</v>
      </c>
      <c r="G233" s="821"/>
      <c r="H233" s="853" t="str">
        <f>U148</f>
        <v>+00°02.48 (+00.0414) [+00°02'29.17]</v>
      </c>
      <c r="I233" s="808"/>
      <c r="J233" s="808"/>
      <c r="K233" s="808"/>
      <c r="L233" s="808"/>
      <c r="AB233" s="400"/>
      <c r="AC233" s="350"/>
      <c r="AD233" s="350"/>
      <c r="AE233" s="350"/>
      <c r="AF233" s="350"/>
      <c r="AG233" s="350"/>
      <c r="AH233" s="247"/>
      <c r="AI233" s="247"/>
      <c r="AJ233" s="247"/>
      <c r="AK233" s="247"/>
      <c r="AL233" s="247"/>
      <c r="AM233" s="247"/>
      <c r="AN233" s="247"/>
      <c r="AO233" s="247"/>
      <c r="AP233" s="247"/>
      <c r="AQ233" s="247"/>
      <c r="AR233" s="247"/>
      <c r="AS233" s="247"/>
      <c r="AT233" s="247"/>
      <c r="AU233" s="247"/>
      <c r="AV233" s="247"/>
      <c r="AW233" s="247"/>
      <c r="AX233" s="247"/>
      <c r="AY233" s="247"/>
      <c r="AZ233" s="247"/>
      <c r="BA233" s="247"/>
      <c r="BB233" s="247"/>
      <c r="BC233" s="247"/>
      <c r="BD233" s="247"/>
      <c r="BE233" s="247"/>
      <c r="BF233" s="247"/>
      <c r="BG233" s="247"/>
      <c r="BH233" s="247"/>
      <c r="BI233" s="247"/>
      <c r="BJ233" s="247"/>
      <c r="BK233" s="247"/>
      <c r="BL233" s="247"/>
      <c r="BM233" s="247"/>
    </row>
    <row r="234" spans="2:65" s="281" customFormat="1" ht="17.25" customHeight="1">
      <c r="F234" s="809" t="s">
        <v>396</v>
      </c>
      <c r="G234" s="809"/>
      <c r="H234" s="853" t="str">
        <f>U158</f>
        <v>+00°00.42 (+00.0070) [+00°00'25.46]</v>
      </c>
      <c r="I234" s="808"/>
      <c r="J234" s="808"/>
      <c r="K234" s="808"/>
      <c r="L234" s="808"/>
      <c r="AB234" s="400"/>
      <c r="AC234" s="350"/>
      <c r="AD234" s="350"/>
      <c r="AE234" s="350"/>
      <c r="AF234" s="350"/>
      <c r="AG234" s="350"/>
      <c r="AH234" s="247"/>
      <c r="AI234" s="247"/>
      <c r="AJ234" s="247"/>
      <c r="AK234" s="247"/>
      <c r="AL234" s="247"/>
      <c r="AM234" s="247"/>
      <c r="AN234" s="247"/>
      <c r="AO234" s="247"/>
      <c r="AP234" s="247"/>
      <c r="AQ234" s="247"/>
      <c r="AR234" s="247"/>
      <c r="AS234" s="247"/>
      <c r="AT234" s="247"/>
      <c r="AU234" s="247"/>
      <c r="AV234" s="247"/>
      <c r="AW234" s="247"/>
      <c r="AX234" s="247"/>
      <c r="AY234" s="247"/>
      <c r="AZ234" s="247"/>
      <c r="BA234" s="247"/>
      <c r="BB234" s="247"/>
      <c r="BC234" s="247"/>
      <c r="BD234" s="247"/>
      <c r="BE234" s="247"/>
      <c r="BF234" s="247"/>
      <c r="BG234" s="247"/>
      <c r="BH234" s="247"/>
      <c r="BI234" s="247"/>
      <c r="BJ234" s="247"/>
      <c r="BK234" s="247"/>
      <c r="BL234" s="247"/>
      <c r="BM234" s="247"/>
    </row>
    <row r="235" spans="2:65" s="281" customFormat="1" ht="17.25" customHeight="1">
      <c r="F235" s="809" t="s">
        <v>397</v>
      </c>
      <c r="G235" s="809"/>
      <c r="H235" s="809" t="str">
        <f>U153</f>
        <v>+00°00.06 (+00.0011) [+00°00'04.07]</v>
      </c>
      <c r="I235" s="809"/>
      <c r="J235" s="809"/>
      <c r="K235" s="809"/>
      <c r="L235" s="809"/>
      <c r="AB235" s="400"/>
      <c r="AC235" s="350"/>
      <c r="AD235" s="350"/>
      <c r="AE235" s="350"/>
      <c r="AF235" s="350"/>
      <c r="AG235" s="350"/>
      <c r="AH235" s="247"/>
      <c r="AI235" s="247"/>
      <c r="AJ235" s="247"/>
      <c r="AK235" s="247"/>
      <c r="AL235" s="247"/>
      <c r="AM235" s="247"/>
      <c r="AN235" s="247"/>
      <c r="AO235" s="247"/>
      <c r="AP235" s="247"/>
      <c r="AQ235" s="247"/>
      <c r="AR235" s="247"/>
      <c r="AS235" s="247"/>
      <c r="AT235" s="247"/>
      <c r="AU235" s="247"/>
      <c r="AV235" s="247"/>
      <c r="AW235" s="247"/>
      <c r="AX235" s="247"/>
      <c r="AY235" s="247"/>
      <c r="AZ235" s="247"/>
      <c r="BA235" s="247"/>
      <c r="BB235" s="247"/>
      <c r="BC235" s="247"/>
      <c r="BD235" s="247"/>
      <c r="BE235" s="247"/>
      <c r="BF235" s="247"/>
      <c r="BG235" s="247"/>
      <c r="BH235" s="247"/>
      <c r="BI235" s="247"/>
      <c r="BJ235" s="247"/>
      <c r="BK235" s="247"/>
      <c r="BL235" s="247"/>
      <c r="BM235" s="247"/>
    </row>
    <row r="236" spans="2:65" s="281" customFormat="1" ht="17.25" customHeight="1">
      <c r="F236" s="809" t="s">
        <v>100</v>
      </c>
      <c r="G236" s="809"/>
      <c r="H236" s="809" t="str" cm="1">
        <f t="array" ref="H236">angleDecimal2Txt(O160)</f>
        <v>+00°31.60 (+00.5266) [+00°31'36.00]</v>
      </c>
      <c r="I236" s="809"/>
      <c r="J236" s="809"/>
      <c r="K236" s="809"/>
      <c r="L236" s="809"/>
      <c r="AB236" s="400"/>
      <c r="AC236" s="350"/>
      <c r="AD236" s="350"/>
      <c r="AE236" s="350"/>
      <c r="AF236" s="350"/>
      <c r="AG236" s="350"/>
      <c r="AH236" s="247"/>
      <c r="AI236" s="247"/>
      <c r="AJ236" s="247"/>
      <c r="AK236" s="247"/>
      <c r="AL236" s="247"/>
      <c r="AM236" s="247"/>
      <c r="AN236" s="247"/>
      <c r="AO236" s="247"/>
      <c r="AP236" s="247"/>
      <c r="AQ236" s="247"/>
      <c r="AR236" s="247"/>
      <c r="AS236" s="247"/>
      <c r="AT236" s="247"/>
      <c r="AU236" s="247"/>
      <c r="AV236" s="247"/>
      <c r="AW236" s="247"/>
      <c r="AX236" s="247"/>
      <c r="AY236" s="247"/>
      <c r="AZ236" s="247"/>
      <c r="BA236" s="247"/>
      <c r="BB236" s="247"/>
      <c r="BC236" s="247"/>
      <c r="BD236" s="247"/>
      <c r="BE236" s="247"/>
      <c r="BF236" s="247"/>
      <c r="BG236" s="247"/>
      <c r="BH236" s="247"/>
      <c r="BI236" s="247"/>
      <c r="BJ236" s="247"/>
      <c r="BK236" s="247"/>
      <c r="BL236" s="247"/>
      <c r="BM236" s="247"/>
    </row>
    <row r="237" spans="2:65" s="281" customFormat="1" ht="17.25" customHeight="1">
      <c r="F237" s="809" t="s">
        <v>71</v>
      </c>
      <c r="G237" s="809"/>
      <c r="H237" s="809" t="str">
        <f>U162</f>
        <v>-00°15.80 (-00.2633) [-00°15'48.00]</v>
      </c>
      <c r="I237" s="809"/>
      <c r="J237" s="809"/>
      <c r="K237" s="809"/>
      <c r="L237" s="809"/>
      <c r="AB237" s="400"/>
      <c r="AC237" s="350"/>
      <c r="AD237" s="350"/>
      <c r="AE237" s="350"/>
      <c r="AF237" s="350"/>
      <c r="AG237" s="350"/>
      <c r="AH237" s="247"/>
      <c r="AI237" s="247"/>
      <c r="AJ237" s="247"/>
      <c r="AK237" s="247"/>
      <c r="AL237" s="247"/>
      <c r="AM237" s="247"/>
      <c r="AN237" s="247"/>
      <c r="AO237" s="247"/>
      <c r="AP237" s="247"/>
      <c r="AQ237" s="247"/>
      <c r="AR237" s="247"/>
      <c r="AS237" s="247"/>
      <c r="AT237" s="247"/>
      <c r="AU237" s="247"/>
      <c r="AV237" s="247"/>
      <c r="AW237" s="247"/>
      <c r="AX237" s="247"/>
      <c r="AY237" s="247"/>
      <c r="AZ237" s="247"/>
      <c r="BA237" s="247"/>
      <c r="BB237" s="247"/>
      <c r="BC237" s="247"/>
      <c r="BD237" s="247"/>
      <c r="BE237" s="247"/>
      <c r="BF237" s="247"/>
      <c r="BG237" s="247"/>
      <c r="BH237" s="247"/>
      <c r="BI237" s="247"/>
      <c r="BJ237" s="247"/>
      <c r="BK237" s="247"/>
      <c r="BL237" s="247"/>
      <c r="BM237" s="247"/>
    </row>
    <row r="238" spans="2:65" s="281" customFormat="1" ht="17.25" customHeight="1">
      <c r="D238" s="303"/>
      <c r="E238" s="807" t="str" cm="1">
        <f t="array" ref="E238">angleDecimal2Txt(F143)</f>
        <v>+66°37.05 (+66.6176) [+66°37'03.43]</v>
      </c>
      <c r="F238" s="807"/>
      <c r="G238" s="807"/>
      <c r="H238" s="807"/>
      <c r="I238" s="807"/>
      <c r="J238" s="807" t="s">
        <v>468</v>
      </c>
      <c r="K238" s="807"/>
      <c r="L238" s="807"/>
      <c r="AB238" s="400"/>
      <c r="AC238" s="350"/>
      <c r="AD238" s="350"/>
      <c r="AE238" s="350"/>
      <c r="AF238" s="350"/>
      <c r="AG238" s="350"/>
      <c r="AH238" s="247"/>
      <c r="AI238" s="247"/>
      <c r="AJ238" s="247"/>
      <c r="AK238" s="247"/>
      <c r="AL238" s="247"/>
      <c r="AM238" s="247"/>
      <c r="AN238" s="247"/>
      <c r="AO238" s="247"/>
      <c r="AP238" s="247"/>
      <c r="AQ238" s="247"/>
      <c r="AR238" s="247"/>
      <c r="AS238" s="247"/>
      <c r="AT238" s="247"/>
      <c r="AU238" s="247"/>
      <c r="AV238" s="247"/>
      <c r="AW238" s="247"/>
      <c r="AX238" s="247"/>
      <c r="AY238" s="247"/>
      <c r="AZ238" s="247"/>
      <c r="BA238" s="247"/>
      <c r="BB238" s="247"/>
      <c r="BC238" s="247"/>
      <c r="BD238" s="247"/>
      <c r="BE238" s="247"/>
      <c r="BF238" s="247"/>
      <c r="BG238" s="247"/>
      <c r="BH238" s="247"/>
      <c r="BI238" s="247"/>
      <c r="BJ238" s="247"/>
      <c r="BK238" s="247"/>
      <c r="BL238" s="247"/>
      <c r="BM238" s="247"/>
    </row>
    <row r="239" spans="2:65" s="281" customFormat="1" ht="17.25" customHeight="1">
      <c r="D239" s="303"/>
      <c r="F239" s="809" t="str" cm="1">
        <f t="array" ref="F239">angleDecimal2Txt(O153-O158-O148)</f>
        <v>-00°02.84 (-00.0473) [-00°02'50.56]</v>
      </c>
      <c r="G239" s="809"/>
      <c r="H239" s="809"/>
      <c r="I239" s="809"/>
      <c r="J239" s="809"/>
      <c r="K239" s="809" t="s">
        <v>398</v>
      </c>
      <c r="L239" s="809"/>
      <c r="M239" s="809"/>
      <c r="N239" s="850" t="s">
        <v>413</v>
      </c>
      <c r="O239" s="850"/>
      <c r="P239" s="850"/>
      <c r="AB239" s="400"/>
      <c r="AC239" s="350"/>
      <c r="AD239" s="350"/>
      <c r="AE239" s="350"/>
      <c r="AF239" s="350"/>
      <c r="AG239" s="350"/>
      <c r="AH239" s="247"/>
      <c r="AI239" s="247"/>
      <c r="AJ239" s="247"/>
      <c r="AK239" s="247"/>
      <c r="AL239" s="247"/>
      <c r="AM239" s="247"/>
      <c r="AN239" s="247"/>
      <c r="AO239" s="247"/>
      <c r="AP239" s="247"/>
      <c r="AQ239" s="247"/>
      <c r="AR239" s="247"/>
      <c r="AS239" s="247"/>
      <c r="AT239" s="247"/>
      <c r="AU239" s="247"/>
      <c r="AV239" s="247"/>
      <c r="AW239" s="247"/>
      <c r="AX239" s="247"/>
      <c r="AY239" s="247"/>
      <c r="AZ239" s="247"/>
      <c r="BA239" s="247"/>
      <c r="BB239" s="247"/>
      <c r="BC239" s="247"/>
      <c r="BD239" s="247"/>
      <c r="BE239" s="247"/>
      <c r="BF239" s="247"/>
      <c r="BG239" s="247"/>
      <c r="BH239" s="247"/>
      <c r="BI239" s="247"/>
      <c r="BJ239" s="247"/>
      <c r="BK239" s="247"/>
      <c r="BL239" s="247"/>
      <c r="BM239" s="247"/>
    </row>
    <row r="240" spans="2:65" s="281" customFormat="1" ht="17.25" customHeight="1">
      <c r="D240" s="303"/>
      <c r="F240" s="809" t="str" cm="1">
        <f t="array" ref="F240">angleDecimal2Txt(O153-O158-O148+O162)</f>
        <v>-00°18.64 (-00.3107) [-00°18'38.56]</v>
      </c>
      <c r="G240" s="809"/>
      <c r="H240" s="809"/>
      <c r="I240" s="809"/>
      <c r="J240" s="809"/>
      <c r="K240" s="809" t="s">
        <v>394</v>
      </c>
      <c r="L240" s="809"/>
      <c r="M240" s="809"/>
      <c r="N240" s="850"/>
      <c r="O240" s="850"/>
      <c r="P240" s="850"/>
      <c r="AB240" s="400"/>
      <c r="AC240" s="350"/>
      <c r="AD240" s="350"/>
      <c r="AE240" s="350"/>
      <c r="AF240" s="350"/>
      <c r="AG240" s="350"/>
      <c r="AH240" s="247"/>
      <c r="AI240" s="247"/>
      <c r="AJ240" s="247"/>
      <c r="AK240" s="247"/>
      <c r="AL240" s="247"/>
      <c r="AM240" s="247"/>
      <c r="AN240" s="247"/>
      <c r="AO240" s="247"/>
      <c r="AP240" s="247"/>
      <c r="AQ240" s="247"/>
      <c r="AR240" s="247"/>
      <c r="AS240" s="247"/>
      <c r="AT240" s="247"/>
      <c r="AU240" s="247"/>
      <c r="AV240" s="247"/>
      <c r="AW240" s="247"/>
      <c r="AX240" s="247"/>
      <c r="AY240" s="247"/>
      <c r="AZ240" s="247"/>
      <c r="BA240" s="247"/>
      <c r="BB240" s="247"/>
      <c r="BC240" s="247"/>
      <c r="BD240" s="247"/>
      <c r="BE240" s="247"/>
      <c r="BF240" s="247"/>
      <c r="BG240" s="247"/>
      <c r="BH240" s="247"/>
      <c r="BI240" s="247"/>
      <c r="BJ240" s="247"/>
      <c r="BK240" s="247"/>
      <c r="BL240" s="247"/>
      <c r="BM240" s="247"/>
    </row>
    <row r="241" spans="2:65" s="281" customFormat="1" ht="17.25" customHeight="1">
      <c r="D241" s="303"/>
      <c r="F241" s="809" t="str" cm="1">
        <f t="array" ref="F241">angleDecimal2Txt(O153-O158+O162)</f>
        <v>-00°16.15 (-00.2692) [-00°16'09.38]</v>
      </c>
      <c r="G241" s="809"/>
      <c r="H241" s="809"/>
      <c r="I241" s="809"/>
      <c r="J241" s="809"/>
      <c r="K241" s="809" t="s">
        <v>395</v>
      </c>
      <c r="L241" s="809"/>
      <c r="M241" s="809"/>
      <c r="N241" s="850"/>
      <c r="O241" s="850"/>
      <c r="P241" s="850"/>
      <c r="AB241" s="400"/>
      <c r="AC241" s="350"/>
      <c r="AD241" s="350"/>
      <c r="AE241" s="350"/>
      <c r="AF241" s="350"/>
      <c r="AG241" s="350"/>
      <c r="AH241" s="247"/>
      <c r="AI241" s="247"/>
      <c r="AJ241" s="247"/>
      <c r="AK241" s="247"/>
      <c r="AL241" s="247"/>
      <c r="AM241" s="247"/>
      <c r="AN241" s="247"/>
      <c r="AO241" s="247"/>
      <c r="AP241" s="247"/>
      <c r="AQ241" s="247"/>
      <c r="AR241" s="247"/>
      <c r="AS241" s="247"/>
      <c r="AT241" s="247"/>
      <c r="AU241" s="247"/>
      <c r="AV241" s="247"/>
      <c r="AW241" s="247"/>
      <c r="AX241" s="247"/>
      <c r="AY241" s="247"/>
      <c r="AZ241" s="247"/>
      <c r="BA241" s="247"/>
      <c r="BB241" s="247"/>
      <c r="BC241" s="247"/>
      <c r="BD241" s="247"/>
      <c r="BE241" s="247"/>
      <c r="BF241" s="247"/>
      <c r="BG241" s="247"/>
      <c r="BH241" s="247"/>
      <c r="BI241" s="247"/>
      <c r="BJ241" s="247"/>
      <c r="BK241" s="247"/>
      <c r="BL241" s="247"/>
      <c r="BM241" s="247"/>
    </row>
    <row r="242" spans="2:65" s="281" customFormat="1" ht="17.25" customHeight="1">
      <c r="AB242" s="400"/>
      <c r="AC242" s="350"/>
      <c r="AD242" s="350"/>
      <c r="AE242" s="350"/>
      <c r="AF242" s="350"/>
      <c r="AG242" s="350"/>
      <c r="AH242" s="247"/>
      <c r="AI242" s="247"/>
      <c r="AJ242" s="247"/>
      <c r="AK242" s="247"/>
      <c r="AL242" s="247"/>
      <c r="AM242" s="247"/>
      <c r="AN242" s="247"/>
      <c r="AO242" s="247"/>
      <c r="AP242" s="247"/>
      <c r="AQ242" s="247"/>
      <c r="AR242" s="247"/>
      <c r="AS242" s="247"/>
      <c r="AT242" s="247"/>
      <c r="AU242" s="247"/>
      <c r="AV242" s="247"/>
      <c r="AW242" s="247"/>
      <c r="AX242" s="247"/>
      <c r="AY242" s="247"/>
      <c r="AZ242" s="247"/>
      <c r="BA242" s="247"/>
      <c r="BB242" s="247"/>
      <c r="BC242" s="247"/>
      <c r="BD242" s="247"/>
      <c r="BE242" s="247"/>
      <c r="BF242" s="247"/>
      <c r="BG242" s="247"/>
      <c r="BH242" s="247"/>
      <c r="BI242" s="247"/>
      <c r="BJ242" s="247"/>
      <c r="BK242" s="247"/>
      <c r="BL242" s="247"/>
      <c r="BM242" s="247"/>
    </row>
    <row r="243" spans="2:65" s="281" customFormat="1" ht="17.25" customHeight="1">
      <c r="C243" s="303"/>
      <c r="AB243" s="400"/>
      <c r="AC243" s="350"/>
      <c r="AD243" s="350"/>
      <c r="AE243" s="350"/>
      <c r="AF243" s="350"/>
      <c r="AG243" s="350"/>
      <c r="AH243" s="247"/>
      <c r="AI243" s="247"/>
      <c r="AJ243" s="247"/>
      <c r="AK243" s="247"/>
      <c r="AL243" s="247"/>
      <c r="AM243" s="247"/>
      <c r="AN243" s="247"/>
      <c r="AO243" s="247"/>
      <c r="AP243" s="247"/>
      <c r="AQ243" s="247"/>
      <c r="AR243" s="247"/>
      <c r="AS243" s="247"/>
      <c r="AT243" s="247"/>
      <c r="AU243" s="247"/>
      <c r="AV243" s="247"/>
      <c r="AW243" s="247"/>
      <c r="AX243" s="247"/>
      <c r="AY243" s="247"/>
      <c r="AZ243" s="247"/>
      <c r="BA243" s="247"/>
      <c r="BB243" s="247"/>
      <c r="BC243" s="247"/>
      <c r="BD243" s="247"/>
      <c r="BE243" s="247"/>
      <c r="BF243" s="247"/>
      <c r="BG243" s="247"/>
      <c r="BH243" s="247"/>
      <c r="BI243" s="247"/>
      <c r="BJ243" s="247"/>
      <c r="BK243" s="247"/>
      <c r="BL243" s="247"/>
      <c r="BM243" s="247"/>
    </row>
    <row r="244" spans="2:65" s="281" customFormat="1" ht="17.25" customHeight="1" thickBot="1">
      <c r="B244" s="340" t="s">
        <v>535</v>
      </c>
      <c r="C244" s="300"/>
      <c r="D244" s="300"/>
      <c r="E244" s="300"/>
      <c r="F244" s="300"/>
      <c r="G244" s="300"/>
      <c r="H244" s="301"/>
      <c r="I244" s="301"/>
      <c r="J244" s="301"/>
      <c r="K244" s="301"/>
      <c r="L244" s="301"/>
      <c r="M244" s="301"/>
      <c r="N244" s="301"/>
      <c r="O244" s="301"/>
      <c r="P244" s="301"/>
      <c r="Q244" s="301"/>
      <c r="AB244" s="400"/>
      <c r="AC244" s="350"/>
      <c r="AD244" s="350"/>
      <c r="AE244" s="350"/>
      <c r="AF244" s="350"/>
      <c r="AG244" s="350"/>
      <c r="AH244" s="247"/>
      <c r="AI244" s="247"/>
      <c r="AJ244" s="247"/>
      <c r="AK244" s="247"/>
      <c r="AL244" s="247"/>
      <c r="AM244" s="247"/>
      <c r="AN244" s="247"/>
      <c r="AO244" s="247"/>
      <c r="AP244" s="247"/>
      <c r="AQ244" s="247"/>
      <c r="AR244" s="247"/>
      <c r="AS244" s="247"/>
      <c r="AT244" s="247"/>
      <c r="AU244" s="247"/>
      <c r="AV244" s="247"/>
      <c r="AW244" s="247"/>
      <c r="AX244" s="247"/>
      <c r="AY244" s="247"/>
      <c r="AZ244" s="247"/>
      <c r="BA244" s="247"/>
      <c r="BB244" s="247"/>
      <c r="BC244" s="247"/>
      <c r="BD244" s="247"/>
      <c r="BE244" s="247"/>
      <c r="BF244" s="247"/>
      <c r="BG244" s="247"/>
      <c r="BH244" s="247"/>
      <c r="BI244" s="247"/>
      <c r="BJ244" s="247"/>
      <c r="BK244" s="247"/>
      <c r="BL244" s="247"/>
      <c r="BM244" s="247"/>
    </row>
    <row r="245" spans="2:65" ht="17.25" customHeight="1" thickTop="1">
      <c r="B245" s="1097" t="s">
        <v>536</v>
      </c>
      <c r="C245" s="872" t="s">
        <v>593</v>
      </c>
      <c r="D245" s="872"/>
      <c r="E245" s="872" t="str">
        <f>O10</f>
        <v>N 46°06.00 (N 46.1000) [N 46°06'00.00]</v>
      </c>
      <c r="F245" s="872"/>
      <c r="G245" s="872"/>
      <c r="H245" s="872"/>
      <c r="I245" s="872"/>
      <c r="J245" s="872"/>
      <c r="K245" s="281"/>
      <c r="L245" s="281"/>
      <c r="M245" s="281"/>
      <c r="N245" s="281"/>
      <c r="O245" s="281"/>
      <c r="P245" s="281"/>
      <c r="Q245" s="281"/>
      <c r="R245" s="281"/>
      <c r="S245" s="281"/>
      <c r="T245" s="281"/>
      <c r="AC245"/>
      <c r="AD245"/>
      <c r="AE245"/>
      <c r="AF245"/>
      <c r="AG245"/>
    </row>
    <row r="246" spans="2:65" ht="17.25" customHeight="1">
      <c r="B246" s="1097"/>
      <c r="C246" s="872" t="s">
        <v>589</v>
      </c>
      <c r="D246" s="872"/>
      <c r="E246" s="872" t="str">
        <f>O12</f>
        <v>W 05°00.00 (W 05.0000) [W 05°00'00.00]</v>
      </c>
      <c r="F246" s="872"/>
      <c r="G246" s="872"/>
      <c r="H246" s="872"/>
      <c r="I246" s="872"/>
      <c r="J246" s="872"/>
      <c r="K246" s="281"/>
      <c r="L246" s="281"/>
      <c r="M246" s="281"/>
      <c r="N246" s="281"/>
      <c r="O246" s="281"/>
      <c r="P246" s="281"/>
      <c r="Q246" s="281"/>
      <c r="R246" s="281"/>
      <c r="S246" s="281"/>
      <c r="T246" s="281"/>
      <c r="AC246"/>
      <c r="AD246"/>
      <c r="AE246"/>
      <c r="AF246"/>
      <c r="AG246"/>
    </row>
    <row r="247" spans="2:65" ht="17.25" customHeight="1">
      <c r="B247" s="1097"/>
      <c r="C247" s="872" t="s">
        <v>11</v>
      </c>
      <c r="D247" s="872"/>
      <c r="E247" s="872" t="str">
        <f>O8</f>
        <v>10:20:35.00(10.3430)</v>
      </c>
      <c r="F247" s="872"/>
      <c r="G247" s="872"/>
      <c r="H247" s="872"/>
      <c r="I247" s="872"/>
      <c r="J247" s="872"/>
      <c r="K247" s="281"/>
      <c r="L247" s="281"/>
      <c r="M247" s="281"/>
      <c r="N247" s="281"/>
      <c r="O247" s="281"/>
      <c r="P247" s="281"/>
      <c r="Q247" s="281"/>
      <c r="R247" s="281"/>
      <c r="S247" s="281"/>
      <c r="T247" s="281"/>
      <c r="AC247"/>
      <c r="AD247"/>
      <c r="AE247"/>
      <c r="AF247"/>
      <c r="AG247"/>
    </row>
    <row r="248" spans="2:65" ht="17.25" customHeight="1">
      <c r="B248" s="1097"/>
      <c r="C248" s="872" t="s">
        <v>106</v>
      </c>
      <c r="D248" s="872"/>
      <c r="E248" s="872" t="str">
        <f>O16</f>
        <v>+21°00.00 (+21.0000) [+21°00'00.00]</v>
      </c>
      <c r="F248" s="872"/>
      <c r="G248" s="872"/>
      <c r="H248" s="872"/>
      <c r="I248" s="872"/>
      <c r="J248" s="872"/>
      <c r="K248" s="281"/>
      <c r="L248" s="281"/>
      <c r="M248" s="281"/>
      <c r="N248" s="281"/>
      <c r="O248" s="281"/>
      <c r="P248" s="281"/>
      <c r="Q248" s="281"/>
      <c r="R248" s="281"/>
      <c r="S248" s="281"/>
      <c r="T248" s="281"/>
      <c r="AC248"/>
      <c r="AD248"/>
      <c r="AE248"/>
      <c r="AF248"/>
      <c r="AG248"/>
    </row>
    <row r="249" spans="2:65" ht="17.25" customHeight="1">
      <c r="B249" s="1097"/>
      <c r="C249" s="872" t="s">
        <v>105</v>
      </c>
      <c r="D249" s="872"/>
      <c r="E249" s="1059">
        <f>I18</f>
        <v>5</v>
      </c>
      <c r="F249" s="1060"/>
      <c r="G249" s="1060"/>
      <c r="H249" s="1060"/>
      <c r="I249" s="1060"/>
      <c r="J249" s="369" t="s">
        <v>539</v>
      </c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AC249"/>
      <c r="AD249"/>
      <c r="AE249"/>
      <c r="AF249"/>
      <c r="AG249"/>
    </row>
    <row r="250" spans="2:65" ht="17.25" customHeight="1">
      <c r="F250" s="1061" t="s">
        <v>592</v>
      </c>
      <c r="G250" s="1062"/>
      <c r="H250" s="1056">
        <f>F25</f>
        <v>46.138899184437385</v>
      </c>
      <c r="I250" s="1053"/>
      <c r="J250" s="1053"/>
      <c r="K250" s="1053"/>
      <c r="L250" s="1057"/>
      <c r="M250" s="281"/>
      <c r="N250" s="281"/>
      <c r="O250" s="281"/>
      <c r="P250" s="281"/>
      <c r="Q250" s="281"/>
      <c r="R250" s="281"/>
      <c r="S250" s="281"/>
      <c r="T250" s="281"/>
      <c r="AC250"/>
      <c r="AD250"/>
      <c r="AE250"/>
      <c r="AF250"/>
      <c r="AG250"/>
    </row>
    <row r="251" spans="2:65" ht="17.25" customHeight="1">
      <c r="B251" s="281"/>
      <c r="F251" s="1063" t="s">
        <v>538</v>
      </c>
      <c r="G251" s="1064"/>
      <c r="H251" s="1051">
        <f>P33</f>
        <v>1.7918397477265013</v>
      </c>
      <c r="I251" s="1052"/>
      <c r="J251" s="1052"/>
      <c r="K251" s="1052"/>
      <c r="L251" s="341" t="s">
        <v>539</v>
      </c>
      <c r="M251" s="281"/>
      <c r="N251" s="281"/>
      <c r="O251" s="281"/>
      <c r="P251" s="281"/>
      <c r="Q251" s="281"/>
      <c r="R251" s="281"/>
      <c r="S251" s="281"/>
      <c r="T251" s="281"/>
      <c r="AC251"/>
      <c r="AD251"/>
      <c r="AE251"/>
      <c r="AF251"/>
      <c r="AG251"/>
    </row>
    <row r="252" spans="2:65" ht="17.25" customHeight="1">
      <c r="B252" s="281"/>
      <c r="F252" s="1065"/>
      <c r="G252" s="1066"/>
      <c r="H252" s="1051">
        <f>L38</f>
        <v>4.3099232541779581E-2</v>
      </c>
      <c r="I252" s="1052"/>
      <c r="J252" s="1052"/>
      <c r="K252" s="1052"/>
      <c r="L252" s="371" t="s">
        <v>540</v>
      </c>
      <c r="M252" s="820" t="str">
        <f>P38</f>
        <v>Vers l'Est</v>
      </c>
      <c r="N252" s="821"/>
      <c r="O252" s="281"/>
      <c r="P252" s="281"/>
      <c r="Q252" s="281"/>
      <c r="R252" s="281"/>
      <c r="S252" s="281"/>
      <c r="T252" s="281"/>
      <c r="AC252"/>
      <c r="AD252"/>
      <c r="AE252"/>
      <c r="AF252"/>
      <c r="AG252"/>
    </row>
    <row r="253" spans="2:65" ht="17.25" customHeight="1">
      <c r="B253" s="281"/>
      <c r="C253" s="811" t="s">
        <v>537</v>
      </c>
      <c r="D253" s="811"/>
      <c r="E253" s="811"/>
      <c r="F253" s="811" t="str">
        <f>O20</f>
        <v>12:03:46.00(12.0627)</v>
      </c>
      <c r="G253" s="811"/>
      <c r="H253" s="1058"/>
      <c r="I253" s="1058"/>
      <c r="J253" s="1058"/>
      <c r="M253" s="281"/>
      <c r="N253" s="281"/>
      <c r="O253" s="281"/>
      <c r="P253" s="281"/>
      <c r="Q253" s="281"/>
      <c r="R253" s="281"/>
      <c r="S253" s="281"/>
      <c r="T253" s="281"/>
      <c r="AC253"/>
      <c r="AD253"/>
      <c r="AE253"/>
      <c r="AF253"/>
      <c r="AG253"/>
    </row>
    <row r="254" spans="2:65" ht="17.25" customHeight="1">
      <c r="B254" s="281"/>
      <c r="D254" s="1054" t="s">
        <v>595</v>
      </c>
      <c r="E254" s="1055"/>
      <c r="F254" s="820" t="s">
        <v>541</v>
      </c>
      <c r="G254" s="820"/>
      <c r="H254" s="819">
        <f>V53</f>
        <v>2.0471299193002674</v>
      </c>
      <c r="I254" s="1052"/>
      <c r="J254" s="1052"/>
      <c r="K254" s="1052"/>
      <c r="L254" s="342" t="s">
        <v>258</v>
      </c>
      <c r="M254" s="281"/>
      <c r="N254" s="281"/>
      <c r="O254" s="281"/>
      <c r="P254" s="281"/>
      <c r="Q254" s="281"/>
      <c r="R254" s="281"/>
      <c r="S254" s="281"/>
      <c r="T254" s="281"/>
      <c r="AC254"/>
      <c r="AD254"/>
      <c r="AE254"/>
      <c r="AF254"/>
      <c r="AG254"/>
    </row>
    <row r="255" spans="2:65" ht="17.25" customHeight="1">
      <c r="B255" s="281"/>
      <c r="D255" s="1055"/>
      <c r="E255" s="1055"/>
      <c r="F255" s="1053" t="s">
        <v>542</v>
      </c>
      <c r="G255" s="1053"/>
      <c r="H255" s="819">
        <f>V55</f>
        <v>10.235649596501338</v>
      </c>
      <c r="I255" s="1052"/>
      <c r="J255" s="1052"/>
      <c r="K255" s="1052"/>
      <c r="L255" s="342" t="s">
        <v>104</v>
      </c>
      <c r="M255" s="281"/>
      <c r="N255" s="281"/>
      <c r="O255" s="281"/>
      <c r="P255" s="281"/>
      <c r="Q255" s="281"/>
      <c r="R255" s="281"/>
      <c r="S255" s="281"/>
      <c r="T255" s="281"/>
      <c r="AC255"/>
      <c r="AD255"/>
      <c r="AE255"/>
      <c r="AF255"/>
      <c r="AG255"/>
    </row>
    <row r="256" spans="2:65" ht="17.25" customHeight="1">
      <c r="B256" s="281"/>
      <c r="D256" s="1055"/>
      <c r="E256" s="1055"/>
      <c r="F256" s="1053" t="s">
        <v>543</v>
      </c>
      <c r="G256" s="1053"/>
      <c r="H256" s="1056">
        <f>V57</f>
        <v>8.8229728435156696E-2</v>
      </c>
      <c r="I256" s="1053"/>
      <c r="J256" s="1053"/>
      <c r="K256" s="1053"/>
      <c r="L256" s="1057"/>
      <c r="M256" s="281"/>
      <c r="N256" s="281"/>
      <c r="O256" s="281"/>
      <c r="P256" s="281"/>
      <c r="Q256" s="281"/>
      <c r="R256" s="281"/>
      <c r="S256" s="281"/>
      <c r="T256" s="281"/>
      <c r="AC256"/>
      <c r="AD256"/>
      <c r="AE256"/>
      <c r="AF256"/>
      <c r="AG256"/>
    </row>
    <row r="257" spans="2:33" ht="17.25" customHeight="1">
      <c r="B257" s="281"/>
      <c r="D257" s="1055"/>
      <c r="E257" s="1055"/>
      <c r="F257" s="1071" t="s">
        <v>11</v>
      </c>
      <c r="G257" s="1072"/>
      <c r="H257" s="1075" t="str">
        <f>X61</f>
        <v>12:23:24.66(12.3901)</v>
      </c>
      <c r="I257" s="1075"/>
      <c r="J257" s="1075"/>
      <c r="K257" s="1075"/>
      <c r="L257" s="1075"/>
      <c r="M257" s="281"/>
      <c r="N257" s="281"/>
      <c r="O257" s="281"/>
      <c r="P257" s="281"/>
      <c r="Q257" s="281"/>
      <c r="R257" s="281"/>
      <c r="S257" s="281"/>
      <c r="T257" s="281"/>
      <c r="AC257"/>
      <c r="AD257"/>
      <c r="AE257"/>
      <c r="AF257"/>
      <c r="AG257"/>
    </row>
    <row r="258" spans="2:33" ht="17.25" customHeight="1">
      <c r="B258" s="281"/>
      <c r="D258" s="1055"/>
      <c r="E258" s="1055"/>
      <c r="F258" s="1073" t="s">
        <v>171</v>
      </c>
      <c r="G258" s="1074"/>
      <c r="H258" s="1074" t="str">
        <f>X59</f>
        <v>W 04°54.70 (W 04.9117) [W 04°54'42.37]</v>
      </c>
      <c r="I258" s="1074"/>
      <c r="J258" s="1074"/>
      <c r="K258" s="1074"/>
      <c r="L258" s="1074"/>
      <c r="M258" s="281"/>
      <c r="N258" s="281"/>
      <c r="O258" s="281"/>
      <c r="P258" s="281"/>
      <c r="Q258" s="281"/>
      <c r="R258" s="281"/>
      <c r="S258" s="281"/>
      <c r="T258" s="281"/>
      <c r="AC258"/>
      <c r="AD258"/>
      <c r="AE258"/>
      <c r="AF258"/>
      <c r="AG258"/>
    </row>
    <row r="259" spans="2:33" ht="17.25" customHeight="1">
      <c r="B259" s="281"/>
      <c r="C259" s="303"/>
      <c r="D259" s="281"/>
      <c r="E259" s="281"/>
      <c r="F259" s="281"/>
      <c r="G259" s="281"/>
      <c r="H259" s="281"/>
      <c r="I259" s="281"/>
      <c r="J259" s="281"/>
      <c r="K259" s="281"/>
      <c r="L259" s="281"/>
      <c r="M259" s="281"/>
      <c r="N259" s="281"/>
      <c r="O259" s="281"/>
      <c r="P259" s="281"/>
      <c r="Q259" s="281"/>
      <c r="R259" s="281"/>
      <c r="S259" s="281"/>
      <c r="T259" s="281"/>
      <c r="AC259"/>
      <c r="AD259"/>
      <c r="AE259"/>
      <c r="AF259"/>
      <c r="AG259"/>
    </row>
    <row r="260" spans="2:33" ht="17.25" customHeight="1" thickBot="1">
      <c r="B260" s="301" t="s">
        <v>599</v>
      </c>
      <c r="C260" s="300"/>
      <c r="D260" s="300"/>
      <c r="E260" s="300"/>
      <c r="F260" s="300"/>
      <c r="G260" s="300"/>
      <c r="H260" s="301"/>
      <c r="I260" s="301"/>
      <c r="J260" s="301"/>
      <c r="K260" s="301"/>
      <c r="L260" s="301"/>
      <c r="M260" s="301"/>
      <c r="N260" s="301"/>
      <c r="O260" s="301"/>
      <c r="P260" s="301"/>
      <c r="Q260" s="301"/>
      <c r="R260" s="281"/>
      <c r="S260" s="281"/>
      <c r="T260" s="281"/>
      <c r="AC260"/>
      <c r="AD260"/>
      <c r="AE260"/>
      <c r="AF260"/>
      <c r="AG260"/>
    </row>
    <row r="261" spans="2:33" ht="17.25" customHeight="1" thickTop="1">
      <c r="B261" s="340"/>
      <c r="C261" s="1213" t="s">
        <v>11</v>
      </c>
      <c r="D261" s="1213"/>
      <c r="E261" s="1213" t="str">
        <f>S98</f>
        <v>12:32:31.74(12.5421)</v>
      </c>
      <c r="F261" s="1213"/>
      <c r="G261" s="1213"/>
      <c r="H261" s="1213"/>
      <c r="I261" s="1213"/>
      <c r="J261" s="1213"/>
      <c r="K261" s="340"/>
      <c r="L261" s="340"/>
      <c r="M261" s="340"/>
      <c r="N261" s="340"/>
      <c r="O261" s="340"/>
      <c r="P261" s="340"/>
      <c r="Q261" s="340"/>
      <c r="R261" s="281"/>
      <c r="S261" s="281"/>
      <c r="T261" s="281"/>
      <c r="AC261"/>
      <c r="AD261"/>
      <c r="AE261"/>
      <c r="AF261"/>
      <c r="AG261"/>
    </row>
    <row r="262" spans="2:33" ht="17.25" customHeight="1">
      <c r="B262" s="340"/>
      <c r="C262" s="1213" t="s">
        <v>171</v>
      </c>
      <c r="D262" s="1213"/>
      <c r="E262" s="1213" t="str">
        <f>S100</f>
        <v>W 07°11.49 (W 07.1915) [W 07°11'29.70]</v>
      </c>
      <c r="F262" s="1213"/>
      <c r="G262" s="1213"/>
      <c r="H262" s="1213"/>
      <c r="I262" s="1213"/>
      <c r="J262" s="1213"/>
      <c r="K262" s="340"/>
      <c r="L262" s="340"/>
      <c r="M262" s="340"/>
      <c r="N262" s="340"/>
      <c r="O262" s="340"/>
      <c r="P262" s="340"/>
      <c r="Q262" s="340"/>
      <c r="R262" s="281"/>
      <c r="S262" s="281"/>
      <c r="T262" s="281"/>
      <c r="AC262"/>
      <c r="AD262"/>
      <c r="AE262"/>
      <c r="AF262"/>
      <c r="AG262"/>
    </row>
    <row r="263" spans="2:33" ht="17.25" customHeight="1">
      <c r="B263" s="340"/>
      <c r="C263" s="372"/>
      <c r="D263" s="372"/>
      <c r="E263" s="372"/>
      <c r="F263" s="372"/>
      <c r="G263" s="372"/>
      <c r="H263" s="340"/>
      <c r="I263" s="340"/>
      <c r="J263" s="340"/>
      <c r="K263" s="340"/>
      <c r="L263" s="340"/>
      <c r="M263" s="340"/>
      <c r="N263" s="340"/>
      <c r="O263" s="340"/>
      <c r="P263" s="340"/>
      <c r="Q263" s="340"/>
      <c r="R263" s="281"/>
      <c r="S263" s="281"/>
      <c r="T263" s="281"/>
      <c r="AC263"/>
      <c r="AD263"/>
      <c r="AE263"/>
      <c r="AF263"/>
      <c r="AG263"/>
    </row>
    <row r="264" spans="2:33" ht="17.25" customHeight="1">
      <c r="B264" s="281"/>
      <c r="C264" s="303"/>
      <c r="D264" s="281"/>
      <c r="E264" s="281"/>
      <c r="F264" s="281"/>
      <c r="G264" s="281"/>
      <c r="H264" s="281"/>
      <c r="I264" s="281"/>
      <c r="J264" s="281"/>
      <c r="K264" s="281"/>
      <c r="L264" s="281"/>
      <c r="M264" s="281"/>
      <c r="N264" s="281"/>
      <c r="O264" s="281"/>
      <c r="P264" s="281"/>
      <c r="Q264" s="281"/>
      <c r="R264" s="281"/>
      <c r="S264" s="281"/>
      <c r="T264" s="281"/>
      <c r="AC264"/>
      <c r="AD264"/>
      <c r="AE264"/>
      <c r="AF264"/>
      <c r="AG264"/>
    </row>
    <row r="265" spans="2:33" ht="15.75" thickBot="1">
      <c r="B265" s="301" t="s">
        <v>534</v>
      </c>
      <c r="C265" s="300"/>
      <c r="D265" s="300"/>
      <c r="E265" s="300"/>
      <c r="F265" s="300"/>
      <c r="G265" s="300"/>
      <c r="H265" s="301"/>
      <c r="I265" s="301"/>
      <c r="J265" s="301"/>
      <c r="K265" s="301"/>
      <c r="L265" s="301"/>
      <c r="M265" s="301"/>
      <c r="N265" s="301"/>
      <c r="O265" s="301"/>
      <c r="P265" s="301"/>
      <c r="Q265" s="301"/>
      <c r="R265" s="281"/>
      <c r="S265" s="281"/>
      <c r="T265" s="281"/>
    </row>
    <row r="266" spans="2:33" ht="15.75" thickTop="1">
      <c r="B266" s="281"/>
      <c r="C266" s="872" t="s">
        <v>399</v>
      </c>
      <c r="D266" s="872"/>
      <c r="E266" s="872" t="str">
        <f>O10</f>
        <v>N 46°06.00 (N 46.1000) [N 46°06'00.00]</v>
      </c>
      <c r="F266" s="872"/>
      <c r="G266" s="872"/>
      <c r="H266" s="872"/>
      <c r="I266" s="872"/>
      <c r="J266" s="1058"/>
      <c r="K266" s="281"/>
      <c r="L266" s="281"/>
      <c r="M266" s="281"/>
      <c r="N266" s="281"/>
      <c r="O266" s="281"/>
      <c r="P266" s="281"/>
      <c r="Q266" s="281"/>
      <c r="R266" s="281"/>
      <c r="S266" s="281"/>
      <c r="T266" s="281"/>
    </row>
    <row r="267" spans="2:33">
      <c r="B267" s="281"/>
      <c r="C267" s="859" t="s">
        <v>9</v>
      </c>
      <c r="D267" s="859"/>
      <c r="E267" s="859" t="str" cm="1">
        <f t="array" ref="E267">latitudeDecimal2Txt(F122)</f>
        <v>S 14°43.70 (S 14.7283) [S 14°43'42.00]</v>
      </c>
      <c r="F267" s="859"/>
      <c r="G267" s="859"/>
      <c r="H267" s="859"/>
      <c r="I267" s="859"/>
      <c r="J267" s="1217"/>
      <c r="K267" s="281"/>
      <c r="L267" s="281"/>
      <c r="M267" s="281"/>
      <c r="N267" s="281"/>
      <c r="O267" s="281"/>
      <c r="P267" s="281"/>
      <c r="Q267" s="281"/>
      <c r="R267" s="281"/>
      <c r="S267" s="281"/>
      <c r="T267" s="281"/>
    </row>
    <row r="268" spans="2:33">
      <c r="B268" s="281"/>
      <c r="C268" s="281"/>
      <c r="D268" s="281"/>
      <c r="E268" s="281"/>
      <c r="F268" s="819" t="s">
        <v>417</v>
      </c>
      <c r="G268" s="820"/>
      <c r="H268" s="820"/>
      <c r="I268" s="820"/>
      <c r="J268" s="820"/>
      <c r="K268" s="820"/>
      <c r="L268" s="820"/>
      <c r="M268" s="821"/>
      <c r="N268" s="281"/>
      <c r="O268" s="281"/>
      <c r="P268" s="281"/>
      <c r="Q268" s="281"/>
      <c r="R268" s="281"/>
      <c r="S268" s="281"/>
      <c r="T268" s="281"/>
    </row>
    <row r="269" spans="2:33">
      <c r="B269" s="281"/>
      <c r="C269" s="281"/>
      <c r="D269" s="281"/>
      <c r="E269" s="281"/>
      <c r="F269" s="809" t="s">
        <v>72</v>
      </c>
      <c r="G269" s="809"/>
      <c r="H269" s="819" t="str" cm="1">
        <f t="array" ref="H269">angleDecimal2Txt(F143,0)</f>
        <v>+66°37.05</v>
      </c>
      <c r="I269" s="820"/>
      <c r="J269" s="820"/>
      <c r="K269" s="820"/>
      <c r="L269" s="820"/>
      <c r="M269" s="821"/>
      <c r="N269" s="281"/>
      <c r="O269" s="281"/>
      <c r="P269" s="281"/>
      <c r="Q269" s="281"/>
      <c r="R269" s="281"/>
      <c r="S269" s="281"/>
      <c r="T269" s="281"/>
    </row>
    <row r="270" spans="2:33" ht="18">
      <c r="B270" s="281"/>
      <c r="C270" s="807" t="s">
        <v>418</v>
      </c>
      <c r="D270" s="807"/>
      <c r="E270" s="807" t="str">
        <f>angleDecimal2Txt(I185,1)</f>
        <v>+23°22.94 (+23.3823) [+23°22'56.56]</v>
      </c>
      <c r="F270" s="807"/>
      <c r="G270" s="807"/>
      <c r="H270" s="807"/>
      <c r="I270" s="807"/>
      <c r="J270" s="807"/>
      <c r="K270" s="281"/>
      <c r="L270" s="281"/>
      <c r="M270" s="281"/>
      <c r="N270" s="281"/>
      <c r="O270" s="281"/>
      <c r="P270" s="281"/>
      <c r="Q270" s="281"/>
      <c r="R270" s="281"/>
      <c r="S270" s="281"/>
      <c r="T270" s="281"/>
    </row>
    <row r="271" spans="2:33">
      <c r="B271" s="246"/>
      <c r="C271" s="352"/>
      <c r="D271" s="352"/>
      <c r="E271" s="352"/>
      <c r="F271" s="1067" t="s">
        <v>213</v>
      </c>
      <c r="G271" s="1068"/>
      <c r="H271" s="1068"/>
      <c r="I271" s="1068"/>
      <c r="J271" s="1068"/>
      <c r="K271" s="1068"/>
      <c r="L271" s="1068"/>
      <c r="M271" s="1068"/>
      <c r="N271" s="1068"/>
      <c r="O271" s="1068"/>
      <c r="P271" s="1069"/>
      <c r="Q271" s="247"/>
      <c r="R271" s="246"/>
      <c r="S271" s="246"/>
      <c r="T271" s="246"/>
    </row>
    <row r="272" spans="2:33">
      <c r="B272" s="246"/>
      <c r="C272" s="352"/>
      <c r="D272" s="352"/>
      <c r="E272" s="352"/>
      <c r="F272" s="1070"/>
      <c r="G272" s="1070" t="s">
        <v>215</v>
      </c>
      <c r="H272" s="1070"/>
      <c r="I272" s="1070"/>
      <c r="J272" s="1070"/>
      <c r="K272" s="1070"/>
      <c r="L272" s="1084" t="s">
        <v>217</v>
      </c>
      <c r="M272" s="1085"/>
      <c r="N272" s="1085"/>
      <c r="O272" s="1085"/>
      <c r="P272" s="1086"/>
      <c r="Q272" s="247"/>
      <c r="R272" s="246"/>
      <c r="S272" s="246"/>
      <c r="T272" s="246"/>
    </row>
    <row r="273" spans="2:20">
      <c r="B273" s="246"/>
      <c r="C273" s="352"/>
      <c r="D273" s="352"/>
      <c r="E273" s="352"/>
      <c r="F273" s="1070"/>
      <c r="G273" s="1070" t="s">
        <v>216</v>
      </c>
      <c r="H273" s="1070"/>
      <c r="I273" s="1070"/>
      <c r="J273" s="1070"/>
      <c r="K273" s="1070"/>
      <c r="L273" s="1084" t="s">
        <v>218</v>
      </c>
      <c r="M273" s="1085"/>
      <c r="N273" s="1085"/>
      <c r="O273" s="1085"/>
      <c r="P273" s="1086"/>
      <c r="Q273" s="247"/>
      <c r="R273" s="246"/>
      <c r="S273" s="246"/>
      <c r="T273" s="246"/>
    </row>
    <row r="274" spans="2:20">
      <c r="B274" s="246"/>
      <c r="C274" s="352"/>
      <c r="D274" s="352"/>
      <c r="E274" s="352"/>
      <c r="F274" s="1087" t="s">
        <v>214</v>
      </c>
      <c r="G274" s="1087"/>
      <c r="H274" s="1087"/>
      <c r="I274" s="1087"/>
      <c r="J274" s="1087"/>
      <c r="K274" s="1087"/>
      <c r="L274" s="1084" t="s">
        <v>219</v>
      </c>
      <c r="M274" s="1085"/>
      <c r="N274" s="1085"/>
      <c r="O274" s="1085"/>
      <c r="P274" s="1086"/>
      <c r="Q274" s="247"/>
      <c r="R274" s="246"/>
      <c r="S274" s="246"/>
      <c r="T274" s="246"/>
    </row>
    <row r="275" spans="2:20">
      <c r="B275" s="246"/>
      <c r="C275" s="352"/>
      <c r="D275" s="352"/>
      <c r="E275" s="352"/>
      <c r="F275" s="809" t="s">
        <v>419</v>
      </c>
      <c r="G275" s="809"/>
      <c r="H275" s="819" t="b">
        <f>((F122*E68)&gt;0)</f>
        <v>0</v>
      </c>
      <c r="I275" s="820"/>
      <c r="J275" s="820"/>
      <c r="K275" s="820"/>
      <c r="L275" s="820"/>
      <c r="M275" s="821"/>
      <c r="N275" s="246"/>
      <c r="O275" s="246"/>
      <c r="P275" s="246"/>
      <c r="Q275" s="247"/>
      <c r="R275" s="246"/>
      <c r="S275" s="246"/>
      <c r="T275" s="246"/>
    </row>
    <row r="276" spans="2:20">
      <c r="B276" s="246"/>
      <c r="C276" s="352"/>
      <c r="D276" s="352"/>
      <c r="E276" s="352"/>
      <c r="F276" s="809" t="s">
        <v>420</v>
      </c>
      <c r="G276" s="809"/>
      <c r="H276" s="819" t="b">
        <f>(E68&gt;F122)</f>
        <v>1</v>
      </c>
      <c r="I276" s="820"/>
      <c r="J276" s="820"/>
      <c r="K276" s="820"/>
      <c r="L276" s="820"/>
      <c r="M276" s="821"/>
      <c r="N276" s="271" t="s">
        <v>598</v>
      </c>
      <c r="O276" s="1096" t="str">
        <f>P197</f>
        <v>N 23°22.94 (N 23.3823) [N 23°22'56.56]</v>
      </c>
      <c r="P276" s="887"/>
      <c r="Q276" s="887"/>
      <c r="R276" s="887"/>
      <c r="S276" s="888"/>
    </row>
    <row r="277" spans="2:20">
      <c r="B277" s="246"/>
      <c r="C277" s="352"/>
      <c r="D277" s="1076" t="s">
        <v>557</v>
      </c>
      <c r="E277" s="1077"/>
      <c r="F277" s="1078" t="s">
        <v>576</v>
      </c>
      <c r="G277" s="1078"/>
      <c r="H277" s="1214" t="str">
        <f>V190</f>
        <v>Le soleil est au nord, et le sud est dans le dos</v>
      </c>
      <c r="I277" s="1215"/>
      <c r="J277" s="1215"/>
      <c r="K277" s="1215"/>
      <c r="L277" s="1215"/>
      <c r="M277" s="1216"/>
      <c r="N277" s="246"/>
      <c r="O277" s="246"/>
      <c r="P277" s="304"/>
      <c r="Q277" s="304"/>
      <c r="R277" s="246"/>
      <c r="S277" s="246"/>
      <c r="T277" s="246"/>
    </row>
    <row r="278" spans="2:20">
      <c r="B278" s="246"/>
      <c r="C278" s="352"/>
      <c r="D278" s="1076"/>
      <c r="E278" s="1077"/>
      <c r="F278" s="1079" t="s">
        <v>596</v>
      </c>
      <c r="G278" s="1080"/>
      <c r="H278" s="1214" t="str">
        <f>V191</f>
        <v>Lat et Dec - Meme sens ?: FALSE</v>
      </c>
      <c r="I278" s="1215"/>
      <c r="J278" s="1215"/>
      <c r="K278" s="1215"/>
      <c r="L278" s="1215"/>
      <c r="M278" s="1216"/>
      <c r="N278" s="246"/>
      <c r="O278" s="246"/>
      <c r="P278" s="304"/>
      <c r="Q278" s="304"/>
      <c r="R278" s="246"/>
      <c r="S278" s="246"/>
      <c r="T278" s="246"/>
    </row>
    <row r="279" spans="2:20">
      <c r="B279" s="246"/>
      <c r="C279" s="352"/>
      <c r="D279" s="1076"/>
      <c r="E279" s="1077"/>
      <c r="F279" s="1079" t="s">
        <v>597</v>
      </c>
      <c r="G279" s="1081"/>
      <c r="H279" s="1214" t="str">
        <f>V192</f>
        <v>Lat &gt; Dec  ? : FALSE</v>
      </c>
      <c r="I279" s="1215"/>
      <c r="J279" s="1215"/>
      <c r="K279" s="1215"/>
      <c r="L279" s="1215"/>
      <c r="M279" s="1216"/>
      <c r="N279" s="271" t="s">
        <v>598</v>
      </c>
      <c r="O279" s="1096" t="str">
        <f>P196</f>
        <v>S 23°22.94 (S 23.3823) [S 23°22'56.56]</v>
      </c>
      <c r="P279" s="887"/>
      <c r="Q279" s="887"/>
      <c r="R279" s="887"/>
      <c r="S279" s="888"/>
    </row>
    <row r="280" spans="2:20">
      <c r="B280" s="905" t="s">
        <v>212</v>
      </c>
      <c r="C280" s="906"/>
      <c r="D280" s="907"/>
      <c r="E280" s="827" t="str">
        <f>P196</f>
        <v>S 23°22.94 (S 23.3823) [S 23°22'56.56]</v>
      </c>
      <c r="F280" s="827"/>
      <c r="G280" s="827"/>
      <c r="H280" s="1213"/>
      <c r="I280" s="1213"/>
      <c r="J280" s="1213"/>
      <c r="K280" s="246"/>
      <c r="L280" s="246"/>
      <c r="M280" s="246"/>
      <c r="N280" s="304"/>
      <c r="O280" s="304"/>
      <c r="P280" s="304"/>
      <c r="Q280" s="304"/>
      <c r="R280" s="246"/>
      <c r="S280" s="246"/>
      <c r="T280" s="246"/>
    </row>
    <row r="281" spans="2:20">
      <c r="B281" s="827" t="s">
        <v>171</v>
      </c>
      <c r="C281" s="827"/>
      <c r="D281" s="827"/>
      <c r="E281" s="827" t="str">
        <f>P198</f>
        <v>W 07°11.49 (W 07.1915) [W 07°11'29.70]</v>
      </c>
      <c r="F281" s="827"/>
      <c r="G281" s="827"/>
      <c r="H281" s="827"/>
      <c r="I281" s="827"/>
      <c r="J281" s="827"/>
      <c r="K281" s="246"/>
      <c r="L281" s="246"/>
      <c r="M281" s="246"/>
      <c r="N281" s="246"/>
      <c r="O281" s="246"/>
      <c r="P281" s="246"/>
      <c r="Q281" s="246"/>
      <c r="R281" s="246"/>
      <c r="S281" s="246"/>
      <c r="T281" s="24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3" priority="8">
      <formula>$AA83="N"</formula>
    </cfRule>
  </conditionalFormatting>
  <conditionalFormatting sqref="E84:Z87">
    <cfRule type="expression" dxfId="2" priority="6">
      <formula>$AA84="N"</formula>
    </cfRule>
  </conditionalFormatting>
  <conditionalFormatting sqref="E92:K92">
    <cfRule type="expression" dxfId="1" priority="2">
      <formula>($E92)</formula>
    </cfRule>
  </conditionalFormatting>
  <conditionalFormatting sqref="E93:K96">
    <cfRule type="expression" dxfId="0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56"/>
  <sheetViews>
    <sheetView topLeftCell="H104" zoomScaleNormal="100" workbookViewId="0">
      <selection activeCell="H116" sqref="H116:N116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1192" t="s">
        <v>132</v>
      </c>
      <c r="D1" s="1192"/>
      <c r="E1" s="1192"/>
      <c r="F1" s="1192"/>
      <c r="G1" s="1193" t="s">
        <v>133</v>
      </c>
      <c r="H1" s="1193"/>
      <c r="I1" s="1193"/>
      <c r="J1" s="1193"/>
      <c r="K1" s="1193"/>
      <c r="L1" s="1193"/>
      <c r="M1" s="1193"/>
      <c r="N1" s="1193"/>
      <c r="O1" s="1193"/>
      <c r="P1" s="1193"/>
      <c r="Q1" s="1193"/>
      <c r="R1" s="1193"/>
      <c r="S1" s="1193"/>
      <c r="T1" s="1193"/>
      <c r="U1" s="1193"/>
      <c r="V1" s="1193"/>
      <c r="W1" s="1193"/>
      <c r="X1" s="1193"/>
      <c r="Y1" s="1193"/>
    </row>
    <row r="2" spans="2:66" ht="17.25" customHeight="1">
      <c r="C2" s="1192"/>
      <c r="D2" s="1192"/>
      <c r="E2" s="1192"/>
      <c r="F2" s="1192"/>
      <c r="G2" s="1193"/>
      <c r="H2" s="1193"/>
      <c r="I2" s="1193"/>
      <c r="J2" s="1193"/>
      <c r="K2" s="1193"/>
      <c r="L2" s="1193"/>
      <c r="M2" s="1193"/>
      <c r="N2" s="1193"/>
      <c r="O2" s="1193"/>
      <c r="P2" s="1193"/>
      <c r="Q2" s="1193"/>
      <c r="R2" s="1193"/>
      <c r="S2" s="1193"/>
      <c r="T2" s="1193"/>
      <c r="U2" s="1193"/>
      <c r="V2" s="1193"/>
      <c r="W2" s="1193"/>
      <c r="X2" s="1193"/>
      <c r="Y2" s="1193"/>
    </row>
    <row r="3" spans="2:66" ht="17.25" customHeight="1">
      <c r="C3" s="1192"/>
      <c r="D3" s="1192"/>
      <c r="E3" s="1192"/>
      <c r="F3" s="1192"/>
      <c r="G3" s="602" t="s">
        <v>137</v>
      </c>
      <c r="H3" s="602"/>
      <c r="I3" s="602"/>
      <c r="J3" s="603" t="s">
        <v>136</v>
      </c>
      <c r="K3" s="603"/>
      <c r="L3" s="603"/>
      <c r="N3" s="1194" t="s">
        <v>227</v>
      </c>
      <c r="O3" s="1194"/>
      <c r="P3" s="1194"/>
      <c r="Q3" s="1195" t="s">
        <v>192</v>
      </c>
      <c r="R3" s="1195"/>
      <c r="S3" s="1195"/>
    </row>
    <row r="4" spans="2:66" ht="17.25" customHeight="1">
      <c r="C4" s="1192"/>
      <c r="D4" s="1192"/>
      <c r="E4" s="1192"/>
      <c r="F4" s="1192"/>
      <c r="G4" s="485"/>
      <c r="H4" s="485"/>
      <c r="I4" s="485"/>
      <c r="J4" s="604"/>
      <c r="K4" s="604"/>
      <c r="L4" s="604"/>
      <c r="N4" s="1194"/>
      <c r="O4" s="1194"/>
      <c r="P4" s="1194"/>
      <c r="Q4" s="1195"/>
      <c r="R4" s="1195"/>
      <c r="S4" s="1195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94" t="s">
        <v>1</v>
      </c>
      <c r="D8" s="595"/>
      <c r="E8" s="585" t="s">
        <v>311</v>
      </c>
      <c r="F8" s="586"/>
      <c r="G8" s="586"/>
      <c r="H8" s="59"/>
      <c r="I8" s="1256"/>
      <c r="J8" s="1256"/>
      <c r="K8" s="1256"/>
      <c r="L8" s="1256"/>
      <c r="M8" s="1256"/>
      <c r="N8" s="1256"/>
      <c r="O8" s="1256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96" t="s">
        <v>11</v>
      </c>
      <c r="D9" s="597"/>
      <c r="E9" s="596" t="s">
        <v>2</v>
      </c>
      <c r="F9" s="608"/>
      <c r="G9" s="608"/>
      <c r="H9" s="597"/>
      <c r="I9" s="582" t="s">
        <v>229</v>
      </c>
      <c r="J9" s="582"/>
      <c r="K9" s="582"/>
      <c r="L9" s="582" t="s">
        <v>225</v>
      </c>
      <c r="M9" s="582"/>
      <c r="N9" s="582"/>
      <c r="O9" s="582"/>
      <c r="P9" s="582"/>
      <c r="Q9" s="582" t="s">
        <v>226</v>
      </c>
      <c r="R9" s="582"/>
      <c r="S9" s="582"/>
      <c r="T9" s="582"/>
      <c r="U9" s="582"/>
      <c r="V9" s="688" t="s">
        <v>122</v>
      </c>
      <c r="W9" s="689"/>
      <c r="X9" s="689"/>
      <c r="Y9" s="690"/>
      <c r="AB9" s="63"/>
      <c r="AC9" s="3" t="s">
        <v>163</v>
      </c>
      <c r="AD9" s="67">
        <f>L11</f>
        <v>0</v>
      </c>
    </row>
    <row r="10" spans="2:66" ht="17.25" customHeight="1">
      <c r="C10" s="598"/>
      <c r="D10" s="599"/>
      <c r="E10" s="600"/>
      <c r="F10" s="609"/>
      <c r="G10" s="609"/>
      <c r="H10" s="601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691"/>
      <c r="W10" s="692"/>
      <c r="X10" s="692"/>
      <c r="Y10" s="693"/>
      <c r="AC10" s="3" t="s">
        <v>164</v>
      </c>
      <c r="AD10" s="3">
        <f>Q11/3600</f>
        <v>0</v>
      </c>
    </row>
    <row r="11" spans="2:66" ht="17.25" customHeight="1" thickBot="1">
      <c r="C11" s="600"/>
      <c r="D11" s="601"/>
      <c r="E11" s="700">
        <f>AD8+AD9+AD10+AD11</f>
        <v>8.3147222222222226</v>
      </c>
      <c r="F11" s="701"/>
      <c r="G11" s="701"/>
      <c r="H11" s="702"/>
      <c r="I11" s="512" t="s">
        <v>312</v>
      </c>
      <c r="J11" s="512"/>
      <c r="K11" s="512"/>
      <c r="L11" s="686">
        <v>0</v>
      </c>
      <c r="M11" s="686"/>
      <c r="N11" s="686"/>
      <c r="O11" s="686"/>
      <c r="P11" s="686"/>
      <c r="Q11" s="686">
        <v>0</v>
      </c>
      <c r="R11" s="686"/>
      <c r="S11" s="686"/>
      <c r="T11" s="686"/>
      <c r="U11" s="687"/>
      <c r="V11" s="685" t="s">
        <v>121</v>
      </c>
      <c r="W11" s="685"/>
      <c r="X11" s="685"/>
      <c r="Y11" s="685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94" t="str" cm="1">
        <f t="array" ref="E12">heureDecimal2Txt(E11)</f>
        <v>08:18:53.00(08.3147)</v>
      </c>
      <c r="F12" s="695"/>
      <c r="G12" s="695"/>
      <c r="H12" s="696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77" t="s">
        <v>165</v>
      </c>
      <c r="D15" s="678"/>
      <c r="E15" s="678"/>
      <c r="F15" s="678"/>
      <c r="G15" s="678"/>
      <c r="H15" s="678"/>
      <c r="I15" s="679"/>
      <c r="J15" s="1257" t="s">
        <v>167</v>
      </c>
      <c r="K15" s="1257"/>
      <c r="L15" s="1257"/>
      <c r="M15" s="1257"/>
      <c r="N15" s="1257"/>
      <c r="O15" s="1257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77" t="s">
        <v>128</v>
      </c>
      <c r="D16" s="678"/>
      <c r="E16" s="678"/>
      <c r="F16" s="678"/>
      <c r="G16" s="678"/>
      <c r="H16" s="678"/>
      <c r="I16" s="679"/>
      <c r="J16" s="1036" cm="1">
        <f t="array" ref="J16">angleConvert2Decimal(M16)</f>
        <v>0.9</v>
      </c>
      <c r="K16" s="1037"/>
      <c r="L16" s="1038"/>
      <c r="M16" s="1039" t="s">
        <v>99</v>
      </c>
      <c r="N16" s="1040"/>
      <c r="O16" s="1041"/>
      <c r="P16" s="804" t="str" cm="1">
        <f t="array" ref="P16">angleDecimal2Txt(J16)</f>
        <v>+00°54.00 (+00.9000) [+00°54'00.00]</v>
      </c>
      <c r="Q16" s="805"/>
      <c r="R16" s="805"/>
      <c r="S16" s="805"/>
      <c r="T16" s="805"/>
      <c r="U16" s="805"/>
      <c r="V16" s="805"/>
      <c r="W16" s="805"/>
      <c r="X16" s="494"/>
      <c r="Y16" s="14"/>
    </row>
    <row r="17" spans="1:46" ht="18" hidden="1" customHeight="1" outlineLevel="1" thickTop="1" thickBot="1">
      <c r="C17" s="533" t="s">
        <v>127</v>
      </c>
      <c r="D17" s="533"/>
      <c r="E17" s="533"/>
      <c r="F17" s="533"/>
      <c r="G17" s="533"/>
      <c r="H17" s="533"/>
      <c r="I17" s="533"/>
      <c r="J17" s="528" cm="1">
        <f t="array" ref="J17">angleConvert2Decimal(M17)</f>
        <v>33.4</v>
      </c>
      <c r="K17" s="676"/>
      <c r="L17" s="529"/>
      <c r="M17" s="1044" t="s">
        <v>211</v>
      </c>
      <c r="N17" s="1045"/>
      <c r="O17" s="1046"/>
      <c r="P17" s="472" t="str" cm="1">
        <f t="array" ref="P17">angleDecimal2Txt(J17)</f>
        <v>+33°24.00 (+33.3999) [+33°24'00.00]</v>
      </c>
      <c r="Q17" s="472"/>
      <c r="R17" s="472"/>
      <c r="S17" s="472"/>
      <c r="T17" s="472"/>
      <c r="U17" s="472"/>
      <c r="V17" s="472"/>
      <c r="W17" s="472"/>
      <c r="X17" s="472"/>
      <c r="Y17" s="14"/>
    </row>
    <row r="18" spans="1:46" ht="18" hidden="1" customHeight="1" outlineLevel="1" thickTop="1" thickBot="1">
      <c r="C18" s="533" t="s">
        <v>135</v>
      </c>
      <c r="D18" s="533"/>
      <c r="E18" s="533"/>
      <c r="F18" s="533"/>
      <c r="G18" s="533"/>
      <c r="H18" s="533"/>
      <c r="I18" s="533"/>
      <c r="J18" s="528" cm="1">
        <f t="array" ref="J18">angleConvert2Decimal(M18)</f>
        <v>16.25</v>
      </c>
      <c r="K18" s="676"/>
      <c r="L18" s="529"/>
      <c r="M18" s="1044">
        <f>(J17-J16)/2</f>
        <v>16.25</v>
      </c>
      <c r="N18" s="1045"/>
      <c r="O18" s="1046"/>
      <c r="P18" s="472" t="str" cm="1">
        <f t="array" ref="P18">angleDecimal2Txt(J18)</f>
        <v>+16°15.00 (+16.2500) [+16°15'00.00]</v>
      </c>
      <c r="Q18" s="472"/>
      <c r="R18" s="472"/>
      <c r="S18" s="472"/>
      <c r="T18" s="472"/>
      <c r="U18" s="472"/>
      <c r="V18" s="472"/>
      <c r="W18" s="472"/>
      <c r="X18" s="472"/>
      <c r="Y18" s="14"/>
    </row>
    <row r="19" spans="1:46" ht="18" customHeight="1" collapsed="1" thickBot="1">
      <c r="C19" s="684" t="s">
        <v>19</v>
      </c>
      <c r="D19" s="684"/>
      <c r="E19" s="684"/>
      <c r="F19" s="684"/>
      <c r="G19" s="684"/>
      <c r="H19" s="684"/>
      <c r="I19" s="684"/>
      <c r="J19" s="671">
        <f>M19</f>
        <v>4</v>
      </c>
      <c r="K19" s="672"/>
      <c r="L19" s="673"/>
      <c r="M19" s="584">
        <v>4</v>
      </c>
      <c r="N19" s="584"/>
      <c r="O19" s="58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:46" ht="18" customHeight="1" thickTop="1" thickBot="1">
      <c r="B20" s="14"/>
      <c r="C20" s="697" t="s">
        <v>20</v>
      </c>
      <c r="D20" s="698"/>
      <c r="E20" s="698"/>
      <c r="F20" s="698"/>
      <c r="G20" s="698"/>
      <c r="H20" s="698"/>
      <c r="I20" s="699"/>
      <c r="J20" s="496" cm="1">
        <f t="array" ref="J20">angleConvert2Decimal(M20)</f>
        <v>0.05</v>
      </c>
      <c r="K20" s="497"/>
      <c r="L20" s="497"/>
      <c r="M20" s="583" t="s">
        <v>384</v>
      </c>
      <c r="N20" s="584"/>
      <c r="O20" s="584"/>
      <c r="P20" s="472" t="str" cm="1">
        <f t="array" ref="P20">angleDecimal2Txt(J20)</f>
        <v>+00°03.00 (+00.0500) [+00°03'00.00]</v>
      </c>
      <c r="Q20" s="472"/>
      <c r="R20" s="472"/>
      <c r="S20" s="472"/>
      <c r="T20" s="472"/>
      <c r="U20" s="472"/>
      <c r="V20" s="472"/>
      <c r="W20" s="472"/>
      <c r="X20" s="472"/>
      <c r="Y20" s="14"/>
    </row>
    <row r="21" spans="1:46" ht="18" customHeight="1" thickTop="1" thickBot="1">
      <c r="C21" s="548" t="s">
        <v>26</v>
      </c>
      <c r="D21" s="548"/>
      <c r="E21" s="548"/>
      <c r="F21" s="548"/>
      <c r="G21" s="548"/>
      <c r="H21" s="548"/>
      <c r="I21" s="548"/>
      <c r="J21" s="496" cm="1">
        <f t="array" ref="J21">IF(J15=AC15,J18,angleConvert2Decimal(M21))</f>
        <v>18.916666666666668</v>
      </c>
      <c r="K21" s="497"/>
      <c r="L21" s="497"/>
      <c r="M21" s="583" t="s">
        <v>385</v>
      </c>
      <c r="N21" s="584"/>
      <c r="O21" s="584"/>
      <c r="P21" s="472" t="str" cm="1">
        <f t="array" ref="P21">angleDecimal2Txt(J21)</f>
        <v>+18°55.00 (+18.9166) [+18°55'00.00]</v>
      </c>
      <c r="Q21" s="472"/>
      <c r="R21" s="472"/>
      <c r="S21" s="472"/>
      <c r="T21" s="472"/>
      <c r="U21" s="472"/>
      <c r="V21" s="472"/>
      <c r="W21" s="472"/>
      <c r="X21" s="472"/>
      <c r="Y21" s="14"/>
    </row>
    <row r="22" spans="1:46" ht="18" hidden="1" customHeight="1" outlineLevel="1" thickTop="1">
      <c r="C22" s="624" t="s">
        <v>30</v>
      </c>
      <c r="D22" s="624"/>
      <c r="E22" s="624"/>
      <c r="F22" s="624"/>
      <c r="G22" s="624"/>
      <c r="H22" s="624"/>
      <c r="I22" s="624"/>
      <c r="J22" s="519" t="str">
        <f>M22</f>
        <v>Lune</v>
      </c>
      <c r="K22" s="520"/>
      <c r="L22" s="521"/>
      <c r="M22" s="1258" t="s">
        <v>33</v>
      </c>
      <c r="N22" s="1259"/>
      <c r="O22" s="1260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1:46" ht="18" customHeight="1" collapsed="1" thickTop="1">
      <c r="C23" s="624" t="s">
        <v>56</v>
      </c>
      <c r="D23" s="624"/>
      <c r="E23" s="624"/>
      <c r="F23" s="624"/>
      <c r="G23" s="624"/>
      <c r="H23" s="624"/>
      <c r="I23" s="624"/>
      <c r="J23" s="651" t="str">
        <f>M23</f>
        <v>BordInf</v>
      </c>
      <c r="K23" s="651"/>
      <c r="L23" s="651"/>
      <c r="M23" s="650" t="s">
        <v>57</v>
      </c>
      <c r="N23" s="650"/>
      <c r="O23" s="650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1:46" ht="17.25" customHeight="1" thickBot="1">
      <c r="C24" s="618" t="s">
        <v>151</v>
      </c>
      <c r="D24" s="619"/>
      <c r="E24" s="619" t="s">
        <v>152</v>
      </c>
      <c r="F24" s="619"/>
      <c r="G24" s="619"/>
      <c r="H24" s="619"/>
      <c r="I24" s="1263"/>
      <c r="J24" s="481" cm="1">
        <f t="array" ref="J24">angleConvert2Decimal(M24)</f>
        <v>0.90666666666666662</v>
      </c>
      <c r="K24" s="482"/>
      <c r="L24" s="483"/>
      <c r="M24" s="475" t="s">
        <v>475</v>
      </c>
      <c r="N24" s="476"/>
      <c r="O24" s="476"/>
      <c r="P24"/>
      <c r="Q24"/>
      <c r="R24"/>
      <c r="S24"/>
      <c r="T24"/>
      <c r="U24"/>
      <c r="V24"/>
      <c r="W24"/>
      <c r="X24"/>
      <c r="Y24" s="14"/>
    </row>
    <row r="25" spans="1:46" ht="20.25" customHeight="1" thickTop="1" thickBot="1">
      <c r="C25" s="622"/>
      <c r="D25" s="623"/>
      <c r="E25" s="623"/>
      <c r="F25" s="623"/>
      <c r="G25" s="623"/>
      <c r="H25" s="623"/>
      <c r="I25" s="1264"/>
      <c r="J25" s="923"/>
      <c r="K25" s="924"/>
      <c r="L25" s="925"/>
      <c r="M25" s="479"/>
      <c r="N25" s="480"/>
      <c r="O25" s="480"/>
      <c r="P25" s="470" t="str" cm="1">
        <f t="array" ref="P25">angleDecimal2Txt(J24)</f>
        <v>+00°54.39 (+00.9066) [+00°54'24.00]</v>
      </c>
      <c r="Q25" s="470"/>
      <c r="R25" s="470"/>
      <c r="S25" s="470"/>
      <c r="T25" s="470"/>
      <c r="U25" s="470"/>
      <c r="V25" s="470"/>
      <c r="W25" s="470"/>
      <c r="X25" s="470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 t="e">
        <f>MATCH(AJ26,#REF!,1)</f>
        <v>#REF!</v>
      </c>
      <c r="AM25" t="e">
        <f>INDEX($E$74:$Q$75,1,$AL$25)</f>
        <v>#REF!</v>
      </c>
      <c r="AN25" t="e">
        <f>INDEX($E$74:$Q$75,1,1+$AL$25)</f>
        <v>#REF!</v>
      </c>
    </row>
    <row r="26" spans="1:46" ht="17.25" customHeight="1" thickTop="1" thickBot="1">
      <c r="C26" s="1100" t="s">
        <v>100</v>
      </c>
      <c r="D26" s="1101"/>
      <c r="E26" s="1101"/>
      <c r="F26" s="1101"/>
      <c r="G26" s="1101"/>
      <c r="H26" s="1101"/>
      <c r="I26" s="1102"/>
      <c r="J26" s="481" t="e" cm="1">
        <f t="array" ref="J26">angleConvert2Decimal(M26)</f>
        <v>#VALUE!</v>
      </c>
      <c r="K26" s="482"/>
      <c r="L26" s="483"/>
      <c r="M26" s="475" t="e">
        <f>P28</f>
        <v>#REF!</v>
      </c>
      <c r="N26" s="476"/>
      <c r="O26" s="476"/>
      <c r="P26" s="922" t="s">
        <v>97</v>
      </c>
      <c r="Q26" s="922"/>
      <c r="R26" s="922"/>
      <c r="S26" s="14"/>
      <c r="U26" s="14"/>
      <c r="V26" s="14"/>
      <c r="W26" s="14"/>
      <c r="X26" s="14"/>
      <c r="Y26" s="14"/>
      <c r="AC26" s="141" t="s">
        <v>189</v>
      </c>
      <c r="AD26" s="142">
        <v>0.5</v>
      </c>
      <c r="AE26" s="142">
        <v>-0.5</v>
      </c>
      <c r="AF26" s="142">
        <v>0</v>
      </c>
      <c r="AI26" t="s">
        <v>314</v>
      </c>
      <c r="AJ26">
        <f>J24*60</f>
        <v>54.4</v>
      </c>
      <c r="AK26" t="s">
        <v>319</v>
      </c>
      <c r="AM26" t="e">
        <f>INDEX($E$74:$Q$75,3,$AL$25)</f>
        <v>#REF!</v>
      </c>
      <c r="AN26" t="e">
        <f>INDEX($E$74:$Q$75,3,1+$AL$25)</f>
        <v>#REF!</v>
      </c>
      <c r="AQ26" s="312" t="s">
        <v>320</v>
      </c>
      <c r="AR26" s="312" t="e">
        <f>AJ26-AM25</f>
        <v>#REF!</v>
      </c>
    </row>
    <row r="27" spans="1:46" ht="17.25" customHeight="1" thickBot="1">
      <c r="C27" s="1103"/>
      <c r="D27" s="532"/>
      <c r="E27" s="532"/>
      <c r="F27" s="532"/>
      <c r="G27" s="532"/>
      <c r="H27" s="532"/>
      <c r="I27" s="1104"/>
      <c r="J27" s="484"/>
      <c r="K27" s="485"/>
      <c r="L27" s="486"/>
      <c r="M27" s="477"/>
      <c r="N27" s="478"/>
      <c r="O27" s="478"/>
      <c r="P27" s="922"/>
      <c r="Q27" s="922"/>
      <c r="R27" s="922"/>
      <c r="S27" s="14"/>
      <c r="T27" s="1241" t="s">
        <v>478</v>
      </c>
      <c r="U27" s="1242"/>
      <c r="V27" s="1242"/>
      <c r="W27" s="1242"/>
      <c r="X27" s="1242"/>
      <c r="Y27" s="1239" t="str" cm="1">
        <f t="array" ref="Y27">angleDecimal2Txt(J24/2,0)</f>
        <v>+00°27.19</v>
      </c>
      <c r="Z27" s="1240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312" t="s">
        <v>321</v>
      </c>
      <c r="AR27" s="312" t="e">
        <f>AN25-AM25</f>
        <v>#REF!</v>
      </c>
    </row>
    <row r="28" spans="1:46" ht="17.25" customHeight="1" thickTop="1" thickBot="1">
      <c r="C28" s="1103"/>
      <c r="D28" s="532"/>
      <c r="E28" s="532"/>
      <c r="F28" s="532"/>
      <c r="G28" s="532"/>
      <c r="H28" s="532"/>
      <c r="I28" s="1104"/>
      <c r="J28" s="484"/>
      <c r="K28" s="485"/>
      <c r="L28" s="486"/>
      <c r="M28" s="477"/>
      <c r="N28" s="478"/>
      <c r="O28" s="478"/>
      <c r="P28" s="648" t="e">
        <f>AR29</f>
        <v>#REF!</v>
      </c>
      <c r="Q28" s="648"/>
      <c r="R28" s="648"/>
      <c r="S28" s="615" t="e">
        <f>angleDecimal2Txt(AR29)</f>
        <v>#VALUE!</v>
      </c>
      <c r="T28" s="1261"/>
      <c r="U28" s="1261"/>
      <c r="V28" s="1261"/>
      <c r="W28" s="1261"/>
      <c r="X28" s="1262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312" t="s">
        <v>322</v>
      </c>
      <c r="AR28" s="312" t="e">
        <f>AR26/AR27</f>
        <v>#REF!</v>
      </c>
    </row>
    <row r="29" spans="1:46" ht="17.25" customHeight="1" thickTop="1" thickBot="1">
      <c r="C29" s="1105"/>
      <c r="D29" s="1106"/>
      <c r="E29" s="1106"/>
      <c r="F29" s="1106"/>
      <c r="G29" s="1106"/>
      <c r="H29" s="1106"/>
      <c r="I29" s="1107"/>
      <c r="J29" s="487"/>
      <c r="K29" s="488"/>
      <c r="L29" s="489"/>
      <c r="M29" s="479"/>
      <c r="N29" s="480"/>
      <c r="O29" s="480"/>
      <c r="P29" s="565" t="e" cm="1">
        <f t="array" ref="P29">angleDecimal2Txt(J26)</f>
        <v>#VALUE!</v>
      </c>
      <c r="Q29" s="565"/>
      <c r="R29" s="565"/>
      <c r="S29" s="472"/>
      <c r="T29" s="472"/>
      <c r="U29" s="472"/>
      <c r="V29" s="472"/>
      <c r="W29" s="472"/>
      <c r="X29" s="472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313" t="s">
        <v>476</v>
      </c>
      <c r="AR29" s="312" t="e">
        <f>AM26+AR28*(AN26-AM26)</f>
        <v>#REF!</v>
      </c>
    </row>
    <row r="30" spans="1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312" t="s">
        <v>477</v>
      </c>
      <c r="AR30" s="311" t="e">
        <f>AR29/2</f>
        <v>#REF!</v>
      </c>
      <c r="AS30" s="1237" t="e" cm="1">
        <f t="array" ref="AS30">angleDecimal2Txt(AR30)</f>
        <v>#VALUE!</v>
      </c>
      <c r="AT30" s="1238"/>
    </row>
    <row r="31" spans="1:46" ht="17.25" customHeight="1" thickBot="1">
      <c r="B31" s="25" t="s">
        <v>199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1:46" ht="17.25" customHeight="1" thickTop="1" thickBot="1">
      <c r="A32" s="246"/>
      <c r="B32" s="246"/>
      <c r="C32" s="647" t="s">
        <v>7</v>
      </c>
      <c r="D32" s="647"/>
      <c r="E32" s="647"/>
      <c r="F32" s="647"/>
      <c r="G32" s="629">
        <f>AD33</f>
        <v>-27.5</v>
      </c>
      <c r="H32" s="630"/>
      <c r="I32" s="630"/>
      <c r="J32" s="511" t="s">
        <v>4</v>
      </c>
      <c r="K32" s="614" t="s">
        <v>605</v>
      </c>
      <c r="L32" s="511"/>
      <c r="M32" s="511"/>
      <c r="N32" s="511"/>
      <c r="O32" s="511"/>
      <c r="P32" s="549" t="str" cm="1">
        <f t="array" ref="P32">latitudeDecimal2Txt(G32)</f>
        <v>S 27°30.00 (S 27.5000) [S 27°30'00.00]</v>
      </c>
      <c r="Q32" s="549"/>
      <c r="R32" s="549"/>
      <c r="S32" s="549"/>
      <c r="T32" s="549"/>
      <c r="U32" s="549"/>
      <c r="V32" s="549"/>
      <c r="W32" s="549"/>
      <c r="X32" s="549"/>
      <c r="Y32" s="549"/>
      <c r="Z32" s="246"/>
      <c r="AA32" s="246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75" t="s">
        <v>129</v>
      </c>
      <c r="B33" s="385" t="s">
        <v>130</v>
      </c>
      <c r="C33" s="647"/>
      <c r="D33" s="647"/>
      <c r="E33" s="647"/>
      <c r="F33" s="647"/>
      <c r="G33" s="630"/>
      <c r="H33" s="630"/>
      <c r="I33" s="630"/>
      <c r="J33" s="511"/>
      <c r="K33" s="511"/>
      <c r="L33" s="511"/>
      <c r="M33" s="511"/>
      <c r="N33" s="511"/>
      <c r="O33" s="511"/>
      <c r="P33" s="549"/>
      <c r="Q33" s="549"/>
      <c r="R33" s="549"/>
      <c r="S33" s="549"/>
      <c r="T33" s="549"/>
      <c r="U33" s="549"/>
      <c r="V33" s="549"/>
      <c r="W33" s="549"/>
      <c r="X33" s="549"/>
      <c r="Y33" s="549"/>
      <c r="Z33" s="246"/>
      <c r="AA33" s="246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75"/>
      <c r="B34" s="385" t="s">
        <v>138</v>
      </c>
      <c r="C34" s="763" t="s">
        <v>8</v>
      </c>
      <c r="D34" s="763"/>
      <c r="E34" s="763"/>
      <c r="F34" s="763"/>
      <c r="G34" s="629">
        <f>AD35</f>
        <v>63</v>
      </c>
      <c r="H34" s="630"/>
      <c r="I34" s="630"/>
      <c r="J34" s="511" t="s">
        <v>5</v>
      </c>
      <c r="K34" s="614" t="s">
        <v>606</v>
      </c>
      <c r="L34" s="511"/>
      <c r="M34" s="511"/>
      <c r="N34" s="511"/>
      <c r="O34" s="511"/>
      <c r="P34" s="549" t="str" cm="1">
        <f t="array" ref="P34">longitudeDecimal2Txt(G34)</f>
        <v>E 63°00.00 (E 63.0000) [E 63°00'00.00]</v>
      </c>
      <c r="Q34" s="549"/>
      <c r="R34" s="549"/>
      <c r="S34" s="549"/>
      <c r="T34" s="549"/>
      <c r="U34" s="549"/>
      <c r="V34" s="549"/>
      <c r="W34" s="549"/>
      <c r="X34" s="549"/>
      <c r="Y34" s="549"/>
      <c r="Z34" s="381"/>
      <c r="AA34" s="246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A35" s="246"/>
      <c r="B35" s="246"/>
      <c r="C35" s="763"/>
      <c r="D35" s="763"/>
      <c r="E35" s="763"/>
      <c r="F35" s="763"/>
      <c r="G35" s="630"/>
      <c r="H35" s="630"/>
      <c r="I35" s="630"/>
      <c r="J35" s="511"/>
      <c r="K35" s="511"/>
      <c r="L35" s="511"/>
      <c r="M35" s="511"/>
      <c r="N35" s="511"/>
      <c r="O35" s="511"/>
      <c r="P35" s="549"/>
      <c r="Q35" s="549"/>
      <c r="R35" s="549"/>
      <c r="S35" s="549"/>
      <c r="T35" s="549"/>
      <c r="U35" s="549"/>
      <c r="V35" s="549"/>
      <c r="W35" s="549"/>
      <c r="X35" s="549"/>
      <c r="Y35" s="549"/>
      <c r="Z35" s="381"/>
      <c r="AA35" s="246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383"/>
      <c r="E36" s="383"/>
      <c r="F36" s="383"/>
      <c r="G36" s="383"/>
      <c r="H36" s="383"/>
      <c r="BN36" s="31"/>
    </row>
    <row r="37" spans="1:66" s="246" customFormat="1" ht="17.25" customHeight="1" thickBot="1">
      <c r="B37" s="250" t="s">
        <v>9</v>
      </c>
      <c r="C37" s="258"/>
      <c r="D37" s="258"/>
      <c r="E37" s="258"/>
      <c r="F37" s="534">
        <f>IF(G38=AD38,D41,IF(G38=AD37,D54,D48))</f>
        <v>14.728333333333333</v>
      </c>
      <c r="G37" s="554"/>
      <c r="H37" s="554"/>
      <c r="I37" s="251"/>
      <c r="J37" s="251"/>
      <c r="K37" s="251" t="str" cm="1">
        <f t="array" ref="K37">latitudeDecimal2Txt(F37)</f>
        <v>N 14°43.70 (N 14.7283) [N 14°43'42.00]</v>
      </c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251"/>
      <c r="X37" s="251"/>
      <c r="Y37" s="251"/>
      <c r="Z37" s="251"/>
      <c r="AA37" s="251"/>
      <c r="AB37" s="64"/>
      <c r="AC37" s="247"/>
      <c r="AD37" s="263" t="s">
        <v>545</v>
      </c>
      <c r="AE37" s="247"/>
      <c r="AF37" s="247"/>
      <c r="BA37" s="247"/>
      <c r="BB37" s="247"/>
      <c r="BC37" s="247"/>
      <c r="BD37" s="247"/>
      <c r="BE37" s="247"/>
      <c r="BF37" s="247"/>
      <c r="BG37" s="247"/>
      <c r="BH37" s="247"/>
      <c r="BI37" s="247"/>
      <c r="BJ37" s="247"/>
      <c r="BK37" s="247"/>
      <c r="BL37" s="247"/>
      <c r="BM37" s="247"/>
      <c r="BN37" s="248"/>
    </row>
    <row r="38" spans="1:66" s="262" customFormat="1" ht="17.25" customHeight="1">
      <c r="C38" s="607" t="s">
        <v>35</v>
      </c>
      <c r="D38" s="607"/>
      <c r="E38" s="607"/>
      <c r="F38" s="607"/>
      <c r="G38" s="610" t="s">
        <v>545</v>
      </c>
      <c r="H38" s="611"/>
      <c r="I38" s="612"/>
      <c r="AB38" s="65"/>
      <c r="AC38" s="715" t="s">
        <v>36</v>
      </c>
      <c r="AD38" s="263" t="s">
        <v>10</v>
      </c>
      <c r="AE38" s="247"/>
      <c r="BA38" s="247"/>
      <c r="BB38" s="247"/>
      <c r="BC38" s="247"/>
      <c r="BD38" s="247"/>
      <c r="BE38" s="247"/>
      <c r="BF38" s="247"/>
      <c r="BG38" s="247"/>
      <c r="BH38" s="247"/>
      <c r="BI38" s="247"/>
      <c r="BJ38" s="247"/>
      <c r="BK38" s="247"/>
      <c r="BL38" s="247"/>
      <c r="BM38" s="247"/>
    </row>
    <row r="39" spans="1:66" s="246" customFormat="1" ht="17.25" customHeight="1">
      <c r="C39" s="876" t="s">
        <v>10</v>
      </c>
      <c r="D39" s="878" t="s">
        <v>9</v>
      </c>
      <c r="E39" s="656"/>
      <c r="F39" s="656"/>
      <c r="G39" s="656"/>
      <c r="H39" s="656"/>
      <c r="I39" s="504" t="s">
        <v>609</v>
      </c>
      <c r="J39" s="597"/>
      <c r="K39" s="504" t="s">
        <v>13</v>
      </c>
      <c r="L39" s="505"/>
      <c r="M39" s="506"/>
      <c r="N39" s="510" t="s">
        <v>15</v>
      </c>
      <c r="O39" s="510"/>
      <c r="P39" s="510"/>
      <c r="Q39" s="510"/>
      <c r="R39" s="510"/>
      <c r="S39" s="381"/>
      <c r="AB39" s="61"/>
      <c r="AC39" s="715"/>
      <c r="AD39" s="263" t="s">
        <v>14</v>
      </c>
      <c r="AE39" s="247"/>
      <c r="BA39" s="247"/>
      <c r="BB39" s="247"/>
      <c r="BC39" s="247"/>
      <c r="BD39" s="247"/>
      <c r="BE39" s="247"/>
      <c r="BF39" s="247"/>
      <c r="BG39" s="247"/>
      <c r="BH39" s="247"/>
      <c r="BI39" s="247"/>
      <c r="BJ39" s="247"/>
      <c r="BK39" s="247"/>
      <c r="BL39" s="247"/>
      <c r="BM39" s="247"/>
      <c r="BN39" s="248"/>
    </row>
    <row r="40" spans="1:66" s="246" customFormat="1" ht="17.25" customHeight="1" thickBot="1">
      <c r="C40" s="876"/>
      <c r="D40" s="878"/>
      <c r="E40" s="656"/>
      <c r="F40" s="656"/>
      <c r="G40" s="656"/>
      <c r="H40" s="656"/>
      <c r="I40" s="600"/>
      <c r="J40" s="601"/>
      <c r="K40" s="507"/>
      <c r="L40" s="508"/>
      <c r="M40" s="509"/>
      <c r="N40" s="510"/>
      <c r="O40" s="510"/>
      <c r="P40" s="510"/>
      <c r="Q40" s="510"/>
      <c r="R40" s="510"/>
      <c r="S40" s="381"/>
      <c r="AB40" s="61"/>
      <c r="AC40" s="247"/>
      <c r="AD40" s="71" t="s">
        <v>73</v>
      </c>
      <c r="AE40" s="3" t="s">
        <v>180</v>
      </c>
      <c r="AF40" s="247"/>
      <c r="BA40" s="247"/>
      <c r="BB40" s="247"/>
      <c r="BC40" s="247"/>
      <c r="BD40" s="247"/>
      <c r="BE40" s="247"/>
      <c r="BF40" s="247"/>
      <c r="BG40" s="247"/>
      <c r="BH40" s="247"/>
      <c r="BI40" s="247"/>
      <c r="BJ40" s="247"/>
      <c r="BK40" s="247"/>
      <c r="BL40" s="247"/>
      <c r="BM40" s="247"/>
      <c r="BN40" s="248"/>
    </row>
    <row r="41" spans="1:66" s="246" customFormat="1" ht="17.25" customHeight="1" thickTop="1" thickBot="1">
      <c r="C41" s="876"/>
      <c r="D41" s="482" t="str">
        <f>IF(G38=AD38,AD46,"---")</f>
        <v>---</v>
      </c>
      <c r="E41" s="482"/>
      <c r="F41" s="482"/>
      <c r="G41" s="482"/>
      <c r="H41" s="483"/>
      <c r="I41" s="746">
        <f>E11</f>
        <v>8.3147222222222226</v>
      </c>
      <c r="J41" s="747"/>
      <c r="K41" s="535">
        <v>10</v>
      </c>
      <c r="L41" s="536"/>
      <c r="M41" s="537"/>
      <c r="N41" s="511" t="s">
        <v>3</v>
      </c>
      <c r="O41" s="512" t="s">
        <v>529</v>
      </c>
      <c r="P41" s="513"/>
      <c r="Q41" s="513"/>
      <c r="R41" s="513"/>
      <c r="S41" s="549" t="str" cm="1">
        <f t="array" ref="S41">angleDecimal2Txt(AE41)</f>
        <v>+23°08.50 (+23.1416) [+23°08'30.00]</v>
      </c>
      <c r="T41" s="550"/>
      <c r="U41" s="550"/>
      <c r="V41" s="550"/>
      <c r="W41" s="550"/>
      <c r="AB41" s="61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F41" s="247"/>
      <c r="BA41" s="247"/>
      <c r="BB41" s="247"/>
      <c r="BC41" s="247"/>
      <c r="BD41" s="247"/>
      <c r="BE41" s="247"/>
      <c r="BF41" s="247"/>
      <c r="BG41" s="247"/>
      <c r="BH41" s="247"/>
      <c r="BI41" s="247"/>
      <c r="BJ41" s="247"/>
      <c r="BK41" s="247"/>
      <c r="BL41" s="247"/>
      <c r="BM41" s="247"/>
      <c r="BN41" s="248"/>
    </row>
    <row r="42" spans="1:66" s="246" customFormat="1" ht="17.25" customHeight="1" thickTop="1" thickBot="1">
      <c r="C42" s="876"/>
      <c r="D42" s="485"/>
      <c r="E42" s="485"/>
      <c r="F42" s="485"/>
      <c r="G42" s="485"/>
      <c r="H42" s="486"/>
      <c r="I42" s="490"/>
      <c r="J42" s="877"/>
      <c r="K42" s="538"/>
      <c r="L42" s="539"/>
      <c r="M42" s="540"/>
      <c r="N42" s="511"/>
      <c r="O42" s="514"/>
      <c r="P42" s="514"/>
      <c r="Q42" s="514"/>
      <c r="R42" s="514"/>
      <c r="S42" s="550"/>
      <c r="T42" s="550"/>
      <c r="U42" s="550"/>
      <c r="V42" s="550"/>
      <c r="W42" s="550"/>
      <c r="AB42" s="61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F42" s="247"/>
      <c r="BA42" s="247"/>
      <c r="BB42" s="247"/>
      <c r="BC42" s="247"/>
      <c r="BD42" s="247"/>
      <c r="BE42" s="247"/>
      <c r="BF42" s="247"/>
      <c r="BG42" s="247"/>
      <c r="BH42" s="247"/>
      <c r="BI42" s="247"/>
      <c r="BJ42" s="247"/>
      <c r="BK42" s="247"/>
      <c r="BL42" s="247"/>
      <c r="BM42" s="247"/>
      <c r="BN42" s="248"/>
    </row>
    <row r="43" spans="1:66" s="246" customFormat="1" ht="17.25" customHeight="1" thickTop="1" thickBot="1">
      <c r="C43" s="876"/>
      <c r="D43" s="485"/>
      <c r="E43" s="485"/>
      <c r="F43" s="485"/>
      <c r="G43" s="485"/>
      <c r="H43" s="486"/>
      <c r="I43" s="490"/>
      <c r="J43" s="877"/>
      <c r="K43" s="625">
        <v>11</v>
      </c>
      <c r="L43" s="626"/>
      <c r="M43" s="627"/>
      <c r="N43" s="511" t="s">
        <v>3</v>
      </c>
      <c r="O43" s="547" t="s">
        <v>530</v>
      </c>
      <c r="P43" s="514"/>
      <c r="Q43" s="514"/>
      <c r="R43" s="514"/>
      <c r="S43" s="549" t="str" cm="1">
        <f t="array" ref="S43">angleDecimal2Txt((AE42))</f>
        <v>+23°08.30 (+23.1383) [+23°08'18.00]</v>
      </c>
      <c r="T43" s="550"/>
      <c r="U43" s="550"/>
      <c r="V43" s="550"/>
      <c r="W43" s="550"/>
      <c r="AB43" s="61"/>
      <c r="AC43" s="3" t="s">
        <v>38</v>
      </c>
      <c r="AD43" s="5">
        <f>AE42-AE41</f>
        <v>-3.3333333333338544E-3</v>
      </c>
      <c r="AE43" s="247"/>
      <c r="AF43" s="247"/>
      <c r="AG43" s="247"/>
      <c r="AH43" s="247"/>
      <c r="AI43" s="247"/>
      <c r="AJ43" s="247"/>
      <c r="AK43" s="247"/>
      <c r="AL43" s="247"/>
      <c r="AM43" s="247"/>
      <c r="AN43" s="247"/>
      <c r="AO43" s="247"/>
      <c r="AP43" s="247"/>
      <c r="AQ43" s="247"/>
      <c r="AR43" s="247"/>
      <c r="AS43" s="247"/>
      <c r="AT43" s="247"/>
      <c r="AU43" s="247"/>
      <c r="AV43" s="247"/>
      <c r="AW43" s="247"/>
      <c r="AX43" s="247"/>
      <c r="AY43" s="247"/>
      <c r="AZ43" s="247"/>
      <c r="BA43" s="247"/>
      <c r="BB43" s="247"/>
      <c r="BC43" s="247"/>
      <c r="BD43" s="247"/>
      <c r="BE43" s="247"/>
      <c r="BF43" s="247"/>
      <c r="BG43" s="247"/>
      <c r="BH43" s="247"/>
      <c r="BI43" s="247"/>
      <c r="BJ43" s="247"/>
      <c r="BK43" s="247"/>
      <c r="BL43" s="247"/>
      <c r="BM43" s="247"/>
      <c r="BN43" s="248"/>
    </row>
    <row r="44" spans="1:66" s="246" customFormat="1" ht="17.25" customHeight="1" thickTop="1" thickBot="1">
      <c r="C44" s="876"/>
      <c r="D44" s="654" t="e" cm="1">
        <f t="array" ref="D44">latitudeDecimal2Txt(D41)</f>
        <v>#VALUE!</v>
      </c>
      <c r="E44" s="470"/>
      <c r="F44" s="470"/>
      <c r="G44" s="470"/>
      <c r="H44" s="470"/>
      <c r="I44" s="748"/>
      <c r="J44" s="749"/>
      <c r="K44" s="538"/>
      <c r="L44" s="539"/>
      <c r="M44" s="540"/>
      <c r="N44" s="511"/>
      <c r="O44" s="514"/>
      <c r="P44" s="514"/>
      <c r="Q44" s="514"/>
      <c r="R44" s="514"/>
      <c r="S44" s="550"/>
      <c r="T44" s="550"/>
      <c r="U44" s="550"/>
      <c r="V44" s="550"/>
      <c r="W44" s="550"/>
      <c r="AB44" s="61"/>
      <c r="AC44" s="3" t="s">
        <v>174</v>
      </c>
      <c r="AD44" s="5">
        <f>K43-K41</f>
        <v>1</v>
      </c>
      <c r="AI44" s="247"/>
      <c r="AJ44" s="247"/>
      <c r="AK44" s="247"/>
      <c r="AL44" s="247"/>
      <c r="AM44" s="247"/>
      <c r="AN44" s="247"/>
      <c r="AO44" s="247"/>
      <c r="AP44" s="247"/>
      <c r="AQ44" s="247"/>
      <c r="AR44" s="247"/>
      <c r="AS44" s="247"/>
      <c r="AT44" s="247"/>
      <c r="AU44" s="247"/>
      <c r="AV44" s="247"/>
      <c r="AW44" s="247"/>
      <c r="AX44" s="247"/>
      <c r="AY44" s="247"/>
      <c r="AZ44" s="247"/>
      <c r="BA44" s="247"/>
      <c r="BB44" s="247"/>
      <c r="BC44" s="247"/>
      <c r="BD44" s="247"/>
      <c r="BE44" s="247"/>
      <c r="BF44" s="247"/>
      <c r="BG44" s="247"/>
      <c r="BH44" s="247"/>
      <c r="BI44" s="247"/>
      <c r="BJ44" s="247"/>
      <c r="BK44" s="247"/>
      <c r="BL44" s="247"/>
      <c r="BM44" s="247"/>
      <c r="BN44" s="248"/>
    </row>
    <row r="45" spans="1:66" s="246" customFormat="1" ht="17.25" customHeight="1" thickTop="1">
      <c r="C45" s="382"/>
      <c r="D45" s="382"/>
      <c r="E45" s="382"/>
      <c r="AB45" s="61"/>
      <c r="AC45" s="3" t="s">
        <v>39</v>
      </c>
      <c r="AD45" s="5">
        <f>I41-K41</f>
        <v>-1.6852777777777774</v>
      </c>
      <c r="AE45" s="247"/>
      <c r="AF45" s="247"/>
      <c r="BA45" s="247"/>
      <c r="BB45" s="247"/>
      <c r="BC45" s="247"/>
      <c r="BD45" s="247"/>
      <c r="BE45" s="247"/>
      <c r="BF45" s="247"/>
      <c r="BG45" s="247"/>
      <c r="BH45" s="247"/>
      <c r="BI45" s="247"/>
      <c r="BJ45" s="247"/>
      <c r="BK45" s="247"/>
      <c r="BL45" s="247"/>
      <c r="BM45" s="247"/>
      <c r="BN45" s="248"/>
    </row>
    <row r="46" spans="1:66" s="246" customFormat="1" ht="17.25" customHeight="1">
      <c r="C46" s="655" t="s">
        <v>14</v>
      </c>
      <c r="D46" s="656" t="s">
        <v>9</v>
      </c>
      <c r="E46" s="656"/>
      <c r="F46" s="656"/>
      <c r="G46" s="656"/>
      <c r="H46" s="656"/>
      <c r="I46" s="504" t="s">
        <v>609</v>
      </c>
      <c r="J46" s="597"/>
      <c r="K46" s="504" t="s">
        <v>601</v>
      </c>
      <c r="L46" s="505"/>
      <c r="M46" s="506"/>
      <c r="N46" s="510" t="s">
        <v>16</v>
      </c>
      <c r="O46" s="510"/>
      <c r="P46" s="510"/>
      <c r="Q46" s="510"/>
      <c r="R46" s="510"/>
      <c r="S46" s="510" t="s">
        <v>131</v>
      </c>
      <c r="T46" s="510"/>
      <c r="U46" s="510"/>
      <c r="V46" s="510"/>
      <c r="W46" s="510"/>
      <c r="AA46" s="381"/>
      <c r="AB46" s="61"/>
      <c r="AC46" s="3" t="s">
        <v>37</v>
      </c>
      <c r="AD46" s="3">
        <f>AE41+(AD43/AD44)*AD45</f>
        <v>23.147284259259258</v>
      </c>
      <c r="AE46" s="247"/>
      <c r="AF46" s="247"/>
      <c r="BA46" s="247"/>
      <c r="BB46" s="247"/>
      <c r="BC46" s="247"/>
      <c r="BD46" s="247"/>
      <c r="BE46" s="247"/>
      <c r="BF46" s="247"/>
      <c r="BG46" s="247"/>
      <c r="BH46" s="247"/>
      <c r="BI46" s="247"/>
      <c r="BJ46" s="247"/>
      <c r="BK46" s="247"/>
      <c r="BL46" s="247"/>
      <c r="BM46" s="247"/>
      <c r="BN46" s="248"/>
    </row>
    <row r="47" spans="1:66" s="246" customFormat="1" ht="17.25" customHeight="1">
      <c r="C47" s="655"/>
      <c r="D47" s="656"/>
      <c r="E47" s="656"/>
      <c r="F47" s="656"/>
      <c r="G47" s="656"/>
      <c r="H47" s="656"/>
      <c r="I47" s="600"/>
      <c r="J47" s="601"/>
      <c r="K47" s="507"/>
      <c r="L47" s="508"/>
      <c r="M47" s="509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AA47" s="381"/>
      <c r="AB47" s="61"/>
      <c r="AC47" s="247"/>
      <c r="AD47" s="247"/>
      <c r="AE47" s="247"/>
      <c r="BA47" s="247"/>
      <c r="BB47" s="247"/>
      <c r="BC47" s="247"/>
      <c r="BD47" s="247"/>
      <c r="BE47" s="247"/>
      <c r="BF47" s="247"/>
      <c r="BG47" s="247"/>
      <c r="BH47" s="247"/>
      <c r="BI47" s="247"/>
      <c r="BJ47" s="247"/>
      <c r="BK47" s="247"/>
      <c r="BL47" s="247"/>
      <c r="BM47" s="247"/>
      <c r="BN47" s="248"/>
    </row>
    <row r="48" spans="1:66" s="246" customFormat="1" ht="17.25" customHeight="1">
      <c r="C48" s="655"/>
      <c r="D48" s="482" t="str">
        <f>IF(G38=AD39,AD52,"---")</f>
        <v>---</v>
      </c>
      <c r="E48" s="482"/>
      <c r="F48" s="482"/>
      <c r="G48" s="482"/>
      <c r="H48" s="482"/>
      <c r="I48" s="652">
        <f>E11</f>
        <v>8.3147222222222226</v>
      </c>
      <c r="J48" s="652"/>
      <c r="K48" s="499">
        <v>0</v>
      </c>
      <c r="L48" s="499"/>
      <c r="M48" s="717"/>
      <c r="N48" s="511" t="s">
        <v>3</v>
      </c>
      <c r="O48" s="720" t="s">
        <v>600</v>
      </c>
      <c r="P48" s="721"/>
      <c r="Q48" s="721"/>
      <c r="R48" s="721"/>
      <c r="S48" s="511" t="s">
        <v>3</v>
      </c>
      <c r="T48" s="720">
        <f>0.2/60</f>
        <v>3.3333333333333335E-3</v>
      </c>
      <c r="U48" s="721"/>
      <c r="V48" s="721"/>
      <c r="W48" s="721"/>
      <c r="AA48" s="381"/>
      <c r="AB48" s="61"/>
      <c r="AC48" s="3" t="s">
        <v>175</v>
      </c>
      <c r="AD48" s="3">
        <f>VLOOKUP(N48,Outils!$C$9:$E$10,3)</f>
        <v>1</v>
      </c>
      <c r="AE48" s="247"/>
      <c r="BA48" s="247"/>
      <c r="BB48" s="247"/>
      <c r="BC48" s="247"/>
      <c r="BD48" s="247"/>
      <c r="BE48" s="247"/>
      <c r="BF48" s="247"/>
      <c r="BG48" s="247"/>
      <c r="BH48" s="247"/>
      <c r="BI48" s="247"/>
      <c r="BJ48" s="247"/>
      <c r="BK48" s="247"/>
      <c r="BL48" s="247"/>
      <c r="BM48" s="247"/>
      <c r="BN48" s="248"/>
    </row>
    <row r="49" spans="1:66" s="246" customFormat="1" ht="17.25" customHeight="1" thickBot="1">
      <c r="C49" s="655"/>
      <c r="D49" s="485"/>
      <c r="E49" s="485"/>
      <c r="F49" s="485"/>
      <c r="G49" s="485"/>
      <c r="H49" s="485"/>
      <c r="I49" s="652"/>
      <c r="J49" s="652"/>
      <c r="K49" s="501"/>
      <c r="L49" s="501"/>
      <c r="M49" s="718"/>
      <c r="N49" s="511"/>
      <c r="O49" s="511"/>
      <c r="P49" s="511"/>
      <c r="Q49" s="511"/>
      <c r="R49" s="511"/>
      <c r="S49" s="511"/>
      <c r="T49" s="511"/>
      <c r="U49" s="511"/>
      <c r="V49" s="511"/>
      <c r="W49" s="511"/>
      <c r="Z49" s="381"/>
      <c r="AA49" s="381"/>
      <c r="AB49" s="61"/>
      <c r="AC49" s="3" t="s">
        <v>176</v>
      </c>
      <c r="AD49" s="3" cm="1">
        <f t="array" ref="AD49">angleConvert2Decimal(O48)*AD48</f>
        <v>23.176666666666666</v>
      </c>
      <c r="AE49" s="247"/>
      <c r="BA49" s="247"/>
      <c r="BB49" s="247"/>
      <c r="BC49" s="247"/>
      <c r="BD49" s="247"/>
      <c r="BE49" s="247"/>
      <c r="BF49" s="247"/>
      <c r="BG49" s="247"/>
      <c r="BH49" s="247"/>
      <c r="BI49" s="247"/>
      <c r="BJ49" s="247"/>
      <c r="BK49" s="247"/>
      <c r="BL49" s="247"/>
      <c r="BM49" s="247"/>
      <c r="BN49" s="248"/>
    </row>
    <row r="50" spans="1:66" s="246" customFormat="1" ht="17.25" customHeight="1" thickTop="1" thickBot="1">
      <c r="C50" s="655"/>
      <c r="D50" s="654" t="e" cm="1">
        <f t="array" ref="D50">latitudeDecimal2Txt(D48)</f>
        <v>#VALUE!</v>
      </c>
      <c r="E50" s="470"/>
      <c r="F50" s="470"/>
      <c r="G50" s="470"/>
      <c r="H50" s="737"/>
      <c r="I50" s="652"/>
      <c r="J50" s="652"/>
      <c r="K50" s="653" t="str" cm="1">
        <f t="array" ref="K50">heureDecimal2Txt(K48)</f>
        <v>00:00:00.00(00.0000)</v>
      </c>
      <c r="L50" s="653"/>
      <c r="M50" s="654"/>
      <c r="N50" s="472" t="str" cm="1">
        <f t="array" ref="N50">angleDecimal2Txt(AD49)</f>
        <v>+23°10.59 (+23.1766) [+23°10'36.00]</v>
      </c>
      <c r="O50" s="472"/>
      <c r="P50" s="472"/>
      <c r="Q50" s="472"/>
      <c r="R50" s="472"/>
      <c r="S50" s="472" t="str" cm="1">
        <f t="array" ref="S50">angleDecimal2Txt(AD51)</f>
        <v>+00°00.19 (+00.0033) [+00°00'11.99]</v>
      </c>
      <c r="T50" s="722"/>
      <c r="U50" s="722"/>
      <c r="V50" s="722"/>
      <c r="W50" s="722"/>
      <c r="Z50" s="381"/>
      <c r="AB50" s="61"/>
      <c r="AC50" s="3" t="s">
        <v>177</v>
      </c>
      <c r="AD50" s="3">
        <f>VLOOKUP(S48,Outils!$C$9:$E$10,3)</f>
        <v>1</v>
      </c>
      <c r="AE50" s="247"/>
      <c r="AZ50" s="247"/>
      <c r="BA50" s="247"/>
      <c r="BB50" s="247"/>
      <c r="BC50" s="247"/>
      <c r="BD50" s="247"/>
      <c r="BE50" s="247"/>
      <c r="BF50" s="247"/>
      <c r="BG50" s="247"/>
      <c r="BH50" s="247"/>
      <c r="BI50" s="247"/>
      <c r="BJ50" s="247"/>
      <c r="BK50" s="247"/>
      <c r="BL50" s="247"/>
      <c r="BM50" s="247"/>
      <c r="BN50" s="248"/>
    </row>
    <row r="51" spans="1:66" s="246" customFormat="1" ht="17.25" customHeight="1" collapsed="1" thickTop="1">
      <c r="A51" s="264" t="s">
        <v>527</v>
      </c>
      <c r="C51" s="382"/>
      <c r="D51" s="382"/>
      <c r="E51" s="382"/>
      <c r="I51"/>
      <c r="Z51" s="381"/>
      <c r="AB51" s="61"/>
      <c r="AC51" s="3" t="s">
        <v>178</v>
      </c>
      <c r="AD51" s="3" cm="1">
        <f t="array" ref="AD51">angleConvert2Decimal(T48)*AD50</f>
        <v>3.3333333333333301E-3</v>
      </c>
      <c r="AE51" s="247"/>
      <c r="AZ51" s="247"/>
      <c r="BA51" s="247"/>
      <c r="BB51" s="247"/>
      <c r="BC51" s="247"/>
      <c r="BD51" s="247"/>
      <c r="BE51" s="247"/>
      <c r="BF51" s="247"/>
      <c r="BG51" s="247"/>
      <c r="BH51" s="247"/>
      <c r="BI51" s="247"/>
      <c r="BJ51" s="247"/>
      <c r="BK51" s="247"/>
      <c r="BL51" s="247"/>
      <c r="BM51" s="247"/>
      <c r="BN51" s="248"/>
    </row>
    <row r="52" spans="1:66" s="246" customFormat="1" ht="17.25" customHeight="1">
      <c r="C52" s="655" t="s">
        <v>610</v>
      </c>
      <c r="D52" s="656" t="s">
        <v>9</v>
      </c>
      <c r="E52" s="656"/>
      <c r="F52" s="656"/>
      <c r="G52" s="656"/>
      <c r="H52" s="656"/>
      <c r="I52" s="587" t="s">
        <v>546</v>
      </c>
      <c r="J52" s="588"/>
      <c r="K52" s="588"/>
      <c r="L52" s="588"/>
      <c r="M52" s="589"/>
      <c r="AB52" s="61"/>
      <c r="AC52" s="3" t="s">
        <v>179</v>
      </c>
      <c r="AD52" s="3">
        <f>AD49+AD51*(I48-K48)</f>
        <v>23.204382407407408</v>
      </c>
      <c r="AE52" s="247"/>
      <c r="AZ52" s="247"/>
      <c r="BA52" s="247"/>
      <c r="BB52" s="247"/>
      <c r="BC52" s="247"/>
      <c r="BD52" s="247"/>
      <c r="BE52" s="247"/>
      <c r="BF52" s="247"/>
      <c r="BG52" s="247"/>
      <c r="BH52" s="247"/>
      <c r="BI52" s="247"/>
      <c r="BJ52" s="247"/>
      <c r="BK52" s="247"/>
      <c r="BL52" s="247"/>
      <c r="BM52" s="247"/>
      <c r="BN52" s="248"/>
    </row>
    <row r="53" spans="1:66" s="246" customFormat="1" ht="17.25" customHeight="1">
      <c r="C53" s="655"/>
      <c r="D53" s="656"/>
      <c r="E53" s="656"/>
      <c r="F53" s="656"/>
      <c r="G53" s="656"/>
      <c r="H53" s="656"/>
      <c r="I53" s="590"/>
      <c r="J53" s="591"/>
      <c r="K53" s="591"/>
      <c r="L53" s="591"/>
      <c r="M53" s="592"/>
      <c r="S53"/>
      <c r="T53"/>
      <c r="U53"/>
      <c r="V53"/>
      <c r="W53"/>
      <c r="X53"/>
      <c r="Y53"/>
      <c r="AB53" s="61"/>
      <c r="AC53" s="3"/>
      <c r="AD53" s="3"/>
      <c r="AE53" s="247"/>
      <c r="AZ53" s="247"/>
      <c r="BA53" s="247"/>
      <c r="BB53" s="247"/>
      <c r="BC53" s="247"/>
      <c r="BD53" s="247"/>
      <c r="BE53" s="247"/>
      <c r="BF53" s="247"/>
      <c r="BG53" s="247"/>
      <c r="BH53" s="247"/>
      <c r="BI53" s="247"/>
      <c r="BJ53" s="247"/>
      <c r="BK53" s="247"/>
      <c r="BL53" s="247"/>
      <c r="BM53" s="247"/>
      <c r="BN53" s="248"/>
    </row>
    <row r="54" spans="1:66" s="246" customFormat="1" ht="17.25" customHeight="1">
      <c r="C54" s="655"/>
      <c r="D54" s="484">
        <f>IF(G38=AD37,AD55,"---")</f>
        <v>14.728333333333333</v>
      </c>
      <c r="E54" s="485"/>
      <c r="F54" s="485"/>
      <c r="G54" s="485"/>
      <c r="H54" s="485"/>
      <c r="I54" s="546" t="s">
        <v>3</v>
      </c>
      <c r="J54" s="646" t="s">
        <v>608</v>
      </c>
      <c r="K54" s="646"/>
      <c r="L54" s="646"/>
      <c r="M54" s="646"/>
      <c r="U54"/>
      <c r="V54"/>
      <c r="W54"/>
      <c r="X54"/>
      <c r="Y54"/>
      <c r="AB54" s="61"/>
      <c r="AC54" s="3" t="s">
        <v>175</v>
      </c>
      <c r="AD54" s="3">
        <f>VLOOKUP(I54,Outils!$C$9:$E$10,3)</f>
        <v>1</v>
      </c>
      <c r="AE54" s="247"/>
      <c r="AZ54" s="247"/>
      <c r="BA54" s="247"/>
      <c r="BB54" s="247"/>
      <c r="BC54" s="247"/>
      <c r="BD54" s="247"/>
      <c r="BE54" s="247"/>
      <c r="BF54" s="247"/>
      <c r="BG54" s="247"/>
      <c r="BH54" s="247"/>
      <c r="BI54" s="247"/>
      <c r="BJ54" s="247"/>
      <c r="BK54" s="247"/>
      <c r="BL54" s="247"/>
      <c r="BM54" s="247"/>
      <c r="BN54" s="248"/>
    </row>
    <row r="55" spans="1:66" s="246" customFormat="1" ht="17.25" customHeight="1" thickBot="1">
      <c r="C55" s="655"/>
      <c r="D55" s="657"/>
      <c r="E55" s="658"/>
      <c r="F55" s="658"/>
      <c r="G55" s="658"/>
      <c r="H55" s="658"/>
      <c r="I55" s="546"/>
      <c r="J55" s="646"/>
      <c r="K55" s="646"/>
      <c r="L55" s="646"/>
      <c r="M55" s="646"/>
      <c r="U55"/>
      <c r="V55"/>
      <c r="W55"/>
      <c r="X55"/>
      <c r="Y55"/>
      <c r="AB55" s="61"/>
      <c r="AC55" s="3" t="s">
        <v>176</v>
      </c>
      <c r="AD55" s="3" cm="1">
        <f t="array" ref="AD55">angleConvert2Decimal(J54)*AD54</f>
        <v>14.728333333333333</v>
      </c>
      <c r="AE55" s="247"/>
      <c r="AF55" s="247"/>
      <c r="AG55" s="247"/>
      <c r="AH55" s="247"/>
      <c r="AI55" s="247"/>
      <c r="AJ55" s="247"/>
      <c r="AK55" s="247"/>
      <c r="AL55" s="247"/>
      <c r="AM55" s="247"/>
      <c r="AN55" s="247"/>
      <c r="AO55" s="247"/>
      <c r="AP55" s="247"/>
      <c r="AQ55" s="247"/>
      <c r="AR55" s="247"/>
      <c r="AS55" s="247"/>
      <c r="AT55" s="247"/>
      <c r="AU55" s="247"/>
      <c r="AV55" s="247"/>
      <c r="AW55" s="247"/>
      <c r="AX55" s="247"/>
      <c r="AY55" s="247"/>
      <c r="AZ55" s="247"/>
      <c r="BA55" s="247"/>
      <c r="BB55" s="247"/>
      <c r="BC55" s="247"/>
      <c r="BD55" s="247"/>
      <c r="BE55" s="247"/>
      <c r="BF55" s="247"/>
      <c r="BG55" s="247"/>
      <c r="BH55" s="247"/>
      <c r="BI55" s="247"/>
      <c r="BJ55" s="247"/>
      <c r="BK55" s="247"/>
      <c r="BL55" s="247"/>
      <c r="BM55" s="247"/>
      <c r="BN55" s="248"/>
    </row>
    <row r="56" spans="1:66" s="246" customFormat="1" ht="17.25" customHeight="1" thickTop="1" thickBot="1">
      <c r="C56" s="655"/>
      <c r="D56" s="470" t="str" cm="1">
        <f t="array" ref="D56">latitudeDecimal2Txt(AD55)</f>
        <v>N 14°43.70 (N 14.7283) [N 14°43'42.00]</v>
      </c>
      <c r="E56" s="470"/>
      <c r="F56" s="470"/>
      <c r="G56" s="470"/>
      <c r="H56" s="470"/>
      <c r="I56"/>
      <c r="J56"/>
      <c r="K56"/>
      <c r="L56"/>
      <c r="N56"/>
      <c r="O56"/>
      <c r="U56"/>
      <c r="V56"/>
      <c r="W56"/>
      <c r="X56"/>
      <c r="Y56"/>
      <c r="AB56" s="61"/>
      <c r="AC56"/>
      <c r="AD56"/>
      <c r="AE56" s="247"/>
      <c r="AF56" s="247"/>
      <c r="AG56" s="247"/>
      <c r="AH56" s="247"/>
      <c r="AI56" s="247"/>
      <c r="AJ56" s="247"/>
      <c r="AK56" s="247"/>
      <c r="AL56" s="247"/>
      <c r="AM56" s="247"/>
      <c r="AN56" s="247"/>
      <c r="AO56" s="247"/>
      <c r="AP56" s="247"/>
      <c r="AQ56" s="247"/>
      <c r="AR56" s="247"/>
      <c r="AS56" s="247"/>
      <c r="AT56" s="247"/>
      <c r="AU56" s="247"/>
      <c r="AV56" s="247"/>
      <c r="AW56" s="247"/>
      <c r="AX56" s="247"/>
      <c r="AY56" s="247"/>
      <c r="AZ56" s="247"/>
      <c r="BA56" s="247"/>
      <c r="BB56" s="247"/>
      <c r="BC56" s="247"/>
      <c r="BD56" s="247"/>
      <c r="BE56" s="247"/>
      <c r="BF56" s="247"/>
      <c r="BG56" s="247"/>
      <c r="BH56" s="247"/>
      <c r="BI56" s="247"/>
      <c r="BJ56" s="247"/>
      <c r="BK56" s="247"/>
      <c r="BL56" s="247"/>
      <c r="BM56" s="247"/>
      <c r="BN56" s="248"/>
    </row>
    <row r="57" spans="1:66" ht="17.25" customHeight="1" thickTop="1" thickBot="1">
      <c r="C57" s="384"/>
      <c r="D57" s="384"/>
      <c r="E57" s="384"/>
      <c r="F57" s="384"/>
      <c r="G57" s="384"/>
      <c r="S57" s="383"/>
      <c r="T57" s="383"/>
      <c r="U57" s="383"/>
      <c r="V57" s="383"/>
      <c r="W57" s="383"/>
      <c r="X57" s="383"/>
    </row>
    <row r="58" spans="1:66" ht="17.25" customHeight="1" thickBot="1">
      <c r="B58" s="250" t="s">
        <v>635</v>
      </c>
      <c r="C58" s="258"/>
      <c r="D58" s="258"/>
      <c r="E58" s="258"/>
      <c r="F58" s="534">
        <f>D62</f>
        <v>0.91509305555555531</v>
      </c>
      <c r="G58" s="554"/>
      <c r="H58" s="554"/>
      <c r="I58" s="1235">
        <f>F58*60</f>
        <v>54.905583333333318</v>
      </c>
      <c r="J58" s="1236"/>
      <c r="K58" s="251" t="str" cm="1">
        <f t="array" ref="K58">angleDecimal2Txt(F58)</f>
        <v>+00°54.90 (+00.9150) [+00°54'54.33]</v>
      </c>
      <c r="L58" s="251"/>
      <c r="M58" s="251"/>
      <c r="N58" s="251"/>
      <c r="O58" s="251"/>
      <c r="P58" s="251"/>
      <c r="Q58" s="251"/>
      <c r="R58" s="251"/>
      <c r="S58" s="251" t="s">
        <v>638</v>
      </c>
      <c r="T58" s="469">
        <f>D76</f>
        <v>0.49913192429016656</v>
      </c>
      <c r="U58" s="469"/>
      <c r="V58" s="469"/>
      <c r="W58" s="251"/>
      <c r="X58" s="251"/>
      <c r="Y58" s="251"/>
      <c r="Z58" s="251"/>
      <c r="AA58" s="251"/>
      <c r="AB58" s="64"/>
      <c r="AC58" s="247"/>
      <c r="AD58" s="263" t="s">
        <v>545</v>
      </c>
      <c r="AE58" s="247"/>
    </row>
    <row r="59" spans="1:66" s="262" customFormat="1" ht="17.25" customHeight="1">
      <c r="C59" s="607" t="s">
        <v>35</v>
      </c>
      <c r="D59" s="607"/>
      <c r="E59" s="607"/>
      <c r="F59" s="607"/>
      <c r="G59" s="610" t="s">
        <v>10</v>
      </c>
      <c r="H59" s="611"/>
      <c r="I59" s="612"/>
      <c r="AB59" s="65"/>
      <c r="AC59" s="715" t="s">
        <v>36</v>
      </c>
      <c r="AD59" s="263" t="s">
        <v>10</v>
      </c>
      <c r="AE59" s="247"/>
      <c r="BA59" s="247"/>
      <c r="BB59" s="247"/>
      <c r="BC59" s="247"/>
      <c r="BD59" s="247"/>
      <c r="BE59" s="247"/>
      <c r="BF59" s="247"/>
      <c r="BG59" s="247"/>
      <c r="BH59" s="247"/>
      <c r="BI59" s="247"/>
      <c r="BJ59" s="247"/>
      <c r="BK59" s="247"/>
      <c r="BL59" s="247"/>
      <c r="BM59" s="247"/>
    </row>
    <row r="60" spans="1:66" ht="17.25" customHeight="1">
      <c r="B60" s="246"/>
      <c r="C60" s="876" t="s">
        <v>10</v>
      </c>
      <c r="D60" s="878" t="s">
        <v>632</v>
      </c>
      <c r="E60" s="656"/>
      <c r="F60" s="656"/>
      <c r="G60" s="656"/>
      <c r="H60" s="656"/>
      <c r="I60" s="504" t="s">
        <v>609</v>
      </c>
      <c r="J60" s="597"/>
      <c r="K60" s="504" t="s">
        <v>13</v>
      </c>
      <c r="L60" s="505"/>
      <c r="M60" s="506"/>
      <c r="N60" s="510" t="s">
        <v>15</v>
      </c>
      <c r="O60" s="510"/>
      <c r="P60" s="510"/>
      <c r="Q60" s="510"/>
      <c r="R60" s="510"/>
      <c r="S60" s="381"/>
      <c r="T60" s="246"/>
      <c r="U60" s="246"/>
      <c r="V60" s="246"/>
      <c r="W60" s="246"/>
      <c r="X60" s="246"/>
      <c r="Y60" s="246"/>
      <c r="Z60" s="246"/>
      <c r="AA60" s="246"/>
      <c r="AC60" s="715"/>
      <c r="AD60" s="263"/>
      <c r="AE60" s="247"/>
    </row>
    <row r="61" spans="1:66" ht="17.25" customHeight="1" thickBot="1">
      <c r="B61" s="246"/>
      <c r="C61" s="876"/>
      <c r="D61" s="878"/>
      <c r="E61" s="656"/>
      <c r="F61" s="656"/>
      <c r="G61" s="656"/>
      <c r="H61" s="656"/>
      <c r="I61" s="600"/>
      <c r="J61" s="601"/>
      <c r="K61" s="507"/>
      <c r="L61" s="508"/>
      <c r="M61" s="509"/>
      <c r="N61" s="510"/>
      <c r="O61" s="510"/>
      <c r="P61" s="510"/>
      <c r="Q61" s="510"/>
      <c r="R61" s="510"/>
      <c r="S61" s="381"/>
      <c r="T61" s="246"/>
      <c r="U61" s="246"/>
      <c r="V61" s="246"/>
      <c r="W61" s="246"/>
      <c r="X61" s="246"/>
      <c r="Y61" s="246"/>
      <c r="Z61" s="246"/>
      <c r="AA61" s="246"/>
      <c r="AC61" s="247"/>
      <c r="AD61" s="71" t="s">
        <v>73</v>
      </c>
      <c r="AE61" s="3" t="s">
        <v>180</v>
      </c>
    </row>
    <row r="62" spans="1:66" ht="17.25" customHeight="1" thickTop="1" thickBot="1">
      <c r="B62" s="246"/>
      <c r="C62" s="876"/>
      <c r="D62" s="482">
        <f>AD67</f>
        <v>0.91509305555555531</v>
      </c>
      <c r="E62" s="482"/>
      <c r="F62" s="482"/>
      <c r="G62" s="482"/>
      <c r="H62" s="483"/>
      <c r="I62" s="746">
        <f>E11</f>
        <v>8.3147222222222226</v>
      </c>
      <c r="J62" s="747"/>
      <c r="K62" s="535">
        <v>10</v>
      </c>
      <c r="L62" s="536"/>
      <c r="M62" s="537"/>
      <c r="N62" s="511" t="s">
        <v>3</v>
      </c>
      <c r="O62" s="512" t="s">
        <v>633</v>
      </c>
      <c r="P62" s="513"/>
      <c r="Q62" s="513"/>
      <c r="R62" s="513"/>
      <c r="S62" s="549" t="str" cm="1">
        <f t="array" ref="S62">angleDecimal2Txt(AE62)</f>
        <v>+00°54.39 (+00.9066) [+00°54'24.00]</v>
      </c>
      <c r="T62" s="550"/>
      <c r="U62" s="550"/>
      <c r="V62" s="550"/>
      <c r="W62" s="550"/>
      <c r="X62" s="246"/>
      <c r="Y62" s="246"/>
      <c r="Z62" s="246"/>
      <c r="AA62" s="246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6" ht="17.25" customHeight="1" thickTop="1" thickBot="1">
      <c r="B63" s="246"/>
      <c r="C63" s="876"/>
      <c r="D63" s="485"/>
      <c r="E63" s="485"/>
      <c r="F63" s="485"/>
      <c r="G63" s="485"/>
      <c r="H63" s="486"/>
      <c r="I63" s="490"/>
      <c r="J63" s="877"/>
      <c r="K63" s="538"/>
      <c r="L63" s="539"/>
      <c r="M63" s="540"/>
      <c r="N63" s="511"/>
      <c r="O63" s="514"/>
      <c r="P63" s="514"/>
      <c r="Q63" s="514"/>
      <c r="R63" s="514"/>
      <c r="S63" s="550"/>
      <c r="T63" s="550"/>
      <c r="U63" s="550"/>
      <c r="V63" s="550"/>
      <c r="W63" s="550"/>
      <c r="X63" s="246"/>
      <c r="Y63" s="246"/>
      <c r="Z63" s="246"/>
      <c r="AA63" s="246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6" ht="17.25" customHeight="1" thickTop="1" thickBot="1">
      <c r="B64" s="246"/>
      <c r="C64" s="876"/>
      <c r="D64" s="485"/>
      <c r="E64" s="485"/>
      <c r="F64" s="485"/>
      <c r="G64" s="485"/>
      <c r="H64" s="486"/>
      <c r="I64" s="490"/>
      <c r="J64" s="877"/>
      <c r="K64" s="625">
        <v>11</v>
      </c>
      <c r="L64" s="626"/>
      <c r="M64" s="627"/>
      <c r="N64" s="511" t="s">
        <v>3</v>
      </c>
      <c r="O64" s="547" t="s">
        <v>634</v>
      </c>
      <c r="P64" s="514"/>
      <c r="Q64" s="514"/>
      <c r="R64" s="514"/>
      <c r="S64" s="549" t="str" cm="1">
        <f t="array" ref="S64">angleDecimal2Txt((AE63))</f>
        <v>+00°54.10 (+00.9016) [+00°54'06.00]</v>
      </c>
      <c r="T64" s="550"/>
      <c r="U64" s="550"/>
      <c r="V64" s="550"/>
      <c r="W64" s="550"/>
      <c r="X64" s="246"/>
      <c r="Y64" s="246"/>
      <c r="Z64" s="246"/>
      <c r="AA64" s="246"/>
      <c r="AC64" s="3" t="s">
        <v>38</v>
      </c>
      <c r="AD64" s="5">
        <f>AE63-AE62</f>
        <v>-4.9999999999998934E-3</v>
      </c>
      <c r="AE64" s="247"/>
    </row>
    <row r="65" spans="1:31" ht="17.25" customHeight="1" thickTop="1" thickBot="1">
      <c r="B65" s="246"/>
      <c r="C65" s="876"/>
      <c r="D65" s="654" t="str" cm="1">
        <f t="array" ref="D65">angleDecimal2Txt(D62)</f>
        <v>+00°54.90 (+00.9150) [+00°54'54.33]</v>
      </c>
      <c r="E65" s="470"/>
      <c r="F65" s="470"/>
      <c r="G65" s="470"/>
      <c r="H65" s="470"/>
      <c r="I65" s="748"/>
      <c r="J65" s="749"/>
      <c r="K65" s="538"/>
      <c r="L65" s="539"/>
      <c r="M65" s="540"/>
      <c r="N65" s="511"/>
      <c r="O65" s="514"/>
      <c r="P65" s="514"/>
      <c r="Q65" s="514"/>
      <c r="R65" s="514"/>
      <c r="S65" s="550"/>
      <c r="T65" s="550"/>
      <c r="U65" s="550"/>
      <c r="V65" s="550"/>
      <c r="W65" s="550"/>
      <c r="X65" s="246"/>
      <c r="Y65" s="246"/>
      <c r="Z65" s="246"/>
      <c r="AA65" s="246"/>
      <c r="AC65" s="3" t="s">
        <v>174</v>
      </c>
      <c r="AD65" s="5">
        <f>K64-K62</f>
        <v>1</v>
      </c>
      <c r="AE65" s="246"/>
    </row>
    <row r="66" spans="1:31" ht="17.25" customHeight="1" thickTop="1">
      <c r="A66" s="264" t="s">
        <v>527</v>
      </c>
      <c r="B66" s="246"/>
      <c r="C66" s="382"/>
      <c r="D66" s="382"/>
      <c r="E66" s="382"/>
      <c r="F66" s="246"/>
      <c r="G66" s="246"/>
      <c r="H66" s="246"/>
      <c r="I66"/>
      <c r="J66" s="246"/>
      <c r="K66" s="246"/>
      <c r="L66" s="246"/>
      <c r="M66" s="246"/>
      <c r="S66" s="383"/>
      <c r="T66" s="383"/>
      <c r="U66" s="383"/>
      <c r="V66" s="383"/>
      <c r="W66" s="383"/>
      <c r="X66" s="383"/>
      <c r="AC66" s="3" t="s">
        <v>39</v>
      </c>
      <c r="AD66" s="5">
        <f>I62-K62</f>
        <v>-1.6852777777777774</v>
      </c>
    </row>
    <row r="67" spans="1:31" ht="17.25" customHeight="1">
      <c r="A67" s="246"/>
      <c r="B67" s="246"/>
      <c r="C67" s="655" t="s">
        <v>610</v>
      </c>
      <c r="D67" s="878" t="s">
        <v>632</v>
      </c>
      <c r="E67" s="656"/>
      <c r="F67" s="656"/>
      <c r="G67" s="656"/>
      <c r="H67" s="656"/>
      <c r="I67" s="587" t="s">
        <v>546</v>
      </c>
      <c r="J67" s="588"/>
      <c r="K67" s="588"/>
      <c r="L67" s="588"/>
      <c r="M67" s="589"/>
      <c r="S67" s="383"/>
      <c r="T67" s="383"/>
      <c r="U67" s="383"/>
      <c r="V67" s="383"/>
      <c r="W67" s="383"/>
      <c r="X67" s="383"/>
      <c r="AC67" s="3" t="s">
        <v>37</v>
      </c>
      <c r="AD67" s="3">
        <f>AE62+(AD64/AD65)*AD66</f>
        <v>0.91509305555555531</v>
      </c>
    </row>
    <row r="68" spans="1:31" ht="17.25" customHeight="1">
      <c r="A68" s="246"/>
      <c r="B68" s="246"/>
      <c r="C68" s="655"/>
      <c r="D68" s="878"/>
      <c r="E68" s="656"/>
      <c r="F68" s="656"/>
      <c r="G68" s="656"/>
      <c r="H68" s="656"/>
      <c r="I68" s="590"/>
      <c r="J68" s="591"/>
      <c r="K68" s="591"/>
      <c r="L68" s="591"/>
      <c r="M68" s="592"/>
    </row>
    <row r="69" spans="1:31" ht="17.25" customHeight="1">
      <c r="A69" s="246"/>
      <c r="B69" s="246"/>
      <c r="C69" s="655"/>
      <c r="D69" s="484" t="str">
        <f>IF(G53=AD52,AD70,"---")</f>
        <v>---</v>
      </c>
      <c r="E69" s="485"/>
      <c r="F69" s="485"/>
      <c r="G69" s="485"/>
      <c r="H69" s="485"/>
      <c r="I69" s="546" t="s">
        <v>3</v>
      </c>
      <c r="J69" s="646" t="s">
        <v>608</v>
      </c>
      <c r="K69" s="646"/>
      <c r="L69" s="646"/>
      <c r="M69" s="646"/>
    </row>
    <row r="70" spans="1:31" ht="17.25" customHeight="1" thickBot="1">
      <c r="A70" s="246"/>
      <c r="B70" s="246"/>
      <c r="C70" s="655"/>
      <c r="D70" s="657"/>
      <c r="E70" s="658"/>
      <c r="F70" s="658"/>
      <c r="G70" s="658"/>
      <c r="H70" s="658"/>
      <c r="I70" s="546"/>
      <c r="J70" s="646"/>
      <c r="K70" s="646"/>
      <c r="L70" s="646"/>
      <c r="M70" s="646"/>
    </row>
    <row r="71" spans="1:31" ht="17.25" customHeight="1" thickTop="1" thickBot="1">
      <c r="A71" s="246"/>
      <c r="B71" s="246"/>
      <c r="C71" s="655"/>
      <c r="D71" s="470" t="str" cm="1">
        <f t="array" ref="D71">latitudeDecimal2Txt(AD70)</f>
        <v>N 00°00.00 (N 00.0000) [N 00°00'00.00]</v>
      </c>
      <c r="E71" s="470"/>
      <c r="F71" s="470"/>
      <c r="G71" s="470"/>
      <c r="H71" s="470"/>
      <c r="I71"/>
      <c r="J71"/>
      <c r="K71"/>
      <c r="L71"/>
      <c r="M71" s="246"/>
    </row>
    <row r="72" spans="1:31" ht="17.25" customHeight="1" thickTop="1">
      <c r="C72" s="384"/>
      <c r="D72" s="384"/>
      <c r="E72" s="384"/>
      <c r="F72" s="384"/>
      <c r="G72" s="384"/>
    </row>
    <row r="73" spans="1:31" ht="17.25" customHeight="1">
      <c r="C73"/>
      <c r="D73"/>
      <c r="E73" s="1509"/>
      <c r="F73" s="1509"/>
      <c r="G73" s="1509"/>
      <c r="H73" s="1509"/>
      <c r="I73" s="1509"/>
      <c r="J73" s="1509"/>
      <c r="K73" s="1509"/>
      <c r="L73" s="1509"/>
      <c r="M73" s="1509"/>
      <c r="N73" s="1509"/>
      <c r="O73" s="1509"/>
      <c r="P73" s="1509"/>
      <c r="Q73" s="1509"/>
      <c r="S73" s="383"/>
      <c r="T73" s="383"/>
      <c r="U73" s="383"/>
      <c r="V73" s="383"/>
      <c r="W73" s="383"/>
      <c r="X73" s="383"/>
    </row>
    <row r="74" spans="1:31" ht="17.25" customHeight="1">
      <c r="C74" s="1509"/>
      <c r="D74" s="596" t="s">
        <v>100</v>
      </c>
      <c r="E74" s="608"/>
      <c r="F74" s="608"/>
      <c r="G74" s="608"/>
      <c r="H74" s="597"/>
      <c r="I74" s="1234" t="s">
        <v>637</v>
      </c>
      <c r="J74" s="1511"/>
      <c r="K74" s="1234" t="s">
        <v>636</v>
      </c>
      <c r="L74" s="1510"/>
      <c r="M74" s="1511"/>
      <c r="N74" s="504" t="s">
        <v>100</v>
      </c>
      <c r="O74" s="505"/>
      <c r="P74" s="505"/>
      <c r="Q74" s="505"/>
      <c r="R74" s="506"/>
      <c r="S74" s="446"/>
      <c r="T74" s="446"/>
      <c r="U74" s="446"/>
      <c r="V74" s="446"/>
      <c r="W74" s="446"/>
      <c r="X74" s="383"/>
    </row>
    <row r="75" spans="1:31" ht="17.25" customHeight="1" thickBot="1">
      <c r="C75" s="1509"/>
      <c r="D75" s="600"/>
      <c r="E75" s="609"/>
      <c r="F75" s="609"/>
      <c r="G75" s="609"/>
      <c r="H75" s="601"/>
      <c r="I75" s="1512"/>
      <c r="J75" s="1514"/>
      <c r="K75" s="1512"/>
      <c r="L75" s="1513"/>
      <c r="M75" s="1514"/>
      <c r="N75" s="507"/>
      <c r="O75" s="508"/>
      <c r="P75" s="508"/>
      <c r="Q75" s="508"/>
      <c r="R75" s="509"/>
      <c r="S75" s="446"/>
      <c r="T75" s="446"/>
      <c r="U75" s="446"/>
      <c r="V75" s="446"/>
      <c r="W75" s="446"/>
      <c r="X75" s="383"/>
    </row>
    <row r="76" spans="1:31" ht="17.25" customHeight="1" thickTop="1" thickBot="1">
      <c r="C76" s="1509"/>
      <c r="D76" s="879" cm="1">
        <f t="array" ref="D76">astroDiametreLuneEnDegre(F58)</f>
        <v>0.49913192429016656</v>
      </c>
      <c r="E76" s="879"/>
      <c r="F76" s="879"/>
      <c r="G76" s="879"/>
      <c r="H76" s="879"/>
      <c r="I76" s="1466">
        <f>I58</f>
        <v>54.905583333333318</v>
      </c>
      <c r="J76" s="1466"/>
      <c r="K76" s="1515" t="str">
        <f>O62</f>
        <v>0°54.4</v>
      </c>
      <c r="L76" s="1515"/>
      <c r="M76" s="1515"/>
      <c r="N76" s="1516" cm="1">
        <f t="array" ref="N76">astroDiametreLuneEnDegre(angleConvert2Decimal(K76))</f>
        <v>0.49444069439999999</v>
      </c>
      <c r="O76" s="1516"/>
      <c r="P76" s="1516"/>
      <c r="Q76" s="1516"/>
      <c r="R76" s="1516"/>
      <c r="S76" s="871" t="str" cm="1">
        <f t="array" ref="S76">angleDecimal2Txt(N76)</f>
        <v>+00°29.66 (+00.4944) [+00°29'39.98]</v>
      </c>
      <c r="T76" s="550"/>
      <c r="U76" s="550"/>
      <c r="V76" s="550"/>
      <c r="W76" s="550"/>
      <c r="X76" s="383"/>
    </row>
    <row r="77" spans="1:31" ht="17.25" customHeight="1" thickTop="1" thickBot="1">
      <c r="C77" s="1509"/>
      <c r="D77" s="879"/>
      <c r="E77" s="879"/>
      <c r="F77" s="879"/>
      <c r="G77" s="879"/>
      <c r="H77" s="879"/>
      <c r="I77" s="1466"/>
      <c r="J77" s="1466"/>
      <c r="K77" s="1515"/>
      <c r="L77" s="1515"/>
      <c r="M77" s="1515"/>
      <c r="N77" s="1516"/>
      <c r="O77" s="1516"/>
      <c r="P77" s="1516"/>
      <c r="Q77" s="1516"/>
      <c r="R77" s="1516"/>
      <c r="S77" s="1265"/>
      <c r="T77" s="550"/>
      <c r="U77" s="550"/>
      <c r="V77" s="550"/>
      <c r="W77" s="550"/>
      <c r="X77" s="383"/>
    </row>
    <row r="78" spans="1:31" ht="17.25" customHeight="1" thickTop="1" thickBot="1">
      <c r="C78" s="384"/>
      <c r="D78" s="879"/>
      <c r="E78" s="879"/>
      <c r="F78" s="879"/>
      <c r="G78" s="879"/>
      <c r="H78" s="879"/>
      <c r="I78" s="1466"/>
      <c r="J78" s="1466"/>
      <c r="K78" s="1515" t="str">
        <f>O64</f>
        <v>0°54.1</v>
      </c>
      <c r="L78" s="1515"/>
      <c r="M78" s="1515"/>
      <c r="N78" s="1516" cm="1">
        <f t="array" ref="N78">astroDiametreLuneEnDegre(angleConvert2Decimal(K78))</f>
        <v>0.49165704060000004</v>
      </c>
      <c r="O78" s="1516"/>
      <c r="P78" s="1516"/>
      <c r="Q78" s="1516"/>
      <c r="R78" s="1516"/>
      <c r="S78" s="871" t="str" cm="1">
        <f t="array" ref="S78">angleDecimal2Txt((N78))</f>
        <v>+00°29.49 (+00.4916) [+00°29'29.96]</v>
      </c>
      <c r="T78" s="550"/>
      <c r="U78" s="550"/>
      <c r="V78" s="550"/>
      <c r="W78" s="550"/>
      <c r="X78" s="383"/>
    </row>
    <row r="79" spans="1:31" ht="17.25" customHeight="1" thickTop="1" thickBot="1">
      <c r="C79" s="384"/>
      <c r="D79" s="1266" t="str" cm="1">
        <f t="array" ref="D79">angleDecimal2Txt(D76)</f>
        <v>+00°29.94 (+00.4991) [+00°29'56.87]</v>
      </c>
      <c r="E79" s="1266"/>
      <c r="F79" s="1266"/>
      <c r="G79" s="1266"/>
      <c r="H79" s="1266"/>
      <c r="I79" s="1466"/>
      <c r="J79" s="1466"/>
      <c r="K79" s="1515"/>
      <c r="L79" s="1515"/>
      <c r="M79" s="1515"/>
      <c r="N79" s="1516"/>
      <c r="O79" s="1516"/>
      <c r="P79" s="1516"/>
      <c r="Q79" s="1516"/>
      <c r="R79" s="1516"/>
      <c r="S79" s="1265"/>
      <c r="T79" s="550"/>
      <c r="U79" s="550"/>
      <c r="V79" s="550"/>
      <c r="W79" s="550"/>
      <c r="X79" s="383"/>
    </row>
    <row r="80" spans="1:31" ht="17.25" customHeight="1" thickTop="1">
      <c r="C80" s="384"/>
      <c r="S80" s="444"/>
      <c r="T80" s="246"/>
      <c r="U80" s="246"/>
      <c r="V80" s="246"/>
      <c r="W80" s="246"/>
      <c r="X80" s="383"/>
    </row>
    <row r="81" spans="1:66" ht="17.25" customHeight="1" thickBot="1">
      <c r="C81" s="384"/>
      <c r="D81" s="384"/>
      <c r="E81" s="384"/>
      <c r="F81" s="384"/>
      <c r="G81" s="384"/>
      <c r="S81" s="383"/>
      <c r="T81" s="383"/>
      <c r="U81" s="383"/>
      <c r="V81" s="383"/>
      <c r="W81" s="383"/>
      <c r="X81" s="383"/>
    </row>
    <row r="82" spans="1:66" s="246" customFormat="1" ht="17.25" customHeight="1" thickBot="1">
      <c r="A82" s="262"/>
      <c r="B82" s="250" t="s">
        <v>369</v>
      </c>
      <c r="C82" s="258"/>
      <c r="D82" s="258"/>
      <c r="E82" s="258"/>
      <c r="F82" s="534">
        <f>IF(G83=AD83,D86,IF(G83=AD82,D99,D93))</f>
        <v>180.03333333333333</v>
      </c>
      <c r="G82" s="554"/>
      <c r="H82" s="554"/>
      <c r="I82" s="251"/>
      <c r="J82" s="251"/>
      <c r="K82" s="251"/>
      <c r="L82" s="606">
        <f>F82-360</f>
        <v>-179.96666666666667</v>
      </c>
      <c r="M82" s="606"/>
      <c r="N82" s="251" t="s">
        <v>28</v>
      </c>
      <c r="O82" s="251"/>
      <c r="P82" s="251"/>
      <c r="Q82" s="251"/>
      <c r="R82" s="251"/>
      <c r="S82" s="251"/>
      <c r="T82" s="251"/>
      <c r="U82" s="251"/>
      <c r="V82" s="251"/>
      <c r="W82" s="251"/>
      <c r="X82" s="251"/>
      <c r="Y82" s="251"/>
      <c r="Z82" s="251"/>
      <c r="AA82" s="251"/>
      <c r="AB82" s="64"/>
      <c r="AC82" s="247"/>
      <c r="AD82" s="263" t="s">
        <v>544</v>
      </c>
      <c r="AE82" s="247"/>
      <c r="AF82" s="247"/>
      <c r="AG82" s="247"/>
      <c r="AH82" s="247"/>
      <c r="AI82" s="247"/>
      <c r="AJ82" s="247"/>
      <c r="AK82" s="247"/>
      <c r="AL82" s="247"/>
      <c r="AM82" s="247"/>
      <c r="AN82" s="24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8"/>
    </row>
    <row r="83" spans="1:66" s="246" customFormat="1" ht="17.25" customHeight="1">
      <c r="B83" s="262"/>
      <c r="C83" s="607" t="s">
        <v>35</v>
      </c>
      <c r="D83" s="607"/>
      <c r="E83" s="607"/>
      <c r="F83" s="607"/>
      <c r="G83" s="644" t="s">
        <v>14</v>
      </c>
      <c r="H83" s="644"/>
      <c r="I83" s="645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65"/>
      <c r="AC83" s="715" t="s">
        <v>36</v>
      </c>
      <c r="AD83" s="263" t="s">
        <v>10</v>
      </c>
      <c r="AE83" s="247"/>
      <c r="AF83" s="247"/>
      <c r="AG83" s="247"/>
      <c r="AH83" s="247"/>
      <c r="AI83" s="247"/>
      <c r="AJ83" s="247"/>
      <c r="AK83" s="247"/>
      <c r="AL83" s="247"/>
      <c r="AM83" s="247"/>
      <c r="AN83" s="24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8"/>
    </row>
    <row r="84" spans="1:66" s="246" customFormat="1" ht="17.25" customHeight="1">
      <c r="C84" s="876" t="s">
        <v>10</v>
      </c>
      <c r="D84" s="598" t="s">
        <v>401</v>
      </c>
      <c r="E84" s="880"/>
      <c r="F84" s="880"/>
      <c r="G84" s="880"/>
      <c r="H84" s="880"/>
      <c r="I84" s="505" t="s">
        <v>609</v>
      </c>
      <c r="J84" s="597"/>
      <c r="K84" s="504" t="s">
        <v>13</v>
      </c>
      <c r="L84" s="505"/>
      <c r="M84" s="506"/>
      <c r="N84" s="587" t="s">
        <v>15</v>
      </c>
      <c r="O84" s="588"/>
      <c r="P84" s="588"/>
      <c r="Q84" s="588"/>
      <c r="R84" s="589"/>
      <c r="S84" s="381"/>
      <c r="AB84" s="61"/>
      <c r="AC84" s="715"/>
      <c r="AD84" s="263" t="s">
        <v>14</v>
      </c>
      <c r="AE84" s="247"/>
      <c r="AF84" s="247"/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8"/>
    </row>
    <row r="85" spans="1:66" s="246" customFormat="1" ht="17.25" customHeight="1" thickBot="1">
      <c r="C85" s="876"/>
      <c r="D85" s="600"/>
      <c r="E85" s="609"/>
      <c r="F85" s="609"/>
      <c r="G85" s="609"/>
      <c r="H85" s="609"/>
      <c r="I85" s="609"/>
      <c r="J85" s="601"/>
      <c r="K85" s="507"/>
      <c r="L85" s="508"/>
      <c r="M85" s="509"/>
      <c r="N85" s="762"/>
      <c r="O85" s="591"/>
      <c r="P85" s="591"/>
      <c r="Q85" s="591"/>
      <c r="R85" s="592"/>
      <c r="S85" s="381"/>
      <c r="AB85" s="61"/>
      <c r="AC85" s="247"/>
      <c r="AD85" s="71" t="s">
        <v>73</v>
      </c>
      <c r="AE85" s="3" t="s">
        <v>612</v>
      </c>
      <c r="AF85" s="3" t="s">
        <v>180</v>
      </c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8"/>
    </row>
    <row r="86" spans="1:66" s="246" customFormat="1" ht="17.25" customHeight="1" thickTop="1" thickBot="1">
      <c r="C86" s="876"/>
      <c r="D86" s="481" t="str">
        <f>IF(G83=AD83,AF91,"---")</f>
        <v>---</v>
      </c>
      <c r="E86" s="482"/>
      <c r="F86" s="482"/>
      <c r="G86" s="482"/>
      <c r="H86" s="483"/>
      <c r="I86" s="746">
        <f>E39</f>
        <v>0</v>
      </c>
      <c r="J86" s="747"/>
      <c r="K86" s="544">
        <v>10</v>
      </c>
      <c r="L86" s="499"/>
      <c r="M86" s="500"/>
      <c r="N86" s="652" t="s">
        <v>5</v>
      </c>
      <c r="O86" s="732" t="s">
        <v>531</v>
      </c>
      <c r="P86" s="732"/>
      <c r="Q86" s="732"/>
      <c r="R86" s="733"/>
      <c r="S86" s="634" t="str" cm="1">
        <f t="array" ref="S86">angleDecimal2Txt(AF86)</f>
        <v>+329°03.89 (+329.0649) [+329°03'54.00]</v>
      </c>
      <c r="T86" s="634"/>
      <c r="U86" s="634"/>
      <c r="V86" s="634"/>
      <c r="W86" s="634"/>
      <c r="X86" s="634"/>
      <c r="Z86" s="247"/>
      <c r="AB86" s="61"/>
      <c r="AC86" s="3" t="s">
        <v>172</v>
      </c>
      <c r="AD86" s="3">
        <f>VLOOKUP(N86,Outils!$D$9:$E$10,2)</f>
        <v>1</v>
      </c>
      <c r="AE86" s="3" cm="1">
        <f t="array" ref="AE86">angleConvert2Decimal(O86)</f>
        <v>329.065</v>
      </c>
      <c r="AF86" s="3">
        <f>AE86*AD86</f>
        <v>329.065</v>
      </c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8"/>
    </row>
    <row r="87" spans="1:66" s="246" customFormat="1" ht="17.25" customHeight="1" thickTop="1" thickBot="1">
      <c r="C87" s="876"/>
      <c r="D87" s="484"/>
      <c r="E87" s="485"/>
      <c r="F87" s="485"/>
      <c r="G87" s="485"/>
      <c r="H87" s="486"/>
      <c r="I87" s="490"/>
      <c r="J87" s="877"/>
      <c r="K87" s="545"/>
      <c r="L87" s="501"/>
      <c r="M87" s="502"/>
      <c r="N87" s="652"/>
      <c r="O87" s="734"/>
      <c r="P87" s="734"/>
      <c r="Q87" s="734"/>
      <c r="R87" s="735"/>
      <c r="S87" s="634"/>
      <c r="T87" s="634"/>
      <c r="U87" s="634"/>
      <c r="V87" s="634"/>
      <c r="W87" s="634"/>
      <c r="X87" s="634"/>
      <c r="Z87" s="247"/>
      <c r="AB87" s="61"/>
      <c r="AC87" s="3" t="s">
        <v>173</v>
      </c>
      <c r="AD87" s="3">
        <f>VLOOKUP(N88,Outils!$D$9:$E$10,2)</f>
        <v>1</v>
      </c>
      <c r="AE87" s="3" cm="1">
        <f t="array" ref="AE87">angleConvert2Decimal(O88)</f>
        <v>344.06333333333333</v>
      </c>
      <c r="AF87" s="3">
        <f>AD87*IF(AE87&lt;AE86,AE87+360,AE87)</f>
        <v>344.06333333333333</v>
      </c>
      <c r="AG87" s="247"/>
      <c r="AH87" s="247"/>
      <c r="AI87" s="247"/>
      <c r="AJ87" s="247"/>
      <c r="AK87" s="247"/>
      <c r="AL87" s="247"/>
      <c r="AM87" s="247"/>
      <c r="AN87" s="24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  <c r="BD87" s="247"/>
      <c r="BE87" s="247"/>
      <c r="BF87" s="247"/>
      <c r="BG87" s="247"/>
      <c r="BH87" s="247"/>
      <c r="BI87" s="247"/>
      <c r="BJ87" s="247"/>
      <c r="BK87" s="247"/>
      <c r="BL87" s="247"/>
      <c r="BM87" s="247"/>
      <c r="BN87" s="248"/>
    </row>
    <row r="88" spans="1:66" s="246" customFormat="1" ht="17.25" customHeight="1" thickTop="1" thickBot="1">
      <c r="C88" s="876"/>
      <c r="D88" s="484"/>
      <c r="E88" s="485"/>
      <c r="F88" s="485"/>
      <c r="G88" s="485"/>
      <c r="H88" s="486"/>
      <c r="I88" s="490"/>
      <c r="J88" s="877"/>
      <c r="K88" s="729">
        <v>11</v>
      </c>
      <c r="L88" s="730"/>
      <c r="M88" s="731"/>
      <c r="N88" s="652" t="s">
        <v>5</v>
      </c>
      <c r="O88" s="873" t="s">
        <v>532</v>
      </c>
      <c r="P88" s="873"/>
      <c r="Q88" s="873"/>
      <c r="R88" s="874"/>
      <c r="S88" s="634" t="str" cm="1">
        <f t="array" ref="S88">angleDecimal2Txt((AF87))</f>
        <v>+344°03.79 (+344.0633) [+344°03'48.00]</v>
      </c>
      <c r="T88" s="634"/>
      <c r="U88" s="634"/>
      <c r="V88" s="634"/>
      <c r="W88" s="634"/>
      <c r="X88" s="634"/>
      <c r="Z88" s="247"/>
      <c r="AB88" s="61"/>
      <c r="AC88" s="3" t="s">
        <v>38</v>
      </c>
      <c r="AD88" s="5">
        <f>AF87-AF86</f>
        <v>14.998333333333335</v>
      </c>
      <c r="AE88" s="247"/>
      <c r="AF88" s="247"/>
      <c r="AG88" s="247"/>
      <c r="AH88" s="247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  <c r="BD88" s="247"/>
      <c r="BE88" s="247"/>
      <c r="BF88" s="247"/>
      <c r="BG88" s="247"/>
      <c r="BH88" s="247"/>
      <c r="BI88" s="247"/>
      <c r="BJ88" s="247"/>
      <c r="BK88" s="247"/>
      <c r="BL88" s="247"/>
      <c r="BM88" s="247"/>
      <c r="BN88" s="248"/>
    </row>
    <row r="89" spans="1:66" s="246" customFormat="1" ht="17.25" customHeight="1" thickTop="1" thickBot="1">
      <c r="C89" s="876"/>
      <c r="D89" s="470" t="e" cm="1">
        <f t="array" ref="D89">angleDecimal2Txt(D86)</f>
        <v>#VALUE!</v>
      </c>
      <c r="E89" s="470"/>
      <c r="F89" s="470"/>
      <c r="G89" s="470"/>
      <c r="H89" s="470"/>
      <c r="I89" s="748"/>
      <c r="J89" s="749"/>
      <c r="K89" s="545"/>
      <c r="L89" s="501"/>
      <c r="M89" s="502"/>
      <c r="N89" s="652"/>
      <c r="O89" s="734"/>
      <c r="P89" s="734"/>
      <c r="Q89" s="734"/>
      <c r="R89" s="735"/>
      <c r="S89" s="634"/>
      <c r="T89" s="634"/>
      <c r="U89" s="634"/>
      <c r="V89" s="634"/>
      <c r="W89" s="634"/>
      <c r="X89" s="634"/>
      <c r="Z89" s="247"/>
      <c r="AB89" s="61"/>
      <c r="AC89" s="3" t="s">
        <v>174</v>
      </c>
      <c r="AD89" s="5">
        <f>K88-K86</f>
        <v>1</v>
      </c>
      <c r="AF89" s="247"/>
      <c r="AG89" s="247"/>
      <c r="AH89" s="247"/>
      <c r="AI89" s="247"/>
      <c r="AJ89" s="247"/>
      <c r="AK89" s="247"/>
      <c r="AL89" s="247"/>
      <c r="AM89" s="247"/>
      <c r="AN89" s="247"/>
      <c r="AO89" s="247"/>
      <c r="AP89" s="247"/>
      <c r="AQ89" s="247"/>
      <c r="AR89" s="247"/>
      <c r="AS89" s="247"/>
      <c r="AT89" s="247"/>
      <c r="AU89" s="247"/>
      <c r="AV89" s="247"/>
      <c r="AW89" s="247"/>
      <c r="AX89" s="247"/>
      <c r="AY89" s="247"/>
      <c r="AZ89" s="247"/>
      <c r="BA89" s="247"/>
      <c r="BB89" s="247"/>
      <c r="BC89" s="247"/>
      <c r="BD89" s="247"/>
      <c r="BE89" s="247"/>
      <c r="BF89" s="247"/>
      <c r="BG89" s="247"/>
      <c r="BH89" s="247"/>
      <c r="BI89" s="247"/>
      <c r="BJ89" s="247"/>
      <c r="BK89" s="247"/>
      <c r="BL89" s="247"/>
      <c r="BM89" s="247"/>
      <c r="BN89" s="248"/>
    </row>
    <row r="90" spans="1:66" s="246" customFormat="1" ht="17.25" customHeight="1" thickTop="1">
      <c r="C90" s="382"/>
      <c r="D90" s="382"/>
      <c r="E90" s="382"/>
      <c r="Z90" s="247"/>
      <c r="AB90" s="61"/>
      <c r="AC90" s="3" t="s">
        <v>39</v>
      </c>
      <c r="AD90" s="5">
        <f>I86-K86</f>
        <v>-10</v>
      </c>
      <c r="AE90" s="247"/>
      <c r="AF90" s="247"/>
      <c r="AG90" s="247"/>
      <c r="AH90" s="247"/>
      <c r="AI90" s="247"/>
      <c r="AJ90" s="247"/>
      <c r="AK90" s="247"/>
      <c r="AL90" s="247"/>
      <c r="AM90" s="247"/>
      <c r="AN90" s="247"/>
      <c r="AO90" s="247"/>
      <c r="AP90" s="247"/>
      <c r="AQ90" s="247"/>
      <c r="AR90" s="247"/>
      <c r="AS90" s="247"/>
      <c r="AT90" s="247"/>
      <c r="AU90" s="247"/>
      <c r="AV90" s="247"/>
      <c r="AW90" s="247"/>
      <c r="AX90" s="247"/>
      <c r="AY90" s="247"/>
      <c r="AZ90" s="247"/>
      <c r="BA90" s="247"/>
      <c r="BB90" s="247"/>
      <c r="BC90" s="247"/>
      <c r="BD90" s="247"/>
      <c r="BE90" s="247"/>
      <c r="BF90" s="247"/>
      <c r="BG90" s="247"/>
      <c r="BH90" s="247"/>
      <c r="BI90" s="247"/>
      <c r="BJ90" s="247"/>
      <c r="BK90" s="247"/>
      <c r="BL90" s="247"/>
      <c r="BM90" s="247"/>
      <c r="BN90" s="248"/>
    </row>
    <row r="91" spans="1:66" s="246" customFormat="1" ht="17.25" customHeight="1">
      <c r="C91" s="881" t="s">
        <v>14</v>
      </c>
      <c r="D91" s="656" t="s">
        <v>401</v>
      </c>
      <c r="E91" s="656"/>
      <c r="F91" s="656"/>
      <c r="G91" s="656"/>
      <c r="H91" s="656"/>
      <c r="I91" s="882" t="s">
        <v>609</v>
      </c>
      <c r="J91" s="656"/>
      <c r="K91" s="505" t="s">
        <v>601</v>
      </c>
      <c r="L91" s="505"/>
      <c r="M91" s="506"/>
      <c r="N91" s="587" t="s">
        <v>16</v>
      </c>
      <c r="O91" s="588"/>
      <c r="P91" s="588"/>
      <c r="Q91" s="588"/>
      <c r="R91" s="589"/>
      <c r="S91" s="587" t="s">
        <v>94</v>
      </c>
      <c r="T91" s="588"/>
      <c r="U91" s="588"/>
      <c r="V91" s="588"/>
      <c r="W91" s="589"/>
      <c r="Z91" s="247"/>
      <c r="AA91" s="381"/>
      <c r="AB91" s="61"/>
      <c r="AC91" s="3" t="s">
        <v>268</v>
      </c>
      <c r="AD91" s="3">
        <f>IF(AF91&gt;360,AF91-360,AF91)</f>
        <v>179.08166666666665</v>
      </c>
      <c r="AE91" s="3" t="s">
        <v>37</v>
      </c>
      <c r="AF91" s="3">
        <f>(AF86+(AD88/AD89)*AD90)</f>
        <v>179.08166666666665</v>
      </c>
      <c r="AG91" s="247"/>
      <c r="AH91" s="247"/>
      <c r="AI91" s="247"/>
      <c r="AJ91" s="247"/>
      <c r="AK91" s="247"/>
      <c r="AL91" s="247"/>
      <c r="AM91" s="247"/>
      <c r="AN91" s="247"/>
      <c r="AO91" s="247"/>
      <c r="AP91" s="247"/>
      <c r="AQ91" s="247"/>
      <c r="AR91" s="247"/>
      <c r="AS91" s="247"/>
      <c r="AT91" s="247"/>
      <c r="AU91" s="247"/>
      <c r="AV91" s="247"/>
      <c r="AW91" s="247"/>
      <c r="AX91" s="247"/>
      <c r="AY91" s="247"/>
      <c r="AZ91" s="247"/>
      <c r="BA91" s="247"/>
      <c r="BB91" s="247"/>
      <c r="BC91" s="247"/>
      <c r="BD91" s="247"/>
      <c r="BE91" s="247"/>
      <c r="BF91" s="247"/>
      <c r="BG91" s="247"/>
      <c r="BH91" s="247"/>
      <c r="BI91" s="247"/>
      <c r="BJ91" s="247"/>
      <c r="BK91" s="247"/>
      <c r="BL91" s="247"/>
      <c r="BM91" s="247"/>
      <c r="BN91" s="248"/>
    </row>
    <row r="92" spans="1:66" s="246" customFormat="1" ht="17.25" customHeight="1">
      <c r="C92" s="881"/>
      <c r="D92" s="656"/>
      <c r="E92" s="656"/>
      <c r="F92" s="656"/>
      <c r="G92" s="656"/>
      <c r="H92" s="656"/>
      <c r="I92" s="656"/>
      <c r="J92" s="656"/>
      <c r="K92" s="508"/>
      <c r="L92" s="508"/>
      <c r="M92" s="509"/>
      <c r="N92" s="762"/>
      <c r="O92" s="591"/>
      <c r="P92" s="591"/>
      <c r="Q92" s="591"/>
      <c r="R92" s="592"/>
      <c r="S92" s="762"/>
      <c r="T92" s="813"/>
      <c r="U92" s="813"/>
      <c r="V92" s="813"/>
      <c r="W92" s="814"/>
      <c r="Z92" s="247"/>
      <c r="AA92" s="381"/>
      <c r="AB92" s="61"/>
      <c r="AC92" s="247"/>
      <c r="AD92" s="247"/>
      <c r="AE92" s="247"/>
      <c r="AF92" s="247"/>
      <c r="AG92" s="247"/>
      <c r="AH92" s="247"/>
      <c r="AI92" s="247"/>
      <c r="AJ92" s="247"/>
      <c r="AK92" s="247"/>
      <c r="AL92" s="247"/>
      <c r="AM92" s="247"/>
      <c r="AN92" s="247"/>
      <c r="AO92" s="247"/>
      <c r="AP92" s="247"/>
      <c r="AQ92" s="247"/>
      <c r="AR92" s="247"/>
      <c r="AS92" s="247"/>
      <c r="AT92" s="247"/>
      <c r="AU92" s="247"/>
      <c r="AV92" s="247"/>
      <c r="AW92" s="247"/>
      <c r="AX92" s="247"/>
      <c r="AY92" s="247"/>
      <c r="AZ92" s="247"/>
      <c r="BA92" s="247"/>
      <c r="BB92" s="247"/>
      <c r="BC92" s="247"/>
      <c r="BD92" s="247"/>
      <c r="BE92" s="247"/>
      <c r="BF92" s="247"/>
      <c r="BG92" s="247"/>
      <c r="BH92" s="247"/>
      <c r="BI92" s="247"/>
      <c r="BJ92" s="247"/>
      <c r="BK92" s="247"/>
      <c r="BL92" s="247"/>
      <c r="BM92" s="247"/>
      <c r="BN92" s="248"/>
    </row>
    <row r="93" spans="1:66" s="246" customFormat="1" ht="17.25" customHeight="1">
      <c r="C93" s="881"/>
      <c r="D93" s="879">
        <f>IF(G83=AD84,AF97,"---")</f>
        <v>180.03333333333333</v>
      </c>
      <c r="E93" s="879"/>
      <c r="F93" s="879"/>
      <c r="G93" s="879"/>
      <c r="H93" s="879"/>
      <c r="I93" s="652">
        <f>E39</f>
        <v>0</v>
      </c>
      <c r="J93" s="652"/>
      <c r="K93" s="499">
        <v>0</v>
      </c>
      <c r="L93" s="499"/>
      <c r="M93" s="500"/>
      <c r="N93" s="652" t="s">
        <v>5</v>
      </c>
      <c r="O93" s="536" t="s">
        <v>602</v>
      </c>
      <c r="P93" s="536"/>
      <c r="Q93" s="536"/>
      <c r="R93" s="536"/>
      <c r="S93" s="652" t="s">
        <v>5</v>
      </c>
      <c r="T93" s="761">
        <v>14.997999999999999</v>
      </c>
      <c r="U93" s="652"/>
      <c r="V93" s="652"/>
      <c r="W93" s="652"/>
      <c r="AA93" s="381"/>
      <c r="AB93" s="61"/>
      <c r="AC93" s="3" t="s">
        <v>175</v>
      </c>
      <c r="AD93" s="3">
        <f>VLOOKUP(N93,Outils!$D$9:$E$10,2)</f>
        <v>1</v>
      </c>
      <c r="AE93" s="247"/>
      <c r="AF93" s="247"/>
      <c r="AG93" s="247"/>
      <c r="AH93" s="247"/>
      <c r="AI93" s="247"/>
      <c r="AJ93" s="247"/>
      <c r="AK93" s="247"/>
      <c r="AL93" s="247"/>
      <c r="AM93" s="247"/>
      <c r="AN93" s="247"/>
      <c r="AO93" s="247"/>
      <c r="AP93" s="247"/>
      <c r="AQ93" s="247"/>
      <c r="AR93" s="247"/>
      <c r="AS93" s="247"/>
      <c r="AT93" s="247"/>
      <c r="AU93" s="247"/>
      <c r="AV93" s="247"/>
      <c r="AW93" s="247"/>
      <c r="AX93" s="247"/>
      <c r="AY93" s="247"/>
      <c r="AZ93" s="247"/>
      <c r="BA93" s="247"/>
      <c r="BB93" s="247"/>
      <c r="BC93" s="247"/>
      <c r="BD93" s="247"/>
      <c r="BE93" s="247"/>
      <c r="BF93" s="247"/>
      <c r="BG93" s="247"/>
      <c r="BH93" s="247"/>
      <c r="BI93" s="247"/>
      <c r="BJ93" s="247"/>
      <c r="BK93" s="247"/>
      <c r="BL93" s="247"/>
      <c r="BM93" s="247"/>
      <c r="BN93" s="248"/>
    </row>
    <row r="94" spans="1:66" s="246" customFormat="1" ht="17.25" customHeight="1" collapsed="1" thickBot="1">
      <c r="C94" s="881"/>
      <c r="D94" s="879"/>
      <c r="E94" s="879"/>
      <c r="F94" s="879"/>
      <c r="G94" s="879"/>
      <c r="H94" s="879"/>
      <c r="I94" s="652"/>
      <c r="J94" s="652"/>
      <c r="K94" s="501"/>
      <c r="L94" s="501"/>
      <c r="M94" s="502"/>
      <c r="N94" s="652"/>
      <c r="O94" s="719"/>
      <c r="P94" s="719"/>
      <c r="Q94" s="719"/>
      <c r="R94" s="719"/>
      <c r="S94" s="652"/>
      <c r="T94" s="652"/>
      <c r="U94" s="652"/>
      <c r="V94" s="652"/>
      <c r="W94" s="652"/>
      <c r="Z94" s="381"/>
      <c r="AA94" s="381"/>
      <c r="AB94" s="61"/>
      <c r="AC94" s="3" t="s">
        <v>176</v>
      </c>
      <c r="AD94" s="3" cm="1">
        <f t="array" ref="AD94">angleConvert2Decimal(O93)*AD93</f>
        <v>180.03333333333333</v>
      </c>
      <c r="AE94" s="247"/>
      <c r="AF94" s="247"/>
      <c r="AG94" s="247"/>
      <c r="AH94" s="247"/>
      <c r="AI94" s="247"/>
      <c r="AJ94" s="247"/>
      <c r="AK94" s="247"/>
      <c r="AL94" s="247"/>
      <c r="AM94" s="247"/>
      <c r="AN94" s="247"/>
      <c r="AO94" s="247"/>
      <c r="AP94" s="247"/>
      <c r="AQ94" s="247"/>
      <c r="AR94" s="247"/>
      <c r="AS94" s="247"/>
      <c r="AT94" s="247"/>
      <c r="AU94" s="247"/>
      <c r="AV94" s="247"/>
      <c r="AW94" s="247"/>
      <c r="AX94" s="247"/>
      <c r="AY94" s="247"/>
      <c r="AZ94" s="247"/>
      <c r="BA94" s="247"/>
      <c r="BB94" s="247"/>
      <c r="BC94" s="247"/>
      <c r="BD94" s="247"/>
      <c r="BE94" s="247"/>
      <c r="BF94" s="247"/>
      <c r="BG94" s="247"/>
      <c r="BH94" s="247"/>
      <c r="BI94" s="247"/>
      <c r="BJ94" s="247"/>
      <c r="BK94" s="247"/>
      <c r="BL94" s="247"/>
      <c r="BM94" s="247"/>
      <c r="BN94" s="248"/>
    </row>
    <row r="95" spans="1:66" s="246" customFormat="1" ht="17.25" customHeight="1" thickTop="1" thickBot="1">
      <c r="C95" s="881"/>
      <c r="D95" s="470" t="str" cm="1">
        <f t="array" ref="D95">angleDecimal2Txt(D93)</f>
        <v>+180°02.00 (+180.0333) [+180°02'00.00]</v>
      </c>
      <c r="E95" s="470"/>
      <c r="F95" s="470"/>
      <c r="G95" s="470"/>
      <c r="H95" s="470"/>
      <c r="I95" s="652"/>
      <c r="J95" s="652"/>
      <c r="K95" s="653" t="str" cm="1">
        <f t="array" ref="K95">heureDecimal2Txt(K93)</f>
        <v>00:00:00.00(00.0000)</v>
      </c>
      <c r="L95" s="653"/>
      <c r="M95" s="654"/>
      <c r="N95" s="565" t="str" cm="1">
        <f t="array" ref="N95">angleDecimal2Txt(AD94)</f>
        <v>+180°02.00 (+180.0333) [+180°02'00.00]</v>
      </c>
      <c r="O95" s="472"/>
      <c r="P95" s="472"/>
      <c r="Q95" s="472"/>
      <c r="R95" s="472"/>
      <c r="S95" s="565" t="str" cm="1">
        <f t="array" ref="S95">angleDecimal2Txt(AD96)</f>
        <v>+14°59.87 (+14.9979) [+14°59'52.79]</v>
      </c>
      <c r="T95" s="723"/>
      <c r="U95" s="723"/>
      <c r="V95" s="723"/>
      <c r="W95" s="723"/>
      <c r="Z95" s="381"/>
      <c r="AB95" s="61"/>
      <c r="AC95" s="3" t="s">
        <v>177</v>
      </c>
      <c r="AD95" s="3">
        <f>VLOOKUP(S93,Outils!$D$9:$E$10,2)</f>
        <v>1</v>
      </c>
      <c r="AE95" s="247"/>
      <c r="AF95" s="247"/>
      <c r="AG95" s="247"/>
      <c r="AH95" s="247"/>
      <c r="AI95" s="247"/>
      <c r="AJ95" s="247"/>
      <c r="AK95" s="247"/>
      <c r="AL95" s="247"/>
      <c r="AM95" s="247"/>
      <c r="AN95" s="247"/>
      <c r="AO95" s="247"/>
      <c r="AP95" s="247"/>
      <c r="AQ95" s="247"/>
      <c r="AR95" s="247"/>
      <c r="AS95" s="247"/>
      <c r="AT95" s="247"/>
      <c r="AU95" s="247"/>
      <c r="AV95" s="247"/>
      <c r="AW95" s="247"/>
      <c r="AX95" s="247"/>
      <c r="AY95" s="247"/>
      <c r="AZ95" s="247"/>
      <c r="BA95" s="247"/>
      <c r="BB95" s="247"/>
      <c r="BC95" s="247"/>
      <c r="BD95" s="247"/>
      <c r="BE95" s="247"/>
      <c r="BF95" s="247"/>
      <c r="BG95" s="247"/>
      <c r="BH95" s="247"/>
      <c r="BI95" s="247"/>
      <c r="BJ95" s="247"/>
      <c r="BK95" s="247"/>
      <c r="BL95" s="247"/>
      <c r="BM95" s="247"/>
      <c r="BN95" s="248"/>
    </row>
    <row r="96" spans="1:66" s="246" customFormat="1" ht="17.25" customHeight="1" thickTop="1">
      <c r="A96" s="264" t="s">
        <v>527</v>
      </c>
      <c r="C96" s="382"/>
      <c r="D96" s="382"/>
      <c r="E96" s="382"/>
      <c r="Z96" s="381"/>
      <c r="AB96" s="61"/>
      <c r="AC96" s="3" t="s">
        <v>178</v>
      </c>
      <c r="AD96" s="3" cm="1">
        <f t="array" ref="AD96">angleConvert2Decimal(T93)*AD95</f>
        <v>14.997999999999999</v>
      </c>
      <c r="AE96" s="247"/>
      <c r="AF96" s="247"/>
      <c r="AG96" s="247"/>
      <c r="AH96" s="247"/>
      <c r="AI96" s="247"/>
      <c r="AJ96" s="247"/>
      <c r="AK96" s="247"/>
      <c r="AL96" s="247"/>
      <c r="AM96" s="247"/>
      <c r="AN96" s="247"/>
      <c r="AO96" s="247"/>
      <c r="AP96" s="247"/>
      <c r="AQ96" s="247"/>
      <c r="AR96" s="247"/>
      <c r="AS96" s="247"/>
      <c r="AT96" s="247"/>
      <c r="AU96" s="247"/>
      <c r="AV96" s="247"/>
      <c r="AW96" s="247"/>
      <c r="AX96" s="247"/>
      <c r="AY96" s="247"/>
      <c r="AZ96" s="247"/>
      <c r="BA96" s="247"/>
      <c r="BB96" s="247"/>
      <c r="BC96" s="247"/>
      <c r="BD96" s="247"/>
      <c r="BE96" s="247"/>
      <c r="BF96" s="247"/>
      <c r="BG96" s="247"/>
      <c r="BH96" s="247"/>
      <c r="BI96" s="247"/>
      <c r="BJ96" s="247"/>
      <c r="BK96" s="247"/>
      <c r="BL96" s="247"/>
      <c r="BM96" s="247"/>
      <c r="BN96" s="248"/>
    </row>
    <row r="97" spans="1:66" s="246" customFormat="1" ht="17.25" customHeight="1">
      <c r="C97" s="655" t="s">
        <v>610</v>
      </c>
      <c r="D97" s="656" t="s">
        <v>401</v>
      </c>
      <c r="E97" s="656"/>
      <c r="F97" s="656"/>
      <c r="G97" s="656"/>
      <c r="H97" s="656"/>
      <c r="I97" s="510" t="s">
        <v>546</v>
      </c>
      <c r="J97" s="510"/>
      <c r="K97" s="510"/>
      <c r="L97" s="510"/>
      <c r="M97" s="510"/>
      <c r="AB97" s="61"/>
      <c r="AC97" s="3" t="s">
        <v>268</v>
      </c>
      <c r="AD97" s="3">
        <f>IF(AF97&gt;360,AF97-360,AF97)</f>
        <v>180.03333333333333</v>
      </c>
      <c r="AE97" s="3" t="s">
        <v>37</v>
      </c>
      <c r="AF97" s="3">
        <f>MOD(AD94+AD96*(I93-K93),360)</f>
        <v>180.03333333333333</v>
      </c>
      <c r="AG97" s="247"/>
      <c r="AH97" s="247"/>
      <c r="AI97" s="247"/>
      <c r="AJ97" s="247"/>
      <c r="AK97" s="247"/>
      <c r="AL97" s="247"/>
      <c r="AM97" s="247"/>
      <c r="AN97" s="247"/>
      <c r="AO97" s="247"/>
      <c r="AP97" s="247"/>
      <c r="AQ97" s="247"/>
      <c r="AR97" s="247"/>
      <c r="AS97" s="247"/>
      <c r="AT97" s="247"/>
      <c r="AU97" s="247"/>
      <c r="AV97" s="247"/>
      <c r="AW97" s="247"/>
      <c r="AX97" s="247"/>
      <c r="AY97" s="247"/>
      <c r="AZ97" s="247"/>
      <c r="BA97" s="247"/>
      <c r="BB97" s="247"/>
      <c r="BC97" s="247"/>
      <c r="BD97" s="247"/>
      <c r="BE97" s="247"/>
      <c r="BF97" s="247"/>
      <c r="BG97" s="247"/>
      <c r="BH97" s="247"/>
      <c r="BI97" s="247"/>
      <c r="BJ97" s="247"/>
      <c r="BK97" s="247"/>
      <c r="BL97" s="247"/>
      <c r="BM97" s="247"/>
      <c r="BN97" s="248"/>
    </row>
    <row r="98" spans="1:66" s="246" customFormat="1" ht="17.25" customHeight="1">
      <c r="C98" s="655"/>
      <c r="D98" s="656"/>
      <c r="E98" s="656"/>
      <c r="F98" s="656"/>
      <c r="G98" s="656"/>
      <c r="H98" s="656"/>
      <c r="I98" s="510"/>
      <c r="J98" s="510"/>
      <c r="K98" s="510"/>
      <c r="L98" s="510"/>
      <c r="M98" s="510"/>
      <c r="S98" s="381"/>
      <c r="T98" s="381"/>
      <c r="U98" s="381"/>
      <c r="V98" s="381"/>
      <c r="W98" s="381"/>
      <c r="X98" s="381"/>
      <c r="AB98" s="61"/>
      <c r="AC98" s="3"/>
      <c r="AD98" s="3"/>
      <c r="AE98" s="247"/>
      <c r="AF98" s="247"/>
      <c r="AG98" s="247"/>
      <c r="AH98" s="247"/>
      <c r="AI98" s="247"/>
      <c r="AJ98" s="247"/>
      <c r="AK98" s="247"/>
      <c r="AL98" s="247"/>
      <c r="AM98" s="247"/>
      <c r="AN98" s="247"/>
      <c r="AO98" s="247"/>
      <c r="AP98" s="247"/>
      <c r="AQ98" s="247"/>
      <c r="AR98" s="247"/>
      <c r="AS98" s="247"/>
      <c r="AT98" s="247"/>
      <c r="AU98" s="247"/>
      <c r="AV98" s="247"/>
      <c r="AW98" s="247"/>
      <c r="AX98" s="247"/>
      <c r="AY98" s="247"/>
      <c r="AZ98" s="247"/>
      <c r="BA98" s="247"/>
      <c r="BB98" s="247"/>
      <c r="BC98" s="247"/>
      <c r="BD98" s="247"/>
      <c r="BE98" s="247"/>
      <c r="BF98" s="247"/>
      <c r="BG98" s="247"/>
      <c r="BH98" s="247"/>
      <c r="BI98" s="247"/>
      <c r="BJ98" s="247"/>
      <c r="BK98" s="247"/>
      <c r="BL98" s="247"/>
      <c r="BM98" s="247"/>
      <c r="BN98" s="248"/>
    </row>
    <row r="99" spans="1:66" s="246" customFormat="1" ht="17.25" customHeight="1">
      <c r="C99" s="655"/>
      <c r="D99" s="879" t="str">
        <f>IF(G83=AD82,AD100,"---")</f>
        <v>---</v>
      </c>
      <c r="E99" s="879"/>
      <c r="F99" s="879"/>
      <c r="G99" s="879"/>
      <c r="H99" s="879"/>
      <c r="I99" s="652" t="s">
        <v>5</v>
      </c>
      <c r="J99" s="646" t="s">
        <v>607</v>
      </c>
      <c r="K99" s="646"/>
      <c r="L99" s="646"/>
      <c r="M99" s="646"/>
      <c r="S99" s="381"/>
      <c r="T99" s="381"/>
      <c r="U99" s="381"/>
      <c r="V99" s="381"/>
      <c r="W99" s="381"/>
      <c r="X99" s="381"/>
      <c r="AB99" s="61"/>
      <c r="AC99" s="3" t="s">
        <v>175</v>
      </c>
      <c r="AD99" s="3">
        <f>VLOOKUP(I99,Outils!$D$9:$E$10,2)</f>
        <v>1</v>
      </c>
      <c r="AE99" s="247"/>
      <c r="AF99" s="247"/>
      <c r="AG99" s="247"/>
      <c r="AH99" s="247"/>
      <c r="AI99" s="247"/>
      <c r="AJ99" s="247"/>
      <c r="AK99" s="247"/>
      <c r="AL99" s="247"/>
      <c r="AM99" s="247"/>
      <c r="AN99" s="247"/>
      <c r="AO99" s="247"/>
      <c r="AP99" s="247"/>
      <c r="AQ99" s="247"/>
      <c r="AR99" s="247"/>
      <c r="AS99" s="247"/>
      <c r="AT99" s="247"/>
      <c r="AU99" s="247"/>
      <c r="AV99" s="247"/>
      <c r="AW99" s="247"/>
      <c r="AX99" s="247"/>
      <c r="AY99" s="247"/>
      <c r="AZ99" s="247"/>
      <c r="BA99" s="247"/>
      <c r="BB99" s="247"/>
      <c r="BC99" s="247"/>
      <c r="BD99" s="247"/>
      <c r="BE99" s="247"/>
      <c r="BF99" s="247"/>
      <c r="BG99" s="247"/>
      <c r="BH99" s="247"/>
      <c r="BI99" s="247"/>
      <c r="BJ99" s="247"/>
      <c r="BK99" s="247"/>
      <c r="BL99" s="247"/>
      <c r="BM99" s="247"/>
      <c r="BN99" s="248"/>
    </row>
    <row r="100" spans="1:66" s="246" customFormat="1" ht="17.25" customHeight="1" thickBot="1">
      <c r="C100" s="655"/>
      <c r="D100" s="879"/>
      <c r="E100" s="879"/>
      <c r="F100" s="879"/>
      <c r="G100" s="879"/>
      <c r="H100" s="879"/>
      <c r="I100" s="652"/>
      <c r="J100" s="646"/>
      <c r="K100" s="646"/>
      <c r="L100" s="646"/>
      <c r="M100" s="646"/>
      <c r="S100" s="381"/>
      <c r="T100" s="381"/>
      <c r="U100" s="381"/>
      <c r="V100" s="381"/>
      <c r="W100" s="381"/>
      <c r="X100" s="381"/>
      <c r="AB100" s="61"/>
      <c r="AC100" s="3" t="s">
        <v>176</v>
      </c>
      <c r="AD100" s="3" cm="1">
        <f t="array" ref="AD100">angleConvert2Decimal(J99)*AD99</f>
        <v>306.29816666666665</v>
      </c>
      <c r="AE100" s="247"/>
      <c r="AF100" s="247"/>
      <c r="AG100" s="247"/>
      <c r="AH100" s="247"/>
      <c r="AI100" s="247"/>
      <c r="AJ100" s="247"/>
      <c r="AK100" s="247"/>
      <c r="AL100" s="247"/>
      <c r="AM100" s="247"/>
      <c r="AN100" s="247"/>
      <c r="AO100" s="247"/>
      <c r="AP100" s="247"/>
      <c r="AQ100" s="247"/>
      <c r="AR100" s="247"/>
      <c r="AS100" s="247"/>
      <c r="AT100" s="247"/>
      <c r="AU100" s="247"/>
      <c r="AV100" s="247"/>
      <c r="AW100" s="247"/>
      <c r="AX100" s="247"/>
      <c r="AY100" s="247"/>
      <c r="AZ100" s="247"/>
      <c r="BA100" s="247"/>
      <c r="BB100" s="247"/>
      <c r="BC100" s="247"/>
      <c r="BD100" s="247"/>
      <c r="BE100" s="247"/>
      <c r="BF100" s="247"/>
      <c r="BG100" s="247"/>
      <c r="BH100" s="247"/>
      <c r="BI100" s="247"/>
      <c r="BJ100" s="247"/>
      <c r="BK100" s="247"/>
      <c r="BL100" s="247"/>
      <c r="BM100" s="247"/>
      <c r="BN100" s="248"/>
    </row>
    <row r="101" spans="1:66" s="246" customFormat="1" ht="17.25" customHeight="1" thickTop="1" thickBot="1">
      <c r="C101" s="655"/>
      <c r="D101" s="470" t="str" cm="1">
        <f t="array" ref="D101">angleDecimal2Txt(AD100)</f>
        <v>+306°17.88 (+306.2981) [+306°17'53.39]</v>
      </c>
      <c r="E101" s="470"/>
      <c r="F101" s="470"/>
      <c r="G101" s="470"/>
      <c r="H101" s="470"/>
      <c r="I101"/>
      <c r="J101"/>
      <c r="K101"/>
      <c r="L101"/>
      <c r="M101"/>
      <c r="S101" s="381"/>
      <c r="T101" s="381"/>
      <c r="U101" s="381"/>
      <c r="V101" s="381"/>
      <c r="W101" s="381"/>
      <c r="X101" s="381"/>
      <c r="AB101" s="61"/>
      <c r="AC101" s="3"/>
      <c r="AD101" s="3"/>
      <c r="AE101" s="247"/>
      <c r="AF101" s="247"/>
      <c r="AG101" s="247"/>
      <c r="AH101" s="247"/>
      <c r="AI101" s="247"/>
      <c r="AJ101" s="247"/>
      <c r="AK101" s="247"/>
      <c r="AL101" s="247"/>
      <c r="AM101" s="247"/>
      <c r="AN101" s="247"/>
      <c r="AO101" s="247"/>
      <c r="AP101" s="247"/>
      <c r="AQ101" s="247"/>
      <c r="AR101" s="247"/>
      <c r="AS101" s="247"/>
      <c r="AT101" s="247"/>
      <c r="AU101" s="247"/>
      <c r="AV101" s="247"/>
      <c r="AW101" s="247"/>
      <c r="AX101" s="247"/>
      <c r="AY101" s="247"/>
      <c r="AZ101" s="247"/>
      <c r="BA101" s="247"/>
      <c r="BB101" s="247"/>
      <c r="BC101" s="247"/>
      <c r="BD101" s="247"/>
      <c r="BE101" s="247"/>
      <c r="BF101" s="247"/>
      <c r="BG101" s="247"/>
      <c r="BH101" s="247"/>
      <c r="BI101" s="247"/>
      <c r="BJ101" s="247"/>
      <c r="BK101" s="247"/>
      <c r="BL101" s="247"/>
      <c r="BM101" s="247"/>
      <c r="BN101" s="248"/>
    </row>
    <row r="102" spans="1:66" s="246" customFormat="1" ht="17.25" customHeight="1" thickTop="1" thickBot="1">
      <c r="C102"/>
      <c r="D102"/>
      <c r="E102"/>
      <c r="I102"/>
      <c r="J102"/>
      <c r="K102"/>
      <c r="L102"/>
      <c r="M102"/>
      <c r="S102" s="381"/>
      <c r="T102" s="381"/>
      <c r="U102" s="381"/>
      <c r="V102" s="381"/>
      <c r="W102" s="381"/>
      <c r="X102" s="381"/>
      <c r="AB102" s="61"/>
      <c r="AC102" s="247"/>
      <c r="AD102" s="247"/>
      <c r="AE102" s="247"/>
      <c r="AF102" s="247"/>
      <c r="AG102" s="247"/>
      <c r="AH102" s="247"/>
      <c r="AI102" s="247"/>
      <c r="AJ102" s="247"/>
      <c r="AK102" s="247"/>
      <c r="AL102" s="247"/>
      <c r="AM102" s="247"/>
      <c r="AN102" s="247"/>
      <c r="AO102" s="247"/>
      <c r="AP102" s="247"/>
      <c r="AQ102" s="247"/>
      <c r="AR102" s="247"/>
      <c r="AS102" s="247"/>
      <c r="AT102" s="247"/>
      <c r="AU102" s="247"/>
      <c r="AV102" s="247"/>
      <c r="AW102" s="247"/>
      <c r="AX102" s="247"/>
      <c r="AY102" s="247"/>
      <c r="AZ102" s="247"/>
      <c r="BA102" s="247"/>
      <c r="BB102" s="247"/>
      <c r="BC102" s="247"/>
      <c r="BD102" s="247"/>
      <c r="BE102" s="247"/>
      <c r="BF102" s="247"/>
      <c r="BG102" s="247"/>
      <c r="BH102" s="247"/>
      <c r="BI102" s="247"/>
      <c r="BJ102" s="247"/>
      <c r="BK102" s="247"/>
      <c r="BL102" s="247"/>
      <c r="BM102" s="247"/>
      <c r="BN102" s="248"/>
    </row>
    <row r="103" spans="1:66" s="381" customFormat="1" ht="17.25" customHeight="1" thickBot="1">
      <c r="A103" s="246"/>
      <c r="B103" s="250" t="s">
        <v>43</v>
      </c>
      <c r="C103" s="258"/>
      <c r="D103" s="258"/>
      <c r="E103" s="258"/>
      <c r="F103" s="534">
        <f>I104</f>
        <v>243.03333333333333</v>
      </c>
      <c r="G103" s="534"/>
      <c r="H103" s="534"/>
      <c r="I103" s="251"/>
      <c r="J103" s="736" t="s">
        <v>55</v>
      </c>
      <c r="K103" s="736"/>
      <c r="L103" s="736"/>
      <c r="M103" s="503" t="str">
        <f>J23</f>
        <v>BordInf</v>
      </c>
      <c r="N103" s="503"/>
      <c r="O103" s="503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251"/>
      <c r="AA103" s="251"/>
      <c r="AB103" s="64"/>
      <c r="AC103" s="247"/>
      <c r="AD103" s="247"/>
      <c r="AE103" s="247"/>
      <c r="AF103" s="247"/>
      <c r="AG103" s="247"/>
      <c r="AH103" s="247"/>
      <c r="AI103" s="247"/>
      <c r="AJ103" s="247"/>
      <c r="AK103" s="247"/>
      <c r="AL103" s="247"/>
      <c r="AM103" s="247"/>
      <c r="AN103" s="247"/>
      <c r="AO103" s="247"/>
      <c r="AP103" s="247"/>
      <c r="AQ103" s="247"/>
      <c r="AR103" s="247"/>
      <c r="AS103" s="247"/>
      <c r="AT103" s="247"/>
      <c r="AU103" s="247"/>
      <c r="AV103" s="247"/>
      <c r="AW103" s="247"/>
      <c r="AX103" s="247"/>
      <c r="AY103" s="247"/>
      <c r="AZ103" s="247"/>
      <c r="BA103" s="247"/>
      <c r="BB103" s="247"/>
      <c r="BC103" s="247"/>
      <c r="BD103" s="247"/>
      <c r="BE103" s="247"/>
      <c r="BF103" s="247"/>
      <c r="BG103" s="247"/>
      <c r="BH103" s="247"/>
      <c r="BI103" s="247"/>
      <c r="BJ103" s="247"/>
      <c r="BK103" s="247"/>
      <c r="BL103" s="247"/>
      <c r="BM103" s="247"/>
      <c r="BN103" s="261"/>
    </row>
    <row r="104" spans="1:66" s="246" customFormat="1" ht="17.25" customHeight="1" thickTop="1" thickBot="1">
      <c r="C104" s="716" t="s">
        <v>21</v>
      </c>
      <c r="D104" s="716"/>
      <c r="E104" s="716"/>
      <c r="F104" s="716"/>
      <c r="G104" s="716"/>
      <c r="H104" s="716"/>
      <c r="I104" s="865">
        <f>AD105</f>
        <v>243.03333333333333</v>
      </c>
      <c r="J104" s="865"/>
      <c r="K104" s="865"/>
      <c r="L104" s="866"/>
      <c r="M104" s="265" t="s">
        <v>45</v>
      </c>
      <c r="N104" s="527">
        <f>AD104</f>
        <v>243.03333333333333</v>
      </c>
      <c r="O104" s="527"/>
      <c r="P104" s="527"/>
      <c r="Q104" s="527"/>
      <c r="R104" s="804" t="str" cm="1">
        <f t="array" ref="R104">angleDecimal2Txt(AD105)</f>
        <v>+243°02.00 (+243.0333) [+243°02'00.00]</v>
      </c>
      <c r="S104" s="862"/>
      <c r="T104" s="862"/>
      <c r="U104" s="862"/>
      <c r="V104" s="862"/>
      <c r="W104" s="863"/>
      <c r="AB104" s="61"/>
      <c r="AC104" s="3" t="s">
        <v>181</v>
      </c>
      <c r="AD104" s="5">
        <f>F82+G34</f>
        <v>243.03333333333333</v>
      </c>
      <c r="AE104" s="247"/>
      <c r="AF104" s="247"/>
      <c r="AG104" s="247"/>
      <c r="AH104" s="247"/>
      <c r="AI104" s="247"/>
      <c r="AJ104" s="247"/>
      <c r="AK104" s="247"/>
      <c r="AL104" s="247"/>
      <c r="AM104" s="247"/>
      <c r="AN104" s="247"/>
      <c r="AO104" s="247"/>
      <c r="AP104" s="247"/>
      <c r="AQ104" s="247"/>
      <c r="AR104" s="247"/>
      <c r="AS104" s="247"/>
      <c r="AT104" s="247"/>
      <c r="AU104" s="247"/>
      <c r="AV104" s="247"/>
      <c r="AW104" s="247"/>
      <c r="AX104" s="247"/>
      <c r="AY104" s="247"/>
      <c r="AZ104" s="247"/>
      <c r="BA104" s="247"/>
      <c r="BB104" s="247"/>
      <c r="BC104" s="247"/>
      <c r="BD104" s="247"/>
      <c r="BE104" s="247"/>
      <c r="BF104" s="247"/>
      <c r="BG104" s="247"/>
      <c r="BH104" s="247"/>
      <c r="BI104" s="247"/>
      <c r="BJ104" s="247"/>
      <c r="BK104" s="247"/>
      <c r="BL104" s="247"/>
      <c r="BM104" s="247"/>
      <c r="BN104" s="248"/>
    </row>
    <row r="105" spans="1:66" s="246" customFormat="1" ht="17.25" customHeight="1" thickTop="1" thickBot="1">
      <c r="A105" s="381"/>
      <c r="C105" s="381"/>
      <c r="D105" s="381"/>
      <c r="E105" s="381"/>
      <c r="F105" s="381"/>
      <c r="G105" s="381"/>
      <c r="H105" s="381"/>
      <c r="AB105" s="66"/>
      <c r="AC105" s="3" t="s">
        <v>182</v>
      </c>
      <c r="AD105" s="5" cm="1">
        <f t="array" ref="AD105">astroModuloEnDegre(AD104)</f>
        <v>243.03333333333333</v>
      </c>
      <c r="AE105" s="247"/>
      <c r="AF105" s="247"/>
      <c r="AG105" s="247"/>
      <c r="AH105" s="247"/>
      <c r="AI105" s="247"/>
      <c r="AJ105" s="247"/>
      <c r="AK105" s="247"/>
      <c r="AL105" s="247"/>
      <c r="AM105" s="247"/>
      <c r="AN105" s="247"/>
      <c r="AO105" s="247"/>
      <c r="AP105" s="247"/>
      <c r="AQ105" s="247"/>
      <c r="AR105" s="247"/>
      <c r="AS105" s="247"/>
      <c r="AT105" s="247"/>
      <c r="AU105" s="247"/>
      <c r="AV105" s="247"/>
      <c r="AW105" s="247"/>
      <c r="AX105" s="247"/>
      <c r="AY105" s="247"/>
      <c r="AZ105" s="247"/>
      <c r="BA105" s="247"/>
      <c r="BB105" s="247"/>
      <c r="BC105" s="247"/>
      <c r="BD105" s="247"/>
      <c r="BE105" s="247"/>
      <c r="BF105" s="247"/>
      <c r="BG105" s="247"/>
      <c r="BH105" s="247"/>
      <c r="BI105" s="247"/>
      <c r="BJ105" s="247"/>
      <c r="BK105" s="247"/>
      <c r="BL105" s="247"/>
      <c r="BM105" s="247"/>
      <c r="BN105" s="248"/>
    </row>
    <row r="106" spans="1:66" ht="17.25" customHeight="1" thickBot="1">
      <c r="B106" s="25" t="s">
        <v>23</v>
      </c>
      <c r="C106" s="26"/>
      <c r="D106" s="1173" t="s">
        <v>72</v>
      </c>
      <c r="E106" s="1174"/>
      <c r="F106" s="554">
        <f>IF(G107=AD107,O145,O135)</f>
        <v>19.875825476012299</v>
      </c>
      <c r="G106" s="554"/>
      <c r="H106" s="554"/>
      <c r="I106" s="26" t="str">
        <f>angleDecimal2Txt(F106,0)</f>
        <v>+19°52.54</v>
      </c>
      <c r="J106" s="26"/>
      <c r="K106" s="26"/>
      <c r="L106" s="26" t="s">
        <v>60</v>
      </c>
      <c r="M106" s="1173">
        <f>O109</f>
        <v>18.916666666666668</v>
      </c>
      <c r="N106" s="1173"/>
      <c r="O106" s="26"/>
      <c r="P106" s="60"/>
      <c r="Q106" s="26" t="s">
        <v>95</v>
      </c>
      <c r="R106" s="26"/>
      <c r="S106" s="725">
        <f>-O122+O117+O126</f>
        <v>1.0677588093456314</v>
      </c>
      <c r="T106" s="726"/>
      <c r="U106" s="727"/>
      <c r="V106" s="728" t="str" cm="1">
        <f t="array" ref="V106">angleDecimal2Txt(S106)</f>
        <v>+01°04.06 (+01.0677) [+01°04'03.93]</v>
      </c>
      <c r="W106" s="728"/>
      <c r="X106" s="728"/>
      <c r="Y106" s="728"/>
      <c r="Z106" s="728"/>
      <c r="AA106" s="26"/>
      <c r="AB106" s="64"/>
    </row>
    <row r="107" spans="1:66" ht="17.25" customHeight="1">
      <c r="C107" s="532" t="s">
        <v>35</v>
      </c>
      <c r="D107" s="532"/>
      <c r="E107" s="532"/>
      <c r="F107" s="532"/>
      <c r="G107" s="611" t="s">
        <v>51</v>
      </c>
      <c r="H107" s="611"/>
      <c r="I107" s="611"/>
      <c r="P107" s="16" t="s">
        <v>69</v>
      </c>
      <c r="V107" s="14"/>
      <c r="W107" s="14"/>
      <c r="X107" s="14"/>
      <c r="Y107" s="14"/>
      <c r="Z107" s="14"/>
      <c r="AC107" s="1267" t="s">
        <v>36</v>
      </c>
      <c r="AD107" s="68" t="s">
        <v>50</v>
      </c>
    </row>
    <row r="108" spans="1:66" ht="17.25" customHeight="1" thickBot="1">
      <c r="C108" s="33"/>
      <c r="D108" s="33"/>
      <c r="E108" s="33"/>
      <c r="F108" s="1128" t="s">
        <v>62</v>
      </c>
      <c r="G108" s="1128"/>
      <c r="H108" s="1172"/>
      <c r="I108" s="1172"/>
      <c r="J108" s="724">
        <f>IF(G107=AD107,"---",O135)</f>
        <v>19.875825476012299</v>
      </c>
      <c r="K108" s="724"/>
      <c r="L108" s="724"/>
      <c r="M108" s="97"/>
      <c r="N108" s="97"/>
      <c r="O108" s="97"/>
      <c r="P108" s="97"/>
      <c r="Q108" s="97"/>
      <c r="R108" s="97"/>
      <c r="S108" s="97"/>
      <c r="T108" s="97"/>
      <c r="U108" s="97"/>
      <c r="V108" s="98"/>
      <c r="W108" s="98"/>
      <c r="X108" s="98"/>
      <c r="Y108" s="98"/>
      <c r="Z108" s="98"/>
      <c r="AC108" s="1267"/>
      <c r="AD108" s="68" t="s">
        <v>51</v>
      </c>
    </row>
    <row r="109" spans="1:66" ht="17.25" customHeight="1" thickTop="1" thickBot="1">
      <c r="C109" s="16"/>
      <c r="D109" s="16"/>
      <c r="E109" s="16"/>
      <c r="F109" s="16"/>
      <c r="G109" s="16"/>
      <c r="H109" s="1270" t="s">
        <v>47</v>
      </c>
      <c r="I109" s="1270"/>
      <c r="J109" s="1270"/>
      <c r="K109" s="1270"/>
      <c r="L109" s="1270"/>
      <c r="M109" s="1270"/>
      <c r="N109" s="1270"/>
      <c r="O109" s="525">
        <f>J21</f>
        <v>18.916666666666668</v>
      </c>
      <c r="P109" s="525"/>
      <c r="Q109" s="525"/>
      <c r="R109" s="525"/>
      <c r="S109" s="16" t="s">
        <v>54</v>
      </c>
      <c r="U109" s="472" t="str" cm="1">
        <f t="array" ref="U109">angleDecimal2Txt(O109)</f>
        <v>+18°55.00 (+18.9166) [+18°55'00.00]</v>
      </c>
      <c r="V109" s="472"/>
      <c r="W109" s="472"/>
      <c r="X109" s="472"/>
      <c r="Y109" s="472"/>
      <c r="Z109" s="472"/>
    </row>
    <row r="110" spans="1:66" ht="17.25" customHeight="1" thickTop="1" thickBot="1">
      <c r="C110" s="16"/>
      <c r="D110" s="16"/>
      <c r="E110" s="16"/>
      <c r="F110" s="16"/>
      <c r="G110" s="16"/>
      <c r="H110" s="1270" t="s">
        <v>24</v>
      </c>
      <c r="I110" s="1270"/>
      <c r="J110" s="1270"/>
      <c r="K110" s="1270"/>
      <c r="L110" s="1270"/>
      <c r="M110" s="1270"/>
      <c r="N110" s="1270"/>
      <c r="O110" s="525">
        <f>J20</f>
        <v>0.05</v>
      </c>
      <c r="P110" s="525"/>
      <c r="Q110" s="525"/>
      <c r="R110" s="525"/>
      <c r="S110" s="16" t="s">
        <v>54</v>
      </c>
      <c r="U110" s="472" t="str" cm="1">
        <f t="array" ref="U110">angleDecimal2Txt(O110)</f>
        <v>+00°03.00 (+00.0500) [+00°03'00.00]</v>
      </c>
      <c r="V110" s="472"/>
      <c r="W110" s="472"/>
      <c r="X110" s="472"/>
      <c r="Y110" s="472"/>
      <c r="Z110" s="472"/>
      <c r="AC110" s="3" t="s">
        <v>59</v>
      </c>
      <c r="AD110" s="5">
        <f>O110</f>
        <v>0.05</v>
      </c>
    </row>
    <row r="111" spans="1:66" ht="17.25" customHeight="1" thickTop="1" thickBot="1">
      <c r="G111" s="16"/>
      <c r="H111" s="1268" t="s">
        <v>68</v>
      </c>
      <c r="I111" s="1268"/>
      <c r="J111" s="1268"/>
      <c r="K111" s="1268"/>
      <c r="L111" s="1268"/>
      <c r="M111" s="1268"/>
      <c r="N111" s="1268"/>
      <c r="O111" s="651">
        <f>AD112</f>
        <v>5.8599999999999999E-2</v>
      </c>
      <c r="P111" s="651"/>
      <c r="Q111" s="651"/>
      <c r="R111" s="651"/>
      <c r="S111" s="16" t="s">
        <v>54</v>
      </c>
      <c r="U111" s="472" t="str" cm="1">
        <f t="array" ref="U111">angleDecimal2Txt(O111)</f>
        <v>+00°03.51 (+00.0586) [+00°03'30.96]</v>
      </c>
      <c r="V111" s="472"/>
      <c r="W111" s="472"/>
      <c r="X111" s="472"/>
      <c r="Y111" s="472"/>
      <c r="Z111" s="472"/>
      <c r="AC111" s="3" t="s">
        <v>46</v>
      </c>
      <c r="AD111" s="3">
        <f>M19</f>
        <v>4</v>
      </c>
    </row>
    <row r="112" spans="1:66" ht="17.25" customHeight="1" thickTop="1" thickBot="1">
      <c r="K112" s="14"/>
      <c r="L112" s="14"/>
      <c r="M112" s="921" t="s">
        <v>113</v>
      </c>
      <c r="N112" s="921"/>
      <c r="O112" s="921"/>
      <c r="P112" s="921"/>
      <c r="Q112" s="14"/>
      <c r="R112" s="14"/>
      <c r="U112" s="14"/>
      <c r="V112" s="14"/>
      <c r="W112" s="14"/>
      <c r="X112" s="14"/>
      <c r="Y112" s="14"/>
      <c r="Z112" s="14"/>
      <c r="AC112" s="72" t="s">
        <v>67</v>
      </c>
      <c r="AD112" s="3">
        <f>0.0293 * SQRT(AD111)</f>
        <v>5.8599999999999999E-2</v>
      </c>
    </row>
    <row r="113" spans="1:32" ht="17.25" customHeight="1" thickTop="1" thickBot="1">
      <c r="G113" s="16"/>
      <c r="H113" s="1269" t="s">
        <v>48</v>
      </c>
      <c r="I113" s="1269"/>
      <c r="J113" s="1269"/>
      <c r="K113" s="1269"/>
      <c r="L113" s="1269"/>
      <c r="M113" s="1269"/>
      <c r="N113" s="1269"/>
      <c r="O113" s="528">
        <f>O109-O110-O111</f>
        <v>18.808066666666669</v>
      </c>
      <c r="P113" s="529"/>
      <c r="Q113" s="16" t="s">
        <v>54</v>
      </c>
      <c r="R113" s="742">
        <f>O113*Outils!F4</f>
        <v>0.32826268926792818</v>
      </c>
      <c r="S113" s="742"/>
      <c r="T113" s="37" t="s">
        <v>64</v>
      </c>
      <c r="U113" s="472" t="str" cm="1">
        <f t="array" ref="U113">angleDecimal2Txt(O113)</f>
        <v>+18°48.48 (+18.8080) [+18°48'29.04]</v>
      </c>
      <c r="V113" s="472"/>
      <c r="W113" s="472"/>
      <c r="X113" s="472"/>
      <c r="Y113" s="472"/>
      <c r="Z113" s="472"/>
    </row>
    <row r="114" spans="1:32" ht="17.25" customHeight="1" thickTop="1">
      <c r="C114" s="16"/>
      <c r="D114" s="16"/>
      <c r="E114" s="16"/>
      <c r="F114" s="16"/>
      <c r="G114" s="16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U114" s="14"/>
      <c r="V114" s="14"/>
      <c r="W114" s="14"/>
      <c r="X114" s="14"/>
      <c r="Y114" s="14"/>
      <c r="Z114" s="14"/>
    </row>
    <row r="115" spans="1:32" ht="17.25" customHeight="1" thickBot="1">
      <c r="G115" s="16"/>
      <c r="H115" s="14"/>
      <c r="I115" s="14"/>
      <c r="J115" s="14"/>
      <c r="K115" s="14"/>
      <c r="L115" s="14"/>
      <c r="M115" s="1271" t="s">
        <v>639</v>
      </c>
      <c r="N115" s="1271"/>
      <c r="O115" s="1271"/>
      <c r="P115" s="1271"/>
      <c r="Q115" s="14"/>
      <c r="R115" s="14"/>
      <c r="U115" s="14"/>
      <c r="V115" s="14"/>
      <c r="W115" s="14"/>
      <c r="X115" s="14"/>
      <c r="Y115" s="14"/>
      <c r="Z115" s="14"/>
    </row>
    <row r="116" spans="1:32" ht="17.25" customHeight="1" thickTop="1" thickBot="1">
      <c r="A116" s="14"/>
      <c r="B116" s="14"/>
      <c r="C116" s="14"/>
      <c r="D116" s="14"/>
      <c r="E116" s="14"/>
      <c r="F116" s="16"/>
      <c r="G116" s="16"/>
      <c r="H116" s="651" t="s">
        <v>52</v>
      </c>
      <c r="I116" s="651"/>
      <c r="J116" s="651"/>
      <c r="K116" s="651"/>
      <c r="L116" s="651"/>
      <c r="M116" s="651"/>
      <c r="N116" s="651"/>
      <c r="O116" s="530">
        <f>IF(OR(F58&lt;0.89,F58&gt;1.1),J24,F58)</f>
        <v>0.91509305555555531</v>
      </c>
      <c r="P116" s="531"/>
      <c r="Q116" s="531"/>
      <c r="R116" s="531"/>
      <c r="S116" s="16" t="s">
        <v>54</v>
      </c>
      <c r="U116" s="472" t="str" cm="1">
        <f t="array" ref="U116">angleDecimal2Txt(O116)</f>
        <v>+00°54.90 (+00.9150) [+00°54'54.33]</v>
      </c>
      <c r="V116" s="472"/>
      <c r="W116" s="472"/>
      <c r="X116" s="472"/>
      <c r="Y116" s="472"/>
      <c r="Z116" s="472"/>
      <c r="AC116" s="3" t="s">
        <v>313</v>
      </c>
      <c r="AD116" s="3">
        <f>ASIN(SIN(O116*Outils!F4)*COS(R113))*Outils!F5</f>
        <v>0.86622680782315009</v>
      </c>
      <c r="AF116">
        <f>ASIN(SIN(O116*Outils!F4)*COS(R113))*Outils!F5</f>
        <v>0.86622680782315009</v>
      </c>
    </row>
    <row r="117" spans="1:32" ht="17.25" customHeight="1" thickTop="1" thickBot="1">
      <c r="A117" s="14"/>
      <c r="B117" s="14"/>
      <c r="C117" s="14"/>
      <c r="D117" s="14"/>
      <c r="E117" s="14"/>
      <c r="F117" s="16"/>
      <c r="G117" s="16"/>
      <c r="H117" s="714" t="s">
        <v>140</v>
      </c>
      <c r="I117" s="517"/>
      <c r="J117" s="517"/>
      <c r="K117" s="517"/>
      <c r="L117" s="517"/>
      <c r="M117" s="517"/>
      <c r="N117" s="518"/>
      <c r="O117" s="496">
        <f>AF116</f>
        <v>0.86622680782315009</v>
      </c>
      <c r="P117" s="496"/>
      <c r="Q117" s="496"/>
      <c r="R117" s="496"/>
      <c r="S117" s="16" t="s">
        <v>54</v>
      </c>
      <c r="U117" s="472" t="str" cm="1">
        <f t="array" ref="U117">angleDecimal2Txt(O117)</f>
        <v>+00°51.97 (+00.8662) [+00°51'58.41]</v>
      </c>
      <c r="V117" s="472"/>
      <c r="W117" s="472"/>
      <c r="X117" s="472"/>
      <c r="Y117" s="472"/>
      <c r="Z117" s="472"/>
    </row>
    <row r="118" spans="1:32" ht="17.25" customHeight="1" thickTop="1">
      <c r="A118" s="14"/>
      <c r="B118" s="14"/>
      <c r="C118" s="14"/>
      <c r="D118" s="14"/>
      <c r="E118" s="14"/>
      <c r="F118" s="16"/>
      <c r="G118" s="16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32" ht="17.25" customHeight="1">
      <c r="A119" s="14"/>
      <c r="B119" s="14"/>
      <c r="C119" s="14"/>
      <c r="D119" s="14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S119" s="566" t="s">
        <v>126</v>
      </c>
      <c r="T119" s="567"/>
      <c r="U119" s="568"/>
      <c r="Y119" s="14"/>
      <c r="Z119" s="14"/>
      <c r="AC119" s="3" t="s">
        <v>49</v>
      </c>
      <c r="AD119" s="3" t="s">
        <v>185</v>
      </c>
    </row>
    <row r="120" spans="1:32" ht="17.25" customHeight="1">
      <c r="A120" s="14"/>
      <c r="B120" s="14"/>
      <c r="C120" s="14"/>
      <c r="D120" s="14"/>
      <c r="F120" s="16"/>
      <c r="G120" s="16"/>
      <c r="H120" s="651" t="s">
        <v>65</v>
      </c>
      <c r="I120" s="651"/>
      <c r="J120" s="651"/>
      <c r="K120" s="651"/>
      <c r="L120" s="651"/>
      <c r="M120" s="651"/>
      <c r="N120" s="651"/>
      <c r="O120" s="712">
        <f>S120</f>
        <v>10</v>
      </c>
      <c r="P120" s="713"/>
      <c r="Q120" s="713"/>
      <c r="R120" s="713"/>
      <c r="S120" s="706">
        <v>10</v>
      </c>
      <c r="T120" s="707"/>
      <c r="U120" s="708"/>
      <c r="Y120" s="14"/>
      <c r="Z120" s="14"/>
      <c r="AC120" s="3" t="s">
        <v>186</v>
      </c>
      <c r="AD120" s="3">
        <f>1/TAN((O113 + 7.31 / (O113 + 4.4)) * Outils!F4)</f>
        <v>2.8840758535070163</v>
      </c>
    </row>
    <row r="121" spans="1:32" ht="17.25" customHeight="1" thickBot="1">
      <c r="A121" s="14"/>
      <c r="B121" s="14"/>
      <c r="C121" s="14"/>
      <c r="D121" s="14"/>
      <c r="E121" s="14"/>
      <c r="F121" s="16"/>
      <c r="G121" s="16"/>
      <c r="H121" s="651" t="s">
        <v>66</v>
      </c>
      <c r="I121" s="651"/>
      <c r="J121" s="651"/>
      <c r="K121" s="651"/>
      <c r="L121" s="651"/>
      <c r="M121" s="651"/>
      <c r="N121" s="651"/>
      <c r="O121" s="712">
        <f>S121</f>
        <v>1010</v>
      </c>
      <c r="P121" s="713"/>
      <c r="Q121" s="713"/>
      <c r="R121" s="713"/>
      <c r="S121" s="706">
        <v>1010</v>
      </c>
      <c r="T121" s="707"/>
      <c r="U121" s="708"/>
      <c r="Y121" s="14"/>
      <c r="Z121" s="14"/>
      <c r="AC121" s="3" t="s">
        <v>187</v>
      </c>
      <c r="AD121" s="3">
        <f>AD120/60</f>
        <v>4.8067930891783607E-2</v>
      </c>
    </row>
    <row r="122" spans="1:32" ht="17.25" customHeight="1" thickTop="1" thickBot="1">
      <c r="A122" s="14"/>
      <c r="B122" s="14"/>
      <c r="C122" s="14"/>
      <c r="D122" s="14"/>
      <c r="E122" s="14"/>
      <c r="F122" s="16"/>
      <c r="G122" s="16"/>
      <c r="H122" s="714" t="s">
        <v>141</v>
      </c>
      <c r="I122" s="517"/>
      <c r="J122" s="517"/>
      <c r="K122" s="517"/>
      <c r="L122" s="517"/>
      <c r="M122" s="517"/>
      <c r="N122" s="518"/>
      <c r="O122" s="496">
        <f>AD123</f>
        <v>4.8033960622602137E-2</v>
      </c>
      <c r="P122" s="496"/>
      <c r="Q122" s="496"/>
      <c r="R122" s="496"/>
      <c r="S122" s="16" t="s">
        <v>54</v>
      </c>
      <c r="U122" s="472" t="str" cm="1">
        <f t="array" ref="U122">angleDecimal2Txt(O122)</f>
        <v>+00°02.88 (+00.0480) [+00°02'52.92]</v>
      </c>
      <c r="V122" s="472"/>
      <c r="W122" s="472"/>
      <c r="X122" s="472"/>
      <c r="Y122" s="472"/>
      <c r="Z122" s="472"/>
      <c r="AC122" s="3" t="s">
        <v>96</v>
      </c>
      <c r="AD122" s="3">
        <f xml:space="preserve"> 0.28 * O121 / (273 + O120)</f>
        <v>0.99929328621908131</v>
      </c>
    </row>
    <row r="123" spans="1:32" ht="17.25" customHeight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Y123" s="14"/>
      <c r="Z123" s="14"/>
      <c r="AC123" s="3" t="s">
        <v>184</v>
      </c>
      <c r="AD123" s="3">
        <f>AD122*AD121</f>
        <v>4.8033960622602137E-2</v>
      </c>
    </row>
    <row r="124" spans="1:32" ht="17.25" customHeight="1">
      <c r="A124" s="14"/>
      <c r="B124" s="14"/>
      <c r="C124" s="14"/>
      <c r="D124" s="14"/>
      <c r="E124" s="14"/>
      <c r="F124" s="16"/>
      <c r="G124" s="16"/>
      <c r="H124" s="651" t="s">
        <v>100</v>
      </c>
      <c r="I124" s="651"/>
      <c r="J124" s="651"/>
      <c r="K124" s="651"/>
      <c r="L124" s="651"/>
      <c r="M124" s="651"/>
      <c r="N124" s="651"/>
      <c r="O124" s="745">
        <f>IF(OR(F58&lt;0.89,F58&gt;1.1),J26,T58)</f>
        <v>0.49913192429016656</v>
      </c>
      <c r="P124" s="745"/>
      <c r="Q124" s="745"/>
      <c r="R124" s="745"/>
    </row>
    <row r="125" spans="1:32" ht="17.25" customHeight="1" thickBot="1">
      <c r="B125" s="14"/>
      <c r="C125" s="14"/>
      <c r="D125" s="14"/>
      <c r="H125" s="651" t="s">
        <v>70</v>
      </c>
      <c r="I125" s="651"/>
      <c r="J125" s="651"/>
      <c r="K125" s="651"/>
      <c r="L125" s="651"/>
      <c r="M125" s="651"/>
      <c r="N125" s="651"/>
      <c r="O125" s="745" t="str">
        <f>J23</f>
        <v>BordInf</v>
      </c>
      <c r="P125" s="745"/>
      <c r="Q125" s="745"/>
      <c r="R125" s="745"/>
      <c r="AC125" s="3" t="s">
        <v>30</v>
      </c>
      <c r="AD125" s="469" t="str">
        <f>J22</f>
        <v>Lune</v>
      </c>
      <c r="AE125" s="469"/>
    </row>
    <row r="126" spans="1:32" ht="17.25" customHeight="1" thickTop="1" thickBot="1">
      <c r="H126" s="1275" t="s">
        <v>71</v>
      </c>
      <c r="I126" s="1276"/>
      <c r="J126" s="1276"/>
      <c r="K126" s="1276"/>
      <c r="L126" s="1276"/>
      <c r="M126" s="1276"/>
      <c r="N126" s="1277"/>
      <c r="O126" s="527">
        <f>AD129</f>
        <v>0.2495659621450835</v>
      </c>
      <c r="P126" s="527"/>
      <c r="Q126" s="527"/>
      <c r="R126" s="527"/>
      <c r="S126" s="16" t="s">
        <v>54</v>
      </c>
      <c r="U126" s="472" t="str" cm="1">
        <f t="array" ref="U126">angleDecimal2Txt(O126)</f>
        <v>+00°14.97 (+00.2495) [+00°14'58.43]</v>
      </c>
      <c r="V126" s="472"/>
      <c r="W126" s="472"/>
      <c r="X126" s="472"/>
      <c r="Y126" s="472"/>
      <c r="Z126" s="472"/>
      <c r="AC126" s="3" t="s">
        <v>190</v>
      </c>
      <c r="AD126" s="469" t="str">
        <f>O125</f>
        <v>BordInf</v>
      </c>
      <c r="AE126" s="469"/>
    </row>
    <row r="127" spans="1:32" ht="17.25" customHeight="1" thickTop="1"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C127" s="3" t="s">
        <v>191</v>
      </c>
      <c r="AD127" s="703">
        <f>HLOOKUP(AD126,AD25:AF26,2)</f>
        <v>0.5</v>
      </c>
      <c r="AE127" s="703"/>
    </row>
    <row r="128" spans="1:32" ht="17.25" customHeight="1">
      <c r="G128" s="793" t="s">
        <v>107</v>
      </c>
      <c r="H128" s="794"/>
      <c r="I128" s="794"/>
      <c r="J128" s="794"/>
      <c r="K128" s="794"/>
      <c r="L128" s="794"/>
      <c r="M128" s="794"/>
      <c r="N128" s="794"/>
      <c r="O128" s="794"/>
      <c r="P128" s="794"/>
      <c r="Q128" s="794"/>
      <c r="R128" s="794"/>
      <c r="S128" s="795"/>
      <c r="T128" s="14"/>
      <c r="U128" s="14"/>
      <c r="V128" s="14"/>
      <c r="W128" s="14"/>
      <c r="X128" s="14"/>
      <c r="Y128" s="14"/>
      <c r="Z128" s="14"/>
      <c r="AC128" s="3" t="s">
        <v>100</v>
      </c>
      <c r="AD128" s="5">
        <f>O124</f>
        <v>0.49913192429016656</v>
      </c>
      <c r="AE128" s="3" cm="1">
        <f t="array" ref="AE128">angleConvert2Decimal(AD128)</f>
        <v>0.49913192429016701</v>
      </c>
    </row>
    <row r="129" spans="6:31" ht="17.25" customHeight="1">
      <c r="G129" s="746" t="s">
        <v>115</v>
      </c>
      <c r="H129" s="747"/>
      <c r="I129" s="790" t="s">
        <v>110</v>
      </c>
      <c r="J129" s="791"/>
      <c r="K129" s="791"/>
      <c r="L129" s="791"/>
      <c r="M129" s="791"/>
      <c r="N129" s="792"/>
      <c r="O129" s="796">
        <f>(O117-O122-O111+O124/2) * 60</f>
        <v>60.549528560737869</v>
      </c>
      <c r="P129" s="788"/>
      <c r="Q129" s="788"/>
      <c r="R129" s="788"/>
      <c r="S129" s="743" t="s">
        <v>108</v>
      </c>
      <c r="T129" s="14"/>
      <c r="U129" s="14"/>
      <c r="V129" s="14"/>
      <c r="W129" s="14"/>
      <c r="X129" s="14"/>
      <c r="Y129" s="14"/>
      <c r="Z129" s="14"/>
      <c r="AC129" s="3" t="s">
        <v>191</v>
      </c>
      <c r="AD129" s="703">
        <f>AE128*AD127</f>
        <v>0.2495659621450835</v>
      </c>
      <c r="AE129" s="703"/>
    </row>
    <row r="130" spans="6:31" ht="17.25" customHeight="1">
      <c r="G130" s="748"/>
      <c r="H130" s="749"/>
      <c r="I130" s="1272" t="s">
        <v>114</v>
      </c>
      <c r="J130" s="1273"/>
      <c r="K130" s="1273"/>
      <c r="L130" s="1273"/>
      <c r="M130" s="1273"/>
      <c r="N130" s="1274"/>
      <c r="O130" s="797"/>
      <c r="P130" s="789"/>
      <c r="Q130" s="789"/>
      <c r="R130" s="789"/>
      <c r="S130" s="744"/>
      <c r="T130" s="14"/>
      <c r="U130" s="14"/>
      <c r="V130" s="14"/>
      <c r="W130" s="14"/>
      <c r="X130" s="14"/>
      <c r="Y130" s="14"/>
      <c r="Z130" s="14"/>
    </row>
    <row r="131" spans="6:31" ht="17.25" customHeight="1">
      <c r="H131" s="14"/>
      <c r="I131" s="790" t="s">
        <v>111</v>
      </c>
      <c r="J131" s="791"/>
      <c r="K131" s="791"/>
      <c r="L131" s="791"/>
      <c r="M131" s="791"/>
      <c r="N131" s="792"/>
      <c r="O131" s="788">
        <f>(O117-O122+O124/2)*60</f>
        <v>64.065528560737874</v>
      </c>
      <c r="P131" s="788"/>
      <c r="Q131" s="788"/>
      <c r="R131" s="788"/>
      <c r="S131" s="743" t="s">
        <v>108</v>
      </c>
      <c r="T131" s="14"/>
      <c r="U131" s="14"/>
      <c r="V131" s="14"/>
      <c r="W131" s="14"/>
      <c r="X131" s="14"/>
      <c r="Y131" s="14"/>
      <c r="Z131" s="14"/>
    </row>
    <row r="132" spans="6:31" ht="17.25" customHeight="1">
      <c r="H132" s="14"/>
      <c r="I132" s="801" t="s">
        <v>112</v>
      </c>
      <c r="J132" s="802"/>
      <c r="K132" s="802"/>
      <c r="L132" s="802"/>
      <c r="M132" s="802"/>
      <c r="N132" s="803"/>
      <c r="O132" s="789"/>
      <c r="P132" s="789"/>
      <c r="Q132" s="789"/>
      <c r="R132" s="789"/>
      <c r="S132" s="744"/>
      <c r="T132" s="14"/>
      <c r="U132" s="14"/>
      <c r="V132" s="14"/>
      <c r="W132" s="14"/>
      <c r="X132" s="14"/>
      <c r="Y132" s="14"/>
      <c r="Z132" s="14"/>
    </row>
    <row r="133" spans="6:31" ht="17.25" customHeight="1">
      <c r="H133" s="14"/>
      <c r="I133" s="1278" t="s">
        <v>71</v>
      </c>
      <c r="J133" s="1278"/>
      <c r="K133" s="1278"/>
      <c r="L133" s="1278"/>
      <c r="M133" s="1278"/>
      <c r="N133" s="1278"/>
      <c r="O133" s="780">
        <f>O126*60</f>
        <v>14.97395772870501</v>
      </c>
      <c r="P133" s="781"/>
      <c r="Q133" s="781"/>
      <c r="R133" s="781"/>
      <c r="S133" s="73" t="s">
        <v>108</v>
      </c>
      <c r="T133" s="14"/>
      <c r="U133" s="14"/>
      <c r="V133" s="14"/>
      <c r="W133" s="14"/>
      <c r="X133" s="14"/>
      <c r="Y133" s="14"/>
      <c r="Z133" s="14"/>
    </row>
    <row r="134" spans="6:31" ht="17.25" customHeight="1" thickBot="1"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</row>
    <row r="135" spans="6:31" ht="17.25" customHeight="1" thickTop="1" thickBot="1">
      <c r="H135" s="1124" t="s">
        <v>142</v>
      </c>
      <c r="I135" s="1125"/>
      <c r="J135" s="1125"/>
      <c r="K135" s="1125"/>
      <c r="L135" s="1125"/>
      <c r="M135" s="1125"/>
      <c r="N135" s="1126"/>
      <c r="O135" s="529">
        <f>O113-O122+O117+O126</f>
        <v>19.875825476012299</v>
      </c>
      <c r="P135" s="496"/>
      <c r="Q135" s="496"/>
      <c r="R135" s="496"/>
      <c r="S135" s="16" t="s">
        <v>54</v>
      </c>
      <c r="U135" s="472" t="str" cm="1">
        <f t="array" ref="U135">angleDecimal2Txt(O135)</f>
        <v>+19°52.54 (+19.8758) [+19°52'32.97]</v>
      </c>
      <c r="V135" s="472"/>
      <c r="W135" s="472"/>
      <c r="X135" s="472"/>
      <c r="Y135" s="472"/>
      <c r="Z135" s="472"/>
    </row>
    <row r="136" spans="6:31" ht="17.25" customHeight="1" thickTop="1"/>
    <row r="137" spans="6:31" ht="17.25" customHeight="1">
      <c r="F137" s="1128" t="s">
        <v>63</v>
      </c>
      <c r="G137" s="1128"/>
      <c r="H137" s="1128"/>
      <c r="I137" s="1128"/>
      <c r="J137" s="496" t="str">
        <f>IF(G107=AD107,O145,"---")</f>
        <v>---</v>
      </c>
      <c r="K137" s="496"/>
      <c r="L137" s="496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</row>
    <row r="138" spans="6:31" ht="17.25" customHeight="1">
      <c r="F138"/>
      <c r="G138"/>
      <c r="H138"/>
      <c r="I138"/>
      <c r="J138"/>
      <c r="K138"/>
      <c r="L138"/>
    </row>
    <row r="139" spans="6:31" ht="17.25" customHeight="1">
      <c r="F139"/>
      <c r="G139"/>
      <c r="H139"/>
      <c r="I139"/>
      <c r="J139"/>
      <c r="K139"/>
      <c r="L139"/>
      <c r="T139" s="100" t="s">
        <v>82</v>
      </c>
      <c r="U139" s="1166" t="s">
        <v>33</v>
      </c>
      <c r="V139" s="1166"/>
    </row>
    <row r="140" spans="6:31" ht="17.25" customHeight="1">
      <c r="T140" s="101" t="s">
        <v>78</v>
      </c>
      <c r="U140" s="1166" t="s">
        <v>80</v>
      </c>
      <c r="V140" s="1166"/>
    </row>
    <row r="141" spans="6:31" ht="17.25" customHeight="1">
      <c r="H141" s="16" t="s">
        <v>72</v>
      </c>
      <c r="I141" s="40" t="s">
        <v>74</v>
      </c>
      <c r="J141" s="16" t="s">
        <v>60</v>
      </c>
      <c r="K141" s="1167" t="s">
        <v>75</v>
      </c>
      <c r="L141" s="16" t="s">
        <v>59</v>
      </c>
      <c r="N141" s="1167" t="s">
        <v>77</v>
      </c>
      <c r="O141" s="40" t="s">
        <v>231</v>
      </c>
      <c r="Q141" s="1167" t="s">
        <v>77</v>
      </c>
      <c r="R141" s="16" t="s">
        <v>232</v>
      </c>
      <c r="T141" s="99" t="s">
        <v>79</v>
      </c>
      <c r="U141" s="1168" t="s">
        <v>81</v>
      </c>
      <c r="V141" s="1168"/>
      <c r="Z141"/>
      <c r="AA141"/>
    </row>
    <row r="142" spans="6:31" ht="17.25" customHeight="1" thickBot="1">
      <c r="I142" s="40"/>
      <c r="J142" s="42">
        <f>O109</f>
        <v>18.916666666666668</v>
      </c>
      <c r="K142" s="1167"/>
      <c r="L142" s="782">
        <f>O110</f>
        <v>0.05</v>
      </c>
      <c r="M142" s="783"/>
      <c r="N142" s="1167"/>
      <c r="O142" s="786" t="s">
        <v>146</v>
      </c>
      <c r="P142" s="787"/>
      <c r="Q142" s="1167"/>
      <c r="R142" s="102" t="s">
        <v>79</v>
      </c>
      <c r="V142"/>
      <c r="W142"/>
      <c r="X142"/>
      <c r="Y142"/>
      <c r="Z142"/>
      <c r="AA142"/>
    </row>
    <row r="143" spans="6:31" ht="17.25" customHeight="1" thickTop="1" thickBot="1">
      <c r="I143" s="40"/>
      <c r="J143"/>
      <c r="K143" s="40" t="s">
        <v>230</v>
      </c>
      <c r="L143" s="784" cm="1">
        <f t="array" ref="L143">angleConvert2Decimal(L142)</f>
        <v>0.05</v>
      </c>
      <c r="M143" s="785"/>
      <c r="O143" s="740" cm="1">
        <f t="array" ref="O143">angleConvert2Decimal(O142)</f>
        <v>0.17166666666666669</v>
      </c>
      <c r="P143" s="741"/>
      <c r="Q143" s="11"/>
      <c r="R143" s="93" cm="1">
        <f t="array" ref="R143">angleConvert2Decimal(R142)</f>
        <v>-0.53333333333333333</v>
      </c>
      <c r="S143"/>
      <c r="T143" s="7" t="s">
        <v>103</v>
      </c>
      <c r="U143" s="7"/>
      <c r="V143" s="7">
        <f>R143+O143</f>
        <v>-0.36166666666666664</v>
      </c>
      <c r="W143" s="804" t="str" cm="1">
        <f t="array" ref="W143">angleDecimal2Txt(V143)</f>
        <v>-00°21.69 (-00.3616) [-00°21'42.00]</v>
      </c>
      <c r="X143" s="805"/>
      <c r="Y143" s="805"/>
      <c r="Z143" s="805"/>
      <c r="AA143" s="494"/>
    </row>
    <row r="144" spans="6:31" ht="17.25" customHeight="1" thickTop="1" thickBot="1">
      <c r="I144" s="40"/>
      <c r="K144" s="40"/>
      <c r="N144" s="40"/>
      <c r="Q144" s="40"/>
      <c r="R144" s="45"/>
    </row>
    <row r="145" spans="2:29" ht="17.25" customHeight="1" thickTop="1" thickBot="1">
      <c r="H145" s="1124" t="s">
        <v>145</v>
      </c>
      <c r="I145" s="1125"/>
      <c r="J145" s="1125"/>
      <c r="K145" s="1125"/>
      <c r="L145" s="1125"/>
      <c r="M145" s="1125"/>
      <c r="N145" s="1126"/>
      <c r="O145" s="529">
        <f>J142-L143+O143+R143</f>
        <v>18.504999999999999</v>
      </c>
      <c r="P145" s="496"/>
      <c r="Q145" s="496"/>
      <c r="R145" s="496"/>
      <c r="S145" s="16" t="s">
        <v>54</v>
      </c>
      <c r="U145" s="472" t="str" cm="1">
        <f t="array" ref="U145">angleDecimal2Txt(O145)</f>
        <v>+18°30.30 (+18.5049) [+18°30'18.00]</v>
      </c>
      <c r="V145" s="472"/>
      <c r="W145" s="472"/>
      <c r="X145" s="472"/>
      <c r="Y145" s="472"/>
      <c r="Z145" s="472"/>
    </row>
    <row r="146" spans="2:29" ht="17.25" customHeight="1" thickTop="1" thickBot="1">
      <c r="D146" s="46"/>
    </row>
    <row r="147" spans="2:29" ht="17.25" customHeight="1" thickBot="1">
      <c r="B147" s="25" t="s">
        <v>44</v>
      </c>
      <c r="C147" s="26"/>
      <c r="D147" s="47"/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62"/>
    </row>
    <row r="148" spans="2:29" ht="17.25" customHeight="1">
      <c r="C148" s="16"/>
      <c r="D148" s="16"/>
      <c r="E148" s="16"/>
      <c r="F148" s="16"/>
      <c r="G148" s="16"/>
      <c r="O148" s="632" t="s">
        <v>83</v>
      </c>
      <c r="P148" s="632"/>
      <c r="Q148" s="632"/>
      <c r="R148" s="632"/>
      <c r="S148" s="632"/>
      <c r="T148" s="632"/>
      <c r="U148" s="632"/>
      <c r="V148" s="632"/>
      <c r="W148" s="632"/>
      <c r="X148" s="632"/>
      <c r="Y148" s="632"/>
      <c r="Z148" s="632"/>
      <c r="AA148" s="632"/>
    </row>
    <row r="149" spans="2:29" ht="17.25" customHeight="1">
      <c r="C149" s="14"/>
      <c r="D149" s="14"/>
      <c r="E149" s="750" t="s">
        <v>22</v>
      </c>
      <c r="F149" s="751"/>
      <c r="G149" s="751"/>
      <c r="H149" s="751"/>
      <c r="I149" s="879" cm="1">
        <f t="array" ref="I149">astroCalculHc(Q150,Q149,Q151)</f>
        <v>-30.425081885051874</v>
      </c>
      <c r="J149" s="879"/>
      <c r="K149" s="879"/>
      <c r="L149" s="879"/>
      <c r="M149" s="879"/>
      <c r="O149" s="525" t="s">
        <v>84</v>
      </c>
      <c r="P149" s="525"/>
      <c r="Q149" s="525">
        <f>F37</f>
        <v>14.728333333333333</v>
      </c>
      <c r="R149" s="525"/>
      <c r="S149" s="525"/>
      <c r="T149" s="490" t="s">
        <v>54</v>
      </c>
      <c r="U149" s="575">
        <f>Q149*Outils!$F$4</f>
        <v>0.25705790999789818</v>
      </c>
      <c r="V149" s="576"/>
      <c r="W149" s="631"/>
      <c r="X149" s="490" t="s">
        <v>64</v>
      </c>
    </row>
    <row r="150" spans="2:29" ht="17.25" customHeight="1" thickBot="1">
      <c r="C150" s="14"/>
      <c r="D150" s="14"/>
      <c r="E150" s="752"/>
      <c r="F150" s="753"/>
      <c r="G150" s="753"/>
      <c r="H150" s="753"/>
      <c r="I150" s="879"/>
      <c r="J150" s="879"/>
      <c r="K150" s="879"/>
      <c r="L150" s="879"/>
      <c r="M150" s="879"/>
      <c r="N150" s="48" t="s">
        <v>116</v>
      </c>
      <c r="O150" s="525" t="s">
        <v>85</v>
      </c>
      <c r="P150" s="525"/>
      <c r="Q150" s="525">
        <f>G32</f>
        <v>-27.5</v>
      </c>
      <c r="R150" s="525"/>
      <c r="S150" s="525"/>
      <c r="T150" s="490"/>
      <c r="U150" s="575">
        <f>Q150*Outils!$F$4</f>
        <v>-0.47996554429844063</v>
      </c>
      <c r="V150" s="576"/>
      <c r="W150" s="631"/>
      <c r="X150" s="490"/>
    </row>
    <row r="151" spans="2:29" ht="17.25" customHeight="1" thickTop="1" thickBot="1">
      <c r="C151" s="14"/>
      <c r="D151" s="14"/>
      <c r="E151" s="754"/>
      <c r="F151" s="755"/>
      <c r="G151" s="755"/>
      <c r="H151" s="755"/>
      <c r="I151" s="472" t="str" cm="1">
        <f t="array" ref="I151">angleDecimal2Txt(I149)</f>
        <v>-30°25.50 (-30.4250) [-30°25'30.29]</v>
      </c>
      <c r="J151" s="472"/>
      <c r="K151" s="472"/>
      <c r="L151" s="472"/>
      <c r="M151" s="472"/>
      <c r="O151" s="525" t="s">
        <v>43</v>
      </c>
      <c r="P151" s="525"/>
      <c r="Q151" s="525">
        <f>F103</f>
        <v>243.03333333333333</v>
      </c>
      <c r="R151" s="525"/>
      <c r="S151" s="525"/>
      <c r="T151" s="490"/>
      <c r="U151" s="575">
        <f>Q151*Outils!$F$4</f>
        <v>4.2417318587635524</v>
      </c>
      <c r="V151" s="576"/>
      <c r="W151" s="631"/>
      <c r="X151" s="490"/>
    </row>
    <row r="152" spans="2:29" ht="17.25" customHeight="1" thickTop="1">
      <c r="C152" s="14"/>
      <c r="D152" s="14"/>
      <c r="E152" s="16"/>
      <c r="F152" s="16"/>
      <c r="G152" s="16"/>
    </row>
    <row r="153" spans="2:29" ht="17.25" customHeight="1">
      <c r="C153" s="14"/>
      <c r="D153" s="14"/>
      <c r="E153" s="750" t="s">
        <v>25</v>
      </c>
      <c r="F153" s="751"/>
      <c r="G153" s="751"/>
      <c r="H153" s="751"/>
      <c r="I153" s="879">
        <f>F106</f>
        <v>19.875825476012299</v>
      </c>
      <c r="J153" s="879"/>
      <c r="K153" s="879"/>
      <c r="L153" s="879"/>
      <c r="M153" s="879"/>
    </row>
    <row r="154" spans="2:29" ht="17.25" customHeight="1" thickBot="1">
      <c r="C154" s="14"/>
      <c r="D154" s="14"/>
      <c r="E154" s="752"/>
      <c r="F154" s="753"/>
      <c r="G154" s="753"/>
      <c r="H154" s="753"/>
      <c r="I154" s="879"/>
      <c r="J154" s="879"/>
      <c r="K154" s="879"/>
      <c r="L154" s="879"/>
      <c r="M154" s="879"/>
      <c r="O154" s="1157" t="s">
        <v>27</v>
      </c>
      <c r="P154" s="1158"/>
      <c r="Q154" s="1158"/>
      <c r="R154" s="1158"/>
      <c r="S154" s="1159"/>
      <c r="T154" s="49">
        <f>I153-I149</f>
        <v>50.300907361064176</v>
      </c>
      <c r="U154" s="50" t="s">
        <v>28</v>
      </c>
      <c r="V154" s="51">
        <f>T154*60</f>
        <v>3018.0544416638504</v>
      </c>
      <c r="W154" s="50" t="s">
        <v>104</v>
      </c>
      <c r="X154" s="14"/>
      <c r="Y154" s="497" t="str">
        <f>IF(T154&gt;0,"Vers Pg", "Oppose de Pg")</f>
        <v>Vers Pg</v>
      </c>
      <c r="Z154" s="497"/>
    </row>
    <row r="155" spans="2:29" ht="17.25" customHeight="1" thickTop="1" thickBot="1">
      <c r="C155" s="14"/>
      <c r="D155" s="14"/>
      <c r="E155" s="754"/>
      <c r="F155" s="755"/>
      <c r="G155" s="755"/>
      <c r="H155" s="755"/>
      <c r="I155" s="472" t="str" cm="1">
        <f t="array" ref="I155">angleDecimal2Txt(I153)</f>
        <v>+19°52.54 (+19.8758) [+19°52'32.97]</v>
      </c>
      <c r="J155" s="472"/>
      <c r="K155" s="472"/>
      <c r="L155" s="472"/>
      <c r="M155" s="472"/>
      <c r="S155" s="1248" t="s">
        <v>350</v>
      </c>
      <c r="T155" s="1249" t="s">
        <v>367</v>
      </c>
      <c r="U155" s="1249"/>
      <c r="V155" s="1249">
        <f>F37</f>
        <v>14.728333333333333</v>
      </c>
      <c r="W155" s="1249"/>
      <c r="X155" s="1250" t="str">
        <f>latitudeDecimal2Txt(V155)</f>
        <v>N 14°43.70 (N 14.7283) [N 14°43'42.00]</v>
      </c>
      <c r="Y155" s="1250"/>
      <c r="Z155" s="1250"/>
      <c r="AA155" s="1250"/>
      <c r="AB155" s="1250"/>
      <c r="AC155" s="1250"/>
    </row>
    <row r="156" spans="2:29" ht="17.25" customHeight="1" thickTop="1">
      <c r="C156" s="14"/>
      <c r="D156" s="14"/>
      <c r="E156" s="16"/>
      <c r="F156" s="16"/>
      <c r="G156" s="16"/>
      <c r="S156" s="1248"/>
      <c r="T156" s="1251" t="s">
        <v>368</v>
      </c>
      <c r="U156" s="1251"/>
      <c r="V156" s="1249" cm="1">
        <f t="array" ref="V156">longitudeHoraire2longitude(F82)</f>
        <v>179.96666666666667</v>
      </c>
      <c r="W156" s="1251"/>
      <c r="X156" s="1252" t="str">
        <f>longitudeDecimal2Txt(V156)</f>
        <v>E 179°58.00 (E 179.9666) [E 179°58'00.00]</v>
      </c>
      <c r="Y156" s="1252"/>
      <c r="Z156" s="1252"/>
      <c r="AA156" s="1252"/>
      <c r="AB156" s="1252"/>
      <c r="AC156" s="1252"/>
    </row>
    <row r="157" spans="2:29" ht="17.25" customHeight="1">
      <c r="C157" s="16"/>
      <c r="D157" s="16"/>
      <c r="E157" s="16"/>
      <c r="F157" s="16"/>
      <c r="T157" s="14"/>
      <c r="U157" s="14"/>
      <c r="V157" s="14"/>
      <c r="W157" s="14"/>
      <c r="X157" s="14"/>
      <c r="Y157" s="14"/>
    </row>
    <row r="158" spans="2:29" ht="17.25" customHeight="1">
      <c r="E158" s="16"/>
      <c r="F158" s="16"/>
      <c r="G158" s="16"/>
      <c r="T158" s="14"/>
      <c r="U158" s="14"/>
      <c r="V158" s="14"/>
      <c r="W158" s="14"/>
      <c r="X158" s="14"/>
      <c r="Y158" s="14"/>
    </row>
    <row r="159" spans="2:29" ht="17.25" customHeight="1">
      <c r="E159" s="16"/>
    </row>
    <row r="160" spans="2:29" ht="17.25" customHeight="1">
      <c r="E160" s="16"/>
      <c r="F160" s="16"/>
      <c r="G160" s="16"/>
      <c r="O160" s="669" t="s">
        <v>86</v>
      </c>
      <c r="P160" s="670"/>
      <c r="Q160" s="670"/>
      <c r="R160" s="670"/>
      <c r="S160" s="670"/>
      <c r="T160" s="670"/>
      <c r="U160" s="670"/>
      <c r="V160" s="670"/>
      <c r="W160" s="670"/>
      <c r="X160" s="670"/>
      <c r="Y160" s="670"/>
      <c r="Z160" s="670"/>
      <c r="AA160" s="670"/>
    </row>
    <row r="161" spans="1:28" ht="17.25" customHeight="1">
      <c r="A161" s="14"/>
      <c r="B161" s="14"/>
      <c r="C161" s="14"/>
      <c r="D161" s="14"/>
      <c r="E161" s="750" t="s">
        <v>92</v>
      </c>
      <c r="F161" s="751"/>
      <c r="G161" s="751"/>
      <c r="H161" s="1253"/>
      <c r="I161" s="482" cm="1">
        <f t="array" ref="I161">astroCalculZ(Q162,Q161,Q163)</f>
        <v>91.528457893536398</v>
      </c>
      <c r="J161" s="482"/>
      <c r="K161" s="482"/>
      <c r="L161" s="482"/>
      <c r="M161" s="483"/>
      <c r="O161" s="525" t="s">
        <v>84</v>
      </c>
      <c r="P161" s="525"/>
      <c r="Q161" s="525">
        <f>Q149</f>
        <v>14.728333333333333</v>
      </c>
      <c r="R161" s="525"/>
      <c r="S161" s="525"/>
      <c r="T161" s="490" t="s">
        <v>54</v>
      </c>
      <c r="U161" s="525">
        <f>Q161*Outils!$F$4</f>
        <v>0.25705790999789818</v>
      </c>
      <c r="V161" s="525"/>
      <c r="W161" s="525"/>
      <c r="X161" s="490" t="s">
        <v>64</v>
      </c>
    </row>
    <row r="162" spans="1:28" ht="17.25" customHeight="1" thickBot="1">
      <c r="C162" s="14"/>
      <c r="D162" s="14"/>
      <c r="E162" s="752"/>
      <c r="F162" s="753"/>
      <c r="G162" s="753"/>
      <c r="H162" s="1254"/>
      <c r="I162" s="924"/>
      <c r="J162" s="924"/>
      <c r="K162" s="924"/>
      <c r="L162" s="924"/>
      <c r="M162" s="925"/>
      <c r="N162" s="48" t="s">
        <v>116</v>
      </c>
      <c r="O162" s="525" t="s">
        <v>85</v>
      </c>
      <c r="P162" s="525"/>
      <c r="Q162" s="525">
        <f>Q150</f>
        <v>-27.5</v>
      </c>
      <c r="R162" s="525"/>
      <c r="S162" s="525"/>
      <c r="T162" s="490"/>
      <c r="U162" s="525">
        <f>Q162*Outils!$F$4</f>
        <v>-0.47996554429844063</v>
      </c>
      <c r="V162" s="525"/>
      <c r="W162" s="525"/>
      <c r="X162" s="490"/>
    </row>
    <row r="163" spans="1:28" ht="17.25" customHeight="1" thickTop="1" thickBot="1">
      <c r="C163" s="14"/>
      <c r="D163" s="14"/>
      <c r="E163" s="754"/>
      <c r="F163" s="755"/>
      <c r="G163" s="755"/>
      <c r="H163" s="1255"/>
      <c r="I163" s="871" t="str" cm="1">
        <f t="array" ref="I163">angleDecimal2Txt(I161)</f>
        <v>+91°31.70 (+91.5284) [+91°31'42.44]</v>
      </c>
      <c r="J163" s="549"/>
      <c r="K163" s="549"/>
      <c r="L163" s="549"/>
      <c r="M163" s="549"/>
      <c r="O163" s="525" t="s">
        <v>43</v>
      </c>
      <c r="P163" s="525"/>
      <c r="Q163" s="525">
        <f>Q151</f>
        <v>243.03333333333333</v>
      </c>
      <c r="R163" s="525"/>
      <c r="S163" s="525"/>
      <c r="T163" s="490"/>
      <c r="U163" s="525">
        <f>Q163*Outils!$F$4</f>
        <v>4.2417318587635524</v>
      </c>
      <c r="V163" s="525"/>
      <c r="W163" s="525"/>
      <c r="X163" s="490"/>
    </row>
    <row r="164" spans="1:28" ht="17.25" customHeight="1" thickTop="1">
      <c r="C164" s="14"/>
      <c r="D164" s="14"/>
      <c r="E164" s="16"/>
      <c r="F164" s="16"/>
      <c r="G164" s="16"/>
    </row>
    <row r="165" spans="1:28" ht="17.25" customHeight="1">
      <c r="C165" s="16"/>
      <c r="D165" s="16"/>
      <c r="F165" s="16"/>
      <c r="G165" s="16"/>
      <c r="I165" s="765" t="s">
        <v>143</v>
      </c>
      <c r="J165" s="766"/>
      <c r="K165" s="766"/>
      <c r="L165" s="766"/>
      <c r="M165" s="766"/>
      <c r="N165" s="767"/>
      <c r="O165" s="765" t="s">
        <v>144</v>
      </c>
      <c r="P165" s="766"/>
      <c r="Q165" s="766"/>
      <c r="R165" s="766"/>
      <c r="S165" s="766"/>
      <c r="T165" s="767"/>
    </row>
    <row r="166" spans="1:28" ht="17.25" customHeight="1">
      <c r="F166" s="16"/>
      <c r="G166" s="16"/>
      <c r="I166" s="860"/>
      <c r="J166" s="659" t="s">
        <v>117</v>
      </c>
      <c r="K166" s="660"/>
      <c r="L166" s="661"/>
      <c r="M166" s="665" t="s">
        <v>118</v>
      </c>
      <c r="N166" s="666"/>
      <c r="O166" s="860"/>
      <c r="P166" s="659" t="s">
        <v>117</v>
      </c>
      <c r="Q166" s="660"/>
      <c r="R166" s="661"/>
      <c r="S166" s="665" t="s">
        <v>119</v>
      </c>
      <c r="T166" s="666"/>
    </row>
    <row r="167" spans="1:28" ht="17.25" customHeight="1">
      <c r="F167" s="16"/>
      <c r="G167" s="16"/>
      <c r="I167" s="861"/>
      <c r="J167" s="662" t="s">
        <v>87</v>
      </c>
      <c r="K167" s="663"/>
      <c r="L167" s="664"/>
      <c r="M167" s="667" t="s">
        <v>88</v>
      </c>
      <c r="N167" s="668"/>
      <c r="O167" s="861"/>
      <c r="P167" s="662" t="s">
        <v>87</v>
      </c>
      <c r="Q167" s="663"/>
      <c r="R167" s="664"/>
      <c r="S167" s="667" t="s">
        <v>89</v>
      </c>
      <c r="T167" s="668"/>
    </row>
    <row r="168" spans="1:28" ht="17.25" customHeight="1">
      <c r="F168" s="14"/>
      <c r="G168" s="14"/>
      <c r="H168" s="14"/>
      <c r="I168" s="14"/>
      <c r="J168" s="14"/>
      <c r="K168" s="14"/>
      <c r="Q168" s="14"/>
      <c r="R168" s="14"/>
      <c r="S168" s="14"/>
      <c r="T168" s="1243"/>
      <c r="U168" s="1243"/>
      <c r="V168" s="1243"/>
      <c r="W168" s="14"/>
      <c r="X168" s="1243"/>
      <c r="Y168" s="1243"/>
      <c r="Z168" s="1243"/>
    </row>
    <row r="169" spans="1:28" ht="17.25" customHeight="1">
      <c r="F169" s="14"/>
      <c r="N169" s="1244"/>
      <c r="O169" s="1244"/>
      <c r="Q169" s="1243"/>
      <c r="R169" s="1243"/>
      <c r="S169" s="1243"/>
      <c r="T169" s="1243"/>
      <c r="U169" s="1243"/>
      <c r="V169" s="1243"/>
      <c r="W169" s="14"/>
      <c r="X169" s="1243"/>
      <c r="Y169" s="1243"/>
      <c r="Z169" s="1243"/>
    </row>
    <row r="170" spans="1:28" ht="17.25" customHeight="1">
      <c r="I170" s="525" t="s">
        <v>85</v>
      </c>
      <c r="J170" s="525"/>
      <c r="K170" s="57">
        <f>Q162</f>
        <v>-27.5</v>
      </c>
      <c r="L170" s="496" t="str">
        <f>CONCATENATE("Sens: ",IF(Q162&gt;0,"Nord","Sud"))</f>
        <v>Sens: Sud</v>
      </c>
      <c r="M170" s="496"/>
    </row>
    <row r="171" spans="1:28" ht="17.25" customHeight="1" thickBot="1">
      <c r="I171" s="525" t="s">
        <v>43</v>
      </c>
      <c r="J171" s="525"/>
      <c r="K171" s="57">
        <f>Q163</f>
        <v>243.03333333333333</v>
      </c>
      <c r="L171" s="496" t="str">
        <f>CONCATENATE("Is &gt; 180? ", IF(Q163&gt;180,"Y", "N"))</f>
        <v>Is &gt; 180? Y</v>
      </c>
      <c r="M171" s="496"/>
      <c r="O171" s="1157" t="s">
        <v>93</v>
      </c>
      <c r="P171" s="1158"/>
      <c r="Q171" s="1158"/>
      <c r="R171" s="1158"/>
      <c r="S171" s="1158"/>
      <c r="T171" s="1245" cm="1">
        <f t="array" ref="T171">astroCalculZ2Zn(Q162,I161,Q163)</f>
        <v>88.471542106463602</v>
      </c>
      <c r="U171" s="1246"/>
      <c r="V171" s="50" t="s">
        <v>28</v>
      </c>
      <c r="W171" s="14"/>
    </row>
    <row r="172" spans="1:28" ht="17.25" customHeight="1" thickTop="1" thickBot="1">
      <c r="I172" s="575" t="s">
        <v>120</v>
      </c>
      <c r="J172" s="576"/>
      <c r="K172" s="577"/>
      <c r="L172" s="496" t="str">
        <f>IF(K170&gt;0,IF(K171&gt;180,M166,M167),IF(K171&gt;180,S166,S167))</f>
        <v>Zn = 180 - Z</v>
      </c>
      <c r="M172" s="496"/>
      <c r="T172" s="472" t="str" cm="1">
        <f t="array" ref="T172">angleDecimal2Txt(T171)</f>
        <v>+88°28.29 (+88.4715) [+88°28'17.55]</v>
      </c>
      <c r="U172" s="472"/>
      <c r="V172" s="472"/>
      <c r="W172" s="472"/>
      <c r="X172" s="472"/>
      <c r="Y172" s="472"/>
    </row>
    <row r="173" spans="1:28" ht="17.25" customHeight="1" thickTop="1"/>
    <row r="174" spans="1:28" ht="17.25" customHeight="1" thickBot="1"/>
    <row r="175" spans="1:28" ht="17.25" customHeight="1" thickBot="1">
      <c r="B175" s="25" t="s">
        <v>233</v>
      </c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85"/>
      <c r="AB175" s="62"/>
    </row>
    <row r="177" spans="2:33" ht="17.25" customHeight="1" thickBot="1">
      <c r="C177" s="573" t="s">
        <v>234</v>
      </c>
      <c r="D177" s="573"/>
      <c r="E177" s="573"/>
      <c r="F177" s="573"/>
      <c r="G177" s="103"/>
      <c r="H177" s="573" t="s">
        <v>235</v>
      </c>
      <c r="I177" s="573"/>
      <c r="J177" s="573"/>
      <c r="L177" s="908" t="s">
        <v>224</v>
      </c>
      <c r="M177" s="908"/>
      <c r="N177" s="908"/>
      <c r="Q177" s="1156" t="s">
        <v>236</v>
      </c>
      <c r="R177" s="1156"/>
      <c r="S177" s="1156"/>
      <c r="T177" s="1156"/>
      <c r="U177" s="90"/>
      <c r="AC177" t="s">
        <v>221</v>
      </c>
      <c r="AD177" s="92">
        <f>I178/60</f>
        <v>50.300907361064176</v>
      </c>
    </row>
    <row r="178" spans="2:33" ht="17.25" customHeight="1" thickTop="1" thickBot="1">
      <c r="D178" s="107" t="s">
        <v>41</v>
      </c>
      <c r="E178" s="581">
        <f>Q162</f>
        <v>-27.5</v>
      </c>
      <c r="F178" s="581"/>
      <c r="I178" s="581">
        <f>V154</f>
        <v>3018.0544416638504</v>
      </c>
      <c r="J178" s="581"/>
      <c r="K178" s="16" t="s">
        <v>104</v>
      </c>
      <c r="M178" s="581">
        <f>T171</f>
        <v>88.471542106463602</v>
      </c>
      <c r="N178" s="581"/>
      <c r="R178" s="105" t="s">
        <v>41</v>
      </c>
      <c r="S178" s="469">
        <f>AD180</f>
        <v>-26.158300820012244</v>
      </c>
      <c r="T178" s="469"/>
      <c r="U178" s="470" t="str" cm="1">
        <f t="array" ref="U178">latitudeDecimal2Txt(S178)</f>
        <v>S 26°09.49 (S 26.1583) [S 26°09'29.88]</v>
      </c>
      <c r="V178" s="470"/>
      <c r="W178" s="470"/>
      <c r="X178" s="470"/>
      <c r="Y178" s="470"/>
      <c r="Z178" s="470"/>
      <c r="AC178" t="s">
        <v>222</v>
      </c>
      <c r="AD178" s="92">
        <f>M178</f>
        <v>88.471542106463602</v>
      </c>
    </row>
    <row r="179" spans="2:33" ht="17.25" customHeight="1" thickTop="1" thickBot="1">
      <c r="D179" s="107" t="s">
        <v>42</v>
      </c>
      <c r="E179" s="581">
        <f>G34</f>
        <v>63</v>
      </c>
      <c r="F179" s="581"/>
      <c r="R179" s="105" t="s">
        <v>42</v>
      </c>
      <c r="S179" s="469">
        <f>AD182</f>
        <v>119.34857932010786</v>
      </c>
      <c r="T179" s="469"/>
      <c r="U179" s="470" t="str" cm="1">
        <f t="array" ref="U179">longitudeDecimal2Txt(S179)</f>
        <v>E 119°20.91 (E 119.3485) [E 119°20'54.88]</v>
      </c>
      <c r="V179" s="470"/>
      <c r="W179" s="470"/>
      <c r="X179" s="470"/>
      <c r="Y179" s="470"/>
      <c r="Z179" s="470"/>
      <c r="AC179" s="16"/>
      <c r="AD179" s="16"/>
    </row>
    <row r="180" spans="2:33" ht="17.25" customHeight="1" thickTop="1">
      <c r="D180" s="16"/>
      <c r="AC180" t="s">
        <v>238</v>
      </c>
      <c r="AD180">
        <f>E178+AD177*COS(AD178*Outils!$F$4)</f>
        <v>-26.158300820012244</v>
      </c>
    </row>
    <row r="181" spans="2:33" ht="17.25" customHeight="1">
      <c r="C181"/>
      <c r="D181"/>
      <c r="E181"/>
      <c r="Q181" s="1156" t="s">
        <v>237</v>
      </c>
      <c r="R181" s="1156"/>
      <c r="S181" s="1156"/>
      <c r="AC181" t="s">
        <v>239</v>
      </c>
      <c r="AD181">
        <f>(E178+AD180)/2</f>
        <v>-26.829150410006122</v>
      </c>
    </row>
    <row r="182" spans="2:33" ht="17.25" customHeight="1">
      <c r="R182" s="469">
        <f>M178-90</f>
        <v>-1.5284578935363982</v>
      </c>
      <c r="S182" s="469"/>
      <c r="T182" s="50" t="s">
        <v>28</v>
      </c>
      <c r="AC182" t="s">
        <v>240</v>
      </c>
      <c r="AD182">
        <f>E179+(AD177*SIN(M178*Outils!$F$4)/COS(AD181*Outils!$F$4))</f>
        <v>119.34857932010786</v>
      </c>
    </row>
    <row r="183" spans="2:33" customFormat="1" ht="17.25" customHeight="1"/>
    <row r="184" spans="2:33" customFormat="1" ht="17.25" customHeight="1" thickBot="1"/>
    <row r="185" spans="2:33" customFormat="1" ht="17.25" customHeight="1" thickBot="1">
      <c r="B185" s="109" t="s">
        <v>241</v>
      </c>
      <c r="C185" s="110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1"/>
    </row>
    <row r="186" spans="2:33" customFormat="1" ht="17.25" customHeight="1">
      <c r="AD186" s="92"/>
    </row>
    <row r="187" spans="2:33" customFormat="1" ht="17.25" customHeight="1" thickBot="1">
      <c r="C187" s="571" t="s">
        <v>236</v>
      </c>
      <c r="D187" s="571"/>
      <c r="E187" s="571"/>
      <c r="F187" s="571"/>
      <c r="G187" s="90"/>
      <c r="H187" s="16"/>
      <c r="I187" s="16"/>
      <c r="J187" s="16"/>
      <c r="K187" s="16"/>
      <c r="L187" s="16"/>
      <c r="Q187" s="104" t="s">
        <v>242</v>
      </c>
      <c r="R187" s="104"/>
      <c r="S187" s="104"/>
      <c r="T187" s="104"/>
      <c r="U187" s="104"/>
      <c r="V187" s="104"/>
      <c r="W187" s="104"/>
      <c r="AC187" t="s">
        <v>272</v>
      </c>
      <c r="AD187" s="92"/>
      <c r="AE187" t="b">
        <f>(ABS(D192-90)&lt;0.1)</f>
        <v>0</v>
      </c>
    </row>
    <row r="188" spans="2:33" customFormat="1" ht="17.25" customHeight="1" thickTop="1" thickBot="1">
      <c r="D188" s="106" t="s">
        <v>41</v>
      </c>
      <c r="E188" s="572">
        <v>46</v>
      </c>
      <c r="F188" s="572"/>
      <c r="G188" s="470" t="str" cm="1">
        <f t="array" ref="G188">latitudeDecimal2Txt(E188)</f>
        <v>N 46°00.00 (N 46.0000) [N 46°00'00.00]</v>
      </c>
      <c r="H188" s="470"/>
      <c r="I188" s="470"/>
      <c r="J188" s="470"/>
      <c r="K188" s="470"/>
      <c r="L188" s="470"/>
      <c r="R188" s="105" t="s">
        <v>41</v>
      </c>
      <c r="S188" s="469">
        <f>AG192</f>
        <v>4224.0418422332132</v>
      </c>
      <c r="T188" s="469"/>
      <c r="U188" s="470" t="str" cm="1">
        <f t="array" ref="U188">latitudeDecimal2Txt(S188)</f>
        <v>N 00°00.00 (N 00.0000) [N 00°00'00.00]</v>
      </c>
      <c r="V188" s="470"/>
      <c r="W188" s="470"/>
      <c r="X188" s="470"/>
      <c r="Y188" s="470"/>
      <c r="Z188" s="470"/>
      <c r="AC188" s="121" t="s">
        <v>273</v>
      </c>
      <c r="AD188" s="122">
        <f>R182</f>
        <v>-1.5284578935363982</v>
      </c>
    </row>
    <row r="189" spans="2:33" customFormat="1" ht="17.25" customHeight="1" thickTop="1" thickBot="1">
      <c r="D189" s="106" t="s">
        <v>42</v>
      </c>
      <c r="E189" s="572">
        <v>-7</v>
      </c>
      <c r="F189" s="572"/>
      <c r="G189" s="470" t="str" cm="1">
        <f t="array" ref="G189">longitudeDecimal2Txt(E189)</f>
        <v>W 07°00.00 (W 07.0000) [W 07°00'00.00]</v>
      </c>
      <c r="H189" s="470"/>
      <c r="I189" s="470"/>
      <c r="J189" s="470"/>
      <c r="K189" s="470"/>
      <c r="L189" s="470"/>
      <c r="R189" s="105" t="s">
        <v>42</v>
      </c>
      <c r="S189" s="469">
        <f>AG193</f>
        <v>-7.0000000000007248</v>
      </c>
      <c r="T189" s="469"/>
      <c r="U189" s="470" t="str" cm="1">
        <f t="array" ref="U189">longitudeDecimal2Txt(S189)</f>
        <v>W 07°00.00 (W 07.0000) [W 07°00'00.00]</v>
      </c>
      <c r="V189" s="470"/>
      <c r="W189" s="470"/>
      <c r="X189" s="470"/>
      <c r="Y189" s="470"/>
      <c r="Z189" s="470"/>
      <c r="AC189" s="123" t="s">
        <v>275</v>
      </c>
      <c r="AD189" s="122">
        <f>S178</f>
        <v>-26.158300820012244</v>
      </c>
    </row>
    <row r="190" spans="2:33" customFormat="1" ht="17.25" customHeight="1" thickTop="1"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AC190" s="121" t="s">
        <v>276</v>
      </c>
      <c r="AD190" s="122">
        <f>S179</f>
        <v>119.34857932010786</v>
      </c>
    </row>
    <row r="191" spans="2:33" customFormat="1" ht="17.25" customHeight="1">
      <c r="C191" s="571" t="s">
        <v>237</v>
      </c>
      <c r="D191" s="571"/>
      <c r="E191" s="571"/>
      <c r="F191" s="108"/>
      <c r="G191" s="16"/>
      <c r="H191" s="16"/>
      <c r="I191" s="16"/>
      <c r="J191" s="16"/>
      <c r="K191" s="16"/>
      <c r="L191" s="16"/>
      <c r="AC191" s="121" t="s">
        <v>243</v>
      </c>
      <c r="AD191" s="121">
        <f>TAN(AD188*Outils!F4) * (1 / COS(AD189*Outils!F4))</f>
        <v>-2.972767753693201E-2</v>
      </c>
    </row>
    <row r="192" spans="2:33" customFormat="1" ht="17.25" customHeight="1">
      <c r="D192" s="572">
        <v>180</v>
      </c>
      <c r="E192" s="572"/>
      <c r="F192" s="112" t="s">
        <v>28</v>
      </c>
      <c r="G192" s="16"/>
      <c r="H192" s="16"/>
      <c r="I192" s="16"/>
      <c r="J192" s="16"/>
      <c r="K192" s="16"/>
      <c r="L192" s="16"/>
      <c r="AC192" s="121" t="s">
        <v>244</v>
      </c>
      <c r="AD192" s="121">
        <f>AD190-AD189*AD191</f>
        <v>118.57095378841647</v>
      </c>
      <c r="AE192" s="1247" t="s">
        <v>280</v>
      </c>
      <c r="AF192" s="1247"/>
      <c r="AG192" s="124">
        <f>(AD197-AD192)/(AD191-AD196)</f>
        <v>4224.0418422332132</v>
      </c>
    </row>
    <row r="193" spans="2:65" customFormat="1" ht="15">
      <c r="AC193" s="118" t="s">
        <v>274</v>
      </c>
      <c r="AD193" s="119">
        <f>D192</f>
        <v>180</v>
      </c>
      <c r="AE193" s="1247"/>
      <c r="AF193" s="1247"/>
      <c r="AG193" s="124">
        <f>AD191*AG192+AD192</f>
        <v>-7.0000000000007248</v>
      </c>
    </row>
    <row r="194" spans="2:65" customFormat="1" ht="18.75">
      <c r="S194" s="16"/>
      <c r="T194" s="16"/>
      <c r="AC194" s="120" t="s">
        <v>275</v>
      </c>
      <c r="AD194" s="119">
        <f>E188</f>
        <v>46</v>
      </c>
    </row>
    <row r="195" spans="2:65" customFormat="1" ht="18">
      <c r="AC195" s="118" t="s">
        <v>276</v>
      </c>
      <c r="AD195" s="119">
        <f>E189</f>
        <v>-7</v>
      </c>
      <c r="AE195" s="1247" t="s">
        <v>281</v>
      </c>
      <c r="AF195" s="1247"/>
      <c r="AG195" s="125">
        <f>E188</f>
        <v>46</v>
      </c>
    </row>
    <row r="196" spans="2:65" customFormat="1" ht="17.25" customHeight="1">
      <c r="P196" s="16"/>
      <c r="Q196" s="16"/>
      <c r="AC196" s="118" t="s">
        <v>277</v>
      </c>
      <c r="AD196" s="118">
        <f>TAN(AD193*Outils!F4) * (1 / COS(AD194*Outils!F4))</f>
        <v>-1.7636704702760584E-16</v>
      </c>
      <c r="AE196" s="1247"/>
      <c r="AF196" s="1247"/>
      <c r="AG196" s="124">
        <f>E189+(E188-S178)*TAN(R182*Outils!F4)/COS(Outils!F4*S178)</f>
        <v>-9.1450986983902602</v>
      </c>
    </row>
    <row r="197" spans="2:65" customFormat="1" ht="17.25" customHeight="1">
      <c r="AC197" s="118" t="s">
        <v>278</v>
      </c>
      <c r="AD197" s="118">
        <f>AD195-AD194*AD196</f>
        <v>-6.999999999999992</v>
      </c>
    </row>
    <row r="198" spans="2:65" customFormat="1" ht="15">
      <c r="K198" s="16"/>
      <c r="L198" s="16"/>
      <c r="AE198" s="1247" t="s">
        <v>279</v>
      </c>
      <c r="AF198" s="1247"/>
      <c r="AG198" s="124">
        <f>IF($AE$187,AG195,AG192)</f>
        <v>4224.0418422332132</v>
      </c>
    </row>
    <row r="199" spans="2:65" customFormat="1" ht="15">
      <c r="K199" s="16"/>
      <c r="L199" s="16"/>
      <c r="AC199" s="118"/>
      <c r="AE199" s="1247"/>
      <c r="AF199" s="1247"/>
      <c r="AG199" s="124">
        <f>IF($AE$187,AG196,AG193)</f>
        <v>-7.0000000000007248</v>
      </c>
    </row>
    <row r="200" spans="2:65" customFormat="1" ht="15.75" thickBot="1">
      <c r="K200" s="16"/>
      <c r="L200" s="16"/>
    </row>
    <row r="201" spans="2:65" customFormat="1" ht="15.75" thickBot="1">
      <c r="B201" s="109" t="s">
        <v>525</v>
      </c>
      <c r="C201" s="110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1"/>
    </row>
    <row r="202" spans="2:65" customFormat="1" ht="15">
      <c r="K202" s="92"/>
      <c r="L202" s="92"/>
    </row>
    <row r="203" spans="2:65" customFormat="1" ht="15">
      <c r="B203" s="1279" t="s">
        <v>1</v>
      </c>
      <c r="C203" s="1279"/>
      <c r="D203" s="1279" t="str">
        <f>E7</f>
        <v>2010/05/05</v>
      </c>
      <c r="E203" s="1279"/>
      <c r="F203" s="1279"/>
      <c r="G203" s="1279"/>
      <c r="H203" s="232" t="s">
        <v>2</v>
      </c>
      <c r="I203" s="1279" t="str">
        <f>I7</f>
        <v>08:18:53.00(08.3147)</v>
      </c>
      <c r="J203" s="1279"/>
      <c r="K203" s="1279"/>
      <c r="L203" s="1279"/>
    </row>
    <row r="204" spans="2:65" customFormat="1" ht="15">
      <c r="B204" s="1280" t="s">
        <v>30</v>
      </c>
      <c r="C204" s="1280"/>
      <c r="D204" s="1281" t="s">
        <v>33</v>
      </c>
      <c r="E204" s="1280"/>
      <c r="F204" s="226"/>
      <c r="G204" s="226"/>
      <c r="H204" s="226"/>
      <c r="I204" s="226"/>
      <c r="J204" s="226"/>
      <c r="K204" s="226"/>
      <c r="L204" s="226"/>
      <c r="AA204" s="223"/>
    </row>
    <row r="205" spans="2:65" customFormat="1" ht="15">
      <c r="B205" s="222"/>
      <c r="C205" s="222"/>
      <c r="D205" s="225"/>
      <c r="E205" s="222"/>
      <c r="AA205" s="223"/>
    </row>
    <row r="206" spans="2:65" s="92" customFormat="1" ht="17.25" customHeight="1" thickBot="1">
      <c r="B206" s="229" t="s">
        <v>386</v>
      </c>
      <c r="C206" s="229"/>
      <c r="D206" s="229"/>
      <c r="E206" s="229"/>
      <c r="F206" s="228"/>
      <c r="G206" s="228"/>
      <c r="H206" s="227"/>
      <c r="I206" s="227"/>
      <c r="J206" s="227"/>
      <c r="K206" s="227"/>
      <c r="L206" s="227"/>
      <c r="M206" s="227"/>
      <c r="N206" s="227"/>
      <c r="O206" s="227"/>
      <c r="P206" s="227"/>
      <c r="Q206" s="227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 thickTop="1">
      <c r="C207" s="1282" t="s">
        <v>387</v>
      </c>
      <c r="D207" s="1282"/>
      <c r="E207" s="1282" t="str" cm="1">
        <f t="array" ref="E207">angleDecimal2Txt(angleConvert2Decimal(M21))</f>
        <v>+18°55.00 (+18.9166) [+18°55'00.00]</v>
      </c>
      <c r="F207" s="1282"/>
      <c r="G207" s="1282"/>
      <c r="H207" s="1282"/>
      <c r="I207" s="1282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C208" s="1283" t="s">
        <v>70</v>
      </c>
      <c r="D208" s="1283"/>
      <c r="E208" s="1283" t="str">
        <f>J23</f>
        <v>BordInf</v>
      </c>
      <c r="F208" s="1283"/>
      <c r="G208" s="1283"/>
      <c r="H208" s="1283"/>
      <c r="I208" s="1283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C209" s="1284" t="s">
        <v>388</v>
      </c>
      <c r="D209" s="1284"/>
      <c r="E209" s="1285" t="str" cm="1">
        <f t="array" ref="E209">angleDecimal2Txt(angleConvert2Decimal(M20))</f>
        <v>+00°03.00 (+00.0500) [+00°03'00.00]</v>
      </c>
      <c r="F209" s="1285"/>
      <c r="G209" s="1285"/>
      <c r="H209" s="1285"/>
      <c r="I209" s="1285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>
      <c r="C210" s="1279" t="s">
        <v>389</v>
      </c>
      <c r="D210" s="1279"/>
      <c r="E210" s="1286" t="str">
        <f>CONCATENATE(M19, " m")</f>
        <v>4 m</v>
      </c>
      <c r="F210" s="1286"/>
      <c r="G210" s="1286"/>
      <c r="H210" s="1286"/>
      <c r="I210" s="1286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>
      <c r="E211" s="1287" t="str" cm="1">
        <f t="array" ref="E211">angleDecimal2Txt(O113)</f>
        <v>+18°48.48 (+18.8080) [+18°48'29.04]</v>
      </c>
      <c r="F211" s="1287"/>
      <c r="G211" s="1287"/>
      <c r="H211" s="1287"/>
      <c r="I211" s="1287"/>
      <c r="J211" s="1287" t="s">
        <v>391</v>
      </c>
      <c r="K211" s="1287"/>
      <c r="L211" s="128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E212" s="230"/>
      <c r="F212" s="1288" t="s">
        <v>389</v>
      </c>
      <c r="G212" s="1289"/>
      <c r="H212" s="1290" t="str" cm="1">
        <f t="array" ref="H212">angleDecimal2Txt(O111)</f>
        <v>+00°03.51 (+00.0586) [+00°03'30.96]</v>
      </c>
      <c r="I212" s="1290"/>
      <c r="J212" s="1290"/>
      <c r="K212" s="1290"/>
      <c r="L212" s="1290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F213" s="1291" t="s">
        <v>396</v>
      </c>
      <c r="G213" s="1291"/>
      <c r="H213" s="1290" t="str" cm="1">
        <f t="array" ref="H213">angleDecimal2Txt(O122)</f>
        <v>+00°02.88 (+00.0480) [+00°02'52.92]</v>
      </c>
      <c r="I213" s="1290"/>
      <c r="J213" s="1290"/>
      <c r="K213" s="1290"/>
      <c r="L213" s="1290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F214" s="1288" t="s">
        <v>421</v>
      </c>
      <c r="G214" s="1289"/>
      <c r="H214" s="1298" t="str" cm="1">
        <f t="array" ref="H214">angleDecimal2Txt(O116)</f>
        <v>+00°54.90 (+00.9150) [+00°54'54.33]</v>
      </c>
      <c r="I214" s="1299"/>
      <c r="J214" s="1299"/>
      <c r="K214" s="1299"/>
      <c r="L214" s="1300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F215" s="1291" t="s">
        <v>397</v>
      </c>
      <c r="G215" s="1291"/>
      <c r="H215" s="1291" t="str" cm="1">
        <f t="array" ref="H215">angleDecimal2Txt(O117)</f>
        <v>+00°51.97 (+00.8662) [+00°51'58.41]</v>
      </c>
      <c r="I215" s="1291"/>
      <c r="J215" s="1291"/>
      <c r="K215" s="1291"/>
      <c r="L215" s="1291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F216" s="1291" t="s">
        <v>100</v>
      </c>
      <c r="G216" s="1291"/>
      <c r="H216" s="1291" t="str" cm="1">
        <f t="array" ref="H216">angleDecimal2Txt(O124)</f>
        <v>+00°29.94 (+00.4991) [+00°29'56.87]</v>
      </c>
      <c r="I216" s="1291"/>
      <c r="J216" s="1291"/>
      <c r="K216" s="1291"/>
      <c r="L216" s="1291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F217" s="1291" t="s">
        <v>71</v>
      </c>
      <c r="G217" s="1291"/>
      <c r="H217" s="1291" t="str" cm="1">
        <f t="array" ref="H217">angleDecimal2Txt(O126)</f>
        <v>+00°14.97 (+00.2495) [+00°14'58.43]</v>
      </c>
      <c r="I217" s="1291"/>
      <c r="J217" s="1291"/>
      <c r="K217" s="1291"/>
      <c r="L217" s="1291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D218" s="224"/>
      <c r="E218" s="1287" t="str" cm="1">
        <f t="array" ref="E218">angleDecimal2Txt(F106)</f>
        <v>+19°52.54 (+19.8758) [+19°52'32.97]</v>
      </c>
      <c r="F218" s="1287"/>
      <c r="G218" s="1287"/>
      <c r="H218" s="1287"/>
      <c r="I218" s="1287"/>
      <c r="J218" s="1287" t="s">
        <v>390</v>
      </c>
      <c r="K218" s="1287"/>
      <c r="L218" s="1287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D219" s="224"/>
      <c r="F219" s="1291" t="str" cm="1">
        <f t="array" ref="F219">angleDecimal2Txt(O117-O122-O111)</f>
        <v>+00°45.57 (+00.7595) [+00°45'34.53]</v>
      </c>
      <c r="G219" s="1291"/>
      <c r="H219" s="1291"/>
      <c r="I219" s="1291"/>
      <c r="J219" s="1291"/>
      <c r="K219" s="1291" t="s">
        <v>398</v>
      </c>
      <c r="L219" s="1291"/>
      <c r="M219" s="1291"/>
      <c r="N219" s="1292" t="s">
        <v>413</v>
      </c>
      <c r="O219" s="1292"/>
      <c r="P219" s="1292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D220" s="224"/>
      <c r="F220" s="1291" t="str" cm="1">
        <f t="array" ref="F220">angleDecimal2Txt(O117-O122-O111+O126)</f>
        <v>+01°00.54 (+01.0091) [+01°00'32.97]</v>
      </c>
      <c r="G220" s="1291"/>
      <c r="H220" s="1291"/>
      <c r="I220" s="1291"/>
      <c r="J220" s="1291"/>
      <c r="K220" s="1291" t="s">
        <v>394</v>
      </c>
      <c r="L220" s="1291"/>
      <c r="M220" s="1291"/>
      <c r="N220" s="1292"/>
      <c r="O220" s="1292"/>
      <c r="P220" s="1292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D221" s="224"/>
      <c r="F221" s="1291" t="str" cm="1">
        <f t="array" ref="F221">angleDecimal2Txt(O117-O122+O126)</f>
        <v>+01°04.06 (+01.0677) [+01°04'03.93]</v>
      </c>
      <c r="G221" s="1291"/>
      <c r="H221" s="1291"/>
      <c r="I221" s="1291"/>
      <c r="J221" s="1291"/>
      <c r="K221" s="1291" t="s">
        <v>395</v>
      </c>
      <c r="L221" s="1291"/>
      <c r="M221" s="1291"/>
      <c r="N221" s="1292"/>
      <c r="O221" s="1292"/>
      <c r="P221" s="1292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 s="224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 thickBot="1">
      <c r="B224" s="227" t="s">
        <v>62</v>
      </c>
      <c r="C224" s="228"/>
      <c r="D224" s="228"/>
      <c r="E224" s="228"/>
      <c r="F224" s="228"/>
      <c r="G224" s="228"/>
      <c r="H224" s="227"/>
      <c r="I224" s="227"/>
      <c r="J224" s="227"/>
      <c r="K224" s="227"/>
      <c r="L224" s="227"/>
      <c r="M224" s="227"/>
      <c r="N224" s="227"/>
      <c r="O224" s="227"/>
      <c r="P224" s="227"/>
      <c r="Q224" s="227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3:65" s="92" customFormat="1" ht="17.25" customHeight="1" thickTop="1">
      <c r="C225" s="1293" t="s">
        <v>399</v>
      </c>
      <c r="D225" s="1293"/>
      <c r="E225" s="1293" t="str" cm="1">
        <f t="array" ref="E225">latitudeDecimal2Txt(G32)</f>
        <v>S 27°30.00 (S 27.5000) [S 27°30'00.00]</v>
      </c>
      <c r="F225" s="1293"/>
      <c r="G225" s="1293"/>
      <c r="H225" s="1293"/>
      <c r="I225" s="1293"/>
      <c r="J225" s="1293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3:65" s="92" customFormat="1" ht="17.25" customHeight="1">
      <c r="C226" s="1283" t="s">
        <v>400</v>
      </c>
      <c r="D226" s="1283"/>
      <c r="E226" s="1283" t="str" cm="1">
        <f t="array" ref="E226">longitudeDecimal2Txt(G34)</f>
        <v>E 63°00.00 (E 63.0000) [E 63°00'00.00]</v>
      </c>
      <c r="F226" s="1283"/>
      <c r="G226" s="1283"/>
      <c r="H226" s="1283"/>
      <c r="I226" s="1283"/>
      <c r="J226" s="1283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3:65" s="92" customFormat="1" ht="17.25" customHeight="1">
      <c r="F227" s="1292" t="str">
        <f>CONCATENATE("GHA - ", G83)</f>
        <v>GHA - Par vitesse</v>
      </c>
      <c r="G227" s="1292"/>
      <c r="H227" s="1291" t="str">
        <f>IF($G$83=$AD$83,K86,CONCATENATE("T0:",M95))</f>
        <v>T0:</v>
      </c>
      <c r="I227" s="1291"/>
      <c r="J227" s="1291"/>
      <c r="K227" s="1291" t="str" cm="1">
        <f t="array" ref="K227">IF($G$83=$AD$83,angleDecimal2Txt(AE86,0),CONCATENATE("Pos. à T0:",angleDecimal2Txt(AD94,0)))</f>
        <v>Pos. à T0:+180°02.00</v>
      </c>
      <c r="L227" s="1291"/>
      <c r="M227" s="1291"/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3:65" s="92" customFormat="1" ht="17.25" customHeight="1">
      <c r="F228" s="1292"/>
      <c r="G228" s="1292"/>
      <c r="H228" s="1291" t="str" cm="1">
        <f t="array" ref="H228">IF($G$83=$AD$83,K88,CONCATENATE("V:",angleDecimal2Txt(AD96,0)))</f>
        <v>V:+14°59.87</v>
      </c>
      <c r="I228" s="1291"/>
      <c r="J228" s="1291"/>
      <c r="K228" s="1291" t="str" cm="1">
        <f t="array" ref="K228">IF($G$83=$AD$83,angleDecimal2Txt(AE87,0),CONCATENATE("dt:",TEXT((I95-M95),"0.000")," h"))</f>
        <v>dt:0.000 h</v>
      </c>
      <c r="L228" s="1291"/>
      <c r="M228" s="1291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3:65" s="92" customFormat="1" ht="17.25" customHeight="1">
      <c r="C229" s="1232" t="s">
        <v>401</v>
      </c>
      <c r="D229" s="1232"/>
      <c r="E229" s="1232" t="str" cm="1">
        <f t="array" ref="E229">angleDecimal2Txt(F82)</f>
        <v>+180°02.00 (+180.0333) [+180°02'00.00]</v>
      </c>
      <c r="F229" s="1232"/>
      <c r="G229" s="1232"/>
      <c r="H229" s="1232"/>
      <c r="I229" s="1232"/>
      <c r="J229" s="1232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3:65" s="92" customFormat="1" ht="17.25" customHeight="1">
      <c r="C230" s="1232" t="s">
        <v>43</v>
      </c>
      <c r="D230" s="1232"/>
      <c r="E230" s="1232" t="str">
        <f>R104</f>
        <v>+243°02.00 (+243.0333) [+243°02'00.00]</v>
      </c>
      <c r="F230" s="1232"/>
      <c r="G230" s="1232"/>
      <c r="H230" s="1232"/>
      <c r="I230" s="1232"/>
      <c r="J230" s="1232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3:65" s="92" customFormat="1" ht="17.25" customHeight="1">
      <c r="F231" s="1292" t="str">
        <f>CONCATENATE("Déc. - ", G38)</f>
        <v>Déc. - Par Valeur</v>
      </c>
      <c r="G231" s="1292"/>
      <c r="H231" s="1291" t="str">
        <f>IF($G$38=$AD$38,K41,CONCATENATE("T0:",M50))</f>
        <v>T0:</v>
      </c>
      <c r="I231" s="1291"/>
      <c r="J231" s="1291" t="str" cm="1">
        <f t="array" ref="J231">IF($G$38=$AD$38,angleDecimal2Txt(AE41,0),CONCATENATE("Pos. à T0:",angleDecimal2Txt(AD49,0)))</f>
        <v>Pos. à T0:+23°10.59</v>
      </c>
      <c r="K231" s="1291"/>
      <c r="L231" s="1291"/>
      <c r="M231" s="1291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3:65" s="92" customFormat="1" ht="17.25" customHeight="1">
      <c r="F232" s="1292"/>
      <c r="G232" s="1292"/>
      <c r="H232" s="1291" t="str" cm="1">
        <f t="array" ref="H232">IF($G$38=$AD$38,K43,CONCATENATE("V:",angleDecimal2Txt(AD51,0)))</f>
        <v>V:+00°00.19</v>
      </c>
      <c r="I232" s="1291"/>
      <c r="J232" s="1291" t="str" cm="1">
        <f t="array" ref="J232">IF($G$38=$AD$38,angleDecimal2Txt(AE42,0),CONCATENATE("dt:",TEXT((I50-M50),"0.000")," h"))</f>
        <v>dt:0.000 h</v>
      </c>
      <c r="K232" s="1291"/>
      <c r="L232" s="1291"/>
      <c r="M232" s="1291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3:65" s="92" customFormat="1" ht="17.25" customHeight="1">
      <c r="C233" s="1232" t="s">
        <v>9</v>
      </c>
      <c r="D233" s="1232"/>
      <c r="E233" s="1232" t="str" cm="1">
        <f t="array" ref="E233">latitudeDecimal2Txt(F37)</f>
        <v>N 14°43.70 (N 14.7283) [N 14°43'42.00]</v>
      </c>
      <c r="F233" s="1232"/>
      <c r="G233" s="1232"/>
      <c r="H233" s="1232"/>
      <c r="I233" s="1232"/>
      <c r="J233" s="1232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3:65" s="92" customFormat="1" ht="17.25" customHeight="1">
      <c r="C234" s="1233" t="s">
        <v>279</v>
      </c>
      <c r="D234" s="1232"/>
      <c r="E234" s="1232" t="str" cm="1">
        <f t="array" ref="E234">angleDecimal2Txt(F58)</f>
        <v>+00°54.90 (+00.9150) [+00°54'54.33]</v>
      </c>
      <c r="F234" s="1232"/>
      <c r="G234" s="1232"/>
      <c r="H234" s="1232"/>
      <c r="I234" s="1232"/>
      <c r="J234" s="1232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3:65" s="92" customFormat="1" ht="17.25" customHeight="1">
      <c r="C235" s="1232" t="s">
        <v>641</v>
      </c>
      <c r="D235" s="1232"/>
      <c r="E235" s="1232" t="str" cm="1">
        <f t="array" ref="E235">angleDecimal2Txt(T58)</f>
        <v>+00°29.94 (+00.4991) [+00°29'56.87]</v>
      </c>
      <c r="F235" s="1232"/>
      <c r="G235" s="1232"/>
      <c r="H235" s="1232"/>
      <c r="I235" s="1232"/>
      <c r="J235" s="1232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3:65" s="92" customFormat="1" ht="17.25" customHeight="1">
      <c r="F236" s="1291" t="s">
        <v>403</v>
      </c>
      <c r="G236" s="1291"/>
      <c r="H236" s="1291">
        <f>SIN(U149)</f>
        <v>0.25423623707095405</v>
      </c>
      <c r="I236" s="1291"/>
      <c r="J236" s="1291">
        <f>SIN(U150)</f>
        <v>-0.46174861323503391</v>
      </c>
      <c r="K236" s="1291"/>
      <c r="L236" s="1291" t="s">
        <v>404</v>
      </c>
      <c r="M236" s="1291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3:65" s="92" customFormat="1" ht="17.25" customHeight="1">
      <c r="F237" s="1291" t="s">
        <v>402</v>
      </c>
      <c r="G237" s="1291"/>
      <c r="H237" s="1291">
        <f>COS(U149)</f>
        <v>0.96714214868342996</v>
      </c>
      <c r="I237" s="1291"/>
      <c r="J237" s="1291">
        <f>COS(U150)</f>
        <v>0.88701083317822171</v>
      </c>
      <c r="K237" s="1291"/>
      <c r="L237" s="1291" t="s">
        <v>405</v>
      </c>
      <c r="M237" s="1291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3:65" s="92" customFormat="1" ht="17.25" customHeight="1">
      <c r="F238" s="1295" t="s">
        <v>406</v>
      </c>
      <c r="G238" s="1295"/>
      <c r="H238" s="1295">
        <f>COS(U151)</f>
        <v>-0.45347205635565419</v>
      </c>
      <c r="I238" s="1295"/>
      <c r="J238" s="231"/>
      <c r="K238" s="231"/>
      <c r="L238" s="231"/>
      <c r="M238" s="231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3:65" s="92" customFormat="1" ht="17.25" customHeight="1">
      <c r="F239" s="1296" t="s">
        <v>407</v>
      </c>
      <c r="G239" s="1296"/>
      <c r="H239" s="1296"/>
      <c r="I239" s="1296"/>
      <c r="J239" s="1296"/>
      <c r="K239" s="1296"/>
      <c r="L239" s="1296"/>
      <c r="M239" s="1296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3:65" s="92" customFormat="1" ht="17.25" customHeight="1">
      <c r="F240" s="1291" t="s">
        <v>414</v>
      </c>
      <c r="G240" s="1291"/>
      <c r="H240" s="1291">
        <f>H236*J236+H237*J237*H238</f>
        <v>-0.50641129087974268</v>
      </c>
      <c r="I240" s="1291"/>
      <c r="J240" s="1291"/>
      <c r="K240" s="1291"/>
      <c r="L240" s="1291"/>
      <c r="M240" s="1291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6" s="92" customFormat="1" ht="17.25" customHeight="1">
      <c r="C241" s="1287" t="s">
        <v>408</v>
      </c>
      <c r="D241" s="1287"/>
      <c r="E241" s="1287" t="str" cm="1">
        <f t="array" ref="E241">angleDecimal2Txt(I149)</f>
        <v>-30°25.50 (-30.4250) [-30°25'30.29]</v>
      </c>
      <c r="F241" s="1287"/>
      <c r="G241" s="1287"/>
      <c r="H241" s="1287"/>
      <c r="I241" s="1287"/>
      <c r="J241" s="1287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6" s="92" customFormat="1" ht="17.25" customHeight="1">
      <c r="C242" s="1302" t="s">
        <v>640</v>
      </c>
      <c r="D242" s="1303"/>
      <c r="E242" s="1287" t="str" cm="1">
        <f t="array" ref="E242">angleDecimal2Txt(T154,0)</f>
        <v>+50°18.05</v>
      </c>
      <c r="F242" s="1287"/>
      <c r="G242" s="1287"/>
      <c r="H242" s="1287"/>
      <c r="I242" s="1287"/>
      <c r="J242" s="1287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6" ht="17.25" customHeight="1">
      <c r="C243" s="1304"/>
      <c r="D243" s="1305"/>
      <c r="E243" s="1297" t="str">
        <f>CONCATENATE(TEXT(V154,"0.00"),"  Mn")</f>
        <v>3018.05  Mn</v>
      </c>
      <c r="F243" s="1297"/>
      <c r="G243" s="1297"/>
      <c r="H243" s="1297"/>
      <c r="I243" s="1297"/>
      <c r="J243" s="1297"/>
      <c r="O243" s="1301" t="s">
        <v>447</v>
      </c>
      <c r="P243" s="1294" t="str" cm="1">
        <f t="array" ref="P243">latitudeDecimal2Txt(V155,0)</f>
        <v>N 14°43.70</v>
      </c>
      <c r="Q243" s="1294"/>
    </row>
    <row r="244" spans="3:66" ht="17.25" customHeight="1">
      <c r="C244" s="1306"/>
      <c r="D244" s="1307"/>
      <c r="E244" s="1297" t="str">
        <f>Y154</f>
        <v>Vers Pg</v>
      </c>
      <c r="F244" s="1308"/>
      <c r="G244" s="1308"/>
      <c r="H244" s="1308"/>
      <c r="I244" s="1308"/>
      <c r="J244" s="1308"/>
      <c r="O244" s="1294"/>
      <c r="P244" s="1294" t="str" cm="1">
        <f t="array" ref="P244">longitudeDecimal2Txt(V156,0)</f>
        <v>E 179°58.00</v>
      </c>
      <c r="Q244" s="1294"/>
    </row>
    <row r="245" spans="3:66" s="246" customFormat="1" ht="17.25" customHeight="1">
      <c r="C245" s="346"/>
      <c r="D245" s="346"/>
      <c r="E245" s="346"/>
      <c r="F245" s="854" t="s">
        <v>556</v>
      </c>
      <c r="G245" s="855"/>
      <c r="H245" s="855"/>
      <c r="I245" s="855"/>
      <c r="J245" s="855"/>
      <c r="K245" s="855"/>
      <c r="L245" s="855"/>
      <c r="M245" s="855"/>
      <c r="N245" s="855"/>
      <c r="O245" s="855"/>
      <c r="P245" s="856"/>
      <c r="Q245" s="304"/>
      <c r="AB245" s="61"/>
      <c r="AC245" s="247"/>
      <c r="AD245" s="247"/>
      <c r="AE245" s="247"/>
      <c r="AF245" s="247"/>
      <c r="AG245" s="247"/>
      <c r="AH245" s="247"/>
      <c r="AI245" s="247"/>
      <c r="AJ245" s="247"/>
      <c r="AK245" s="247"/>
      <c r="AL245" s="247"/>
      <c r="AM245" s="247"/>
      <c r="AN245" s="247"/>
      <c r="AO245" s="247"/>
      <c r="AP245" s="247"/>
      <c r="AQ245" s="247"/>
      <c r="AR245" s="247"/>
      <c r="AS245" s="247"/>
      <c r="AT245" s="247"/>
      <c r="AU245" s="247"/>
      <c r="AV245" s="247"/>
      <c r="AW245" s="247"/>
      <c r="AX245" s="247"/>
      <c r="AY245" s="247"/>
      <c r="AZ245" s="247"/>
      <c r="BA245" s="247"/>
      <c r="BB245" s="247"/>
      <c r="BC245" s="247"/>
      <c r="BD245" s="247"/>
      <c r="BE245" s="247"/>
      <c r="BF245" s="247"/>
      <c r="BG245" s="247"/>
      <c r="BH245" s="247"/>
      <c r="BI245" s="247"/>
      <c r="BJ245" s="247"/>
      <c r="BK245" s="247"/>
      <c r="BL245" s="247"/>
      <c r="BM245" s="247"/>
      <c r="BN245" s="248"/>
    </row>
    <row r="246" spans="3:66" s="246" customFormat="1" ht="17.25" customHeight="1">
      <c r="C246" s="346"/>
      <c r="D246" s="851" t="s">
        <v>557</v>
      </c>
      <c r="E246" s="852"/>
      <c r="F246" s="847" t="s">
        <v>566</v>
      </c>
      <c r="G246" s="847"/>
      <c r="H246" s="847">
        <f>SIGN(Q162*Q161)*ABS(Q161)</f>
        <v>-14.728333333333333</v>
      </c>
      <c r="I246" s="847"/>
      <c r="J246" s="825" t="s">
        <v>564</v>
      </c>
      <c r="K246" s="826"/>
      <c r="L246" s="825">
        <f>SIN(H246*Outils!$F$4)</f>
        <v>-0.25423623707095405</v>
      </c>
      <c r="M246" s="826"/>
      <c r="N246" s="825" t="s">
        <v>565</v>
      </c>
      <c r="O246" s="826"/>
      <c r="P246" s="825">
        <f>COS(H246*Outils!$F$4)</f>
        <v>0.96714214868342996</v>
      </c>
      <c r="Q246" s="826"/>
      <c r="AB246" s="61"/>
      <c r="AC246" s="247"/>
      <c r="AD246" s="247"/>
      <c r="AE246" s="247"/>
      <c r="AF246" s="247"/>
      <c r="AG246" s="247"/>
      <c r="AH246" s="247"/>
      <c r="AI246" s="247"/>
      <c r="AJ246" s="247"/>
      <c r="AK246" s="247"/>
      <c r="AL246" s="247"/>
      <c r="AM246" s="247"/>
      <c r="AN246" s="247"/>
      <c r="AO246" s="247"/>
      <c r="AP246" s="247"/>
      <c r="AQ246" s="247"/>
      <c r="AR246" s="247"/>
      <c r="AS246" s="247"/>
      <c r="AT246" s="247"/>
      <c r="AU246" s="247"/>
      <c r="AV246" s="247"/>
      <c r="AW246" s="247"/>
      <c r="AX246" s="247"/>
      <c r="AY246" s="247"/>
      <c r="AZ246" s="247"/>
      <c r="BA246" s="247"/>
      <c r="BB246" s="247"/>
      <c r="BC246" s="247"/>
      <c r="BD246" s="247"/>
      <c r="BE246" s="247"/>
      <c r="BF246" s="247"/>
      <c r="BG246" s="247"/>
      <c r="BH246" s="247"/>
      <c r="BI246" s="247"/>
      <c r="BJ246" s="247"/>
      <c r="BK246" s="247"/>
      <c r="BL246" s="247"/>
      <c r="BM246" s="247"/>
      <c r="BN246" s="248"/>
    </row>
    <row r="247" spans="3:66" s="246" customFormat="1" ht="17.25" customHeight="1">
      <c r="C247" s="346"/>
      <c r="D247" s="851"/>
      <c r="E247" s="852"/>
      <c r="F247" s="825" t="s">
        <v>561</v>
      </c>
      <c r="G247" s="846"/>
      <c r="H247" s="847">
        <f>ABS(Q162)</f>
        <v>27.5</v>
      </c>
      <c r="I247" s="847"/>
      <c r="J247" s="848" t="s">
        <v>562</v>
      </c>
      <c r="K247" s="849"/>
      <c r="L247" s="825">
        <f>SIN(H247*Outils!$F$4)</f>
        <v>0.46174861323503391</v>
      </c>
      <c r="M247" s="826"/>
      <c r="N247" s="848" t="s">
        <v>563</v>
      </c>
      <c r="O247" s="849"/>
      <c r="P247" s="825">
        <f>COS(H247*Outils!$F$4)</f>
        <v>0.88701083317822171</v>
      </c>
      <c r="Q247" s="826"/>
      <c r="AB247" s="61"/>
      <c r="AC247" s="247"/>
      <c r="AD247" s="247"/>
      <c r="AE247" s="247"/>
      <c r="AF247" s="247"/>
      <c r="AG247" s="247"/>
      <c r="AH247" s="247"/>
      <c r="AI247" s="247"/>
      <c r="AJ247" s="247"/>
      <c r="AK247" s="247"/>
      <c r="AL247" s="247"/>
      <c r="AM247" s="247"/>
      <c r="AN247" s="247"/>
      <c r="AO247" s="247"/>
      <c r="AP247" s="247"/>
      <c r="AQ247" s="247"/>
      <c r="AR247" s="247"/>
      <c r="AS247" s="247"/>
      <c r="AT247" s="247"/>
      <c r="AU247" s="247"/>
      <c r="AV247" s="247"/>
      <c r="AW247" s="247"/>
      <c r="AX247" s="247"/>
      <c r="AY247" s="247"/>
      <c r="AZ247" s="247"/>
      <c r="BA247" s="247"/>
      <c r="BB247" s="247"/>
      <c r="BC247" s="247"/>
      <c r="BD247" s="247"/>
      <c r="BE247" s="247"/>
      <c r="BF247" s="247"/>
      <c r="BG247" s="247"/>
      <c r="BH247" s="247"/>
      <c r="BI247" s="247"/>
      <c r="BJ247" s="247"/>
      <c r="BK247" s="247"/>
      <c r="BL247" s="247"/>
      <c r="BM247" s="247"/>
      <c r="BN247" s="248"/>
    </row>
    <row r="248" spans="3:66" s="246" customFormat="1" ht="17.25" customHeight="1">
      <c r="C248" s="346"/>
      <c r="D248" s="851"/>
      <c r="E248" s="852"/>
      <c r="F248" s="825" t="s">
        <v>558</v>
      </c>
      <c r="G248" s="826"/>
      <c r="H248" s="825">
        <f>IF(Q163&gt;180,(-1)*Q163,Q163)</f>
        <v>-243.03333333333333</v>
      </c>
      <c r="I248" s="826"/>
      <c r="J248" s="825" t="s">
        <v>559</v>
      </c>
      <c r="K248" s="826"/>
      <c r="L248" s="825">
        <f>SIN(H248*Outils!$F$4)</f>
        <v>0.89127049435318706</v>
      </c>
      <c r="M248" s="826"/>
      <c r="N248" s="825" t="s">
        <v>560</v>
      </c>
      <c r="O248" s="826"/>
      <c r="P248" s="825">
        <f>COS(H248*Outils!$F$4)</f>
        <v>-0.45347205635565419</v>
      </c>
      <c r="Q248" s="826"/>
      <c r="AB248" s="61"/>
      <c r="AC248" s="247"/>
      <c r="AD248" s="247"/>
      <c r="AE248" s="247"/>
      <c r="AF248" s="247"/>
      <c r="AG248" s="247"/>
      <c r="AH248" s="247"/>
      <c r="AI248" s="247"/>
      <c r="AJ248" s="247"/>
      <c r="AK248" s="247"/>
      <c r="AL248" s="247"/>
      <c r="AM248" s="247"/>
      <c r="AN248" s="247"/>
      <c r="AO248" s="247"/>
      <c r="AP248" s="247"/>
      <c r="AQ248" s="247"/>
      <c r="AR248" s="247"/>
      <c r="AS248" s="247"/>
      <c r="AT248" s="247"/>
      <c r="AU248" s="247"/>
      <c r="AV248" s="247"/>
      <c r="AW248" s="247"/>
      <c r="AX248" s="247"/>
      <c r="AY248" s="247"/>
      <c r="AZ248" s="247"/>
      <c r="BA248" s="247"/>
      <c r="BB248" s="247"/>
      <c r="BC248" s="247"/>
      <c r="BD248" s="247"/>
      <c r="BE248" s="247"/>
      <c r="BF248" s="247"/>
      <c r="BG248" s="247"/>
      <c r="BH248" s="247"/>
      <c r="BI248" s="247"/>
      <c r="BJ248" s="247"/>
      <c r="BK248" s="247"/>
      <c r="BL248" s="247"/>
      <c r="BM248" s="247"/>
      <c r="BN248" s="248"/>
    </row>
    <row r="249" spans="3:66" s="246" customFormat="1" ht="17.25" customHeight="1">
      <c r="C249" s="346"/>
      <c r="D249" s="346"/>
      <c r="E249" s="346"/>
      <c r="F249" s="824" t="s">
        <v>555</v>
      </c>
      <c r="G249" s="824"/>
      <c r="H249" s="819">
        <f>(P246*L248)/((P247*L246)-(L247*P246*P248))</f>
        <v>-37.477111895328683</v>
      </c>
      <c r="I249" s="820"/>
      <c r="J249" s="820"/>
      <c r="K249" s="820"/>
      <c r="L249" s="820"/>
      <c r="M249" s="821"/>
      <c r="N249" s="304"/>
      <c r="O249" s="304"/>
      <c r="P249" s="304"/>
      <c r="Q249" s="304"/>
      <c r="AB249" s="61"/>
      <c r="AC249" s="247">
        <f>ATAN(H249)*Outils!F5</f>
        <v>-88.471542106463403</v>
      </c>
      <c r="AD249" s="247">
        <f>IF(AC249&lt;0,AC249+180,AC249)</f>
        <v>91.528457893536597</v>
      </c>
      <c r="AE249" s="247"/>
      <c r="AF249" s="247"/>
      <c r="AG249" s="247"/>
      <c r="AH249" s="247"/>
      <c r="AI249" s="247"/>
      <c r="AJ249" s="247"/>
      <c r="AK249" s="247"/>
      <c r="AL249" s="247"/>
      <c r="AM249" s="247"/>
      <c r="AN249" s="247"/>
      <c r="AO249" s="247"/>
      <c r="AP249" s="247"/>
      <c r="AQ249" s="247"/>
      <c r="AR249" s="247"/>
      <c r="AS249" s="247"/>
      <c r="AT249" s="247"/>
      <c r="AU249" s="247"/>
      <c r="AV249" s="247"/>
      <c r="AW249" s="247"/>
      <c r="AX249" s="247"/>
      <c r="AY249" s="247"/>
      <c r="AZ249" s="247"/>
      <c r="BA249" s="247"/>
      <c r="BB249" s="247"/>
      <c r="BC249" s="247"/>
      <c r="BD249" s="247"/>
      <c r="BE249" s="247"/>
      <c r="BF249" s="247"/>
      <c r="BG249" s="247"/>
      <c r="BH249" s="247"/>
      <c r="BI249" s="247"/>
      <c r="BJ249" s="247"/>
      <c r="BK249" s="247"/>
      <c r="BL249" s="247"/>
      <c r="BM249" s="247"/>
      <c r="BN249" s="248"/>
    </row>
    <row r="250" spans="3:66" s="246" customFormat="1" ht="17.25" customHeight="1">
      <c r="C250" s="346"/>
      <c r="D250" s="346"/>
      <c r="E250" s="346"/>
      <c r="F250" s="809" t="s">
        <v>92</v>
      </c>
      <c r="G250" s="809"/>
      <c r="H250" s="819" t="str" cm="1">
        <f t="array" ref="H250">angleDecimal2Txt(I161,0)</f>
        <v>+91°31.70</v>
      </c>
      <c r="I250" s="820"/>
      <c r="J250" s="820"/>
      <c r="K250" s="820"/>
      <c r="L250" s="820"/>
      <c r="M250" s="821"/>
      <c r="N250" s="304"/>
      <c r="O250" s="304"/>
      <c r="P250" s="304"/>
      <c r="Q250" s="304"/>
      <c r="AB250" s="61"/>
      <c r="AC250" s="247"/>
      <c r="AD250" s="247"/>
      <c r="AE250" s="247"/>
      <c r="AF250" s="247"/>
      <c r="AG250" s="247"/>
      <c r="AH250" s="247"/>
      <c r="AI250" s="247"/>
      <c r="AJ250" s="247"/>
      <c r="AK250" s="247"/>
      <c r="AL250" s="247"/>
      <c r="AM250" s="247"/>
      <c r="AN250" s="247"/>
      <c r="AO250" s="247"/>
      <c r="AP250" s="247"/>
      <c r="AQ250" s="247"/>
      <c r="AR250" s="247"/>
      <c r="AS250" s="247"/>
      <c r="AT250" s="247"/>
      <c r="AU250" s="247"/>
      <c r="AV250" s="247"/>
      <c r="AW250" s="247"/>
      <c r="AX250" s="247"/>
      <c r="AY250" s="247"/>
      <c r="AZ250" s="247"/>
      <c r="BA250" s="247"/>
      <c r="BB250" s="247"/>
      <c r="BC250" s="247"/>
      <c r="BD250" s="247"/>
      <c r="BE250" s="247"/>
      <c r="BF250" s="247"/>
      <c r="BG250" s="247"/>
      <c r="BH250" s="247"/>
      <c r="BI250" s="247"/>
      <c r="BJ250" s="247"/>
      <c r="BK250" s="247"/>
      <c r="BL250" s="247"/>
      <c r="BM250" s="247"/>
      <c r="BN250" s="248"/>
    </row>
    <row r="251" spans="3:66" s="246" customFormat="1" ht="17.25" customHeight="1">
      <c r="C251" s="346"/>
      <c r="D251" s="346"/>
      <c r="E251" s="346"/>
      <c r="F251" s="834" t="s">
        <v>143</v>
      </c>
      <c r="G251" s="835"/>
      <c r="H251" s="835"/>
      <c r="I251" s="835"/>
      <c r="J251" s="835"/>
      <c r="K251" s="836"/>
      <c r="L251" s="834" t="s">
        <v>144</v>
      </c>
      <c r="M251" s="835"/>
      <c r="N251" s="835"/>
      <c r="O251" s="835"/>
      <c r="P251" s="835"/>
      <c r="Q251" s="836"/>
      <c r="AB251" s="61"/>
      <c r="AC251" s="247"/>
      <c r="AD251" s="247"/>
      <c r="AE251" s="247"/>
      <c r="AF251" s="247"/>
      <c r="AG251" s="247"/>
      <c r="AH251" s="247"/>
      <c r="AI251" s="247"/>
      <c r="AJ251" s="247"/>
      <c r="AK251" s="247"/>
      <c r="AL251" s="247"/>
      <c r="AM251" s="247"/>
      <c r="AN251" s="247"/>
      <c r="AO251" s="247"/>
      <c r="AP251" s="247"/>
      <c r="AQ251" s="247"/>
      <c r="AR251" s="247"/>
      <c r="AS251" s="247"/>
      <c r="AT251" s="247"/>
      <c r="AU251" s="247"/>
      <c r="AV251" s="247"/>
      <c r="AW251" s="247"/>
      <c r="AX251" s="247"/>
      <c r="AY251" s="247"/>
      <c r="AZ251" s="247"/>
      <c r="BA251" s="247"/>
      <c r="BB251" s="247"/>
      <c r="BC251" s="247"/>
      <c r="BD251" s="247"/>
      <c r="BE251" s="247"/>
      <c r="BF251" s="247"/>
      <c r="BG251" s="247"/>
      <c r="BH251" s="247"/>
      <c r="BI251" s="247"/>
      <c r="BJ251" s="247"/>
      <c r="BK251" s="247"/>
      <c r="BL251" s="247"/>
      <c r="BM251" s="247"/>
      <c r="BN251" s="248"/>
    </row>
    <row r="252" spans="3:66" s="246" customFormat="1" ht="17.25" customHeight="1">
      <c r="C252" s="346"/>
      <c r="D252" s="346"/>
      <c r="E252" s="346"/>
      <c r="F252" s="837"/>
      <c r="G252" s="839" t="s">
        <v>117</v>
      </c>
      <c r="H252" s="840"/>
      <c r="I252" s="841"/>
      <c r="J252" s="822" t="s">
        <v>118</v>
      </c>
      <c r="K252" s="823"/>
      <c r="L252" s="837"/>
      <c r="M252" s="839" t="s">
        <v>117</v>
      </c>
      <c r="N252" s="840"/>
      <c r="O252" s="841"/>
      <c r="P252" s="822" t="s">
        <v>119</v>
      </c>
      <c r="Q252" s="823"/>
      <c r="AB252" s="61"/>
      <c r="AC252" s="247"/>
      <c r="AD252" s="247"/>
      <c r="AE252" s="247"/>
      <c r="AF252" s="247"/>
      <c r="AG252" s="247"/>
      <c r="AH252" s="247"/>
      <c r="AI252" s="247"/>
      <c r="AJ252" s="247"/>
      <c r="AK252" s="247"/>
      <c r="AL252" s="247"/>
      <c r="AM252" s="247"/>
      <c r="AN252" s="247"/>
      <c r="AO252" s="247"/>
      <c r="AP252" s="247"/>
      <c r="AQ252" s="247"/>
      <c r="AR252" s="247"/>
      <c r="AS252" s="247"/>
      <c r="AT252" s="247"/>
      <c r="AU252" s="247"/>
      <c r="AV252" s="247"/>
      <c r="AW252" s="247"/>
      <c r="AX252" s="247"/>
      <c r="AY252" s="247"/>
      <c r="AZ252" s="247"/>
      <c r="BA252" s="247"/>
      <c r="BB252" s="247"/>
      <c r="BC252" s="247"/>
      <c r="BD252" s="247"/>
      <c r="BE252" s="247"/>
      <c r="BF252" s="247"/>
      <c r="BG252" s="247"/>
      <c r="BH252" s="247"/>
      <c r="BI252" s="247"/>
      <c r="BJ252" s="247"/>
      <c r="BK252" s="247"/>
      <c r="BL252" s="247"/>
      <c r="BM252" s="247"/>
      <c r="BN252" s="248"/>
    </row>
    <row r="253" spans="3:66" s="246" customFormat="1" ht="17.25" customHeight="1">
      <c r="C253" s="346"/>
      <c r="D253" s="346"/>
      <c r="E253" s="346"/>
      <c r="F253" s="838"/>
      <c r="G253" s="842" t="s">
        <v>87</v>
      </c>
      <c r="H253" s="843"/>
      <c r="I253" s="844"/>
      <c r="J253" s="815" t="s">
        <v>88</v>
      </c>
      <c r="K253" s="816"/>
      <c r="L253" s="838"/>
      <c r="M253" s="842" t="s">
        <v>87</v>
      </c>
      <c r="N253" s="843"/>
      <c r="O253" s="844"/>
      <c r="P253" s="815" t="s">
        <v>89</v>
      </c>
      <c r="Q253" s="816"/>
      <c r="AB253" s="61"/>
      <c r="AC253" s="247"/>
      <c r="AD253" s="247"/>
      <c r="AE253" s="247"/>
      <c r="AF253" s="247"/>
      <c r="AG253" s="247"/>
      <c r="AH253" s="247"/>
      <c r="AI253" s="247"/>
      <c r="AJ253" s="247"/>
      <c r="AK253" s="247"/>
      <c r="AL253" s="247"/>
      <c r="AM253" s="247"/>
      <c r="AN253" s="247"/>
      <c r="AO253" s="247"/>
      <c r="AP253" s="247"/>
      <c r="AQ253" s="247"/>
      <c r="AR253" s="247"/>
      <c r="AS253" s="247"/>
      <c r="AT253" s="247"/>
      <c r="AU253" s="247"/>
      <c r="AV253" s="247"/>
      <c r="AW253" s="247"/>
      <c r="AX253" s="247"/>
      <c r="AY253" s="247"/>
      <c r="AZ253" s="247"/>
      <c r="BA253" s="247"/>
      <c r="BB253" s="247"/>
      <c r="BC253" s="247"/>
      <c r="BD253" s="247"/>
      <c r="BE253" s="247"/>
      <c r="BF253" s="247"/>
      <c r="BG253" s="247"/>
      <c r="BH253" s="247"/>
      <c r="BI253" s="247"/>
      <c r="BJ253" s="247"/>
      <c r="BK253" s="247"/>
      <c r="BL253" s="247"/>
      <c r="BM253" s="247"/>
      <c r="BN253" s="248"/>
    </row>
    <row r="254" spans="3:66" s="246" customFormat="1" ht="17.25" customHeight="1">
      <c r="C254" s="346"/>
      <c r="D254" s="346"/>
      <c r="E254" s="346"/>
      <c r="F254" s="809" t="s">
        <v>412</v>
      </c>
      <c r="G254" s="809"/>
      <c r="H254" s="819" t="str">
        <f>IF(G32&gt;0,"Nord","Sud")</f>
        <v>Sud</v>
      </c>
      <c r="I254" s="820"/>
      <c r="J254" s="820"/>
      <c r="K254" s="820"/>
      <c r="L254" s="820"/>
      <c r="M254" s="821"/>
      <c r="N254" s="304"/>
      <c r="O254" s="304"/>
      <c r="P254" s="304"/>
      <c r="Q254" s="304"/>
      <c r="AB254" s="61"/>
      <c r="AC254" s="247"/>
      <c r="AD254" s="247"/>
      <c r="AE254" s="247"/>
      <c r="AF254" s="247"/>
      <c r="AG254" s="247"/>
      <c r="AH254" s="247"/>
      <c r="AI254" s="247"/>
      <c r="AJ254" s="247"/>
      <c r="AK254" s="247"/>
      <c r="AL254" s="247"/>
      <c r="AM254" s="247"/>
      <c r="AN254" s="247"/>
      <c r="AO254" s="247"/>
      <c r="AP254" s="247"/>
      <c r="AQ254" s="247"/>
      <c r="AR254" s="247"/>
      <c r="AS254" s="247"/>
      <c r="AT254" s="247"/>
      <c r="AU254" s="247"/>
      <c r="AV254" s="247"/>
      <c r="AW254" s="247"/>
      <c r="AX254" s="247"/>
      <c r="AY254" s="247"/>
      <c r="AZ254" s="247"/>
      <c r="BA254" s="247"/>
      <c r="BB254" s="247"/>
      <c r="BC254" s="247"/>
      <c r="BD254" s="247"/>
      <c r="BE254" s="247"/>
      <c r="BF254" s="247"/>
      <c r="BG254" s="247"/>
      <c r="BH254" s="247"/>
      <c r="BI254" s="247"/>
      <c r="BJ254" s="247"/>
      <c r="BK254" s="247"/>
      <c r="BL254" s="247"/>
      <c r="BM254" s="247"/>
      <c r="BN254" s="248"/>
    </row>
    <row r="255" spans="3:66" s="246" customFormat="1" ht="17.25" customHeight="1">
      <c r="C255" s="346"/>
      <c r="D255" s="346"/>
      <c r="E255" s="346"/>
      <c r="F255" s="809" t="s">
        <v>411</v>
      </c>
      <c r="G255" s="809"/>
      <c r="H255" s="819" t="b">
        <f>(F103&gt;180)</f>
        <v>1</v>
      </c>
      <c r="I255" s="820"/>
      <c r="J255" s="820"/>
      <c r="K255" s="820"/>
      <c r="L255" s="820"/>
      <c r="M255" s="821"/>
      <c r="N255" s="304"/>
      <c r="O255" s="304"/>
      <c r="P255" s="304"/>
      <c r="Q255" s="304"/>
      <c r="AB255" s="61"/>
      <c r="AC255" s="247"/>
      <c r="AD255" s="247"/>
      <c r="AE255" s="247"/>
      <c r="AF255" s="247"/>
      <c r="AG255" s="247"/>
      <c r="AH255" s="247"/>
      <c r="AI255" s="247"/>
      <c r="AJ255" s="247"/>
      <c r="AK255" s="247"/>
      <c r="AL255" s="247"/>
      <c r="AM255" s="247"/>
      <c r="AN255" s="247"/>
      <c r="AO255" s="247"/>
      <c r="AP255" s="247"/>
      <c r="AQ255" s="247"/>
      <c r="AR255" s="247"/>
      <c r="AS255" s="247"/>
      <c r="AT255" s="247"/>
      <c r="AU255" s="247"/>
      <c r="AV255" s="247"/>
      <c r="AW255" s="247"/>
      <c r="AX255" s="247"/>
      <c r="AY255" s="247"/>
      <c r="AZ255" s="247"/>
      <c r="BA255" s="247"/>
      <c r="BB255" s="247"/>
      <c r="BC255" s="247"/>
      <c r="BD255" s="247"/>
      <c r="BE255" s="247"/>
      <c r="BF255" s="247"/>
      <c r="BG255" s="247"/>
      <c r="BH255" s="247"/>
      <c r="BI255" s="247"/>
      <c r="BJ255" s="247"/>
      <c r="BK255" s="247"/>
      <c r="BL255" s="247"/>
      <c r="BM255" s="247"/>
      <c r="BN255" s="248"/>
    </row>
    <row r="256" spans="3:66" ht="17.25" customHeight="1">
      <c r="C256" s="1297" t="s">
        <v>410</v>
      </c>
      <c r="D256" s="1297"/>
      <c r="E256" s="1297" t="str" cm="1">
        <f t="array" ref="E256">angleDecimal2Txt(T171,0)</f>
        <v>+88°28.29</v>
      </c>
      <c r="F256" s="1297"/>
      <c r="G256" s="1297"/>
      <c r="H256" s="1297"/>
      <c r="I256" s="1297"/>
      <c r="J256" s="1297"/>
      <c r="O256" s="387" t="s">
        <v>611</v>
      </c>
      <c r="P256" s="845" t="str">
        <f>angleDecimal2Txt(astroModuloEnDegre(90+T171),0)</f>
        <v>+178°28.29</v>
      </c>
      <c r="Q256" s="845"/>
    </row>
  </sheetData>
  <protectedRanges>
    <protectedRange sqref="I11:Y11" name="Heure visee" securityDescriptor="O:WDG:WDD:(A;;CC;;;WD)"/>
  </protectedRanges>
  <dataConsolidate link="1"/>
  <mergeCells count="522">
    <mergeCell ref="F254:G254"/>
    <mergeCell ref="H254:M254"/>
    <mergeCell ref="F255:G255"/>
    <mergeCell ref="H255:M255"/>
    <mergeCell ref="F249:G249"/>
    <mergeCell ref="H249:M249"/>
    <mergeCell ref="F250:G250"/>
    <mergeCell ref="H250:M250"/>
    <mergeCell ref="F251:K251"/>
    <mergeCell ref="L251:Q251"/>
    <mergeCell ref="F252:F253"/>
    <mergeCell ref="G252:I252"/>
    <mergeCell ref="J252:K252"/>
    <mergeCell ref="L252:L253"/>
    <mergeCell ref="M252:O252"/>
    <mergeCell ref="P252:Q252"/>
    <mergeCell ref="G253:I253"/>
    <mergeCell ref="J253:K253"/>
    <mergeCell ref="M253:O253"/>
    <mergeCell ref="P253:Q253"/>
    <mergeCell ref="F245:P245"/>
    <mergeCell ref="D246:E248"/>
    <mergeCell ref="F246:G246"/>
    <mergeCell ref="H246:I246"/>
    <mergeCell ref="J246:K246"/>
    <mergeCell ref="L246:M246"/>
    <mergeCell ref="N246:O246"/>
    <mergeCell ref="P246:Q246"/>
    <mergeCell ref="H247:I247"/>
    <mergeCell ref="J247:K247"/>
    <mergeCell ref="L247:M247"/>
    <mergeCell ref="N247:O247"/>
    <mergeCell ref="P247:Q247"/>
    <mergeCell ref="F248:G248"/>
    <mergeCell ref="H248:I248"/>
    <mergeCell ref="J248:K248"/>
    <mergeCell ref="L248:M248"/>
    <mergeCell ref="N248:O248"/>
    <mergeCell ref="P248:Q248"/>
    <mergeCell ref="C256:D256"/>
    <mergeCell ref="E256:J256"/>
    <mergeCell ref="F214:G214"/>
    <mergeCell ref="H214:L214"/>
    <mergeCell ref="O243:O244"/>
    <mergeCell ref="F247:G247"/>
    <mergeCell ref="C241:D241"/>
    <mergeCell ref="E241:J241"/>
    <mergeCell ref="C242:D244"/>
    <mergeCell ref="E242:J242"/>
    <mergeCell ref="E243:J243"/>
    <mergeCell ref="E244:J244"/>
    <mergeCell ref="F231:G232"/>
    <mergeCell ref="H231:I231"/>
    <mergeCell ref="J231:M231"/>
    <mergeCell ref="H232:I232"/>
    <mergeCell ref="J232:M232"/>
    <mergeCell ref="C233:D233"/>
    <mergeCell ref="E233:J233"/>
    <mergeCell ref="F236:G236"/>
    <mergeCell ref="H236:I236"/>
    <mergeCell ref="J236:K236"/>
    <mergeCell ref="L236:M236"/>
    <mergeCell ref="F227:G228"/>
    <mergeCell ref="P243:Q243"/>
    <mergeCell ref="P244:Q244"/>
    <mergeCell ref="F237:G237"/>
    <mergeCell ref="H237:I237"/>
    <mergeCell ref="J237:K237"/>
    <mergeCell ref="L237:M237"/>
    <mergeCell ref="F238:G238"/>
    <mergeCell ref="H238:I238"/>
    <mergeCell ref="F239:M239"/>
    <mergeCell ref="F240:G240"/>
    <mergeCell ref="H240:M240"/>
    <mergeCell ref="H227:J227"/>
    <mergeCell ref="K227:M227"/>
    <mergeCell ref="H228:J228"/>
    <mergeCell ref="K228:M228"/>
    <mergeCell ref="C229:D229"/>
    <mergeCell ref="E229:J229"/>
    <mergeCell ref="C230:D230"/>
    <mergeCell ref="E230:J230"/>
    <mergeCell ref="N219:P221"/>
    <mergeCell ref="F220:J220"/>
    <mergeCell ref="K220:M220"/>
    <mergeCell ref="F221:J221"/>
    <mergeCell ref="K221:M221"/>
    <mergeCell ref="C225:D225"/>
    <mergeCell ref="E225:J225"/>
    <mergeCell ref="C226:D226"/>
    <mergeCell ref="E226:J226"/>
    <mergeCell ref="F215:G215"/>
    <mergeCell ref="H215:L215"/>
    <mergeCell ref="F216:G216"/>
    <mergeCell ref="H216:L216"/>
    <mergeCell ref="F217:G217"/>
    <mergeCell ref="H217:L217"/>
    <mergeCell ref="E218:I218"/>
    <mergeCell ref="J218:L218"/>
    <mergeCell ref="F219:J219"/>
    <mergeCell ref="K219:M219"/>
    <mergeCell ref="C209:D209"/>
    <mergeCell ref="E209:I209"/>
    <mergeCell ref="C210:D210"/>
    <mergeCell ref="E210:I210"/>
    <mergeCell ref="E211:I211"/>
    <mergeCell ref="J211:L211"/>
    <mergeCell ref="F212:G212"/>
    <mergeCell ref="H212:L212"/>
    <mergeCell ref="F213:G213"/>
    <mergeCell ref="H213:L213"/>
    <mergeCell ref="B203:C203"/>
    <mergeCell ref="D203:G203"/>
    <mergeCell ref="I203:L203"/>
    <mergeCell ref="B204:C204"/>
    <mergeCell ref="D204:E204"/>
    <mergeCell ref="C207:D207"/>
    <mergeCell ref="E207:I207"/>
    <mergeCell ref="C208:D208"/>
    <mergeCell ref="E208:I208"/>
    <mergeCell ref="O148:AA148"/>
    <mergeCell ref="E149:H151"/>
    <mergeCell ref="I149:M150"/>
    <mergeCell ref="T149:T151"/>
    <mergeCell ref="O161:P161"/>
    <mergeCell ref="Q161:S161"/>
    <mergeCell ref="U161:W161"/>
    <mergeCell ref="I165:N165"/>
    <mergeCell ref="O165:T165"/>
    <mergeCell ref="X149:X151"/>
    <mergeCell ref="O150:P150"/>
    <mergeCell ref="Q150:S150"/>
    <mergeCell ref="U150:W150"/>
    <mergeCell ref="I151:M151"/>
    <mergeCell ref="O151:P151"/>
    <mergeCell ref="Q151:S151"/>
    <mergeCell ref="U151:W151"/>
    <mergeCell ref="E153:H155"/>
    <mergeCell ref="I153:M154"/>
    <mergeCell ref="O154:S154"/>
    <mergeCell ref="O149:P149"/>
    <mergeCell ref="Q149:S149"/>
    <mergeCell ref="U149:W149"/>
    <mergeCell ref="Y154:Z154"/>
    <mergeCell ref="H135:N135"/>
    <mergeCell ref="O135:R135"/>
    <mergeCell ref="U135:Z135"/>
    <mergeCell ref="F137:I137"/>
    <mergeCell ref="J137:L137"/>
    <mergeCell ref="L143:M143"/>
    <mergeCell ref="O143:P143"/>
    <mergeCell ref="W143:AA143"/>
    <mergeCell ref="H145:N145"/>
    <mergeCell ref="O145:R145"/>
    <mergeCell ref="U145:Z145"/>
    <mergeCell ref="I131:N131"/>
    <mergeCell ref="O131:R132"/>
    <mergeCell ref="S131:S132"/>
    <mergeCell ref="I132:N132"/>
    <mergeCell ref="I133:N133"/>
    <mergeCell ref="O133:R133"/>
    <mergeCell ref="G128:S128"/>
    <mergeCell ref="G129:H130"/>
    <mergeCell ref="I129:N129"/>
    <mergeCell ref="O129:R130"/>
    <mergeCell ref="S129:S130"/>
    <mergeCell ref="AD129:AE129"/>
    <mergeCell ref="I130:N130"/>
    <mergeCell ref="AD125:AE125"/>
    <mergeCell ref="H126:N126"/>
    <mergeCell ref="O126:R126"/>
    <mergeCell ref="U126:Z126"/>
    <mergeCell ref="AD126:AE126"/>
    <mergeCell ref="AD127:AE127"/>
    <mergeCell ref="H122:N122"/>
    <mergeCell ref="O122:R122"/>
    <mergeCell ref="U122:Z122"/>
    <mergeCell ref="H124:N124"/>
    <mergeCell ref="O124:R124"/>
    <mergeCell ref="H125:N125"/>
    <mergeCell ref="O125:R125"/>
    <mergeCell ref="S119:U119"/>
    <mergeCell ref="H120:N120"/>
    <mergeCell ref="O120:R120"/>
    <mergeCell ref="S120:U120"/>
    <mergeCell ref="H121:N121"/>
    <mergeCell ref="O121:R121"/>
    <mergeCell ref="S121:U121"/>
    <mergeCell ref="M115:P115"/>
    <mergeCell ref="H116:N116"/>
    <mergeCell ref="O116:R116"/>
    <mergeCell ref="U116:Z116"/>
    <mergeCell ref="H117:N117"/>
    <mergeCell ref="O117:R117"/>
    <mergeCell ref="U117:Z117"/>
    <mergeCell ref="M112:P112"/>
    <mergeCell ref="H113:N113"/>
    <mergeCell ref="O113:P113"/>
    <mergeCell ref="R113:S113"/>
    <mergeCell ref="U113:Z113"/>
    <mergeCell ref="H109:N109"/>
    <mergeCell ref="O109:R109"/>
    <mergeCell ref="U109:Z109"/>
    <mergeCell ref="H110:N110"/>
    <mergeCell ref="O110:R110"/>
    <mergeCell ref="U110:Z110"/>
    <mergeCell ref="C107:F107"/>
    <mergeCell ref="G107:I107"/>
    <mergeCell ref="AC107:AC108"/>
    <mergeCell ref="F108:I108"/>
    <mergeCell ref="J108:L108"/>
    <mergeCell ref="D106:E106"/>
    <mergeCell ref="F106:H106"/>
    <mergeCell ref="M106:N106"/>
    <mergeCell ref="H111:N111"/>
    <mergeCell ref="O111:R111"/>
    <mergeCell ref="U111:Z111"/>
    <mergeCell ref="F103:H103"/>
    <mergeCell ref="J103:L103"/>
    <mergeCell ref="M103:O103"/>
    <mergeCell ref="C104:H104"/>
    <mergeCell ref="I104:L104"/>
    <mergeCell ref="N104:Q104"/>
    <mergeCell ref="R104:W104"/>
    <mergeCell ref="S106:U106"/>
    <mergeCell ref="V106:Z106"/>
    <mergeCell ref="C83:F83"/>
    <mergeCell ref="G83:I83"/>
    <mergeCell ref="F82:H82"/>
    <mergeCell ref="L82:M82"/>
    <mergeCell ref="C46:C50"/>
    <mergeCell ref="N48:N49"/>
    <mergeCell ref="O48:R49"/>
    <mergeCell ref="S48:S49"/>
    <mergeCell ref="T48:W49"/>
    <mergeCell ref="K76:M77"/>
    <mergeCell ref="S76:W77"/>
    <mergeCell ref="K78:M79"/>
    <mergeCell ref="S78:W79"/>
    <mergeCell ref="D79:H79"/>
    <mergeCell ref="D74:H75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39:V139"/>
    <mergeCell ref="U140:V140"/>
    <mergeCell ref="K141:K142"/>
    <mergeCell ref="N141:N142"/>
    <mergeCell ref="Q141:Q142"/>
    <mergeCell ref="U141:V141"/>
    <mergeCell ref="L142:M142"/>
    <mergeCell ref="O142:P142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1:H163"/>
    <mergeCell ref="I161:M162"/>
    <mergeCell ref="T161:T163"/>
    <mergeCell ref="X161:X163"/>
    <mergeCell ref="O162:P162"/>
    <mergeCell ref="Q162:S162"/>
    <mergeCell ref="U162:W162"/>
    <mergeCell ref="I163:M163"/>
    <mergeCell ref="O163:P163"/>
    <mergeCell ref="Q163:S163"/>
    <mergeCell ref="U163:W163"/>
    <mergeCell ref="P166:R166"/>
    <mergeCell ref="S166:T166"/>
    <mergeCell ref="J167:L167"/>
    <mergeCell ref="M167:N167"/>
    <mergeCell ref="P167:R167"/>
    <mergeCell ref="S167:T167"/>
    <mergeCell ref="L170:M170"/>
    <mergeCell ref="I155:M155"/>
    <mergeCell ref="O160:AA160"/>
    <mergeCell ref="S155:S156"/>
    <mergeCell ref="T155:U155"/>
    <mergeCell ref="V155:W155"/>
    <mergeCell ref="X155:AC155"/>
    <mergeCell ref="T156:U156"/>
    <mergeCell ref="V156:W156"/>
    <mergeCell ref="X156:AC156"/>
    <mergeCell ref="AE198:AF199"/>
    <mergeCell ref="E179:F179"/>
    <mergeCell ref="S179:T179"/>
    <mergeCell ref="U179:Z179"/>
    <mergeCell ref="Q181:S181"/>
    <mergeCell ref="R182:S182"/>
    <mergeCell ref="C187:F187"/>
    <mergeCell ref="E188:F188"/>
    <mergeCell ref="G188:L188"/>
    <mergeCell ref="S188:T188"/>
    <mergeCell ref="U188:Z188"/>
    <mergeCell ref="D192:E192"/>
    <mergeCell ref="AE192:AF193"/>
    <mergeCell ref="AE195:AF196"/>
    <mergeCell ref="I172:K172"/>
    <mergeCell ref="L172:M172"/>
    <mergeCell ref="T172:Y172"/>
    <mergeCell ref="C177:F177"/>
    <mergeCell ref="H177:J177"/>
    <mergeCell ref="L177:N177"/>
    <mergeCell ref="Q177:T177"/>
    <mergeCell ref="E178:F178"/>
    <mergeCell ref="I178:J178"/>
    <mergeCell ref="M178:N178"/>
    <mergeCell ref="S178:T178"/>
    <mergeCell ref="U178:Z178"/>
    <mergeCell ref="AS30:AT30"/>
    <mergeCell ref="Y27:Z27"/>
    <mergeCell ref="T27:X27"/>
    <mergeCell ref="E189:F189"/>
    <mergeCell ref="G189:L189"/>
    <mergeCell ref="S189:T189"/>
    <mergeCell ref="U189:Z189"/>
    <mergeCell ref="C191:E191"/>
    <mergeCell ref="T168:V168"/>
    <mergeCell ref="X168:Z168"/>
    <mergeCell ref="N169:O169"/>
    <mergeCell ref="Q169:S169"/>
    <mergeCell ref="T169:V169"/>
    <mergeCell ref="X169:Z169"/>
    <mergeCell ref="I170:J170"/>
    <mergeCell ref="I171:J171"/>
    <mergeCell ref="L171:M171"/>
    <mergeCell ref="O171:S171"/>
    <mergeCell ref="T171:U171"/>
    <mergeCell ref="I166:I167"/>
    <mergeCell ref="J166:L166"/>
    <mergeCell ref="M166:N166"/>
    <mergeCell ref="O166:O167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88:M89"/>
    <mergeCell ref="P32:Y33"/>
    <mergeCell ref="S91:W92"/>
    <mergeCell ref="D93:H94"/>
    <mergeCell ref="I93:J95"/>
    <mergeCell ref="K93:M94"/>
    <mergeCell ref="N93:N94"/>
    <mergeCell ref="O93:R94"/>
    <mergeCell ref="S93:S94"/>
    <mergeCell ref="T93:W94"/>
    <mergeCell ref="D95:H95"/>
    <mergeCell ref="K95:M95"/>
    <mergeCell ref="N95:R95"/>
    <mergeCell ref="S95:W95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76:R77"/>
    <mergeCell ref="N78:R79"/>
    <mergeCell ref="S86:X87"/>
    <mergeCell ref="S88:X89"/>
    <mergeCell ref="AC59:AC60"/>
    <mergeCell ref="D76:H78"/>
    <mergeCell ref="I76:J79"/>
    <mergeCell ref="AC83:AC84"/>
    <mergeCell ref="C84:C89"/>
    <mergeCell ref="D84:H85"/>
    <mergeCell ref="I84:J85"/>
    <mergeCell ref="K84:M85"/>
    <mergeCell ref="N84:R85"/>
    <mergeCell ref="D86:H88"/>
    <mergeCell ref="I86:J89"/>
    <mergeCell ref="K86:M87"/>
    <mergeCell ref="N86:N87"/>
    <mergeCell ref="O86:R87"/>
    <mergeCell ref="P256:Q256"/>
    <mergeCell ref="C235:D235"/>
    <mergeCell ref="E235:J235"/>
    <mergeCell ref="C234:D234"/>
    <mergeCell ref="E234:J234"/>
    <mergeCell ref="I74:J75"/>
    <mergeCell ref="K74:M75"/>
    <mergeCell ref="N74:R75"/>
    <mergeCell ref="I58:J58"/>
    <mergeCell ref="C97:C101"/>
    <mergeCell ref="D97:H98"/>
    <mergeCell ref="I97:M98"/>
    <mergeCell ref="D99:H100"/>
    <mergeCell ref="I99:I100"/>
    <mergeCell ref="J99:M100"/>
    <mergeCell ref="D101:H101"/>
    <mergeCell ref="C91:C95"/>
    <mergeCell ref="D91:H92"/>
    <mergeCell ref="I91:J92"/>
    <mergeCell ref="K91:M92"/>
    <mergeCell ref="N91:R92"/>
    <mergeCell ref="N88:N89"/>
    <mergeCell ref="O88:R89"/>
    <mergeCell ref="D89:H89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07:I107" xr:uid="{975EFC59-B6D8-4C9B-B275-10D8F8A0899E}">
      <formula1>$AD$107:$AD$108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3:I83" xr:uid="{E6494A9B-11C7-4AE4-AAC3-D895C0BE0281}">
      <formula1>$AD$82:$AD$84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199</xdr:row>
                    <xdr:rowOff>57150</xdr:rowOff>
                  </from>
                  <to>
                    <xdr:col>7</xdr:col>
                    <xdr:colOff>361950</xdr:colOff>
                    <xdr:row>200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N86:N89 N93:N94 S93:S94 I99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A73" zoomScaleNormal="100" workbookViewId="0">
      <selection activeCell="J11" sqref="J11:M11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09" customWidth="1"/>
    <col min="6" max="6" width="7.140625" style="146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48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3" customWidth="1"/>
    <col min="24" max="24" width="11.28515625" style="143" customWidth="1"/>
    <col min="25" max="25" width="11.7109375" style="143" customWidth="1"/>
    <col min="26" max="26" width="12.42578125" style="143" customWidth="1"/>
    <col min="27" max="27" width="13" style="148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1192" t="s">
        <v>132</v>
      </c>
      <c r="D1" s="1192"/>
      <c r="E1" s="1192"/>
      <c r="F1" s="1192"/>
      <c r="G1" s="1193" t="s">
        <v>133</v>
      </c>
      <c r="H1" s="1193"/>
      <c r="I1" s="1193"/>
      <c r="J1" s="1193"/>
      <c r="K1" s="1193"/>
      <c r="L1" s="1193"/>
      <c r="M1" s="1193"/>
      <c r="N1" s="1193"/>
      <c r="O1" s="1193"/>
      <c r="P1" s="1193"/>
      <c r="Q1" s="1193"/>
      <c r="R1" s="1193"/>
      <c r="S1" s="1193"/>
      <c r="T1" s="1193"/>
      <c r="U1" s="1193"/>
      <c r="V1" s="1193"/>
      <c r="W1" s="1193"/>
      <c r="X1" s="1193"/>
      <c r="Y1" s="1193"/>
      <c r="Z1" s="143"/>
      <c r="AA1" s="148"/>
      <c r="AE1" s="83"/>
      <c r="BO1" s="24"/>
    </row>
    <row r="2" spans="1:68" customFormat="1" ht="11.25" customHeight="1">
      <c r="B2" s="16"/>
      <c r="C2" s="1192"/>
      <c r="D2" s="1192"/>
      <c r="E2" s="1192"/>
      <c r="F2" s="1192"/>
      <c r="G2" s="1193"/>
      <c r="H2" s="1193"/>
      <c r="I2" s="1193"/>
      <c r="J2" s="1193"/>
      <c r="K2" s="1193"/>
      <c r="L2" s="1193"/>
      <c r="M2" s="1193"/>
      <c r="N2" s="1193"/>
      <c r="O2" s="1193"/>
      <c r="P2" s="1193"/>
      <c r="Q2" s="1193"/>
      <c r="R2" s="1193"/>
      <c r="S2" s="1193"/>
      <c r="T2" s="1193"/>
      <c r="U2" s="1193"/>
      <c r="V2" s="1193"/>
      <c r="W2" s="1193"/>
      <c r="X2" s="1193"/>
      <c r="Y2" s="1193"/>
      <c r="Z2" s="143"/>
      <c r="AA2" s="148"/>
      <c r="AE2" s="83"/>
      <c r="BO2" s="24"/>
    </row>
    <row r="3" spans="1:68" customFormat="1" ht="11.25" customHeight="1">
      <c r="B3" s="16"/>
      <c r="C3" s="1192"/>
      <c r="D3" s="1192"/>
      <c r="E3" s="1192"/>
      <c r="F3" s="1192"/>
      <c r="G3" s="602" t="s">
        <v>137</v>
      </c>
      <c r="H3" s="602"/>
      <c r="I3" s="602"/>
      <c r="J3" s="603" t="s">
        <v>136</v>
      </c>
      <c r="K3" s="603"/>
      <c r="L3" s="603"/>
      <c r="M3" s="148"/>
      <c r="N3" s="16"/>
      <c r="O3" s="16"/>
      <c r="P3" s="16"/>
      <c r="Q3" s="16"/>
      <c r="R3" s="16"/>
      <c r="S3" s="16"/>
      <c r="T3" s="16"/>
      <c r="U3" s="16"/>
      <c r="V3" s="16"/>
      <c r="W3" s="143"/>
      <c r="X3" s="143"/>
      <c r="Y3" s="143"/>
      <c r="Z3" s="143"/>
      <c r="AA3" s="148"/>
      <c r="AE3" s="83"/>
      <c r="BO3" s="24"/>
    </row>
    <row r="4" spans="1:68" customFormat="1" ht="11.25" customHeight="1">
      <c r="B4" s="16"/>
      <c r="C4" s="1192"/>
      <c r="D4" s="1192"/>
      <c r="E4" s="1192"/>
      <c r="F4" s="1192"/>
      <c r="G4" s="485"/>
      <c r="H4" s="485"/>
      <c r="I4" s="485"/>
      <c r="J4" s="604"/>
      <c r="K4" s="604"/>
      <c r="L4" s="604"/>
      <c r="M4" s="148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3"/>
      <c r="X4" s="143"/>
      <c r="Y4" s="143"/>
      <c r="Z4" s="143"/>
      <c r="AA4" s="148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0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6"/>
      <c r="N6" s="26" t="s">
        <v>315</v>
      </c>
      <c r="O6" s="26"/>
      <c r="P6" s="26"/>
      <c r="Q6" s="26"/>
      <c r="R6" s="26"/>
      <c r="S6" s="26" t="s">
        <v>316</v>
      </c>
      <c r="T6" s="1354">
        <f>dateConvert2Decimal(E7)</f>
        <v>1719532800</v>
      </c>
      <c r="U6" s="1354"/>
      <c r="V6" s="1354"/>
      <c r="W6" s="26" t="s">
        <v>317</v>
      </c>
      <c r="X6" s="1173">
        <f>(T6/86400)+DATE(1970,1,1)</f>
        <v>45471</v>
      </c>
      <c r="Y6" s="1173"/>
      <c r="Z6" s="26" t="s">
        <v>318</v>
      </c>
      <c r="AA6" s="177">
        <f>INT(MONTH(X6))</f>
        <v>6</v>
      </c>
      <c r="AB6" s="156"/>
      <c r="AC6" s="156"/>
      <c r="AE6" s="83"/>
      <c r="BO6" s="24"/>
    </row>
    <row r="7" spans="1:68" customFormat="1" ht="17.25" customHeight="1">
      <c r="B7" s="16"/>
      <c r="C7" s="594" t="s">
        <v>1</v>
      </c>
      <c r="D7" s="595"/>
      <c r="E7" s="585" t="s">
        <v>479</v>
      </c>
      <c r="F7" s="586"/>
      <c r="G7" s="586"/>
      <c r="H7" s="59"/>
      <c r="I7" s="16"/>
      <c r="J7" s="16"/>
      <c r="K7" s="16"/>
      <c r="L7" s="16"/>
      <c r="M7" s="148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1"/>
      <c r="F8" s="151"/>
      <c r="G8" s="14"/>
      <c r="H8" s="14"/>
      <c r="I8" s="14"/>
      <c r="J8" s="14"/>
      <c r="K8" s="14"/>
      <c r="L8" s="14"/>
      <c r="M8" s="158"/>
      <c r="N8" s="14"/>
      <c r="O8" s="14"/>
      <c r="P8" s="14"/>
      <c r="Q8" s="14"/>
      <c r="R8" s="14"/>
      <c r="S8" s="14"/>
      <c r="T8" s="14"/>
      <c r="U8" s="14"/>
      <c r="V8" s="14"/>
      <c r="W8" s="153"/>
      <c r="X8" s="153"/>
      <c r="Y8" s="153"/>
      <c r="Z8" s="143"/>
      <c r="AA8" s="148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427"/>
      <c r="F9" s="428"/>
      <c r="G9" s="75"/>
      <c r="H9" s="75"/>
      <c r="I9" s="75"/>
      <c r="J9" s="26"/>
      <c r="K9" s="26"/>
      <c r="L9" s="26"/>
      <c r="M9" s="156"/>
      <c r="N9" s="26"/>
      <c r="O9" s="26"/>
      <c r="P9" s="26"/>
      <c r="Q9" s="26"/>
      <c r="R9" s="26"/>
      <c r="S9" s="26"/>
      <c r="T9" s="26"/>
      <c r="U9" s="26"/>
      <c r="V9" s="26"/>
      <c r="W9" s="154"/>
      <c r="X9" s="154"/>
      <c r="Y9" s="154"/>
      <c r="Z9" s="154"/>
      <c r="AA9" s="156"/>
      <c r="AB9" s="156"/>
      <c r="AC9" s="156"/>
      <c r="AE9" s="83"/>
      <c r="BO9" s="24"/>
    </row>
    <row r="10" spans="1:68" ht="17.25" customHeight="1" thickTop="1" thickBot="1">
      <c r="A10" s="875" t="s">
        <v>129</v>
      </c>
      <c r="B10" s="385" t="s">
        <v>130</v>
      </c>
      <c r="C10" s="1309" t="s">
        <v>7</v>
      </c>
      <c r="D10" s="1309"/>
      <c r="E10" s="1309"/>
      <c r="F10" s="879">
        <f>AH10*angleConvert2Decimal(I10)</f>
        <v>-50.05</v>
      </c>
      <c r="G10" s="879"/>
      <c r="H10" s="433" t="s">
        <v>4</v>
      </c>
      <c r="I10" s="432" t="s">
        <v>480</v>
      </c>
      <c r="J10" s="870" t="str">
        <f>angleDecimal2Txt(F10)</f>
        <v>-50°03.00 (-50.0499) [-50°03'00.00]</v>
      </c>
      <c r="K10" s="870"/>
      <c r="L10" s="870"/>
      <c r="M10" s="871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75"/>
      <c r="B11" s="385" t="s">
        <v>138</v>
      </c>
      <c r="C11" s="607" t="s">
        <v>8</v>
      </c>
      <c r="D11" s="607"/>
      <c r="E11" s="607"/>
      <c r="F11" s="879">
        <f>AH11*angleConvert2Decimal(I11)</f>
        <v>-9.0333333333333332</v>
      </c>
      <c r="G11" s="879"/>
      <c r="H11" s="433" t="s">
        <v>6</v>
      </c>
      <c r="I11" s="432" t="s">
        <v>481</v>
      </c>
      <c r="J11" s="870" t="str">
        <f>angleDecimal2Txt(F11)</f>
        <v>-09°02.00 (-09.0333) [-09°02'00.00]</v>
      </c>
      <c r="K11" s="870"/>
      <c r="L11" s="870"/>
      <c r="M11" s="871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624" t="s">
        <v>19</v>
      </c>
      <c r="D12" s="624"/>
      <c r="E12" s="624"/>
      <c r="F12" s="429">
        <f>0.0293 * SQRT(H12)</f>
        <v>0.14354009892709421</v>
      </c>
      <c r="G12" s="431" t="s">
        <v>28</v>
      </c>
      <c r="H12" s="650">
        <v>24</v>
      </c>
      <c r="I12" s="650"/>
      <c r="J12"/>
      <c r="K12"/>
      <c r="L12"/>
      <c r="M12"/>
      <c r="N12"/>
      <c r="O12"/>
      <c r="P12"/>
      <c r="Y12" s="153"/>
      <c r="Z12" s="153"/>
      <c r="AI12" s="16"/>
      <c r="BO12" s="31"/>
    </row>
    <row r="13" spans="1:68" ht="17.25" customHeight="1" thickTop="1" thickBot="1">
      <c r="A13"/>
      <c r="B13"/>
      <c r="C13" s="624" t="s">
        <v>20</v>
      </c>
      <c r="D13" s="624"/>
      <c r="E13" s="624"/>
      <c r="F13" s="430" cm="1">
        <f t="array" ref="F13">angleConvert2Decimal(H13)</f>
        <v>2.5000000000000001E-2</v>
      </c>
      <c r="G13" s="431" t="s">
        <v>28</v>
      </c>
      <c r="H13" s="495" t="s">
        <v>482</v>
      </c>
      <c r="I13" s="495"/>
      <c r="J13" s="805" t="str" cm="1">
        <f t="array" ref="J13">angleDecimal2Txt(F13)</f>
        <v>+00°01.50 (+00.0250) [+00°01'30.00]</v>
      </c>
      <c r="K13" s="805"/>
      <c r="L13" s="805"/>
      <c r="M13" s="494"/>
      <c r="BO13" s="31"/>
    </row>
    <row r="14" spans="1:68" ht="17.25" customHeight="1" thickTop="1" thickBot="1">
      <c r="A14" s="14"/>
      <c r="C14" s="14"/>
      <c r="D14"/>
      <c r="E14" s="213"/>
      <c r="F14" s="145"/>
      <c r="G14"/>
      <c r="H14"/>
      <c r="I14"/>
      <c r="J14"/>
      <c r="K14"/>
      <c r="L14"/>
      <c r="M14" s="149"/>
      <c r="N14"/>
      <c r="O14"/>
      <c r="P14"/>
      <c r="Q14"/>
    </row>
    <row r="15" spans="1:68" customFormat="1" ht="17.25" customHeight="1" thickBot="1">
      <c r="A15" s="33"/>
      <c r="B15" s="25" t="s">
        <v>323</v>
      </c>
      <c r="C15" s="26"/>
      <c r="D15" s="26"/>
      <c r="E15" s="212"/>
      <c r="F15" s="152"/>
      <c r="G15" s="26"/>
      <c r="H15" s="26"/>
      <c r="I15" s="26"/>
      <c r="J15" s="26"/>
      <c r="K15" s="26"/>
      <c r="L15" s="26"/>
      <c r="M15" s="156"/>
      <c r="N15" s="26"/>
      <c r="O15" s="26"/>
      <c r="P15" s="26"/>
      <c r="Q15" s="26"/>
      <c r="R15" s="26"/>
      <c r="S15" s="26"/>
      <c r="T15" s="26"/>
      <c r="U15" s="26"/>
      <c r="V15" s="26"/>
      <c r="W15" s="154"/>
      <c r="X15" s="154"/>
      <c r="Y15" s="154"/>
      <c r="Z15" s="154"/>
      <c r="AA15" s="156"/>
      <c r="AB15" s="156"/>
      <c r="AC15" s="156"/>
      <c r="AE15" s="83"/>
      <c r="BO15" s="24"/>
      <c r="BP15" s="16"/>
    </row>
    <row r="16" spans="1:68" customFormat="1" ht="17.25" customHeight="1">
      <c r="E16" s="213"/>
      <c r="F16" s="145"/>
      <c r="M16" s="149"/>
      <c r="W16" s="147"/>
      <c r="X16" s="147"/>
      <c r="Y16" s="147"/>
      <c r="Z16" s="147"/>
      <c r="AA16" s="149"/>
      <c r="AE16" s="83"/>
    </row>
    <row r="17" spans="1:67" customFormat="1" ht="13.5" customHeight="1">
      <c r="B17" s="1313"/>
      <c r="C17" s="1313"/>
      <c r="D17" s="1314" t="s">
        <v>147</v>
      </c>
      <c r="E17" s="1315" t="s">
        <v>524</v>
      </c>
      <c r="F17" s="1315"/>
      <c r="G17" s="1315"/>
      <c r="H17" s="1314" t="s">
        <v>60</v>
      </c>
      <c r="I17" s="1314"/>
      <c r="J17" s="1322" t="s">
        <v>329</v>
      </c>
      <c r="K17" s="1322"/>
      <c r="L17" s="1313" t="s">
        <v>193</v>
      </c>
      <c r="M17" s="1313"/>
      <c r="N17" s="1314" t="s">
        <v>84</v>
      </c>
      <c r="O17" s="1314"/>
      <c r="P17" s="16"/>
      <c r="Q17" s="1357" t="s">
        <v>365</v>
      </c>
      <c r="R17" s="1357"/>
      <c r="S17" s="1357"/>
      <c r="T17" s="1357"/>
      <c r="U17" s="16"/>
      <c r="V17" s="1314" t="s">
        <v>366</v>
      </c>
      <c r="W17" s="1314"/>
      <c r="X17" s="1314"/>
      <c r="Y17" s="143"/>
      <c r="Z17" s="143"/>
      <c r="AA17" s="148"/>
      <c r="AE17" s="83"/>
    </row>
    <row r="18" spans="1:67" customFormat="1" ht="15.75" customHeight="1">
      <c r="B18" s="1313"/>
      <c r="C18" s="1313"/>
      <c r="D18" s="1314"/>
      <c r="E18" s="1315"/>
      <c r="F18" s="1315"/>
      <c r="G18" s="1315"/>
      <c r="H18" s="1314"/>
      <c r="I18" s="1314"/>
      <c r="J18" s="1322" t="s">
        <v>339</v>
      </c>
      <c r="K18" s="1322"/>
      <c r="L18" s="1313"/>
      <c r="M18" s="1313"/>
      <c r="N18" s="1314"/>
      <c r="O18" s="1314"/>
      <c r="P18" s="16"/>
      <c r="Q18" s="314" t="s">
        <v>507</v>
      </c>
      <c r="R18" s="144" t="s">
        <v>148</v>
      </c>
      <c r="S18" s="144" t="s">
        <v>17</v>
      </c>
      <c r="T18" s="144"/>
      <c r="U18" s="16"/>
      <c r="V18" s="1314"/>
      <c r="W18" s="1314"/>
      <c r="X18" s="1314"/>
      <c r="Y18" s="143"/>
      <c r="Z18" s="143"/>
      <c r="AA18" s="148"/>
      <c r="AE18" s="83"/>
      <c r="AG18" s="327" t="s">
        <v>328</v>
      </c>
    </row>
    <row r="19" spans="1:67" customFormat="1" ht="26.25" customHeight="1">
      <c r="B19" s="204" t="s">
        <v>32</v>
      </c>
      <c r="C19" s="204" t="s">
        <v>483</v>
      </c>
      <c r="D19" s="205" t="str">
        <f>IF(B19=$AG$18,IF(ISNA(VLOOKUP(C19,$I$35:$I$36,1,FALSE)),"Mauvaise planete","OK"),"OK")</f>
        <v>OK</v>
      </c>
      <c r="E19" s="315" t="s">
        <v>509</v>
      </c>
      <c r="F19" s="1325" t="s">
        <v>514</v>
      </c>
      <c r="G19" s="316">
        <f>heureConvert2Decimal(E19)+$F$23</f>
        <v>3.3344444444444443</v>
      </c>
      <c r="H19" s="206" t="s">
        <v>484</v>
      </c>
      <c r="I19" s="236">
        <f>angleConvert2Decimal(H19)</f>
        <v>18.75</v>
      </c>
      <c r="J19" s="236">
        <f>I19-$F$13-$F$12</f>
        <v>18.581459901072908</v>
      </c>
      <c r="K19" s="207" t="str">
        <f>angleDecimal2Txt(J19,0)</f>
        <v>+18°34.88</v>
      </c>
      <c r="L19" s="206" t="s">
        <v>496</v>
      </c>
      <c r="M19" s="172">
        <f>angleConvert2Decimal(L19)</f>
        <v>280.38333333333333</v>
      </c>
      <c r="N19" s="206" t="s">
        <v>497</v>
      </c>
      <c r="O19" s="208">
        <f>angleConvert2Decimal(N19)</f>
        <v>46.021666666666668</v>
      </c>
      <c r="P19" s="16"/>
      <c r="Q19" s="1314" t="s">
        <v>324</v>
      </c>
      <c r="R19" s="195">
        <v>3</v>
      </c>
      <c r="S19" s="196" t="s">
        <v>492</v>
      </c>
      <c r="T19" s="197">
        <f>angleConvert2Decimal(S19)</f>
        <v>321.70666666666665</v>
      </c>
      <c r="U19" s="16"/>
      <c r="V19" s="1355" t="s">
        <v>65</v>
      </c>
      <c r="W19" s="1356"/>
      <c r="X19" s="201">
        <v>10</v>
      </c>
      <c r="Y19" s="143"/>
      <c r="Z19" s="143"/>
      <c r="AA19" s="148"/>
      <c r="AE19" s="83"/>
      <c r="AG19" s="328" t="s">
        <v>32</v>
      </c>
    </row>
    <row r="20" spans="1:67" customFormat="1" ht="26.25" customHeight="1">
      <c r="B20" s="13" t="s">
        <v>32</v>
      </c>
      <c r="C20" s="13" t="s">
        <v>485</v>
      </c>
      <c r="D20" s="205" t="str">
        <f>IF(B20=$AG$18,IF(ISNA(VLOOKUP(C20,$I$35:$I$36,1,FALSE)),"Mauvaise planete","OK"),"OK")</f>
        <v>OK</v>
      </c>
      <c r="E20" s="315" t="s">
        <v>510</v>
      </c>
      <c r="F20" s="1326"/>
      <c r="G20" s="317">
        <f>heureConvert2Decimal(E20)+$F$23</f>
        <v>3.3688888888888888</v>
      </c>
      <c r="H20" s="12" t="s">
        <v>486</v>
      </c>
      <c r="I20" s="237">
        <f>angleConvert2Decimal(H20)</f>
        <v>51.1</v>
      </c>
      <c r="J20" s="237">
        <f>I20-$F$13-$F$12</f>
        <v>50.931459901072905</v>
      </c>
      <c r="K20" s="194" t="str">
        <f>angleDecimal2Txt(J20,0)</f>
        <v>+50°55.88</v>
      </c>
      <c r="L20" s="12" t="s">
        <v>498</v>
      </c>
      <c r="M20" s="157">
        <f>angleConvert2Decimal(L20)</f>
        <v>357.58666666666664</v>
      </c>
      <c r="N20" s="12" t="s">
        <v>499</v>
      </c>
      <c r="O20" s="171">
        <f>angleConvert2Decimal(N20)</f>
        <v>29.223333333333333</v>
      </c>
      <c r="P20" s="16"/>
      <c r="Q20" s="1314"/>
      <c r="R20" s="198">
        <v>4</v>
      </c>
      <c r="S20" s="199" t="s">
        <v>493</v>
      </c>
      <c r="T20" s="200">
        <f>angleConvert2Decimal(S20)</f>
        <v>336.74666666666667</v>
      </c>
      <c r="U20" s="16"/>
      <c r="V20" s="203" t="s">
        <v>66</v>
      </c>
      <c r="W20" s="203"/>
      <c r="X20" s="202">
        <v>1010</v>
      </c>
      <c r="Y20" s="143"/>
      <c r="Z20" s="143"/>
      <c r="AA20" s="148"/>
      <c r="AE20" s="83"/>
    </row>
    <row r="21" spans="1:67" customFormat="1" ht="26.25" customHeight="1">
      <c r="B21" s="13" t="s">
        <v>32</v>
      </c>
      <c r="C21" s="13" t="s">
        <v>487</v>
      </c>
      <c r="D21" s="205" t="str">
        <f>IF(B21=$AG$18,IF(ISNA(VLOOKUP(C21,$I$35:$I$36,1,FALSE)),"Mauvaise planete","OK"),"OK")</f>
        <v>OK</v>
      </c>
      <c r="E21" s="315" t="s">
        <v>511</v>
      </c>
      <c r="F21" s="1326"/>
      <c r="G21" s="317">
        <f>heureConvert2Decimal(E21)+$F$23</f>
        <v>3.4166666666666665</v>
      </c>
      <c r="H21" s="12" t="s">
        <v>489</v>
      </c>
      <c r="I21" s="237">
        <f>angleConvert2Decimal(H21)</f>
        <v>45.39</v>
      </c>
      <c r="J21" s="237">
        <f>I21-$F$13-$F$12</f>
        <v>45.221459901072905</v>
      </c>
      <c r="K21" s="194" t="str">
        <f>angleDecimal2Txt(J21,0)</f>
        <v>+45°13.28</v>
      </c>
      <c r="L21" s="12" t="s">
        <v>500</v>
      </c>
      <c r="M21" s="157">
        <f>angleConvert2Decimal(L21)</f>
        <v>62.001666666666665</v>
      </c>
      <c r="N21" s="12" t="s">
        <v>501</v>
      </c>
      <c r="O21" s="171">
        <f>angleConvert2Decimal(N21)</f>
        <v>8.9316666666666666</v>
      </c>
      <c r="P21" s="16"/>
      <c r="Q21" s="1314"/>
      <c r="R21" s="198">
        <v>5</v>
      </c>
      <c r="S21" s="199" t="s">
        <v>494</v>
      </c>
      <c r="T21" s="200">
        <f>angleConvert2Decimal(S21)</f>
        <v>351.78833333333336</v>
      </c>
      <c r="U21" s="16"/>
      <c r="V21" s="16"/>
      <c r="W21" s="143"/>
      <c r="X21" s="143"/>
      <c r="Y21" s="143"/>
      <c r="Z21" s="143"/>
      <c r="AA21" s="148"/>
      <c r="AE21" s="83"/>
    </row>
    <row r="22" spans="1:67" customFormat="1" ht="26.25" customHeight="1">
      <c r="B22" s="13" t="s">
        <v>32</v>
      </c>
      <c r="C22" s="13" t="s">
        <v>488</v>
      </c>
      <c r="D22" s="205" t="str">
        <f>IF(B22=$AG$18,IF(ISNA(VLOOKUP(C22,$I$35:$I$36,1,FALSE)),"Mauvaise planete","OK"),"OK")</f>
        <v>OK</v>
      </c>
      <c r="E22" s="315" t="s">
        <v>512</v>
      </c>
      <c r="F22" s="1326"/>
      <c r="G22" s="317">
        <f>heureConvert2Decimal(E22)+$F$23</f>
        <v>3.4530555555555558</v>
      </c>
      <c r="H22" s="12" t="s">
        <v>490</v>
      </c>
      <c r="I22" s="237">
        <f>angleConvert2Decimal(H22)</f>
        <v>59.795000000000002</v>
      </c>
      <c r="J22" s="237">
        <f>I22-$F$13-$F$12</f>
        <v>59.626459901072906</v>
      </c>
      <c r="K22" s="194" t="str">
        <f>angleDecimal2Txt(J22,0)</f>
        <v>+59°37.58</v>
      </c>
      <c r="L22" s="12" t="s">
        <v>502</v>
      </c>
      <c r="M22" s="157">
        <f>angleConvert2Decimal(L22)</f>
        <v>80.551666666666662</v>
      </c>
      <c r="N22" s="12" t="s">
        <v>503</v>
      </c>
      <c r="O22" s="171">
        <f>angleConvert2Decimal(N22)</f>
        <v>38.805</v>
      </c>
      <c r="P22" s="16"/>
      <c r="Q22" s="314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3"/>
      <c r="X22" s="143"/>
      <c r="Y22" s="143"/>
      <c r="Z22" s="143"/>
      <c r="AA22" s="148"/>
      <c r="AE22" s="83"/>
      <c r="AK22" t="s">
        <v>364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328</v>
      </c>
      <c r="C23" s="13" t="s">
        <v>333</v>
      </c>
      <c r="D23" s="205" t="str">
        <f>IF(B23=$AG$18,IF(ISNA(VLOOKUP(C23,$I$35:$I$36,1,FALSE)),"Mauvaise planete","OK"),"OK")</f>
        <v>OK</v>
      </c>
      <c r="E23" s="315" t="s">
        <v>513</v>
      </c>
      <c r="F23" s="318" cm="1">
        <f t="array" ref="F23">heureConvert2Decimal(F19)</f>
        <v>-1.1111111111111111E-3</v>
      </c>
      <c r="G23" s="317">
        <f>heureConvert2Decimal(E23)+$F$23</f>
        <v>3.5055555555555555</v>
      </c>
      <c r="H23" s="12" t="s">
        <v>491</v>
      </c>
      <c r="I23" s="237">
        <f>angleConvert2Decimal(H23)</f>
        <v>45.78</v>
      </c>
      <c r="J23" s="237">
        <f>I23-$F$13-$F$12</f>
        <v>45.611459901072905</v>
      </c>
      <c r="K23" s="194" t="str">
        <f>angleDecimal2Txt(J23,0)</f>
        <v>+45°36.68</v>
      </c>
      <c r="L23" s="12" t="s">
        <v>504</v>
      </c>
      <c r="M23" s="157">
        <f>angleConvert2Decimal(L23)</f>
        <v>137.31666666666666</v>
      </c>
      <c r="N23" s="12" t="s">
        <v>505</v>
      </c>
      <c r="O23" s="171">
        <f>angleConvert2Decimal(N23)</f>
        <v>74.058333333333337</v>
      </c>
      <c r="P23" s="16"/>
      <c r="Q23" s="144" t="s">
        <v>324</v>
      </c>
      <c r="R23" s="198">
        <v>0</v>
      </c>
      <c r="S23" s="199" t="s">
        <v>495</v>
      </c>
      <c r="T23" s="198" t="s">
        <v>352</v>
      </c>
      <c r="U23" s="16"/>
      <c r="V23" s="16"/>
      <c r="W23" s="143"/>
      <c r="X23" s="143"/>
      <c r="Y23" s="143"/>
      <c r="Z23" s="143"/>
      <c r="AA23" s="148"/>
      <c r="AE23" s="83"/>
      <c r="AR23" s="160" t="s">
        <v>143</v>
      </c>
      <c r="AS23" s="161"/>
      <c r="AT23" s="161"/>
      <c r="AU23" s="160" t="s">
        <v>144</v>
      </c>
      <c r="AV23" s="161"/>
      <c r="AW23" s="162"/>
    </row>
    <row r="24" spans="1:67" customFormat="1" ht="14.25" customHeight="1">
      <c r="E24" s="213"/>
      <c r="F24" s="145"/>
      <c r="I24" s="16"/>
      <c r="J24" s="16"/>
      <c r="K24" s="16"/>
      <c r="L24" s="16"/>
      <c r="M24" s="148"/>
      <c r="N24" s="16"/>
      <c r="O24" s="16"/>
      <c r="P24" s="16"/>
      <c r="U24" s="16"/>
      <c r="V24" s="16"/>
      <c r="W24" s="143"/>
      <c r="X24" s="143"/>
      <c r="Y24" s="143"/>
      <c r="Z24" s="143"/>
      <c r="AA24" s="148"/>
      <c r="AE24" s="83"/>
      <c r="AH24" s="1421" t="s">
        <v>522</v>
      </c>
      <c r="AI24" s="1421"/>
      <c r="AJ24" s="1421"/>
      <c r="AK24" s="1421"/>
      <c r="AL24" s="1421"/>
      <c r="AM24" s="1422"/>
      <c r="AR24" s="163"/>
      <c r="AS24" s="164" t="s">
        <v>117</v>
      </c>
      <c r="AT24" s="165" t="s">
        <v>118</v>
      </c>
      <c r="AU24" s="163"/>
      <c r="AV24" s="164" t="s">
        <v>117</v>
      </c>
      <c r="AW24" s="165" t="s">
        <v>119</v>
      </c>
    </row>
    <row r="25" spans="1:67" customFormat="1" ht="12.75" customHeight="1">
      <c r="C25" s="15"/>
      <c r="D25" s="15"/>
      <c r="E25" s="1346" t="s">
        <v>330</v>
      </c>
      <c r="F25" s="1346"/>
      <c r="G25" s="1312" t="s">
        <v>331</v>
      </c>
      <c r="H25" s="1312" t="s">
        <v>332</v>
      </c>
      <c r="I25" s="1312"/>
      <c r="J25" s="1312"/>
      <c r="K25" s="182" t="s">
        <v>95</v>
      </c>
      <c r="L25" s="182" t="s">
        <v>95</v>
      </c>
      <c r="M25" s="1349" t="s">
        <v>101</v>
      </c>
      <c r="N25" s="1349"/>
      <c r="O25" s="1353" t="s">
        <v>324</v>
      </c>
      <c r="P25" s="1353"/>
      <c r="Q25" s="1353"/>
      <c r="R25" s="1353"/>
      <c r="S25" s="1353"/>
      <c r="T25" s="1353"/>
      <c r="U25" s="1316" t="s">
        <v>325</v>
      </c>
      <c r="V25" s="1316" t="s">
        <v>401</v>
      </c>
      <c r="W25" s="1316" t="s">
        <v>43</v>
      </c>
      <c r="X25" s="1316" t="s">
        <v>223</v>
      </c>
      <c r="Y25" s="1316"/>
      <c r="Z25" s="1328" t="s">
        <v>326</v>
      </c>
      <c r="AA25" s="1328" t="s">
        <v>327</v>
      </c>
      <c r="AB25" t="s">
        <v>350</v>
      </c>
      <c r="AC25" s="1328" t="s">
        <v>93</v>
      </c>
      <c r="AE25" s="83"/>
      <c r="AH25" s="1423" t="s">
        <v>521</v>
      </c>
      <c r="AI25" s="1424"/>
      <c r="AJ25" s="1424"/>
      <c r="AK25" s="1424"/>
      <c r="AL25" s="1424"/>
      <c r="AM25" s="1424"/>
      <c r="AT25" s="166" t="s">
        <v>88</v>
      </c>
      <c r="AV25" s="166"/>
      <c r="AW25" s="166" t="s">
        <v>89</v>
      </c>
    </row>
    <row r="26" spans="1:67" customFormat="1" ht="22.5" customHeight="1">
      <c r="C26" s="15"/>
      <c r="D26" s="15"/>
      <c r="E26" s="1346"/>
      <c r="F26" s="1346"/>
      <c r="G26" s="1312"/>
      <c r="H26" s="233" t="s">
        <v>96</v>
      </c>
      <c r="I26" s="233" t="s">
        <v>340</v>
      </c>
      <c r="J26" s="233" t="s">
        <v>184</v>
      </c>
      <c r="K26" s="183" t="s">
        <v>355</v>
      </c>
      <c r="L26" s="185" t="s">
        <v>361</v>
      </c>
      <c r="M26" s="1349"/>
      <c r="N26" s="1349"/>
      <c r="O26" s="155" t="s">
        <v>341</v>
      </c>
      <c r="P26" s="155" t="s">
        <v>342</v>
      </c>
      <c r="Q26" s="155" t="s">
        <v>343</v>
      </c>
      <c r="R26" s="155" t="s">
        <v>354</v>
      </c>
      <c r="S26" s="234" t="s">
        <v>353</v>
      </c>
      <c r="T26" s="193" t="s">
        <v>506</v>
      </c>
      <c r="U26" s="1316"/>
      <c r="V26" s="1316"/>
      <c r="W26" s="1316"/>
      <c r="X26" s="1316"/>
      <c r="Y26" s="1316"/>
      <c r="Z26" s="1328"/>
      <c r="AA26" s="1328"/>
      <c r="AB26" t="s">
        <v>351</v>
      </c>
      <c r="AC26" s="1328"/>
      <c r="AE26" s="83"/>
      <c r="AG26" s="345" t="s">
        <v>344</v>
      </c>
      <c r="AH26" s="345" t="s">
        <v>516</v>
      </c>
      <c r="AI26" s="345" t="s">
        <v>517</v>
      </c>
      <c r="AJ26" s="345" t="s">
        <v>345</v>
      </c>
      <c r="AK26" s="345" t="s">
        <v>518</v>
      </c>
      <c r="AL26" s="345" t="s">
        <v>519</v>
      </c>
      <c r="AM26" s="344" t="s">
        <v>346</v>
      </c>
      <c r="AN26" s="344" t="s">
        <v>406</v>
      </c>
      <c r="AO26" s="329" t="s">
        <v>520</v>
      </c>
      <c r="AP26" s="329" t="s">
        <v>523</v>
      </c>
      <c r="AQ26" s="331" t="s">
        <v>223</v>
      </c>
      <c r="AR26" s="332" t="s">
        <v>409</v>
      </c>
      <c r="AS26" s="333" t="s">
        <v>92</v>
      </c>
      <c r="AT26" s="348" t="s">
        <v>348</v>
      </c>
      <c r="AU26" s="167" t="s">
        <v>349</v>
      </c>
      <c r="AV26" s="167" t="s">
        <v>93</v>
      </c>
      <c r="AZ26" s="16"/>
    </row>
    <row r="27" spans="1:67" customFormat="1" ht="17.25" customHeight="1">
      <c r="C27" s="144" t="str">
        <f t="shared" ref="C27:D31" si="0">B19</f>
        <v>Etoile</v>
      </c>
      <c r="D27" s="144" t="str">
        <f t="shared" si="0"/>
        <v>Capela</v>
      </c>
      <c r="E27" s="239">
        <f>IF(B19=$AG$18,IF(ISNA(VLOOKUP(C19,$I$35:$I$36,1,FALSE)),0,VLOOKUP(C19,$I$35:$J$36,2,FALSE)),0)</f>
        <v>0</v>
      </c>
      <c r="F27" s="240">
        <f>angleConvert2Decimal(E27)</f>
        <v>0</v>
      </c>
      <c r="G27" s="240">
        <f>ASIN(SIN(F27*Outils!$F$4)*COS(J19*Outils!$F$4))*Outils!$F$5</f>
        <v>0</v>
      </c>
      <c r="H27" s="1319">
        <f>0.28*$X$20/(273+$X$19)</f>
        <v>0.99929328621908131</v>
      </c>
      <c r="I27" s="241">
        <f>(1/TAN(Outils!$F$4*(J19+7.31/(J19+4.4))))/60</f>
        <v>4.8680618529665542E-2</v>
      </c>
      <c r="J27" s="241">
        <f>I27*$H$27</f>
        <v>4.8646215265686979E-2</v>
      </c>
      <c r="K27" s="184" t="str">
        <f>angleDecimal2Txt(G27-$F$12-J27,0)</f>
        <v>-00°11.53</v>
      </c>
      <c r="L27" s="186" t="str">
        <f>angleDecimal2Txt(AN36,0)</f>
        <v>+00°00.00</v>
      </c>
      <c r="M27" s="187">
        <f>J19-F27+G27-J27+angleConvert2Decimal(L27)</f>
        <v>18.53281368580722</v>
      </c>
      <c r="N27" s="188" t="str">
        <f>angleDecimal2Txt(M27,0)</f>
        <v>+18°31.96</v>
      </c>
      <c r="O27" s="171">
        <f>INT(G19)</f>
        <v>3</v>
      </c>
      <c r="P27" s="171">
        <f>VLOOKUP($O27,$R$19:$T$21,3,FALSE)</f>
        <v>321.70666666666665</v>
      </c>
      <c r="Q27" s="171">
        <f>VLOOKUP(1+$O27,$R$19:$T$21,3,FALSE)</f>
        <v>336.74666666666667</v>
      </c>
      <c r="R27" s="337">
        <f>P27+(Q27-P27)*(G19-O27)</f>
        <v>326.73671111111111</v>
      </c>
      <c r="S27" s="235">
        <f>angleConvert2Decimal($S$23)+angleConvert2Decimal($T$23)*(G19-$R$23)</f>
        <v>277.41705559259259</v>
      </c>
      <c r="T27" s="175">
        <f>R27</f>
        <v>326.73671111111111</v>
      </c>
      <c r="U27" s="172">
        <f>$F$11+R27</f>
        <v>317.70337777777775</v>
      </c>
      <c r="V27" s="172">
        <f>IF(T27+M19&gt;360,T27+M19-360,IF(T27+M19&lt;0,T27+M19+360,T27+M19))</f>
        <v>247.12004444444437</v>
      </c>
      <c r="W27" s="172">
        <f>IF(U27+M19&gt;360,U27+M19-360,U27+M19)</f>
        <v>238.08671111111107</v>
      </c>
      <c r="X27" s="157" cm="1">
        <f t="array" ref="X27">astroCalculHc($F$10,O19,W27)</f>
        <v>-51.939292970743075</v>
      </c>
      <c r="Y27" s="159" t="str">
        <f>angleDecimal2Txt(X27,0)</f>
        <v>-51°56.35</v>
      </c>
      <c r="Z27" s="173">
        <f>60*(M27-X27)</f>
        <v>4228.3263993930177</v>
      </c>
      <c r="AA27" s="169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4" cm="1">
        <f t="array" ref="AC27">astroCalculZ2Zn($F$10,astroCalculZ($F$10,O19,W27),W27)</f>
        <v>72.959065784186734</v>
      </c>
      <c r="AE27" s="83"/>
      <c r="AG27" s="345">
        <f>Outils!$F$4 * O19</f>
        <v>0.80322961058865705</v>
      </c>
      <c r="AH27" s="345">
        <f>SIN(AG27)</f>
        <v>0.71960243720697437</v>
      </c>
      <c r="AI27" s="345">
        <f>COS(AG27)</f>
        <v>0.69438629909135052</v>
      </c>
      <c r="AJ27" s="1419">
        <f>Outils!$F$4 * $F$10</f>
        <v>-0.87353729062316188</v>
      </c>
      <c r="AK27" s="1419">
        <f>SIN(AJ27)</f>
        <v>-0.76660508936870064</v>
      </c>
      <c r="AL27" s="1419">
        <f>COS(AJ27)</f>
        <v>0.64211886512857297</v>
      </c>
      <c r="AM27" s="345">
        <f>Outils!$F$4 * W27</f>
        <v>4.1553970141334551</v>
      </c>
      <c r="AN27" s="345">
        <f>COS(AM27)</f>
        <v>-0.5286352266410298</v>
      </c>
      <c r="AO27" s="330">
        <f>AH27*$AK$27+AI27*$AL$27*AN27</f>
        <v>-0.78735799496575931</v>
      </c>
      <c r="AP27" s="330">
        <f>COS(AQ27*Outils!$F$4)</f>
        <v>0.61649605656767947</v>
      </c>
      <c r="AQ27" s="331">
        <f>ASIN(AO27)*Outils!$F$5</f>
        <v>-51.939292970742905</v>
      </c>
      <c r="AR27" s="332">
        <f>(AH27-$AK$27*AO27)/($AL$27*AP27)</f>
        <v>0.29305484939891285</v>
      </c>
      <c r="AS27" s="333">
        <f>Outils!$F$5*ACOS(AR27)</f>
        <v>72.959065784186535</v>
      </c>
      <c r="AT27" s="1350" t="b">
        <f>$F$10&gt;0</f>
        <v>0</v>
      </c>
      <c r="AU27" s="168" t="b">
        <f>AM27&gt;PI()</f>
        <v>1</v>
      </c>
      <c r="AV27" s="168">
        <f>IF($AT$27,IF(AU27,AS27,360-AS27),IF(AU27,180-AS27,180+AS27))</f>
        <v>107.04093421581346</v>
      </c>
    </row>
    <row r="28" spans="1:67" customFormat="1" ht="17.25" customHeight="1" collapsed="1">
      <c r="C28" s="144" t="str">
        <f t="shared" si="0"/>
        <v>Etoile</v>
      </c>
      <c r="D28" s="144" t="str">
        <f t="shared" si="0"/>
        <v>Alpheratz</v>
      </c>
      <c r="E28" s="242">
        <f>IF(B20=$AG$18,IF(ISNA(VLOOKUP(C20,$I$35:$I$36,1,FALSE)),0,VLOOKUP(C20,$I$35:$J$36,2,FALSE)),0)</f>
        <v>0</v>
      </c>
      <c r="F28" s="240">
        <f>angleConvert2Decimal(E28)</f>
        <v>0</v>
      </c>
      <c r="G28" s="240">
        <f>ASIN(SIN(F28*Outils!$F$4)*COS(J20*Outils!$F$4))*Outils!$F$5</f>
        <v>0</v>
      </c>
      <c r="H28" s="1320"/>
      <c r="I28" s="241">
        <f>(1/TAN(Outils!$F$4*(J20+7.31/(J20+4.4))))/60</f>
        <v>1.3465808934296632E-2</v>
      </c>
      <c r="J28" s="241">
        <f>I28*$H$27</f>
        <v>1.3456292461551547E-2</v>
      </c>
      <c r="K28" s="184" t="str">
        <f>angleDecimal2Txt(G28-$F$12-J28,0)</f>
        <v>-00°09.41</v>
      </c>
      <c r="L28" s="186" t="str">
        <f>angleDecimal2Txt(AN37,0)</f>
        <v>+00°00.00</v>
      </c>
      <c r="M28" s="187">
        <f>J20-F28+G28-J28+angleConvert2Decimal(L28)</f>
        <v>50.918003608611357</v>
      </c>
      <c r="N28" s="188" t="str">
        <f>angleDecimal2Txt(M28,0)</f>
        <v>+50°55.08</v>
      </c>
      <c r="O28" s="171">
        <f>INT(G20)</f>
        <v>3</v>
      </c>
      <c r="P28" s="171">
        <f>VLOOKUP($O28,$R$19:$T$21,3,FALSE)</f>
        <v>321.70666666666665</v>
      </c>
      <c r="Q28" s="171">
        <f>VLOOKUP(1+$O28,$R$19:$T$21,3,FALSE)</f>
        <v>336.74666666666667</v>
      </c>
      <c r="R28" s="337">
        <f>P28+(Q28-P28)*(G20-O28)</f>
        <v>327.25475555555556</v>
      </c>
      <c r="S28" s="235">
        <f>angleConvert2Decimal($S$23)+angleConvert2Decimal($T$23)*(G20-$R$23)</f>
        <v>277.42566785185181</v>
      </c>
      <c r="T28" s="175">
        <f>R28</f>
        <v>327.25475555555556</v>
      </c>
      <c r="U28" s="157">
        <f>$F$11+R28</f>
        <v>318.2214222222222</v>
      </c>
      <c r="V28" s="172">
        <f>IF(T28+M20&gt;360,T28+M20-360,IF(T28+M20&lt;0,T28+M20+360,T28+M20))</f>
        <v>324.84142222222226</v>
      </c>
      <c r="W28" s="172">
        <f>IF(U28+M20&gt;360,U28+M20-360,U28+M20)</f>
        <v>315.80808888888885</v>
      </c>
      <c r="X28" s="347" cm="1">
        <f t="array" ref="X28">astroCalculHc($F$10,O20,W28)</f>
        <v>1.5780114421502713</v>
      </c>
      <c r="Y28" s="159" t="str">
        <f>angleDecimal2Txt(X28,0)</f>
        <v>+01°34.68</v>
      </c>
      <c r="Z28" s="173">
        <f>60*(M28-X28)</f>
        <v>2960.3995299876651</v>
      </c>
      <c r="AA28" s="169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4" cm="1">
        <f t="array" ref="AC28">astroCalculZ2Zn($F$10,astroCalculZ($F$10,O20,W28),W28)</f>
        <v>37.486516410473143</v>
      </c>
      <c r="AE28" s="83"/>
      <c r="AG28" s="345">
        <f>Outils!$F$4 * O20</f>
        <v>0.51004338507447622</v>
      </c>
      <c r="AH28" s="345">
        <f>SIN(AG28)</f>
        <v>0.48821511050891914</v>
      </c>
      <c r="AI28" s="345">
        <f>COS(AG28)</f>
        <v>0.87272332721817625</v>
      </c>
      <c r="AJ28" s="515"/>
      <c r="AK28" s="515"/>
      <c r="AL28" s="515"/>
      <c r="AM28" s="345">
        <f>Outils!$F$4 * W28</f>
        <v>5.5118909555420315</v>
      </c>
      <c r="AN28" s="345">
        <f>COS(AM28)</f>
        <v>0.71700902470210126</v>
      </c>
      <c r="AO28" s="330">
        <f>AH28*$AK$27+AI28*$AL$27*AN28</f>
        <v>2.7538013571789588E-2</v>
      </c>
      <c r="AP28" s="330">
        <f>COS(AQ28*Outils!$F$4)</f>
        <v>0.99962075699163022</v>
      </c>
      <c r="AQ28" s="331">
        <f>ASIN(AO28)*Outils!$F$5</f>
        <v>1.5780114421503435</v>
      </c>
      <c r="AR28" s="332">
        <f>(AH28-$AK$27*AO28)/($AL$27*AP28)</f>
        <v>0.79349657999430734</v>
      </c>
      <c r="AS28" s="333">
        <f>Outils!$F$5*ACOS(AR28)</f>
        <v>37.486516410472817</v>
      </c>
      <c r="AT28" s="1351"/>
      <c r="AU28" s="168" t="b">
        <f>AM28&gt;PI()</f>
        <v>1</v>
      </c>
      <c r="AV28" s="168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4" t="str">
        <f t="shared" si="0"/>
        <v>Etoile</v>
      </c>
      <c r="D29" s="144" t="str">
        <f t="shared" si="0"/>
        <v>Altair</v>
      </c>
      <c r="E29" s="242">
        <f>IF(B21=$AG$18,IF(ISNA(VLOOKUP(C21,$I$35:$I$36,1,FALSE)),0,VLOOKUP(C21,$I$35:$J$36,2,FALSE)),0)</f>
        <v>0</v>
      </c>
      <c r="F29" s="240">
        <f>angleConvert2Decimal(E29)</f>
        <v>0</v>
      </c>
      <c r="G29" s="240">
        <f>ASIN(SIN(F29*Outils!$F$4)*COS(J21*Outils!$F$4))*Outils!$F$5</f>
        <v>0</v>
      </c>
      <c r="H29" s="1320"/>
      <c r="I29" s="241">
        <f>(1/TAN(Outils!$F$4*(J21+7.31/(J21+4.4))))/60</f>
        <v>1.6453491081462088E-2</v>
      </c>
      <c r="J29" s="241">
        <f>I29*$H$27</f>
        <v>1.6441863172570594E-2</v>
      </c>
      <c r="K29" s="184" t="str">
        <f>angleDecimal2Txt(G29-$F$12-J29,0)</f>
        <v>-00°09.59</v>
      </c>
      <c r="L29" s="186" t="str">
        <f>angleDecimal2Txt(AN38,0)</f>
        <v>+00°00.00</v>
      </c>
      <c r="M29" s="187">
        <f>J21-F29+G29-J29+angleConvert2Decimal(L29)</f>
        <v>45.205018037900331</v>
      </c>
      <c r="N29" s="188" t="str">
        <f>angleDecimal2Txt(M29,0)</f>
        <v>+45°12.30</v>
      </c>
      <c r="O29" s="171">
        <f>INT(G21)</f>
        <v>3</v>
      </c>
      <c r="P29" s="171">
        <f>VLOOKUP($O29,$R$19:$T$21,3,FALSE)</f>
        <v>321.70666666666665</v>
      </c>
      <c r="Q29" s="171">
        <f>VLOOKUP(1+$O29,$R$19:$T$21,3,FALSE)</f>
        <v>336.74666666666667</v>
      </c>
      <c r="R29" s="337">
        <f>P29+(Q29-P29)*(G21-O29)</f>
        <v>327.9733333333333</v>
      </c>
      <c r="S29" s="235">
        <f>angleConvert2Decimal($S$23)+angleConvert2Decimal($T$23)*(G21-$R$23)</f>
        <v>277.43761388888885</v>
      </c>
      <c r="T29" s="175">
        <f>R29</f>
        <v>327.9733333333333</v>
      </c>
      <c r="U29" s="157">
        <f>$F$11+R29</f>
        <v>318.93999999999994</v>
      </c>
      <c r="V29" s="172">
        <f>IF(T29+M21&gt;360,T29+M21-360,IF(T29+M21&lt;0,T29+M21+360,T29+M21))</f>
        <v>29.974999999999966</v>
      </c>
      <c r="W29" s="172">
        <f>IF(U29+M21&gt;360,U29+M21-360,U29+M21)</f>
        <v>20.941666666666606</v>
      </c>
      <c r="X29" s="347" cm="1">
        <f t="array" ref="X29">astroCalculHc($F$10,O21,W29)</f>
        <v>28.255963581780762</v>
      </c>
      <c r="Y29" s="159" t="str">
        <f>angleDecimal2Txt(X29,0)</f>
        <v>+28°15.35</v>
      </c>
      <c r="Z29" s="173">
        <f>60*(M29-X29)</f>
        <v>1016.9432673671741</v>
      </c>
      <c r="AA29" s="169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4" cm="1">
        <f t="array" ref="AC29">astroCalculZ2Zn($F$10,astroCalculZ($F$10,O21,W29),W29)</f>
        <v>336.36881462185761</v>
      </c>
      <c r="AE29" s="83"/>
      <c r="AG29" s="345">
        <f>Outils!$F$4 * O21</f>
        <v>0.1558869910239602</v>
      </c>
      <c r="AH29" s="345">
        <f>SIN(AG29)</f>
        <v>0.15525639580609149</v>
      </c>
      <c r="AI29" s="345">
        <f>COS(AG29)</f>
        <v>0.98787420836931572</v>
      </c>
      <c r="AJ29" s="515"/>
      <c r="AK29" s="515"/>
      <c r="AL29" s="515"/>
      <c r="AM29" s="345">
        <f>Outils!$F$4 * W29</f>
        <v>0.36550103418847812</v>
      </c>
      <c r="AN29" s="345">
        <f>COS(AM29)</f>
        <v>0.93394480012307246</v>
      </c>
      <c r="AO29" s="330">
        <f>AH29*$AK$27+AI29*$AL$27*AN29</f>
        <v>0.47341135137334994</v>
      </c>
      <c r="AP29" s="330">
        <f>COS(AQ29*Outils!$F$4)</f>
        <v>0.88084146836468735</v>
      </c>
      <c r="AQ29" s="331">
        <f>ASIN(AO29)*Outils!$F$5</f>
        <v>28.255963581780676</v>
      </c>
      <c r="AR29" s="332">
        <f>(AH29-$AK$27*AO29)/($AL$27*AP29)</f>
        <v>0.91614468885237799</v>
      </c>
      <c r="AS29" s="333">
        <f>Outils!$F$5*ACOS(AR29)</f>
        <v>23.631185378142415</v>
      </c>
      <c r="AT29" s="1351"/>
      <c r="AU29" s="168" t="b">
        <f>AM29&gt;PI()</f>
        <v>0</v>
      </c>
      <c r="AV29" s="168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4" t="str">
        <f t="shared" si="0"/>
        <v>Etoile</v>
      </c>
      <c r="D30" s="144" t="str">
        <f t="shared" si="0"/>
        <v>Vega</v>
      </c>
      <c r="E30" s="242">
        <f>IF(B22=$AG$18,IF(ISNA(VLOOKUP(C22,$I$35:$I$36,1,FALSE)),0,VLOOKUP(C22,$I$35:$J$36,2,FALSE)),0)</f>
        <v>0</v>
      </c>
      <c r="F30" s="240">
        <f>angleConvert2Decimal(E30)</f>
        <v>0</v>
      </c>
      <c r="G30" s="240">
        <f>ASIN(SIN(F30*Outils!$F$4)*COS(J22*Outils!$F$4))*Outils!$F$5</f>
        <v>0</v>
      </c>
      <c r="H30" s="1320"/>
      <c r="I30" s="241">
        <f>(1/TAN(Outils!$F$4*(J22+7.31/(J22+4.4))))/60</f>
        <v>9.7233651195171404E-3</v>
      </c>
      <c r="J30" s="241">
        <f>I30*$H$27</f>
        <v>9.7164934833902736E-3</v>
      </c>
      <c r="K30" s="184" t="str">
        <f>angleDecimal2Txt(G30-$F$12-J30,0)</f>
        <v>-00°09.19</v>
      </c>
      <c r="L30" s="186" t="str">
        <f>angleDecimal2Txt(AN39,0)</f>
        <v>+00°00.00</v>
      </c>
      <c r="M30" s="187">
        <f>J22-F30+G30-J30+angleConvert2Decimal(L30)</f>
        <v>59.616743407589517</v>
      </c>
      <c r="N30" s="188" t="str">
        <f>angleDecimal2Txt(M30,0)</f>
        <v>+59°37.00</v>
      </c>
      <c r="O30" s="171">
        <f>INT(G22)</f>
        <v>3</v>
      </c>
      <c r="P30" s="171">
        <f>VLOOKUP($O30,$R$19:$T$21,3,FALSE)</f>
        <v>321.70666666666665</v>
      </c>
      <c r="Q30" s="171">
        <f>VLOOKUP(1+$O30,$R$19:$T$21,3,FALSE)</f>
        <v>336.74666666666667</v>
      </c>
      <c r="R30" s="337">
        <f>P30+(Q30-P30)*(G22-O30)</f>
        <v>328.52062222222224</v>
      </c>
      <c r="S30" s="235">
        <f>angleConvert2Decimal($S$23)+angleConvert2Decimal($T$23)*(G22-$R$23)</f>
        <v>277.44671232407404</v>
      </c>
      <c r="T30" s="175">
        <f>R30</f>
        <v>328.52062222222224</v>
      </c>
      <c r="U30" s="157">
        <f>$F$11+R30</f>
        <v>319.48728888888888</v>
      </c>
      <c r="V30" s="172">
        <f>IF(T30+M22&gt;360,T30+M22-360,IF(T30+M22&lt;0,T30+M22+360,T30+M22))</f>
        <v>49.07228888888892</v>
      </c>
      <c r="W30" s="172">
        <f>IF(U30+M22&gt;360,U30+M22-360,U30+M22)</f>
        <v>40.03895555555556</v>
      </c>
      <c r="X30" s="347" cm="1">
        <f t="array" ref="X30">astroCalculHc($F$10,O22,W30)</f>
        <v>-5.584041205284322</v>
      </c>
      <c r="Y30" s="159" t="str">
        <f>angleDecimal2Txt(X30,0)</f>
        <v>-05°35.04</v>
      </c>
      <c r="Z30" s="173">
        <f>60*(M30-X30)</f>
        <v>3912.04707677243</v>
      </c>
      <c r="AA30" s="169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4" cm="1">
        <f t="array" ref="AC30">astroCalculZ2Zn($F$10,astroCalculZ($F$10,O22,W30),W30)</f>
        <v>329.7542610013158</v>
      </c>
      <c r="AE30" s="83"/>
      <c r="AG30" s="345">
        <f>Outils!$F$4 * O22</f>
        <v>0.67727501623639963</v>
      </c>
      <c r="AH30" s="345">
        <f>SIN(AG30)</f>
        <v>0.62667181904581304</v>
      </c>
      <c r="AI30" s="345">
        <f>COS(AG30)</f>
        <v>0.77928328046597528</v>
      </c>
      <c r="AJ30" s="515"/>
      <c r="AK30" s="515"/>
      <c r="AL30" s="515"/>
      <c r="AM30" s="345">
        <f>Outils!$F$4 * W30</f>
        <v>0.69881160350411986</v>
      </c>
      <c r="AN30" s="345">
        <f>COS(AM30)</f>
        <v>0.76560723305839973</v>
      </c>
      <c r="AO30" s="330">
        <f>AH30*$AK$27+AI30*$AL$27*AN30</f>
        <v>-9.7305691794058013E-2</v>
      </c>
      <c r="AP30" s="330">
        <f>COS(AQ30*Outils!$F$4)</f>
        <v>0.9952545414839763</v>
      </c>
      <c r="AQ30" s="331">
        <f>ASIN(AO30)*Outils!$F$5</f>
        <v>-5.5840412052844144</v>
      </c>
      <c r="AR30" s="332">
        <f>(AH30-$AK$27*AO30)/($AL$27*AP30)</f>
        <v>0.86387296773178213</v>
      </c>
      <c r="AS30" s="333">
        <f>Outils!$F$5*ACOS(AR30)</f>
        <v>30.245738998684189</v>
      </c>
      <c r="AT30" s="1351"/>
      <c r="AU30" s="168" t="b">
        <f>AM30&gt;PI()</f>
        <v>0</v>
      </c>
      <c r="AV30" s="168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4" t="str">
        <f t="shared" si="0"/>
        <v>Planete</v>
      </c>
      <c r="D31" s="144" t="str">
        <f t="shared" si="0"/>
        <v>Mars</v>
      </c>
      <c r="E31" s="242" t="str">
        <f>IF(B23=$AG$18,IF(ISNA(VLOOKUP(C23,$I$35:$I$36,1,FALSE)),0,VLOOKUP(C23,$I$35:$J$36,2,FALSE)),0)</f>
        <v>0,3'</v>
      </c>
      <c r="F31" s="240">
        <f>angleConvert2Decimal(E31)</f>
        <v>5.0000000000000001E-3</v>
      </c>
      <c r="G31" s="240">
        <f>ASIN(SIN(F31*Outils!$F$4)*COS(J23*Outils!$F$4))*Outils!$F$5</f>
        <v>3.4976021111885074E-3</v>
      </c>
      <c r="H31" s="1321"/>
      <c r="I31" s="241">
        <f>(1/TAN(Outils!$F$4*(J23+7.31/(J23+4.4))))/60</f>
        <v>1.6231624730281172E-2</v>
      </c>
      <c r="J31" s="241">
        <f>I31*$H$27</f>
        <v>1.6220153617397582E-2</v>
      </c>
      <c r="K31" s="184" t="str">
        <f>angleDecimal2Txt(G31-$F$12-J31,0)</f>
        <v>-00°09.37</v>
      </c>
      <c r="L31" s="186" t="str">
        <f>angleDecimal2Txt(AN40,0)</f>
        <v>+00°00.10</v>
      </c>
      <c r="M31" s="187">
        <f>J23-F31+G31-J31+angleConvert2Decimal(L31)</f>
        <v>45.59540401623336</v>
      </c>
      <c r="N31" s="188" t="str">
        <f>angleDecimal2Txt(M31,0)</f>
        <v>+45°35.72</v>
      </c>
      <c r="O31" s="171">
        <f>INT(G23)</f>
        <v>3</v>
      </c>
      <c r="P31" s="171">
        <f>VLOOKUP($O31,$R$19:$T$21,3,FALSE)</f>
        <v>321.70666666666665</v>
      </c>
      <c r="Q31" s="171">
        <f>VLOOKUP(1+$O31,$R$19:$T$21,3,FALSE)</f>
        <v>336.74666666666667</v>
      </c>
      <c r="R31" s="337">
        <f>P31+(Q31-P31)*(G23-O31)</f>
        <v>329.31022222222219</v>
      </c>
      <c r="S31" s="235">
        <f>angleConvert2Decimal($S$23)+angleConvert2Decimal($T$23)*(G23-$R$23)</f>
        <v>277.45983907407407</v>
      </c>
      <c r="T31" s="175">
        <f>R31</f>
        <v>329.31022222222219</v>
      </c>
      <c r="U31" s="157">
        <f>$F$11+R31</f>
        <v>320.27688888888883</v>
      </c>
      <c r="V31" s="172">
        <f>IF(T31+M23&gt;360,T31+M23-360,IF(T31+M23&lt;0,T31+M23+360,T31+M23))</f>
        <v>106.62688888888886</v>
      </c>
      <c r="W31" s="172">
        <f>IF(U31+M23&gt;360,U31+M23-360,U31+M23)</f>
        <v>97.593555555555497</v>
      </c>
      <c r="X31" s="347" cm="1">
        <f t="array" ref="X31">astroCalculHc($F$10,O23,W31)</f>
        <v>-49.501978030042494</v>
      </c>
      <c r="Y31" s="159" t="str">
        <f>angleDecimal2Txt(X31,0)</f>
        <v>-49°30.11</v>
      </c>
      <c r="Z31" s="173">
        <f>60*(M31-X31)</f>
        <v>5705.8429227765509</v>
      </c>
      <c r="AA31" s="169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4" cm="1">
        <f t="array" ref="AC31">astroCalculZ2Zn($F$10,astroCalculZ($F$10,O23,W31),W31)</f>
        <v>335.21471580476339</v>
      </c>
      <c r="AE31" s="83"/>
      <c r="AG31" s="345">
        <f>Outils!$F$4 * O23</f>
        <v>1.2925617552061339</v>
      </c>
      <c r="AH31" s="345">
        <f>SIN(AG31)</f>
        <v>0.96154182649255537</v>
      </c>
      <c r="AI31" s="345">
        <f>COS(AG31)</f>
        <v>0.2746585442060025</v>
      </c>
      <c r="AJ31" s="1420"/>
      <c r="AK31" s="1420"/>
      <c r="AL31" s="1420"/>
      <c r="AM31" s="345">
        <f>Outils!$F$4 * W31</f>
        <v>1.7033288731724472</v>
      </c>
      <c r="AN31" s="345">
        <f>COS(AM31)</f>
        <v>-0.13214490069444362</v>
      </c>
      <c r="AO31" s="330">
        <f>AH31*$AK$27+AI31*$AL$27*AN31</f>
        <v>-0.76042838613079422</v>
      </c>
      <c r="AP31" s="330">
        <f>COS(AQ31*Outils!$F$4)</f>
        <v>0.64942179634388308</v>
      </c>
      <c r="AQ31" s="331">
        <f>ASIN(AO31)*Outils!$F$5</f>
        <v>-49.501978030042523</v>
      </c>
      <c r="AR31" s="332">
        <f>(AH31-$AK$27*AO31)/($AL$27*AP31)</f>
        <v>0.90788518034657373</v>
      </c>
      <c r="AS31" s="333">
        <f>Outils!$F$5*ACOS(AR31)</f>
        <v>24.785284195236507</v>
      </c>
      <c r="AT31" s="1352"/>
      <c r="AU31" s="168" t="b">
        <f>AM31&gt;PI()</f>
        <v>0</v>
      </c>
      <c r="AV31" s="168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09"/>
      <c r="F32" s="146"/>
      <c r="G32" s="59"/>
      <c r="H32" s="16"/>
      <c r="I32" s="16"/>
      <c r="J32" s="16"/>
      <c r="K32" s="16"/>
      <c r="L32" s="16"/>
      <c r="M32" s="148"/>
      <c r="N32" s="16"/>
      <c r="O32" s="16"/>
      <c r="P32" s="16"/>
      <c r="Q32" s="16"/>
      <c r="R32" s="16"/>
      <c r="S32" s="16"/>
      <c r="T32" s="16"/>
      <c r="U32" s="16"/>
      <c r="V32" s="16"/>
      <c r="W32" s="143"/>
      <c r="X32" s="153"/>
      <c r="Y32" s="143"/>
      <c r="Z32" s="143"/>
      <c r="AA32" s="148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09"/>
      <c r="F33" s="146"/>
      <c r="G33" s="59"/>
      <c r="H33" s="16"/>
      <c r="I33" s="16"/>
      <c r="J33" s="16"/>
      <c r="K33" s="16"/>
      <c r="L33" s="16"/>
      <c r="M33" s="1244" t="s">
        <v>360</v>
      </c>
      <c r="N33" s="1244"/>
      <c r="O33" s="1244"/>
      <c r="P33" s="1244"/>
      <c r="Q33" s="1244"/>
      <c r="R33" s="1244"/>
      <c r="S33" s="1244"/>
      <c r="T33" s="1244"/>
      <c r="U33" s="1244"/>
      <c r="V33" s="1244"/>
      <c r="W33" s="1244"/>
      <c r="X33" s="1244"/>
      <c r="Y33" s="1244"/>
      <c r="Z33" s="143"/>
      <c r="AA33" s="148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09"/>
      <c r="F34" s="146"/>
      <c r="G34" s="59"/>
      <c r="H34" s="16"/>
      <c r="I34" s="148"/>
      <c r="J34" s="149" t="s">
        <v>337</v>
      </c>
      <c r="K34" s="149" t="s">
        <v>338</v>
      </c>
      <c r="L34" s="16"/>
      <c r="M34" s="150" t="s">
        <v>101</v>
      </c>
      <c r="N34" s="176">
        <v>1</v>
      </c>
      <c r="O34" s="176">
        <f>N34+1</f>
        <v>2</v>
      </c>
      <c r="P34" s="176">
        <f t="shared" ref="P34:V34" si="1">O34+1</f>
        <v>3</v>
      </c>
      <c r="Q34" s="176">
        <f t="shared" si="1"/>
        <v>4</v>
      </c>
      <c r="R34" s="176">
        <f t="shared" si="1"/>
        <v>5</v>
      </c>
      <c r="S34" s="176">
        <f t="shared" si="1"/>
        <v>6</v>
      </c>
      <c r="T34" s="176">
        <f t="shared" si="1"/>
        <v>7</v>
      </c>
      <c r="U34" s="176">
        <f t="shared" si="1"/>
        <v>8</v>
      </c>
      <c r="V34" s="176">
        <f t="shared" si="1"/>
        <v>9</v>
      </c>
      <c r="W34" s="176">
        <f>V34+1</f>
        <v>10</v>
      </c>
      <c r="X34" s="176">
        <f>W34+1</f>
        <v>11</v>
      </c>
      <c r="Y34" s="176">
        <f>X34+1</f>
        <v>12</v>
      </c>
      <c r="Z34" s="143"/>
      <c r="AA34" s="148"/>
      <c r="AE34" s="83"/>
      <c r="AG34" s="323" t="s">
        <v>362</v>
      </c>
      <c r="AH34" s="323"/>
      <c r="AI34" s="323"/>
      <c r="AJ34" s="310"/>
      <c r="AK34" s="310"/>
      <c r="AL34" s="310"/>
      <c r="AM34" s="310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09"/>
      <c r="F35" s="146"/>
      <c r="G35" s="59"/>
      <c r="H35" s="16"/>
      <c r="I35" s="180" t="s">
        <v>333</v>
      </c>
      <c r="J35" s="181" t="s">
        <v>335</v>
      </c>
      <c r="K35" s="338">
        <f>angleConvert2Decimal(J35)</f>
        <v>5.0000000000000001E-3</v>
      </c>
      <c r="L35" s="1317" t="str">
        <f>I35</f>
        <v>Mars</v>
      </c>
      <c r="M35" s="319">
        <v>40</v>
      </c>
      <c r="N35" s="320" t="s">
        <v>356</v>
      </c>
      <c r="O35" s="320" t="s">
        <v>356</v>
      </c>
      <c r="P35" s="320" t="s">
        <v>356</v>
      </c>
      <c r="Q35" s="320" t="s">
        <v>356</v>
      </c>
      <c r="R35" s="320" t="s">
        <v>356</v>
      </c>
      <c r="S35" s="320" t="s">
        <v>356</v>
      </c>
      <c r="T35" s="320" t="s">
        <v>356</v>
      </c>
      <c r="U35" s="320" t="s">
        <v>356</v>
      </c>
      <c r="V35" s="320" t="s">
        <v>356</v>
      </c>
      <c r="W35" s="320" t="s">
        <v>357</v>
      </c>
      <c r="X35" s="320" t="s">
        <v>357</v>
      </c>
      <c r="Y35" s="320" t="s">
        <v>357</v>
      </c>
      <c r="Z35" s="143"/>
      <c r="AA35" s="148"/>
      <c r="AE35" s="83"/>
      <c r="AG35" s="310"/>
      <c r="AH35" s="323" t="s">
        <v>101</v>
      </c>
      <c r="AI35" s="324">
        <f>AA6</f>
        <v>6</v>
      </c>
      <c r="AJ35" s="310"/>
      <c r="AK35" s="311" t="s">
        <v>603</v>
      </c>
      <c r="AL35" s="311" t="s">
        <v>333</v>
      </c>
      <c r="AM35" s="311" t="s">
        <v>334</v>
      </c>
      <c r="AN35" s="311" t="s">
        <v>363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09"/>
      <c r="F36" s="146"/>
      <c r="G36" s="59"/>
      <c r="H36" s="16"/>
      <c r="I36" s="178" t="s">
        <v>334</v>
      </c>
      <c r="J36" s="179" t="s">
        <v>336</v>
      </c>
      <c r="K36" s="339">
        <f>angleConvert2Decimal(J36)</f>
        <v>1.6666666666666668E-3</v>
      </c>
      <c r="L36" s="1317"/>
      <c r="M36" s="319">
        <v>60</v>
      </c>
      <c r="N36" s="320" t="s">
        <v>356</v>
      </c>
      <c r="O36" s="320" t="s">
        <v>356</v>
      </c>
      <c r="P36" s="320" t="s">
        <v>356</v>
      </c>
      <c r="Q36" s="320" t="s">
        <v>356</v>
      </c>
      <c r="R36" s="320" t="s">
        <v>356</v>
      </c>
      <c r="S36" s="320" t="s">
        <v>356</v>
      </c>
      <c r="T36" s="320" t="s">
        <v>356</v>
      </c>
      <c r="U36" s="320" t="s">
        <v>356</v>
      </c>
      <c r="V36" s="320" t="s">
        <v>356</v>
      </c>
      <c r="W36" s="320" t="s">
        <v>356</v>
      </c>
      <c r="X36" s="320" t="s">
        <v>356</v>
      </c>
      <c r="Y36" s="320" t="s">
        <v>356</v>
      </c>
      <c r="Z36" s="143"/>
      <c r="AA36" s="148"/>
      <c r="AE36" s="83"/>
      <c r="AG36" s="1347" t="str">
        <f>I35</f>
        <v>Mars</v>
      </c>
      <c r="AH36" s="323">
        <v>0</v>
      </c>
      <c r="AI36" s="325" t="str">
        <f>AI37</f>
        <v>0°0,1'</v>
      </c>
      <c r="AK36" s="326">
        <f>J19</f>
        <v>18.581459901072908</v>
      </c>
      <c r="AL36" s="311">
        <f>IF(D27=$AG$36,VLOOKUP($AK36,$AH$36:$AI$39,2,TRUE),0)</f>
        <v>0</v>
      </c>
      <c r="AM36" s="311">
        <f>IF(D27=$AG$40,VLOOKUP($AK36,$AH$40:$AI$43,2,TRUE),0)</f>
        <v>0</v>
      </c>
      <c r="AN36" s="311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09"/>
      <c r="F37" s="146"/>
      <c r="G37" s="59"/>
      <c r="H37" s="16"/>
      <c r="L37" s="1317"/>
      <c r="M37" s="319">
        <v>90</v>
      </c>
      <c r="N37" s="320" t="s">
        <v>356</v>
      </c>
      <c r="O37" s="320" t="s">
        <v>356</v>
      </c>
      <c r="P37" s="320" t="s">
        <v>356</v>
      </c>
      <c r="Q37" s="320" t="s">
        <v>356</v>
      </c>
      <c r="R37" s="320" t="s">
        <v>356</v>
      </c>
      <c r="S37" s="320" t="s">
        <v>356</v>
      </c>
      <c r="T37" s="320" t="s">
        <v>356</v>
      </c>
      <c r="U37" s="320" t="s">
        <v>356</v>
      </c>
      <c r="V37" s="320" t="s">
        <v>356</v>
      </c>
      <c r="W37" s="320" t="s">
        <v>356</v>
      </c>
      <c r="X37" s="320" t="s">
        <v>356</v>
      </c>
      <c r="Y37" s="320" t="s">
        <v>356</v>
      </c>
      <c r="Z37" s="143"/>
      <c r="AA37" s="148"/>
      <c r="AE37" s="83"/>
      <c r="AG37" s="1347"/>
      <c r="AH37" s="323">
        <v>40</v>
      </c>
      <c r="AI37" s="325" t="str">
        <f>HLOOKUP($AI$35,$N$34:$Y$40,2,FALSE)</f>
        <v>0°0,1'</v>
      </c>
      <c r="AK37" s="326">
        <f>J20</f>
        <v>50.931459901072905</v>
      </c>
      <c r="AL37" s="311">
        <f>IF(D28=$AG$36,VLOOKUP($AK37,$AH$36:$AI$39,2,TRUE),0)</f>
        <v>0</v>
      </c>
      <c r="AM37" s="311">
        <f>IF(D28=$AG$40,VLOOKUP($AK37,$AH$40:$AI$43,2,TRUE),0)</f>
        <v>0</v>
      </c>
      <c r="AN37" s="311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09"/>
      <c r="F38" s="146"/>
      <c r="G38" s="59"/>
      <c r="H38" s="16"/>
      <c r="I38" s="16"/>
      <c r="J38" s="16"/>
      <c r="K38" s="16"/>
      <c r="L38" s="1318" t="str">
        <f>I36</f>
        <v>Venus</v>
      </c>
      <c r="M38" s="321">
        <v>40</v>
      </c>
      <c r="N38" s="322" t="s">
        <v>356</v>
      </c>
      <c r="O38" s="322" t="s">
        <v>356</v>
      </c>
      <c r="P38" s="322" t="s">
        <v>356</v>
      </c>
      <c r="Q38" s="322" t="s">
        <v>356</v>
      </c>
      <c r="R38" s="322" t="s">
        <v>357</v>
      </c>
      <c r="S38" s="322" t="s">
        <v>357</v>
      </c>
      <c r="T38" s="322" t="s">
        <v>358</v>
      </c>
      <c r="U38" s="322" t="s">
        <v>359</v>
      </c>
      <c r="V38" s="322" t="s">
        <v>358</v>
      </c>
      <c r="W38" s="322" t="s">
        <v>357</v>
      </c>
      <c r="X38" s="322" t="s">
        <v>357</v>
      </c>
      <c r="Y38" s="322" t="s">
        <v>356</v>
      </c>
      <c r="Z38" s="143"/>
      <c r="AA38" s="148"/>
      <c r="AE38" s="83"/>
      <c r="AG38" s="1347"/>
      <c r="AH38" s="323">
        <v>60</v>
      </c>
      <c r="AI38" s="325" t="str">
        <f>HLOOKUP($AI$35,$N$34:$Y$40,3,FALSE)</f>
        <v>0°0,1'</v>
      </c>
      <c r="AK38" s="326">
        <f>J21</f>
        <v>45.221459901072905</v>
      </c>
      <c r="AL38" s="311">
        <f>IF(D29=$AG$36,VLOOKUP($AK38,$AH$36:$AI$39,2,TRUE),0)</f>
        <v>0</v>
      </c>
      <c r="AM38" s="311">
        <f>IF(D29=$AG$40,VLOOKUP($AK38,$AH$40:$AI$43,2,TRUE),0)</f>
        <v>0</v>
      </c>
      <c r="AN38" s="311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09"/>
      <c r="F39" s="146"/>
      <c r="G39" s="59"/>
      <c r="H39" s="16"/>
      <c r="I39" s="16"/>
      <c r="J39" s="16"/>
      <c r="K39" s="16"/>
      <c r="L39" s="1318"/>
      <c r="M39" s="321">
        <v>60</v>
      </c>
      <c r="N39" s="322" t="s">
        <v>356</v>
      </c>
      <c r="O39" s="322" t="s">
        <v>356</v>
      </c>
      <c r="P39" s="322" t="s">
        <v>356</v>
      </c>
      <c r="Q39" s="322" t="s">
        <v>356</v>
      </c>
      <c r="R39" s="322" t="s">
        <v>356</v>
      </c>
      <c r="S39" s="322" t="s">
        <v>356</v>
      </c>
      <c r="T39" s="322" t="s">
        <v>357</v>
      </c>
      <c r="U39" s="322" t="s">
        <v>358</v>
      </c>
      <c r="V39" s="322" t="s">
        <v>357</v>
      </c>
      <c r="W39" s="322" t="s">
        <v>356</v>
      </c>
      <c r="X39" s="322" t="s">
        <v>356</v>
      </c>
      <c r="Y39" s="322" t="s">
        <v>356</v>
      </c>
      <c r="Z39" s="143"/>
      <c r="AA39" s="148"/>
      <c r="AE39" s="83"/>
      <c r="AG39" s="1347"/>
      <c r="AH39" s="323">
        <v>90</v>
      </c>
      <c r="AI39" s="325" t="str">
        <f>HLOOKUP($AI$35,$N$34:$Y$40,4,FALSE)</f>
        <v>0°0,1'</v>
      </c>
      <c r="AK39" s="326">
        <f>J22</f>
        <v>59.626459901072906</v>
      </c>
      <c r="AL39" s="311">
        <f>IF(D30=$AG$36,VLOOKUP($AK39,$AH$36:$AI$39,2,TRUE),0)</f>
        <v>0</v>
      </c>
      <c r="AM39" s="311">
        <f>IF(D30=$AG$40,VLOOKUP($AK39,$AH$40:$AI$43,2,TRUE),0)</f>
        <v>0</v>
      </c>
      <c r="AN39" s="311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09"/>
      <c r="F40" s="146"/>
      <c r="G40" s="59"/>
      <c r="H40" s="16"/>
      <c r="I40" s="16"/>
      <c r="J40" s="16"/>
      <c r="K40" s="16"/>
      <c r="L40" s="1318"/>
      <c r="M40" s="321">
        <v>90</v>
      </c>
      <c r="N40" s="322" t="s">
        <v>356</v>
      </c>
      <c r="O40" s="322" t="s">
        <v>356</v>
      </c>
      <c r="P40" s="322" t="s">
        <v>356</v>
      </c>
      <c r="Q40" s="322" t="s">
        <v>356</v>
      </c>
      <c r="R40" s="322" t="s">
        <v>356</v>
      </c>
      <c r="S40" s="322" t="s">
        <v>356</v>
      </c>
      <c r="T40" s="322" t="s">
        <v>356</v>
      </c>
      <c r="U40" s="322" t="s">
        <v>357</v>
      </c>
      <c r="V40" s="322" t="s">
        <v>356</v>
      </c>
      <c r="W40" s="322" t="s">
        <v>356</v>
      </c>
      <c r="X40" s="322" t="s">
        <v>356</v>
      </c>
      <c r="Y40" s="322" t="s">
        <v>356</v>
      </c>
      <c r="Z40" s="143"/>
      <c r="AA40" s="148"/>
      <c r="AE40" s="83"/>
      <c r="AG40" s="1348" t="str">
        <f>I36</f>
        <v>Venus</v>
      </c>
      <c r="AH40" s="323">
        <v>0</v>
      </c>
      <c r="AI40" s="323" t="str">
        <f>AI41</f>
        <v>0°0,2'</v>
      </c>
      <c r="AK40" s="326">
        <f>J23</f>
        <v>45.611459901072905</v>
      </c>
      <c r="AL40" s="311" t="str">
        <f>IF(D31=$AG$36,VLOOKUP($AK40,$AH$36:$AI$39,2,TRUE),0)</f>
        <v>0°0,1'</v>
      </c>
      <c r="AM40" s="311">
        <f>IF(D31=$AG$40,VLOOKUP($AK40,$AH$40:$AI$43,2,TRUE),0)</f>
        <v>0</v>
      </c>
      <c r="AN40" s="311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09"/>
      <c r="F41" s="146"/>
      <c r="G41" s="59"/>
      <c r="H41" s="16"/>
      <c r="I41" s="16"/>
      <c r="J41" s="16"/>
      <c r="K41" s="16"/>
      <c r="L41" s="16"/>
      <c r="M41" s="148"/>
      <c r="N41" s="16"/>
      <c r="O41" s="16"/>
      <c r="P41" s="16"/>
      <c r="Q41" s="16"/>
      <c r="R41" s="16"/>
      <c r="S41" s="16"/>
      <c r="T41" s="16"/>
      <c r="U41" s="16"/>
      <c r="V41" s="16"/>
      <c r="W41" s="143"/>
      <c r="X41" s="143"/>
      <c r="Y41" s="143"/>
      <c r="Z41" s="143"/>
      <c r="AA41" s="148"/>
      <c r="AE41" s="83"/>
      <c r="AG41" s="1348"/>
      <c r="AH41" s="323">
        <v>40</v>
      </c>
      <c r="AI41" s="325" t="str">
        <f>HLOOKUP($AI$35,$N$34:$Y$40,5,FALSE)</f>
        <v>0°0,2'</v>
      </c>
      <c r="BO41" s="24"/>
      <c r="BP41" s="16"/>
    </row>
    <row r="42" spans="1:68" customFormat="1" ht="17.25" customHeight="1">
      <c r="E42" s="213"/>
      <c r="L42" s="16"/>
      <c r="M42" s="148"/>
      <c r="N42" s="16"/>
      <c r="O42" s="16"/>
      <c r="P42" s="16"/>
      <c r="Q42" s="16"/>
      <c r="R42" s="16"/>
      <c r="S42" s="16"/>
      <c r="T42" s="16"/>
      <c r="U42" s="16"/>
      <c r="V42" s="16"/>
      <c r="W42" s="143"/>
      <c r="X42" s="143"/>
      <c r="Y42" s="143"/>
      <c r="Z42" s="143"/>
      <c r="AE42" s="83"/>
      <c r="AG42" s="1348"/>
      <c r="AH42" s="323">
        <v>60</v>
      </c>
      <c r="AI42" s="325" t="str">
        <f>HLOOKUP($AI$35,$N$34:$Y$40,6,FALSE)</f>
        <v>0°0,1'</v>
      </c>
      <c r="AJ42" s="310"/>
      <c r="AK42" s="310"/>
      <c r="AL42" s="310"/>
      <c r="AM42" s="310"/>
    </row>
    <row r="43" spans="1:68" customFormat="1" ht="17.25" customHeight="1">
      <c r="E43" s="213"/>
      <c r="L43" s="16"/>
      <c r="M43" s="148"/>
      <c r="N43" s="16"/>
      <c r="O43" s="16"/>
      <c r="P43" s="16"/>
      <c r="Q43" s="16"/>
      <c r="R43" s="16"/>
      <c r="S43" s="16"/>
      <c r="T43" s="16"/>
      <c r="U43" s="16"/>
      <c r="V43" s="16"/>
      <c r="W43" s="143"/>
      <c r="X43" s="143"/>
      <c r="Y43" s="143"/>
      <c r="Z43" s="143"/>
      <c r="AE43" s="83"/>
      <c r="AF43" s="11"/>
      <c r="AG43" s="1348"/>
      <c r="AH43" s="323">
        <v>90</v>
      </c>
      <c r="AI43" s="325" t="str">
        <f>HLOOKUP($AI$35,$N$34:$Y$40,7,FALSE)</f>
        <v>0°0,1'</v>
      </c>
      <c r="AJ43" s="310"/>
      <c r="AK43" s="310"/>
      <c r="AL43" s="310"/>
      <c r="AM43" s="310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525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6"/>
      <c r="AC45" s="156"/>
      <c r="AE45" s="83"/>
    </row>
    <row r="46" spans="1:68" customFormat="1" ht="15">
      <c r="K46" s="92"/>
      <c r="L46" s="92"/>
      <c r="AE46" s="83"/>
    </row>
    <row r="47" spans="1:68" customFormat="1" ht="15">
      <c r="B47" s="1279" t="s">
        <v>1</v>
      </c>
      <c r="C47" s="1279"/>
      <c r="D47" s="1279" t="str">
        <f>E6</f>
        <v>2024/06/28</v>
      </c>
      <c r="E47" s="1279"/>
      <c r="F47" s="1279"/>
      <c r="G47" s="1279"/>
      <c r="H47" s="1279"/>
      <c r="I47" s="1279"/>
      <c r="AE47" s="83"/>
    </row>
    <row r="48" spans="1:68" customFormat="1" ht="15">
      <c r="B48" s="1280" t="s">
        <v>30</v>
      </c>
      <c r="C48" s="1280"/>
      <c r="D48" s="1332" t="s">
        <v>459</v>
      </c>
      <c r="E48" s="1332"/>
      <c r="F48" s="1332"/>
      <c r="G48" s="1332"/>
      <c r="H48" s="1332"/>
      <c r="I48" s="1332"/>
      <c r="J48" s="226"/>
      <c r="K48" s="226"/>
      <c r="L48" s="226"/>
      <c r="AE48" s="83"/>
    </row>
    <row r="49" spans="2:66" customFormat="1" ht="15">
      <c r="H49" s="226"/>
      <c r="I49" s="226"/>
      <c r="J49" s="226"/>
      <c r="K49" s="226"/>
      <c r="L49" s="226"/>
      <c r="AE49" s="83"/>
    </row>
    <row r="50" spans="2:66" customFormat="1" ht="15">
      <c r="B50" s="1284" t="s">
        <v>388</v>
      </c>
      <c r="C50" s="1284"/>
      <c r="D50" s="1285" t="str" cm="1">
        <f t="array" ref="D50">angleDecimal2Txt(angleConvert2Decimal(H13))</f>
        <v>+00°01.50 (+00.0250) [+00°01'30.00]</v>
      </c>
      <c r="E50" s="1285"/>
      <c r="F50" s="1285"/>
      <c r="G50" s="1285"/>
      <c r="H50" s="1285"/>
      <c r="I50" s="1285"/>
      <c r="J50" s="226"/>
      <c r="K50" s="226"/>
      <c r="L50" s="226"/>
      <c r="AE50" s="83"/>
    </row>
    <row r="51" spans="2:66" customFormat="1" ht="15">
      <c r="B51" s="1279" t="s">
        <v>389</v>
      </c>
      <c r="C51" s="1279"/>
      <c r="D51" s="1285" t="str">
        <f>CONCATENATE(H12, " m")</f>
        <v>24 m</v>
      </c>
      <c r="E51" s="1285"/>
      <c r="F51" s="1285"/>
      <c r="G51" s="1285"/>
      <c r="H51" s="1285"/>
      <c r="I51" s="1285"/>
      <c r="J51" s="226"/>
      <c r="K51" s="226"/>
      <c r="L51" s="226"/>
      <c r="AE51" s="83"/>
    </row>
    <row r="52" spans="2:66" customFormat="1" ht="15">
      <c r="J52" s="226"/>
      <c r="K52" s="226"/>
      <c r="L52" s="226"/>
      <c r="AE52" s="83"/>
    </row>
    <row r="53" spans="2:66" customFormat="1" ht="15">
      <c r="B53" s="1283" t="s">
        <v>399</v>
      </c>
      <c r="C53" s="1283"/>
      <c r="D53" s="1283" t="str" cm="1">
        <f t="array" ref="D53">latitudeDecimal2Txt(F10)</f>
        <v>S 50°03.00 (S 50.0499) [S 50°03'00.00]</v>
      </c>
      <c r="E53" s="1283"/>
      <c r="F53" s="1283"/>
      <c r="G53" s="1283"/>
      <c r="H53" s="1283"/>
      <c r="I53" s="1283"/>
      <c r="J53" s="226"/>
      <c r="K53" s="226"/>
      <c r="L53" s="226"/>
      <c r="AE53" s="83"/>
    </row>
    <row r="54" spans="2:66" customFormat="1" ht="15">
      <c r="B54" s="1283" t="s">
        <v>400</v>
      </c>
      <c r="C54" s="1283"/>
      <c r="D54" s="1283" t="str" cm="1">
        <f t="array" ref="D54">longitudeDecimal2Txt(F11)</f>
        <v>W 09°02.00 (W 09.0333) [W 09°02'00.00]</v>
      </c>
      <c r="E54" s="1283"/>
      <c r="F54" s="1283"/>
      <c r="G54" s="1283"/>
      <c r="H54" s="1283"/>
      <c r="I54" s="1283"/>
      <c r="J54" s="226"/>
      <c r="K54" s="226"/>
      <c r="L54" s="226"/>
      <c r="AE54" s="83"/>
    </row>
    <row r="55" spans="2:66" customFormat="1" ht="15">
      <c r="B55" s="222"/>
      <c r="C55" s="222"/>
      <c r="D55" s="225"/>
      <c r="E55" s="222"/>
      <c r="AE55" s="83"/>
    </row>
    <row r="56" spans="2:66" s="92" customFormat="1" ht="17.25" customHeight="1" thickBot="1">
      <c r="B56" s="229" t="s">
        <v>386</v>
      </c>
      <c r="C56" s="229"/>
      <c r="D56" s="229"/>
      <c r="E56"/>
      <c r="F56" s="224"/>
      <c r="G56" s="224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333" t="s">
        <v>465</v>
      </c>
      <c r="E57" s="1334"/>
      <c r="F57" s="1339" t="str">
        <f>C19</f>
        <v>Capela</v>
      </c>
      <c r="G57" s="1340"/>
      <c r="H57" s="1340"/>
      <c r="I57" s="1341"/>
      <c r="J57" s="1358" t="str">
        <f>C20</f>
        <v>Alpheratz</v>
      </c>
      <c r="K57" s="1359"/>
      <c r="L57" s="1359"/>
      <c r="M57" s="1360"/>
      <c r="N57" s="1358" t="str">
        <f>C21</f>
        <v>Altair</v>
      </c>
      <c r="O57" s="1359"/>
      <c r="P57" s="1359"/>
      <c r="Q57" s="1360"/>
      <c r="R57" s="1358" t="str">
        <f>C22</f>
        <v>Vega</v>
      </c>
      <c r="S57" s="1359"/>
      <c r="T57" s="1359"/>
      <c r="U57" s="1360"/>
      <c r="V57" s="1358" t="str">
        <f>C23</f>
        <v>Mars</v>
      </c>
      <c r="W57" s="1359"/>
      <c r="X57" s="1359"/>
      <c r="Y57" s="1360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368" t="s">
        <v>508</v>
      </c>
      <c r="E58" s="1324"/>
      <c r="F58" s="1310" t="str">
        <f>$D$47</f>
        <v>2024/06/28</v>
      </c>
      <c r="G58" s="1311"/>
      <c r="H58" s="1323" t="str" cm="1">
        <f t="array" ref="H58">heureDecimal2Txt($G$19,0)</f>
        <v>03:20:04.00</v>
      </c>
      <c r="I58" s="1324"/>
      <c r="J58" s="1310" t="str">
        <f>$D$47</f>
        <v>2024/06/28</v>
      </c>
      <c r="K58" s="1311"/>
      <c r="L58" s="1323" t="str" cm="1">
        <f t="array" ref="L58">heureDecimal2Txt($G$20,0)</f>
        <v>03:22:08.00</v>
      </c>
      <c r="M58" s="1324"/>
      <c r="N58" s="1310" t="str">
        <f>$D$47</f>
        <v>2024/06/28</v>
      </c>
      <c r="O58" s="1311"/>
      <c r="P58" s="1323" t="str" cm="1">
        <f t="array" ref="P58">heureDecimal2Txt($G$21,0)</f>
        <v>03:25:00.00</v>
      </c>
      <c r="Q58" s="1324"/>
      <c r="R58" s="1310" t="str">
        <f>$D$47</f>
        <v>2024/06/28</v>
      </c>
      <c r="S58" s="1311"/>
      <c r="T58" s="1323" t="str" cm="1">
        <f t="array" ref="T58">heureDecimal2Txt($G$22,0)</f>
        <v>03:27:11.00</v>
      </c>
      <c r="U58" s="1324"/>
      <c r="V58" s="1310" t="str">
        <f>$D$47</f>
        <v>2024/06/28</v>
      </c>
      <c r="W58" s="1311"/>
      <c r="X58" s="1323" t="str" cm="1">
        <f t="array" ref="X58">heureDecimal2Txt($G$23,0)</f>
        <v>03:30:20.00</v>
      </c>
      <c r="Y58" s="1324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1282" t="s">
        <v>387</v>
      </c>
      <c r="E59" s="1370"/>
      <c r="F59" s="1361" t="str" cm="1">
        <f t="array" ref="F59">angleDecimal2Txt(angleConvert2Decimal(H19))</f>
        <v>+18°45.00 (+18.7500) [+18°45'00.00]</v>
      </c>
      <c r="G59" s="1362"/>
      <c r="H59" s="1362"/>
      <c r="I59" s="1363"/>
      <c r="J59" s="1361" t="str" cm="1">
        <f t="array" ref="J59">angleDecimal2Txt(angleConvert2Decimal(H20))</f>
        <v>+51°06.00 (+51.1000) [+51°06'00.00]</v>
      </c>
      <c r="K59" s="1362"/>
      <c r="L59" s="1362"/>
      <c r="M59" s="1363"/>
      <c r="N59" s="1361" t="str" cm="1">
        <f t="array" ref="N59">angleDecimal2Txt(angleConvert2Decimal(H21))</f>
        <v>+45°23.39 (+45.3900) [+45°23'24.00]</v>
      </c>
      <c r="O59" s="1362"/>
      <c r="P59" s="1362"/>
      <c r="Q59" s="1363"/>
      <c r="R59" s="1361" t="str" cm="1">
        <f t="array" ref="R59">angleDecimal2Txt(angleConvert2Decimal(H22))</f>
        <v>+59°47.70 (+59.7950) [+59°47'42.00]</v>
      </c>
      <c r="S59" s="1362"/>
      <c r="T59" s="1362"/>
      <c r="U59" s="1363"/>
      <c r="V59" s="1361" t="str" cm="1">
        <f t="array" ref="V59">angleDecimal2Txt(angleConvert2Decimal(H23))</f>
        <v>+45°46.79 (+45.7800) [+45°46'48.00]</v>
      </c>
      <c r="W59" s="1362"/>
      <c r="X59" s="1362"/>
      <c r="Y59" s="1363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335" t="s">
        <v>391</v>
      </c>
      <c r="E60" s="1336"/>
      <c r="F60" s="1364" t="str" cm="1">
        <f t="array" ref="F60">angleDecimal2Txt(J19)</f>
        <v>+18°34.88 (+18.5814) [+18°34'53.25]</v>
      </c>
      <c r="G60" s="1336"/>
      <c r="H60" s="1336"/>
      <c r="I60" s="1365"/>
      <c r="J60" s="1364" t="str" cm="1">
        <f t="array" ref="J60">angleDecimal2Txt(J20)</f>
        <v>+50°55.88 (+50.9314) [+50°55'53.25]</v>
      </c>
      <c r="K60" s="1336"/>
      <c r="L60" s="1336"/>
      <c r="M60" s="1365"/>
      <c r="N60" s="1364" t="str" cm="1">
        <f t="array" ref="N60">angleDecimal2Txt(J21)</f>
        <v>+45°13.28 (+45.2214) [+45°13'17.25]</v>
      </c>
      <c r="O60" s="1336"/>
      <c r="P60" s="1336"/>
      <c r="Q60" s="1365"/>
      <c r="R60" s="1364" t="str" cm="1">
        <f t="array" ref="R60">angleDecimal2Txt(J22)</f>
        <v>+59°37.58 (+59.6264) [+59°37'35.25]</v>
      </c>
      <c r="S60" s="1336"/>
      <c r="T60" s="1336"/>
      <c r="U60" s="1365"/>
      <c r="V60" s="1364" t="str" cm="1">
        <f t="array" ref="V60">angleDecimal2Txt(J23)</f>
        <v>+45°36.68 (+45.6114) [+45°36'41.25]</v>
      </c>
      <c r="W60" s="1336"/>
      <c r="X60" s="1336"/>
      <c r="Y60" s="1365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1288" t="s">
        <v>389</v>
      </c>
      <c r="E61" s="1330"/>
      <c r="F61" s="1366" t="str" cm="1">
        <f t="array" ref="F61">angleDecimal2Txt($F$12)</f>
        <v>+00°08.61 (+00.1435) [+00°08'36.74]</v>
      </c>
      <c r="G61" s="1299"/>
      <c r="H61" s="1299"/>
      <c r="I61" s="1299"/>
      <c r="J61" s="1299"/>
      <c r="K61" s="1299"/>
      <c r="L61" s="1299"/>
      <c r="M61" s="1299"/>
      <c r="N61" s="1299"/>
      <c r="O61" s="1299"/>
      <c r="P61" s="1299"/>
      <c r="Q61" s="1299"/>
      <c r="R61" s="1299"/>
      <c r="S61" s="1299"/>
      <c r="T61" s="1299"/>
      <c r="U61" s="1299"/>
      <c r="V61" s="1299"/>
      <c r="W61" s="1299"/>
      <c r="X61" s="1299"/>
      <c r="Y61" s="1367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1288" t="s">
        <v>396</v>
      </c>
      <c r="E62" s="1330"/>
      <c r="F62" s="1366" t="str" cm="1">
        <f t="array" ref="F62">angleDecimal2Txt(J27)</f>
        <v>+00°02.91 (+00.0486) [+00°02'55.12]</v>
      </c>
      <c r="G62" s="1299"/>
      <c r="H62" s="1299"/>
      <c r="I62" s="1367"/>
      <c r="J62" s="1366" t="str" cm="1">
        <f t="array" ref="J62">angleDecimal2Txt(J28)</f>
        <v>+00°00.80 (+00.0134) [+00°00'48.44]</v>
      </c>
      <c r="K62" s="1299"/>
      <c r="L62" s="1299"/>
      <c r="M62" s="1367"/>
      <c r="N62" s="1366" t="str" cm="1">
        <f t="array" ref="N62">angleDecimal2Txt(J29)</f>
        <v>+00°00.98 (+00.0164) [+00°00'59.19]</v>
      </c>
      <c r="O62" s="1299"/>
      <c r="P62" s="1299"/>
      <c r="Q62" s="1367"/>
      <c r="R62" s="1366" t="str" cm="1">
        <f t="array" ref="R62">angleDecimal2Txt(J30)</f>
        <v>+00°00.58 (+00.0097) [+00°00'34.97]</v>
      </c>
      <c r="S62" s="1299"/>
      <c r="T62" s="1299"/>
      <c r="U62" s="1367"/>
      <c r="V62" s="1366" t="str" cm="1">
        <f t="array" ref="V62">angleDecimal2Txt(J31)</f>
        <v>+00°00.97 (+00.0162) [+00°00'58.39]</v>
      </c>
      <c r="W62" s="1299"/>
      <c r="X62" s="1299"/>
      <c r="Y62" s="1367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335" t="s">
        <v>390</v>
      </c>
      <c r="E63" s="1336"/>
      <c r="F63" s="1364" t="str" cm="1">
        <f t="array" ref="F63">angleDecimal2Txt(M27)</f>
        <v>+18°31.96 (+18.5328) [+18°31'58.12]</v>
      </c>
      <c r="G63" s="1336"/>
      <c r="H63" s="1336"/>
      <c r="I63" s="1365"/>
      <c r="J63" s="1364" t="str" cm="1">
        <f t="array" ref="J63">angleDecimal2Txt(M28)</f>
        <v>+50°55.08 (+50.9180) [+50°55'04.81]</v>
      </c>
      <c r="K63" s="1336"/>
      <c r="L63" s="1336"/>
      <c r="M63" s="1365"/>
      <c r="N63" s="1364" t="str" cm="1">
        <f t="array" ref="N63">angleDecimal2Txt(M29)</f>
        <v>+45°12.30 (+45.2050) [+45°12'18.06]</v>
      </c>
      <c r="O63" s="1336"/>
      <c r="P63" s="1336"/>
      <c r="Q63" s="1365"/>
      <c r="R63" s="1364" t="str" cm="1">
        <f t="array" ref="R63">angleDecimal2Txt(M30)</f>
        <v>+59°37.00 (+59.6167) [+59°37'00.27]</v>
      </c>
      <c r="S63" s="1336"/>
      <c r="T63" s="1336"/>
      <c r="U63" s="1365"/>
      <c r="V63" s="1364" t="str" cm="1">
        <f t="array" ref="V63">angleDecimal2Txt(M31)</f>
        <v>+45°35.72 (+45.5954) [+45°35'43.45]</v>
      </c>
      <c r="W63" s="1336"/>
      <c r="X63" s="1336"/>
      <c r="Y63" s="1365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371" t="s">
        <v>413</v>
      </c>
      <c r="C64" s="1372"/>
      <c r="D64" s="1337" t="s">
        <v>398</v>
      </c>
      <c r="E64" s="1338"/>
      <c r="F64" s="1329" t="str" cm="1">
        <f t="array" ref="F64">angleDecimal2Txt(G27-J27-$F$12)</f>
        <v>-00°11.53 (-00.1921) [-00°11'31.87]</v>
      </c>
      <c r="G64" s="1330"/>
      <c r="H64" s="1330"/>
      <c r="I64" s="1331"/>
      <c r="J64" s="1329" t="str" cm="1">
        <f t="array" ref="J64">angleDecimal2Txt(G28-J28-$F$12)</f>
        <v>-00°09.41 (-00.1569) [-00°09'25.18]</v>
      </c>
      <c r="K64" s="1330"/>
      <c r="L64" s="1330"/>
      <c r="M64" s="1331"/>
      <c r="N64" s="1329" t="str" cm="1">
        <f t="array" ref="N64">angleDecimal2Txt(G29-J29-$F$12)</f>
        <v>-00°09.59 (-00.1599) [-00°09'35.93]</v>
      </c>
      <c r="O64" s="1330"/>
      <c r="P64" s="1330"/>
      <c r="Q64" s="1331"/>
      <c r="R64" s="1329" t="str" cm="1">
        <f t="array" ref="R64">angleDecimal2Txt(G30-J30-$F$12)</f>
        <v>-00°09.19 (-00.1532) [-00°09'11.72]</v>
      </c>
      <c r="S64" s="1330"/>
      <c r="T64" s="1330"/>
      <c r="U64" s="1331"/>
      <c r="V64" s="1329" t="str" cm="1">
        <f t="array" ref="V64">angleDecimal2Txt(G31-J31-$F$12)</f>
        <v>-00°09.37 (-00.1562) [-00°09'22.54]</v>
      </c>
      <c r="W64" s="1330"/>
      <c r="X64" s="1330"/>
      <c r="Y64" s="1331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373"/>
      <c r="C65" s="1374"/>
      <c r="D65" s="1337" t="s">
        <v>394</v>
      </c>
      <c r="E65" s="1338"/>
      <c r="F65" s="1329" t="str" cm="1">
        <f t="array" ref="F65">angleDecimal2Txt(G27-J27-$F$12+angleConvert2Decimal(L27))</f>
        <v>-00°11.53 (-00.1921) [-00°11'31.87]</v>
      </c>
      <c r="G65" s="1330"/>
      <c r="H65" s="1330"/>
      <c r="I65" s="1331"/>
      <c r="J65" s="1329" t="str" cm="1">
        <f t="array" ref="J65">angleDecimal2Txt(G28-J28-$F$12+angleConvert2Decimal(L28))</f>
        <v>-00°09.41 (-00.1569) [-00°09'25.18]</v>
      </c>
      <c r="K65" s="1330"/>
      <c r="L65" s="1330"/>
      <c r="M65" s="1331"/>
      <c r="N65" s="1329" t="str" cm="1">
        <f t="array" ref="N65">angleDecimal2Txt(G29-J29-$F$12+angleConvert2Decimal(L29))</f>
        <v>-00°09.59 (-00.1599) [-00°09'35.93]</v>
      </c>
      <c r="O65" s="1330"/>
      <c r="P65" s="1330"/>
      <c r="Q65" s="1331"/>
      <c r="R65" s="1329" t="str" cm="1">
        <f t="array" ref="R65">angleDecimal2Txt(G30-J30-$F$12+angleConvert2Decimal(L30))</f>
        <v>-00°09.19 (-00.1532) [-00°09'11.72]</v>
      </c>
      <c r="S65" s="1330"/>
      <c r="T65" s="1330"/>
      <c r="U65" s="1331"/>
      <c r="V65" s="1329" t="str" cm="1">
        <f t="array" ref="V65">angleDecimal2Txt(G31-J31-$F$12+angleConvert2Decimal(L31))</f>
        <v>-00°09.27 (-00.1545) [-00°09'16.54]</v>
      </c>
      <c r="W65" s="1330"/>
      <c r="X65" s="1330"/>
      <c r="Y65" s="1331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375"/>
      <c r="C66" s="1376"/>
      <c r="D66" s="1337" t="s">
        <v>395</v>
      </c>
      <c r="E66" s="1338"/>
      <c r="F66" s="1329" t="str" cm="1">
        <f t="array" ref="F66">angleDecimal2Txt(G27-J27+angleConvert2Decimal(L27))</f>
        <v>-00°02.91 (-00.0486) [-00°02'55.12]</v>
      </c>
      <c r="G66" s="1330"/>
      <c r="H66" s="1330"/>
      <c r="I66" s="1331"/>
      <c r="J66" s="1329" t="str" cm="1">
        <f t="array" ref="J66">angleDecimal2Txt(G28-J28+angleConvert2Decimal(L28))</f>
        <v>-00°00.80 (-00.0134) [-00°00'48.44]</v>
      </c>
      <c r="K66" s="1330"/>
      <c r="L66" s="1330"/>
      <c r="M66" s="1331"/>
      <c r="N66" s="1329" t="str" cm="1">
        <f t="array" ref="N66">angleDecimal2Txt(G29-J29+angleConvert2Decimal(L29))</f>
        <v>-00°00.98 (-00.0164) [-00°00'59.19]</v>
      </c>
      <c r="O66" s="1330"/>
      <c r="P66" s="1330"/>
      <c r="Q66" s="1331"/>
      <c r="R66" s="1329" t="str" cm="1">
        <f t="array" ref="R66">angleDecimal2Txt(G30-J30-angleConvert2Decimal(L30))</f>
        <v>-00°00.58 (-00.0097) [-00°00'34.97]</v>
      </c>
      <c r="S66" s="1330"/>
      <c r="T66" s="1330"/>
      <c r="U66" s="1331"/>
      <c r="V66" s="1329" t="str" cm="1">
        <f t="array" ref="V66">angleDecimal2Txt(G31-J31+angleConvert2Decimal(L31))</f>
        <v>-00°00.66 (-00.0110) [-00°00'39.80]</v>
      </c>
      <c r="W66" s="1330"/>
      <c r="X66" s="1330"/>
      <c r="Y66" s="1331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4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7" t="s">
        <v>62</v>
      </c>
      <c r="C68" s="228"/>
      <c r="D68" s="228"/>
      <c r="E68" s="228"/>
      <c r="F68" s="228"/>
      <c r="G68" s="228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387" t="s">
        <v>424</v>
      </c>
      <c r="E69" s="1369" t="str">
        <f>CONCATENATE(" -", "Interval")</f>
        <v xml:space="preserve"> -Interval</v>
      </c>
      <c r="F69" s="1380">
        <f>O27</f>
        <v>3</v>
      </c>
      <c r="G69" s="1377"/>
      <c r="H69" s="1377" t="str" cm="1">
        <f t="array" ref="H69">angleDecimal2Txt(VLOOKUP(F69,$R$19:$T$21,3),0)</f>
        <v>+321°42.39</v>
      </c>
      <c r="I69" s="1378"/>
      <c r="J69" s="1384">
        <f>O28</f>
        <v>3</v>
      </c>
      <c r="K69" s="1377"/>
      <c r="L69" s="1377" t="str" cm="1">
        <f t="array" ref="L69">angleDecimal2Txt(VLOOKUP(J69,$R$19:$T$21,3),0)</f>
        <v>+321°42.39</v>
      </c>
      <c r="M69" s="1379"/>
      <c r="N69" s="1380">
        <f>O29</f>
        <v>3</v>
      </c>
      <c r="O69" s="1377"/>
      <c r="P69" s="1377" t="str" cm="1">
        <f t="array" ref="P69">angleDecimal2Txt(VLOOKUP(N69,$R$19:$T$21,3),0)</f>
        <v>+321°42.39</v>
      </c>
      <c r="Q69" s="1378"/>
      <c r="R69" s="1384">
        <f>O30</f>
        <v>3</v>
      </c>
      <c r="S69" s="1377"/>
      <c r="T69" s="1377" t="str" cm="1">
        <f t="array" ref="T69">angleDecimal2Txt(VLOOKUP(R69,$R$19:$T$21,3),0)</f>
        <v>+321°42.39</v>
      </c>
      <c r="U69" s="1379"/>
      <c r="V69" s="1380">
        <f>O31</f>
        <v>3</v>
      </c>
      <c r="W69" s="1377"/>
      <c r="X69" s="1377" t="str" cm="1">
        <f t="array" ref="X69">angleDecimal2Txt(VLOOKUP(V69,$R$19:$T$21,3),0)</f>
        <v>+321°42.39</v>
      </c>
      <c r="Y69" s="1378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387"/>
      <c r="E70" s="1369"/>
      <c r="F70" s="1380">
        <f>F69+1</f>
        <v>4</v>
      </c>
      <c r="G70" s="1377"/>
      <c r="H70" s="1377" t="str" cm="1">
        <f t="array" ref="H70">angleDecimal2Txt(VLOOKUP(F70,$R$19:$T$21,3),0)</f>
        <v>+336°44.79</v>
      </c>
      <c r="I70" s="1378"/>
      <c r="J70" s="1384">
        <f>J69+1</f>
        <v>4</v>
      </c>
      <c r="K70" s="1377"/>
      <c r="L70" s="1377" t="str" cm="1">
        <f t="array" ref="L70">angleDecimal2Txt(VLOOKUP(J70,$R$19:$T$21,3),0)</f>
        <v>+336°44.79</v>
      </c>
      <c r="M70" s="1379"/>
      <c r="N70" s="1380">
        <f>N69+1</f>
        <v>4</v>
      </c>
      <c r="O70" s="1377"/>
      <c r="P70" s="1377" t="str" cm="1">
        <f t="array" ref="P70">angleDecimal2Txt(VLOOKUP(N70,$R$19:$T$21,3),0)</f>
        <v>+336°44.79</v>
      </c>
      <c r="Q70" s="1378"/>
      <c r="R70" s="1384">
        <f>R69+1</f>
        <v>4</v>
      </c>
      <c r="S70" s="1377"/>
      <c r="T70" s="1377" t="str" cm="1">
        <f t="array" ref="T70">angleDecimal2Txt(VLOOKUP(R70,$R$19:$T$21,3),0)</f>
        <v>+336°44.79</v>
      </c>
      <c r="U70" s="1379"/>
      <c r="V70" s="1380">
        <f>V69+1</f>
        <v>4</v>
      </c>
      <c r="W70" s="1377"/>
      <c r="X70" s="1377" t="str" cm="1">
        <f t="array" ref="X70">angleDecimal2Txt(VLOOKUP(V70,$R$19:$T$21,3),0)</f>
        <v>+336°44.79</v>
      </c>
      <c r="Y70" s="1378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1232" t="s">
        <v>425</v>
      </c>
      <c r="E71" s="1342"/>
      <c r="F71" s="1343" t="str" cm="1">
        <f t="array" ref="F71">angleDecimal2Txt(T27,0)</f>
        <v>+326°44.20</v>
      </c>
      <c r="G71" s="1232"/>
      <c r="H71" s="1232"/>
      <c r="I71" s="1344"/>
      <c r="J71" s="1345" t="str" cm="1">
        <f t="array" ref="J71">angleDecimal2Txt(T28,0)</f>
        <v>+327°15.28</v>
      </c>
      <c r="K71" s="1232"/>
      <c r="L71" s="1232"/>
      <c r="M71" s="1342"/>
      <c r="N71" s="1343" t="str" cm="1">
        <f t="array" ref="N71">angleDecimal2Txt(T29,0)</f>
        <v>+327°58.39</v>
      </c>
      <c r="O71" s="1232"/>
      <c r="P71" s="1232"/>
      <c r="Q71" s="1344"/>
      <c r="R71" s="1345" t="str" cm="1">
        <f t="array" ref="R71">angleDecimal2Txt(T30,0)</f>
        <v>+328°31.23</v>
      </c>
      <c r="S71" s="1232"/>
      <c r="T71" s="1232"/>
      <c r="U71" s="1342"/>
      <c r="V71" s="1343" t="str" cm="1">
        <f t="array" ref="V71">angleDecimal2Txt(T31,0)</f>
        <v>+329°18.61</v>
      </c>
      <c r="W71" s="1232"/>
      <c r="X71" s="1232"/>
      <c r="Y71" s="1344"/>
      <c r="AB71"/>
      <c r="AC71" s="238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1232" t="s">
        <v>463</v>
      </c>
      <c r="E72" s="1342"/>
      <c r="F72" s="1343" t="str" cm="1">
        <f t="array" ref="F72">angleDecimal2Txt(U27,0)</f>
        <v>+317°42.20</v>
      </c>
      <c r="G72" s="1232"/>
      <c r="H72" s="1232"/>
      <c r="I72" s="1344"/>
      <c r="J72" s="1345" t="str" cm="1">
        <f t="array" ref="J72">angleDecimal2Txt(U28,0)</f>
        <v>+318°13.28</v>
      </c>
      <c r="K72" s="1232"/>
      <c r="L72" s="1232"/>
      <c r="M72" s="1342"/>
      <c r="N72" s="1343" t="str" cm="1">
        <f t="array" ref="N72">angleDecimal2Txt(U29,0)</f>
        <v>+318°56.39</v>
      </c>
      <c r="O72" s="1232"/>
      <c r="P72" s="1232"/>
      <c r="Q72" s="1344"/>
      <c r="R72" s="1345" t="str" cm="1">
        <f t="array" ref="R72">angleDecimal2Txt(U30,0)</f>
        <v>+319°29.23</v>
      </c>
      <c r="S72" s="1232"/>
      <c r="T72" s="1232"/>
      <c r="U72" s="1342"/>
      <c r="V72" s="1343" t="str" cm="1">
        <f t="array" ref="V72">angleDecimal2Txt(U31,0)</f>
        <v>+320°16.61</v>
      </c>
      <c r="W72" s="1232"/>
      <c r="X72" s="1232"/>
      <c r="Y72" s="1344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1232" t="s">
        <v>460</v>
      </c>
      <c r="E73" s="1342"/>
      <c r="F73" s="1343" t="str" cm="1">
        <f t="array" ref="F73">angleDecimal2Txt(M19,0)</f>
        <v>+280°23.00</v>
      </c>
      <c r="G73" s="1232"/>
      <c r="H73" s="1232"/>
      <c r="I73" s="1344"/>
      <c r="J73" s="1345" t="str" cm="1">
        <f t="array" ref="J73">angleDecimal2Txt(M20,0)</f>
        <v>+357°35.20</v>
      </c>
      <c r="K73" s="1232"/>
      <c r="L73" s="1232"/>
      <c r="M73" s="1342"/>
      <c r="N73" s="1343" t="str" cm="1">
        <f t="array" ref="N73">angleDecimal2Txt(M21,0)</f>
        <v>+62°00.10</v>
      </c>
      <c r="O73" s="1232"/>
      <c r="P73" s="1232"/>
      <c r="Q73" s="1344"/>
      <c r="R73" s="1345" t="str" cm="1">
        <f t="array" ref="R73">angleDecimal2Txt(M22,0)</f>
        <v>+80°33.10</v>
      </c>
      <c r="S73" s="1232"/>
      <c r="T73" s="1232"/>
      <c r="U73" s="1342"/>
      <c r="V73" s="1343" t="str" cm="1">
        <f t="array" ref="V73">angleDecimal2Txt(M23,0)</f>
        <v>+137°19.00</v>
      </c>
      <c r="W73" s="1232"/>
      <c r="X73" s="1232"/>
      <c r="Y73" s="1344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1232" t="s">
        <v>461</v>
      </c>
      <c r="E74" s="1342"/>
      <c r="F74" s="1343" t="str" cm="1">
        <f t="array" ref="F74">angleDecimal2Txt(V27,0)</f>
        <v>+247°07.20</v>
      </c>
      <c r="G74" s="1232"/>
      <c r="H74" s="1232"/>
      <c r="I74" s="1344"/>
      <c r="J74" s="1345" t="str" cm="1">
        <f t="array" ref="J74">angleDecimal2Txt(V28,0)</f>
        <v>+324°50.48</v>
      </c>
      <c r="K74" s="1232"/>
      <c r="L74" s="1232"/>
      <c r="M74" s="1342"/>
      <c r="N74" s="1343" t="str" cm="1">
        <f t="array" ref="N74">angleDecimal2Txt(V29,0)</f>
        <v>+29°58.49</v>
      </c>
      <c r="O74" s="1232"/>
      <c r="P74" s="1232"/>
      <c r="Q74" s="1344"/>
      <c r="R74" s="1345" t="str" cm="1">
        <f t="array" ref="R74">angleDecimal2Txt(V30,0)</f>
        <v>+49°04.33</v>
      </c>
      <c r="S74" s="1232"/>
      <c r="T74" s="1232"/>
      <c r="U74" s="1342"/>
      <c r="V74" s="1343" t="str" cm="1">
        <f t="array" ref="V74">angleDecimal2Txt(V31,0)</f>
        <v>+106°37.61</v>
      </c>
      <c r="W74" s="1232"/>
      <c r="X74" s="1232"/>
      <c r="Y74" s="1344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1232" t="s">
        <v>462</v>
      </c>
      <c r="E75" s="1342"/>
      <c r="F75" s="1343" t="str" cm="1">
        <f t="array" ref="F75">angleDecimal2Txt(W27,0)</f>
        <v>+238°05.20</v>
      </c>
      <c r="G75" s="1232"/>
      <c r="H75" s="1232"/>
      <c r="I75" s="1344"/>
      <c r="J75" s="1345" t="str" cm="1">
        <f t="array" ref="J75">angleDecimal2Txt(W28,0)</f>
        <v>+315°48.48</v>
      </c>
      <c r="K75" s="1232"/>
      <c r="L75" s="1232"/>
      <c r="M75" s="1342"/>
      <c r="N75" s="1343" t="str" cm="1">
        <f t="array" ref="N75">angleDecimal2Txt(W29,0)</f>
        <v>+20°56.49</v>
      </c>
      <c r="O75" s="1232"/>
      <c r="P75" s="1232"/>
      <c r="Q75" s="1344"/>
      <c r="R75" s="1345" t="str" cm="1">
        <f t="array" ref="R75">angleDecimal2Txt(W30,0)</f>
        <v>+40°02.33</v>
      </c>
      <c r="S75" s="1232"/>
      <c r="T75" s="1232"/>
      <c r="U75" s="1342"/>
      <c r="V75" s="1343" t="str" cm="1">
        <f t="array" ref="V75">angleDecimal2Txt(W31,0)</f>
        <v>+97°35.61</v>
      </c>
      <c r="W75" s="1232"/>
      <c r="X75" s="1232"/>
      <c r="Y75" s="1344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1232" t="s">
        <v>464</v>
      </c>
      <c r="E76" s="1342"/>
      <c r="F76" s="1343" t="str" cm="1">
        <f t="array" ref="F76">angleDecimal2Txt(O19,0)</f>
        <v>+46°01.30</v>
      </c>
      <c r="G76" s="1232"/>
      <c r="H76" s="1232"/>
      <c r="I76" s="1344"/>
      <c r="J76" s="1345" t="str" cm="1">
        <f t="array" ref="J76">angleDecimal2Txt(O20,0)</f>
        <v>+29°13.40</v>
      </c>
      <c r="K76" s="1232"/>
      <c r="L76" s="1232"/>
      <c r="M76" s="1342"/>
      <c r="N76" s="1343" t="str" cm="1">
        <f t="array" ref="N76">angleDecimal2Txt(O21,0)</f>
        <v>+08°55.89</v>
      </c>
      <c r="O76" s="1232"/>
      <c r="P76" s="1232"/>
      <c r="Q76" s="1344"/>
      <c r="R76" s="1345" t="str" cm="1">
        <f t="array" ref="R76">angleDecimal2Txt(O22,0)</f>
        <v>+38°48.29</v>
      </c>
      <c r="S76" s="1232"/>
      <c r="T76" s="1232"/>
      <c r="U76" s="1342"/>
      <c r="V76" s="1343" t="str" cm="1">
        <f t="array" ref="V76">angleDecimal2Txt(O23,0)</f>
        <v>+74°03.50</v>
      </c>
      <c r="W76" s="1232"/>
      <c r="X76" s="1232"/>
      <c r="Y76" s="1344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409" t="s">
        <v>403</v>
      </c>
      <c r="E77" s="1387"/>
      <c r="F77" s="334">
        <f>SIN(O19*Outils!$F$4)</f>
        <v>0.71960243720697437</v>
      </c>
      <c r="G77" s="335">
        <f>SIN($F$10*Outils!$F$4)</f>
        <v>-0.76660508936870064</v>
      </c>
      <c r="H77" s="1410" t="s">
        <v>404</v>
      </c>
      <c r="I77" s="1411"/>
      <c r="J77" s="336">
        <f>SIN(O20*Outils!$F$4)</f>
        <v>0.48821511050891914</v>
      </c>
      <c r="K77" s="335">
        <f>SIN($F$10*Outils!$F$4)</f>
        <v>-0.76660508936870064</v>
      </c>
      <c r="L77" s="1410" t="s">
        <v>404</v>
      </c>
      <c r="M77" s="1414"/>
      <c r="N77" s="334">
        <f>SIN(O21*Outils!$F$4)</f>
        <v>0.15525639580609149</v>
      </c>
      <c r="O77" s="335">
        <f>SIN($F$10*Outils!$F$4)</f>
        <v>-0.76660508936870064</v>
      </c>
      <c r="P77" s="1410" t="s">
        <v>404</v>
      </c>
      <c r="Q77" s="1411"/>
      <c r="R77" s="336">
        <f>SIN(O22*Outils!$F$4)</f>
        <v>0.62667181904581304</v>
      </c>
      <c r="S77" s="335">
        <f>SIN($F$10*Outils!$F$4)</f>
        <v>-0.76660508936870064</v>
      </c>
      <c r="T77" s="1410" t="s">
        <v>404</v>
      </c>
      <c r="U77" s="1414"/>
      <c r="V77" s="334">
        <f>SIN(O23*Outils!$F$4)</f>
        <v>0.96154182649255537</v>
      </c>
      <c r="W77" s="335">
        <f>SIN($F$10*Outils!$F$4)</f>
        <v>-0.76660508936870064</v>
      </c>
      <c r="X77" s="1410" t="s">
        <v>404</v>
      </c>
      <c r="Y77" s="1411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409" t="s">
        <v>402</v>
      </c>
      <c r="E78" s="1387"/>
      <c r="F78" s="334">
        <f>COS(O19*Outils!$F$4)</f>
        <v>0.69438629909135052</v>
      </c>
      <c r="G78" s="335">
        <f>COS($F$10*Outils!$F$4)</f>
        <v>0.64211886512857297</v>
      </c>
      <c r="H78" s="1410" t="s">
        <v>405</v>
      </c>
      <c r="I78" s="1411"/>
      <c r="J78" s="336">
        <f>COS(O20*Outils!$F$4)</f>
        <v>0.87272332721817625</v>
      </c>
      <c r="K78" s="335">
        <f>COS($F$10*Outils!$F$4)</f>
        <v>0.64211886512857297</v>
      </c>
      <c r="L78" s="1410" t="s">
        <v>405</v>
      </c>
      <c r="M78" s="1414"/>
      <c r="N78" s="334">
        <f>COS(O21*Outils!$F$4)</f>
        <v>0.98787420836931572</v>
      </c>
      <c r="O78" s="335">
        <f>COS($F$10*Outils!$F$4)</f>
        <v>0.64211886512857297</v>
      </c>
      <c r="P78" s="1410" t="s">
        <v>405</v>
      </c>
      <c r="Q78" s="1411"/>
      <c r="R78" s="336">
        <f>COS(O22*Outils!$F$4)</f>
        <v>0.77928328046597528</v>
      </c>
      <c r="S78" s="335">
        <f>COS($F$10*Outils!$F$4)</f>
        <v>0.64211886512857297</v>
      </c>
      <c r="T78" s="1410" t="s">
        <v>405</v>
      </c>
      <c r="U78" s="1414"/>
      <c r="V78" s="334">
        <f>COS(O23*Outils!$F$4)</f>
        <v>0.2746585442060025</v>
      </c>
      <c r="W78" s="335">
        <f>COS($F$10*Outils!$F$4)</f>
        <v>0.64211886512857297</v>
      </c>
      <c r="X78" s="1410" t="s">
        <v>405</v>
      </c>
      <c r="Y78" s="1411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377" t="s">
        <v>406</v>
      </c>
      <c r="E79" s="1379"/>
      <c r="F79" s="1380">
        <f>COS(W27*Outils!$F$4)</f>
        <v>-0.5286352266410298</v>
      </c>
      <c r="G79" s="1377"/>
      <c r="H79" s="1377"/>
      <c r="I79" s="1378"/>
      <c r="J79" s="1384">
        <f>COS(W28*Outils!$F$4)</f>
        <v>0.71700902470210126</v>
      </c>
      <c r="K79" s="1377"/>
      <c r="L79" s="1377"/>
      <c r="M79" s="1379"/>
      <c r="N79" s="1380">
        <f>COS(W29*Outils!$F$4)</f>
        <v>0.93394480012307246</v>
      </c>
      <c r="O79" s="1377"/>
      <c r="P79" s="1377"/>
      <c r="Q79" s="1378"/>
      <c r="R79" s="1384">
        <f>COS(W30*Outils!$F$4)</f>
        <v>0.76560723305839973</v>
      </c>
      <c r="S79" s="1377"/>
      <c r="T79" s="1377"/>
      <c r="U79" s="1379"/>
      <c r="V79" s="1380">
        <f>COS(W31*Outils!$F$4)</f>
        <v>-0.13214490069444362</v>
      </c>
      <c r="W79" s="1377"/>
      <c r="X79" s="1377"/>
      <c r="Y79" s="1378"/>
      <c r="Z79" s="143"/>
      <c r="AA79" s="92"/>
      <c r="AC79" s="92"/>
      <c r="AE79" s="83"/>
    </row>
    <row r="80" spans="2:66" customFormat="1" ht="17.25" customHeight="1">
      <c r="B80" s="16"/>
      <c r="C80" s="59"/>
      <c r="D80" s="209"/>
      <c r="I80" s="1413" t="s">
        <v>407</v>
      </c>
      <c r="J80" s="1413"/>
      <c r="K80" s="1413"/>
      <c r="L80" s="1413"/>
      <c r="M80" s="1413"/>
      <c r="N80" s="1413"/>
      <c r="O80" s="1413"/>
      <c r="P80" s="1413"/>
      <c r="Q80" s="1413"/>
      <c r="R80" s="1413"/>
      <c r="S80" s="1413"/>
      <c r="T80" s="1413"/>
      <c r="Z80" s="143"/>
      <c r="AA80" s="92"/>
      <c r="AC80" s="92"/>
      <c r="AE80" s="83"/>
    </row>
    <row r="81" spans="2:55" customFormat="1" ht="17.25" customHeight="1">
      <c r="B81" s="16"/>
      <c r="C81" s="59"/>
      <c r="D81" s="1377" t="s">
        <v>414</v>
      </c>
      <c r="E81" s="1379"/>
      <c r="F81" s="1380">
        <f>F77*G77+F78*G78*F79</f>
        <v>-0.78735799496575931</v>
      </c>
      <c r="G81" s="1377"/>
      <c r="H81" s="1377"/>
      <c r="I81" s="1378"/>
      <c r="J81" s="1384">
        <f>J77*K77+J78*K78*J79</f>
        <v>2.7538013571789588E-2</v>
      </c>
      <c r="K81" s="1377"/>
      <c r="L81" s="1377"/>
      <c r="M81" s="1379"/>
      <c r="N81" s="1380">
        <f>N77*O77+N78*O78*N79</f>
        <v>0.47341135137334994</v>
      </c>
      <c r="O81" s="1377"/>
      <c r="P81" s="1377"/>
      <c r="Q81" s="1378"/>
      <c r="R81" s="1384">
        <f>R77*S77+R78*S78*R79</f>
        <v>-9.7305691794058013E-2</v>
      </c>
      <c r="S81" s="1377"/>
      <c r="T81" s="1377"/>
      <c r="U81" s="1379"/>
      <c r="V81" s="1380">
        <f>V77*W77+V78*W78*V79</f>
        <v>-0.76042838613079422</v>
      </c>
      <c r="W81" s="1377"/>
      <c r="X81" s="1377"/>
      <c r="Y81" s="1378"/>
      <c r="Z81" s="143"/>
      <c r="AA81" s="92"/>
      <c r="AC81" s="92"/>
      <c r="AE81" s="83"/>
    </row>
    <row r="82" spans="2:55" customFormat="1" ht="17.25" customHeight="1">
      <c r="B82" s="16"/>
      <c r="C82" s="59"/>
      <c r="D82" s="1382" t="s">
        <v>408</v>
      </c>
      <c r="E82" s="1402"/>
      <c r="F82" s="1381" t="str" cm="1">
        <f t="array" ref="F82">angleDecimal2Txt(Outils!$F$5*ASIN(F81))</f>
        <v>-51°56.35 (-51.9392) [-51°56'21.45]</v>
      </c>
      <c r="G82" s="1382"/>
      <c r="H82" s="1382"/>
      <c r="I82" s="1383"/>
      <c r="J82" s="1401" t="str" cm="1">
        <f t="array" ref="J82">angleDecimal2Txt(Outils!$F$5*ASIN(J81))</f>
        <v>+01°34.68 (+01.5780) [+01°34'40.84]</v>
      </c>
      <c r="K82" s="1382"/>
      <c r="L82" s="1382"/>
      <c r="M82" s="1402"/>
      <c r="N82" s="1381" t="str" cm="1">
        <f t="array" ref="N82">angleDecimal2Txt(Outils!$F$5*ASIN(N81))</f>
        <v>+28°15.35 (+28.2559) [+28°15'21.46]</v>
      </c>
      <c r="O82" s="1382"/>
      <c r="P82" s="1382"/>
      <c r="Q82" s="1383"/>
      <c r="R82" s="1401" t="str" cm="1">
        <f t="array" ref="R82">angleDecimal2Txt(Outils!$F$5*ASIN(R81))</f>
        <v>-05°35.04 (-05.5840) [-05°35'02.54]</v>
      </c>
      <c r="S82" s="1382"/>
      <c r="T82" s="1382"/>
      <c r="U82" s="1402"/>
      <c r="V82" s="1381" t="str" cm="1">
        <f t="array" ref="V82">angleDecimal2Txt(Outils!$F$5*ASIN(V81))</f>
        <v>-49°30.11 (-49.5019) [-49°30'07.12]</v>
      </c>
      <c r="W82" s="1382"/>
      <c r="X82" s="1382"/>
      <c r="Y82" s="1383"/>
      <c r="Z82" s="143"/>
      <c r="AA82" s="148"/>
      <c r="AE82" s="83"/>
    </row>
    <row r="83" spans="2:55" customFormat="1" ht="17.25" customHeight="1">
      <c r="B83" s="16"/>
      <c r="C83" s="59"/>
      <c r="D83" s="1302" t="s">
        <v>640</v>
      </c>
      <c r="E83" s="1406"/>
      <c r="F83" s="1381" t="str" cm="1">
        <f t="array" ref="F83">angleDecimal2Txt((M27-X27),0)</f>
        <v>+70°28.32</v>
      </c>
      <c r="G83" s="1382"/>
      <c r="H83" s="1382"/>
      <c r="I83" s="1383"/>
      <c r="J83" s="1401" t="str" cm="1">
        <f t="array" ref="J83">angleDecimal2Txt((M28-X28),0)</f>
        <v>+49°20.39</v>
      </c>
      <c r="K83" s="1382"/>
      <c r="L83" s="1382"/>
      <c r="M83" s="1402"/>
      <c r="N83" s="1381" t="str" cm="1">
        <f t="array" ref="N83">angleDecimal2Txt((M29-X29),0)</f>
        <v>+16°56.94</v>
      </c>
      <c r="O83" s="1382"/>
      <c r="P83" s="1382"/>
      <c r="Q83" s="1383"/>
      <c r="R83" s="1401" t="str" cm="1">
        <f t="array" ref="R83">angleDecimal2Txt((M30-X30),0)</f>
        <v>+65°12.04</v>
      </c>
      <c r="S83" s="1382"/>
      <c r="T83" s="1382"/>
      <c r="U83" s="1402"/>
      <c r="V83" s="1381" t="str" cm="1">
        <f t="array" ref="V83">angleDecimal2Txt((M31-X31),0)</f>
        <v>+95°05.84</v>
      </c>
      <c r="W83" s="1382"/>
      <c r="X83" s="1382"/>
      <c r="Y83" s="1383"/>
      <c r="Z83" s="143"/>
      <c r="AA83" s="148"/>
      <c r="AE83" s="83"/>
    </row>
    <row r="84" spans="2:55" customFormat="1" ht="17.25" customHeight="1">
      <c r="B84" s="16"/>
      <c r="C84" s="59"/>
      <c r="D84" s="1304"/>
      <c r="E84" s="1407"/>
      <c r="F84" s="1385" t="str">
        <f>CONCATENATE(TEXT(Z27,"0.00"),"  Mn")</f>
        <v>4228.33  Mn</v>
      </c>
      <c r="G84" s="1297"/>
      <c r="H84" s="1297"/>
      <c r="I84" s="1386"/>
      <c r="J84" s="1403" t="str">
        <f>CONCATENATE(TEXT(Z28,"0.00"),"  Mn")</f>
        <v>2960.40  Mn</v>
      </c>
      <c r="K84" s="1297"/>
      <c r="L84" s="1297"/>
      <c r="M84" s="1396"/>
      <c r="N84" s="1385" t="str">
        <f>CONCATENATE(TEXT(Z29,"0.00"),"  Mn")</f>
        <v>1016.94  Mn</v>
      </c>
      <c r="O84" s="1297"/>
      <c r="P84" s="1297"/>
      <c r="Q84" s="1386"/>
      <c r="R84" s="1403" t="str">
        <f>CONCATENATE(TEXT(Z30,"0.00"),"  Mn")</f>
        <v>3912.05  Mn</v>
      </c>
      <c r="S84" s="1297"/>
      <c r="T84" s="1297"/>
      <c r="U84" s="1396"/>
      <c r="V84" s="1385" t="str">
        <f>CONCATENATE(TEXT(Z31,"0.00"),"  Mn")</f>
        <v>5705.84  Mn</v>
      </c>
      <c r="W84" s="1297"/>
      <c r="X84" s="1297"/>
      <c r="Y84" s="1386"/>
      <c r="Z84" s="143"/>
      <c r="AA84" s="148"/>
      <c r="AE84" s="83"/>
    </row>
    <row r="85" spans="2:55" customFormat="1" ht="17.25" customHeight="1">
      <c r="B85" s="16"/>
      <c r="C85" s="59"/>
      <c r="D85" s="1306"/>
      <c r="E85" s="1408"/>
      <c r="F85" s="1385" t="str">
        <f>AA27</f>
        <v>Vers Pg</v>
      </c>
      <c r="G85" s="1297"/>
      <c r="H85" s="1297"/>
      <c r="I85" s="1386"/>
      <c r="J85" s="1403" t="str">
        <f>AA28</f>
        <v>Vers Pg</v>
      </c>
      <c r="K85" s="1297"/>
      <c r="L85" s="1297"/>
      <c r="M85" s="1396"/>
      <c r="N85" s="1385" t="str">
        <f>AA29</f>
        <v>Vers Pg</v>
      </c>
      <c r="O85" s="1297"/>
      <c r="P85" s="1297"/>
      <c r="Q85" s="1386"/>
      <c r="R85" s="1403" t="str">
        <f>AA30</f>
        <v>Vers Pg</v>
      </c>
      <c r="S85" s="1297"/>
      <c r="T85" s="1297"/>
      <c r="U85" s="1396"/>
      <c r="V85" s="1385" t="str">
        <f>AA31</f>
        <v>Vers Pg</v>
      </c>
      <c r="W85" s="1297"/>
      <c r="X85" s="1297"/>
      <c r="Y85" s="1386"/>
      <c r="Z85" s="143"/>
      <c r="AA85" s="148"/>
      <c r="AE85" s="83"/>
    </row>
    <row r="86" spans="2:55" ht="17.25" customHeight="1">
      <c r="D86" s="1397" t="s">
        <v>350</v>
      </c>
      <c r="E86" s="1398"/>
      <c r="F86" s="1391" t="str" cm="1">
        <f t="array" ref="F86">latitudeDecimal2Txt(O19,0)</f>
        <v>N 46°01.30</v>
      </c>
      <c r="G86" s="1392"/>
      <c r="H86" s="1392"/>
      <c r="I86" s="1393"/>
      <c r="J86" s="1404" t="str" cm="1">
        <f t="array" ref="J86">latitudeDecimal2Txt(O20,0)</f>
        <v>N 29°13.40</v>
      </c>
      <c r="K86" s="1392"/>
      <c r="L86" s="1392"/>
      <c r="M86" s="1405"/>
      <c r="N86" s="1391" t="str" cm="1">
        <f t="array" ref="N86">latitudeDecimal2Txt(O21,0)</f>
        <v>N 08°55.89</v>
      </c>
      <c r="O86" s="1392"/>
      <c r="P86" s="1392"/>
      <c r="Q86" s="1393"/>
      <c r="R86" s="1404" t="str" cm="1">
        <f t="array" ref="R86">latitudeDecimal2Txt(O22,0)</f>
        <v>N 38°48.29</v>
      </c>
      <c r="S86" s="1392"/>
      <c r="T86" s="1392"/>
      <c r="U86" s="1405"/>
      <c r="V86" s="1391" t="str" cm="1">
        <f t="array" ref="V86">latitudeDecimal2Txt(O23,0)</f>
        <v>N 74°03.50</v>
      </c>
      <c r="W86" s="1392"/>
      <c r="X86" s="1392"/>
      <c r="Y86" s="1393"/>
    </row>
    <row r="87" spans="2:55" ht="17.25" customHeight="1">
      <c r="D87" s="1399"/>
      <c r="E87" s="1400"/>
      <c r="F87" s="1394" t="str" cm="1">
        <f t="array" ref="F87">longitudeDecimal2Txt(longitudeHoraire2longitude(V27),0)</f>
        <v>E 112°52.79</v>
      </c>
      <c r="G87" s="1389"/>
      <c r="H87" s="1389"/>
      <c r="I87" s="1395"/>
      <c r="J87" s="1388" t="str" cm="1">
        <f t="array" ref="J87">longitudeDecimal2Txt(longitudeHoraire2longitude(V28),0)</f>
        <v>E 35°09.51</v>
      </c>
      <c r="K87" s="1389"/>
      <c r="L87" s="1389"/>
      <c r="M87" s="1390"/>
      <c r="N87" s="1394" t="str" cm="1">
        <f t="array" ref="N87">longitudeDecimal2Txt(longitudeHoraire2longitude(V29),0)</f>
        <v>W 29°58.49</v>
      </c>
      <c r="O87" s="1389"/>
      <c r="P87" s="1389"/>
      <c r="Q87" s="1395"/>
      <c r="R87" s="1388" t="str" cm="1">
        <f t="array" ref="R87">longitudeDecimal2Txt(longitudeHoraire2longitude(V30),0)</f>
        <v>W 49°04.33</v>
      </c>
      <c r="S87" s="1389"/>
      <c r="T87" s="1389"/>
      <c r="U87" s="1390"/>
      <c r="V87" s="1394" t="str" cm="1">
        <f t="array" ref="V87">longitudeDecimal2Txt(longitudeHoraire2longitude(V31),0)</f>
        <v>W 106°37.61</v>
      </c>
      <c r="W87" s="1389"/>
      <c r="X87" s="1389"/>
      <c r="Y87" s="1395"/>
    </row>
    <row r="88" spans="2:55" ht="17.25" customHeight="1">
      <c r="D88" s="209"/>
      <c r="E88"/>
      <c r="F88"/>
      <c r="G88"/>
      <c r="H88"/>
      <c r="I88" s="1412" t="s">
        <v>515</v>
      </c>
      <c r="J88" s="1412"/>
      <c r="K88" s="1412"/>
      <c r="L88" s="1412"/>
      <c r="M88" s="1412"/>
      <c r="N88" s="1412"/>
      <c r="O88" s="1412"/>
      <c r="P88" s="1412"/>
      <c r="Q88" s="1412"/>
      <c r="R88" s="1412"/>
      <c r="S88" s="1412"/>
      <c r="T88" s="1412"/>
      <c r="U88"/>
      <c r="V88"/>
      <c r="W88"/>
      <c r="X88"/>
      <c r="Y88"/>
    </row>
    <row r="89" spans="2:55" ht="17.25" customHeight="1">
      <c r="D89" s="1377" t="s">
        <v>409</v>
      </c>
      <c r="E89" s="1379"/>
      <c r="F89" s="1380">
        <f>(F77-G77*SIN(X27*Outils!$F$4))/(G78*COS(X27*Outils!$F$4))</f>
        <v>0.29305484939891085</v>
      </c>
      <c r="G89" s="1377"/>
      <c r="H89" s="1377"/>
      <c r="I89" s="1378"/>
      <c r="J89" s="1384">
        <f>(J77-K77*SIN(X28*Outils!$F$4))/(K78*COS(X28*Outils!$F$4))</f>
        <v>0.79349657999430601</v>
      </c>
      <c r="K89" s="1377"/>
      <c r="L89" s="1377"/>
      <c r="M89" s="1379"/>
      <c r="N89" s="1380">
        <f>(N77-O77*SIN(X29*Outils!$F$4))/(O78*COS(X29*Outils!$F$4))</f>
        <v>0.91614468885238054</v>
      </c>
      <c r="O89" s="1377"/>
      <c r="P89" s="1377"/>
      <c r="Q89" s="1378"/>
      <c r="R89" s="1384">
        <f>(R77-S77*SIN(X30*Outils!$F$4))/(S78*COS(X30*Outils!$F$4))</f>
        <v>0.8638729677317839</v>
      </c>
      <c r="S89" s="1377"/>
      <c r="T89" s="1377"/>
      <c r="U89" s="1379"/>
      <c r="V89" s="1380">
        <f>(V77-W77*SIN(X31*Outils!$F$4))/(W78*COS(X31*Outils!$F$4))</f>
        <v>0.90788518034657406</v>
      </c>
      <c r="W89" s="1377"/>
      <c r="X89" s="1377"/>
      <c r="Y89" s="1378"/>
    </row>
    <row r="90" spans="2:55" ht="17.25" customHeight="1">
      <c r="C90" s="16"/>
      <c r="D90" s="1377" t="s">
        <v>92</v>
      </c>
      <c r="E90" s="1379"/>
      <c r="F90" s="1380" t="str" cm="1">
        <f t="array" ref="F90">angleDecimal2Txt(Outils!$F$5*ACOS(F89),0)</f>
        <v>+72°57.54</v>
      </c>
      <c r="G90" s="1377"/>
      <c r="H90" s="1377"/>
      <c r="I90" s="1378"/>
      <c r="J90" s="1380" t="str" cm="1">
        <f t="array" ref="J90">angleDecimal2Txt(Outils!$F$5*ACOS(J89),0)</f>
        <v>+37°29.19</v>
      </c>
      <c r="K90" s="1377"/>
      <c r="L90" s="1377"/>
      <c r="M90" s="1378"/>
      <c r="N90" s="1380" t="str" cm="1">
        <f t="array" ref="N90">angleDecimal2Txt(Outils!$F$5*ACOS(N89),0)</f>
        <v>+23°37.87</v>
      </c>
      <c r="O90" s="1377"/>
      <c r="P90" s="1377"/>
      <c r="Q90" s="1378"/>
      <c r="R90" s="1380" t="str" cm="1">
        <f t="array" ref="R90">angleDecimal2Txt(Outils!$F$5*ACOS(R89),0)</f>
        <v>+30°14.74</v>
      </c>
      <c r="S90" s="1377"/>
      <c r="T90" s="1377"/>
      <c r="U90" s="1378"/>
      <c r="V90" s="1380" t="str" cm="1">
        <f t="array" ref="V90">angleDecimal2Txt(Outils!$F$5*ACOS(V89),0)</f>
        <v>+24°47.11</v>
      </c>
      <c r="W90" s="1377"/>
      <c r="X90" s="1377"/>
      <c r="Y90" s="1378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09"/>
      <c r="E91" s="146"/>
      <c r="F91" s="59"/>
      <c r="G91" s="16"/>
      <c r="I91" s="1428" t="s">
        <v>143</v>
      </c>
      <c r="J91" s="1429"/>
      <c r="K91" s="1429"/>
      <c r="L91" s="1429"/>
      <c r="M91" s="1429"/>
      <c r="N91" s="1430"/>
      <c r="O91" s="1428" t="s">
        <v>144</v>
      </c>
      <c r="P91" s="1429"/>
      <c r="Q91" s="1429"/>
      <c r="R91" s="1429"/>
      <c r="S91" s="1429"/>
      <c r="T91" s="1430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09"/>
      <c r="E92" s="146"/>
      <c r="F92" s="59"/>
      <c r="G92" s="16"/>
      <c r="I92" s="376"/>
      <c r="J92" s="1415" t="s">
        <v>117</v>
      </c>
      <c r="K92" s="1415"/>
      <c r="L92" s="377"/>
      <c r="M92" s="1415" t="s">
        <v>118</v>
      </c>
      <c r="N92" s="1416"/>
      <c r="O92" s="376"/>
      <c r="P92" s="1415" t="s">
        <v>117</v>
      </c>
      <c r="Q92" s="1415"/>
      <c r="R92" s="377"/>
      <c r="S92" s="1415" t="s">
        <v>119</v>
      </c>
      <c r="T92" s="1416"/>
      <c r="V92" s="143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09"/>
      <c r="E93" s="146"/>
      <c r="F93" s="59"/>
      <c r="G93" s="16"/>
      <c r="I93" s="378"/>
      <c r="J93" s="1417" t="s">
        <v>87</v>
      </c>
      <c r="K93" s="1417"/>
      <c r="L93" s="379"/>
      <c r="M93" s="1417" t="s">
        <v>88</v>
      </c>
      <c r="N93" s="1418"/>
      <c r="O93" s="378"/>
      <c r="P93" s="1417" t="s">
        <v>87</v>
      </c>
      <c r="Q93" s="1417"/>
      <c r="R93" s="379"/>
      <c r="S93" s="1417" t="s">
        <v>89</v>
      </c>
      <c r="T93" s="1418"/>
      <c r="V93" s="143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377" t="s">
        <v>412</v>
      </c>
      <c r="E94" s="1379"/>
      <c r="F94" s="1425" t="str">
        <f>IF($F$10&gt;0,"Nord","Sud")</f>
        <v>Sud</v>
      </c>
      <c r="G94" s="1426"/>
      <c r="H94" s="1426"/>
      <c r="I94" s="1426"/>
      <c r="J94" s="1426"/>
      <c r="K94" s="1426"/>
      <c r="L94" s="1426"/>
      <c r="M94" s="1426"/>
      <c r="N94" s="1426"/>
      <c r="O94" s="1426"/>
      <c r="P94" s="1426"/>
      <c r="Q94" s="1426"/>
      <c r="R94" s="1426"/>
      <c r="S94" s="1426"/>
      <c r="T94" s="1426"/>
      <c r="U94" s="1426"/>
      <c r="V94" s="1426"/>
      <c r="W94" s="1426"/>
      <c r="X94" s="1426"/>
      <c r="Y94" s="1427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377" t="s">
        <v>411</v>
      </c>
      <c r="E95" s="1379"/>
      <c r="F95" s="1380" t="b">
        <f>(W27&gt;180)</f>
        <v>1</v>
      </c>
      <c r="G95" s="1377"/>
      <c r="H95" s="1377"/>
      <c r="I95" s="1378"/>
      <c r="J95" s="1384" t="b">
        <f>(W28&gt;180)</f>
        <v>1</v>
      </c>
      <c r="K95" s="1377"/>
      <c r="L95" s="1377"/>
      <c r="M95" s="1379"/>
      <c r="N95" s="1380" t="b">
        <f>(W29&gt;180)</f>
        <v>0</v>
      </c>
      <c r="O95" s="1377"/>
      <c r="P95" s="1377"/>
      <c r="Q95" s="1378"/>
      <c r="R95" s="1384" t="b">
        <f>(W30&gt;180)</f>
        <v>0</v>
      </c>
      <c r="S95" s="1377"/>
      <c r="T95" s="1377"/>
      <c r="U95" s="1379"/>
      <c r="V95" s="1380" t="b">
        <f>(W31&gt;180)</f>
        <v>0</v>
      </c>
      <c r="W95" s="1377"/>
      <c r="X95" s="1377"/>
      <c r="Y95" s="1378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1297" t="s">
        <v>410</v>
      </c>
      <c r="E96" s="1396"/>
      <c r="F96" s="1385" t="str" cm="1">
        <f t="array" ref="F96">angleDecimal2Txt(AC27,0)</f>
        <v>+72°57.54</v>
      </c>
      <c r="G96" s="1297"/>
      <c r="H96" s="1297"/>
      <c r="I96" s="1386"/>
      <c r="J96" s="1403" t="str" cm="1">
        <f t="array" ref="J96">angleDecimal2Txt(AC28,0)</f>
        <v>+37°29.19</v>
      </c>
      <c r="K96" s="1297"/>
      <c r="L96" s="1297"/>
      <c r="M96" s="1396"/>
      <c r="N96" s="1385" t="str" cm="1">
        <f t="array" ref="N96">angleDecimal2Txt(AC29,0)</f>
        <v>+336°22.12</v>
      </c>
      <c r="O96" s="1297"/>
      <c r="P96" s="1297"/>
      <c r="Q96" s="1386"/>
      <c r="R96" s="1403" t="str" cm="1">
        <f t="array" ref="R96">angleDecimal2Txt(AC30,0)</f>
        <v>+329°45.25</v>
      </c>
      <c r="S96" s="1297"/>
      <c r="T96" s="1297"/>
      <c r="U96" s="1396"/>
      <c r="V96" s="1385" t="str" cm="1">
        <f t="array" ref="V96">angleDecimal2Txt(AC31,0)</f>
        <v>+335°12.88</v>
      </c>
      <c r="W96" s="1297"/>
      <c r="X96" s="1297"/>
      <c r="Y96" s="1386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327"/>
      <c r="D99" s="1327"/>
      <c r="E99" s="1327"/>
      <c r="F99" s="1327"/>
      <c r="G99" s="1327"/>
      <c r="H99" s="1327"/>
      <c r="I99" s="1327"/>
      <c r="J99" s="1327"/>
      <c r="K99" s="1327"/>
      <c r="L99" s="1327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40" zoomScaleNormal="100" workbookViewId="0">
      <selection activeCell="T159" sqref="T159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1192" t="s">
        <v>132</v>
      </c>
      <c r="D1" s="1192"/>
      <c r="E1" s="1192"/>
      <c r="F1" s="1192"/>
      <c r="G1" s="1193" t="s">
        <v>133</v>
      </c>
      <c r="H1" s="1193"/>
      <c r="I1" s="1193"/>
      <c r="J1" s="1193"/>
      <c r="K1" s="1193"/>
      <c r="L1" s="1193"/>
      <c r="M1" s="1193"/>
      <c r="N1" s="1193"/>
      <c r="O1" s="1193"/>
      <c r="P1" s="1193"/>
      <c r="Q1" s="1193"/>
      <c r="R1" s="1193"/>
      <c r="S1" s="1193"/>
      <c r="T1" s="1193"/>
      <c r="U1" s="1193"/>
      <c r="V1" s="1193"/>
      <c r="W1" s="1193"/>
      <c r="X1" s="1193"/>
      <c r="Y1" s="1193"/>
      <c r="Z1" s="16"/>
      <c r="AA1" s="16"/>
      <c r="AB1" s="61"/>
      <c r="BN1" s="24"/>
    </row>
    <row r="2" spans="2:66" customFormat="1" ht="9" customHeight="1">
      <c r="B2" s="16"/>
      <c r="C2" s="1192"/>
      <c r="D2" s="1192"/>
      <c r="E2" s="1192"/>
      <c r="F2" s="1192"/>
      <c r="G2" s="1193"/>
      <c r="H2" s="1193"/>
      <c r="I2" s="1193"/>
      <c r="J2" s="1193"/>
      <c r="K2" s="1193"/>
      <c r="L2" s="1193"/>
      <c r="M2" s="1193"/>
      <c r="N2" s="1193"/>
      <c r="O2" s="1193"/>
      <c r="P2" s="1193"/>
      <c r="Q2" s="1193"/>
      <c r="R2" s="1193"/>
      <c r="S2" s="1193"/>
      <c r="T2" s="1193"/>
      <c r="U2" s="1193"/>
      <c r="V2" s="1193"/>
      <c r="W2" s="1193"/>
      <c r="X2" s="1193"/>
      <c r="Y2" s="1193"/>
      <c r="Z2" s="16"/>
      <c r="AA2" s="16"/>
      <c r="AB2" s="61"/>
      <c r="BN2" s="24"/>
    </row>
    <row r="3" spans="2:66" customFormat="1" ht="9" customHeight="1">
      <c r="B3" s="16"/>
      <c r="C3" s="1192"/>
      <c r="D3" s="1192"/>
      <c r="E3" s="1192"/>
      <c r="F3" s="1192"/>
      <c r="G3" s="602" t="s">
        <v>137</v>
      </c>
      <c r="H3" s="602"/>
      <c r="I3" s="602"/>
      <c r="J3" s="1464" t="s">
        <v>136</v>
      </c>
      <c r="K3" s="1464"/>
      <c r="L3" s="1464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1192"/>
      <c r="D4" s="1192"/>
      <c r="E4" s="1192"/>
      <c r="F4" s="1192"/>
      <c r="G4" s="485"/>
      <c r="H4" s="485"/>
      <c r="I4" s="485"/>
      <c r="J4" s="478"/>
      <c r="K4" s="478"/>
      <c r="L4" s="478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94" t="s">
        <v>1</v>
      </c>
      <c r="D8" s="595"/>
      <c r="E8" s="585" t="s">
        <v>450</v>
      </c>
      <c r="F8" s="586"/>
      <c r="G8" s="586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596" t="s">
        <v>11</v>
      </c>
      <c r="D9" s="597"/>
      <c r="E9" s="596" t="s">
        <v>2</v>
      </c>
      <c r="F9" s="608"/>
      <c r="G9" s="608"/>
      <c r="H9" s="597"/>
      <c r="I9" s="582" t="s">
        <v>123</v>
      </c>
      <c r="J9" s="582"/>
      <c r="K9" s="582"/>
      <c r="L9" s="582" t="s">
        <v>124</v>
      </c>
      <c r="M9" s="582"/>
      <c r="N9" s="582"/>
      <c r="O9" s="582"/>
      <c r="P9" s="582"/>
      <c r="Q9" s="582" t="s">
        <v>125</v>
      </c>
      <c r="R9" s="582"/>
      <c r="S9" s="582"/>
      <c r="T9" s="582"/>
      <c r="U9" s="582"/>
      <c r="V9" s="688" t="s">
        <v>122</v>
      </c>
      <c r="W9" s="689"/>
      <c r="X9" s="689"/>
      <c r="Y9" s="690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98"/>
      <c r="D10" s="599"/>
      <c r="E10" s="600"/>
      <c r="F10" s="609"/>
      <c r="G10" s="609"/>
      <c r="H10" s="601"/>
      <c r="I10" s="582"/>
      <c r="J10" s="582"/>
      <c r="K10" s="582"/>
      <c r="L10" s="582"/>
      <c r="M10" s="582"/>
      <c r="N10" s="582"/>
      <c r="O10" s="582"/>
      <c r="P10" s="582"/>
      <c r="Q10" s="582"/>
      <c r="R10" s="582"/>
      <c r="S10" s="582"/>
      <c r="T10" s="582"/>
      <c r="U10" s="582"/>
      <c r="V10" s="691"/>
      <c r="W10" s="692"/>
      <c r="X10" s="692"/>
      <c r="Y10" s="693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600"/>
      <c r="D11" s="601"/>
      <c r="E11" s="700">
        <f>AD8+AD9+AD10+AD11</f>
        <v>18.808333333333334</v>
      </c>
      <c r="F11" s="701"/>
      <c r="G11" s="701"/>
      <c r="H11" s="702"/>
      <c r="I11" s="512" t="s">
        <v>451</v>
      </c>
      <c r="J11" s="512"/>
      <c r="K11" s="512"/>
      <c r="L11" s="686">
        <v>0</v>
      </c>
      <c r="M11" s="686"/>
      <c r="N11" s="686"/>
      <c r="O11" s="686"/>
      <c r="P11" s="686"/>
      <c r="Q11" s="686">
        <v>0</v>
      </c>
      <c r="R11" s="686"/>
      <c r="S11" s="686"/>
      <c r="T11" s="686"/>
      <c r="U11" s="687"/>
      <c r="V11" s="685" t="s">
        <v>121</v>
      </c>
      <c r="W11" s="685"/>
      <c r="X11" s="685"/>
      <c r="Y11" s="685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94" t="str" cm="1">
        <f t="array" ref="E12">heureDecimal2Txt(E11)</f>
        <v>18:48:30.00(18.8083)</v>
      </c>
      <c r="F12" s="695"/>
      <c r="G12" s="695"/>
      <c r="H12" s="696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624" t="s">
        <v>19</v>
      </c>
      <c r="D15" s="624"/>
      <c r="E15" s="624"/>
      <c r="F15" s="624"/>
      <c r="G15" s="624"/>
      <c r="H15" s="624"/>
      <c r="I15" s="624"/>
      <c r="J15" s="671">
        <f>M15</f>
        <v>5.28</v>
      </c>
      <c r="K15" s="672"/>
      <c r="L15" s="673"/>
      <c r="M15" s="584">
        <f>16*0.33</f>
        <v>5.28</v>
      </c>
      <c r="N15" s="584"/>
      <c r="O15" s="58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456" t="s">
        <v>20</v>
      </c>
      <c r="D16" s="1457"/>
      <c r="E16" s="1457"/>
      <c r="F16" s="1457"/>
      <c r="G16" s="1457"/>
      <c r="H16" s="1457"/>
      <c r="I16" s="1458"/>
      <c r="J16" s="496" cm="1">
        <f t="array" ref="J16">angleConvert2Decimal(M16)</f>
        <v>0</v>
      </c>
      <c r="K16" s="497"/>
      <c r="L16" s="497"/>
      <c r="M16" s="583" t="s">
        <v>454</v>
      </c>
      <c r="N16" s="584"/>
      <c r="O16" s="584"/>
      <c r="P16" s="472" t="str" cm="1">
        <f t="array" ref="P16">angleDecimal2Txt(J16)</f>
        <v>+00°00.00 (+00.0000) [+00°00'00.00]</v>
      </c>
      <c r="Q16" s="472"/>
      <c r="R16" s="472"/>
      <c r="S16" s="472"/>
      <c r="T16" s="472"/>
      <c r="U16" s="472"/>
      <c r="V16" s="472"/>
      <c r="W16" s="472"/>
      <c r="X16" s="472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548" t="s">
        <v>26</v>
      </c>
      <c r="D17" s="548"/>
      <c r="E17" s="548"/>
      <c r="F17" s="548"/>
      <c r="G17" s="548"/>
      <c r="H17" s="548"/>
      <c r="I17" s="548"/>
      <c r="J17" s="1459" cm="1">
        <f t="array" ref="J17">angleConvert2Decimal(M17)</f>
        <v>28.916666666666668</v>
      </c>
      <c r="K17" s="1460"/>
      <c r="L17" s="1460"/>
      <c r="M17" s="1461" t="s">
        <v>453</v>
      </c>
      <c r="N17" s="1462"/>
      <c r="O17" s="1463"/>
      <c r="P17" s="472" t="str" cm="1">
        <f t="array" ref="P17">angleDecimal2Txt(J17)</f>
        <v>+28°55.00 (+28.9166) [+28°55'00.00]</v>
      </c>
      <c r="Q17" s="472"/>
      <c r="R17" s="472"/>
      <c r="S17" s="472"/>
      <c r="T17" s="472"/>
      <c r="U17" s="472"/>
      <c r="V17" s="472"/>
      <c r="W17" s="472"/>
      <c r="X17" s="472"/>
      <c r="Y17" s="14"/>
      <c r="Z17" s="16"/>
      <c r="AA17" s="16"/>
      <c r="AB17" s="61"/>
      <c r="BN17" s="24"/>
    </row>
    <row r="18" spans="1:66" customFormat="1" ht="18" customHeight="1" thickTop="1">
      <c r="B18" s="16"/>
      <c r="C18" s="624" t="s">
        <v>30</v>
      </c>
      <c r="D18" s="624"/>
      <c r="E18" s="624"/>
      <c r="F18" s="624"/>
      <c r="G18" s="624"/>
      <c r="H18" s="624"/>
      <c r="I18" s="624"/>
      <c r="J18" s="519" t="str">
        <f>M18</f>
        <v>Polaire</v>
      </c>
      <c r="K18" s="520"/>
      <c r="L18" s="521"/>
      <c r="M18" s="1258" t="s">
        <v>153</v>
      </c>
      <c r="N18" s="1259"/>
      <c r="O18" s="1260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647" t="s">
        <v>7</v>
      </c>
      <c r="F22" s="647"/>
      <c r="G22" s="647"/>
      <c r="H22" s="647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647"/>
      <c r="F23" s="647"/>
      <c r="G23" s="647"/>
      <c r="H23" s="647"/>
      <c r="I23" s="14"/>
      <c r="J23" s="14" t="s">
        <v>129</v>
      </c>
      <c r="K23" s="14"/>
      <c r="L23" s="14" t="s">
        <v>130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/>
      <c r="B24"/>
      <c r="C24"/>
      <c r="D24" s="14"/>
      <c r="E24" s="14"/>
      <c r="F24" s="629">
        <f>AD25</f>
        <v>29.083333333333332</v>
      </c>
      <c r="G24" s="630"/>
      <c r="H24" s="630"/>
      <c r="I24" s="511" t="s">
        <v>3</v>
      </c>
      <c r="J24" s="614" t="s">
        <v>196</v>
      </c>
      <c r="K24" s="511"/>
      <c r="L24" s="511"/>
      <c r="M24" s="511"/>
      <c r="N24" s="511"/>
      <c r="O24" s="549" t="str" cm="1">
        <f t="array" ref="O24">angleDecimal2Txt(F24)</f>
        <v>+29°05.00 (+29.0833) [+29°05'00.00]</v>
      </c>
      <c r="P24" s="549"/>
      <c r="Q24" s="549"/>
      <c r="R24" s="549"/>
      <c r="S24" s="549"/>
      <c r="T24" s="549"/>
      <c r="U24" s="549"/>
      <c r="V24" s="549"/>
      <c r="W24" s="549"/>
      <c r="X24" s="549"/>
      <c r="Y24" s="14"/>
      <c r="Z24" s="14"/>
      <c r="AB24" s="61"/>
      <c r="AC24" s="3" t="s">
        <v>168</v>
      </c>
      <c r="AD24" s="3">
        <f>VLOOKUP(I24,Outils!$C$9:$E$10,3)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/>
      <c r="B25"/>
      <c r="C25"/>
      <c r="D25" s="14"/>
      <c r="E25" s="14"/>
      <c r="F25" s="630"/>
      <c r="G25" s="630"/>
      <c r="H25" s="630"/>
      <c r="I25" s="511"/>
      <c r="J25" s="511"/>
      <c r="K25" s="511"/>
      <c r="L25" s="511"/>
      <c r="M25" s="511"/>
      <c r="N25" s="511"/>
      <c r="O25" s="549"/>
      <c r="P25" s="549"/>
      <c r="Q25" s="549"/>
      <c r="R25" s="549"/>
      <c r="S25" s="549"/>
      <c r="T25" s="549"/>
      <c r="U25" s="549"/>
      <c r="V25" s="549"/>
      <c r="W25" s="549"/>
      <c r="X25" s="549"/>
      <c r="Y25" s="14"/>
      <c r="Z25" s="14"/>
      <c r="AB25" s="61"/>
      <c r="AC25" s="3" t="s">
        <v>169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>
      <c r="A27"/>
      <c r="B27"/>
      <c r="C27"/>
      <c r="D27" s="14"/>
      <c r="E27" s="763" t="s">
        <v>8</v>
      </c>
      <c r="F27" s="763"/>
      <c r="G27" s="763"/>
      <c r="H27" s="763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763"/>
      <c r="F28" s="763"/>
      <c r="G28" s="763"/>
      <c r="H28" s="763"/>
      <c r="I28" s="14"/>
      <c r="J28" s="14" t="s">
        <v>129</v>
      </c>
      <c r="K28" s="14"/>
      <c r="L28" s="14" t="s">
        <v>138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629">
        <f>AD30</f>
        <v>-12.5</v>
      </c>
      <c r="G29" s="630"/>
      <c r="H29" s="630"/>
      <c r="I29" s="511" t="s">
        <v>6</v>
      </c>
      <c r="J29" s="614" t="s">
        <v>452</v>
      </c>
      <c r="K29" s="511"/>
      <c r="L29" s="511"/>
      <c r="M29" s="511"/>
      <c r="N29" s="511"/>
      <c r="O29" s="549" t="str" cm="1">
        <f t="array" ref="O29">angleDecimal2Txt(F29)</f>
        <v>-12°30.00 (-12.5000) [-12°30'00.00]</v>
      </c>
      <c r="P29" s="549"/>
      <c r="Q29" s="549"/>
      <c r="R29" s="549"/>
      <c r="S29" s="549"/>
      <c r="T29" s="549"/>
      <c r="U29" s="549"/>
      <c r="V29" s="549"/>
      <c r="W29" s="549"/>
      <c r="X29" s="549"/>
      <c r="Y29" s="14"/>
      <c r="Z29" s="14"/>
      <c r="AB29" s="61"/>
      <c r="AC29" s="3" t="s">
        <v>170</v>
      </c>
      <c r="AD29" s="3">
        <f>VLOOKUP(I29,Outils!$D$9:$E$10,2)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630"/>
      <c r="G30" s="630"/>
      <c r="H30" s="630"/>
      <c r="I30" s="511"/>
      <c r="J30" s="511"/>
      <c r="K30" s="511"/>
      <c r="L30" s="511"/>
      <c r="M30" s="511"/>
      <c r="N30" s="511"/>
      <c r="O30" s="549"/>
      <c r="P30" s="549"/>
      <c r="Q30" s="549"/>
      <c r="R30" s="549"/>
      <c r="S30" s="549"/>
      <c r="T30" s="549"/>
      <c r="U30" s="549"/>
      <c r="V30" s="549"/>
      <c r="W30" s="549"/>
      <c r="X30" s="549"/>
      <c r="Y30" s="14"/>
      <c r="Z30" s="14"/>
      <c r="AB30" s="61"/>
      <c r="AC30" s="3" t="s">
        <v>171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195</v>
      </c>
      <c r="C33" s="26"/>
      <c r="D33" s="26"/>
      <c r="E33" s="26"/>
      <c r="F33" s="554">
        <f>N34</f>
        <v>89.385000000000005</v>
      </c>
      <c r="G33" s="554"/>
      <c r="H33" s="554"/>
      <c r="I33" s="75"/>
      <c r="J33" s="1486" t="str" cm="1">
        <f t="array" ref="J33">angleDecimal2Txt(F33)</f>
        <v>+89°23.10 (+89.3850) [+89°23'06.00]</v>
      </c>
      <c r="K33" s="1486"/>
      <c r="L33" s="1486"/>
      <c r="M33" s="1486"/>
      <c r="N33" s="1486"/>
      <c r="O33" s="1486"/>
      <c r="P33" s="148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1446" t="s">
        <v>434</v>
      </c>
      <c r="D34" s="1446"/>
      <c r="E34" s="1446"/>
      <c r="F34" s="1446"/>
      <c r="G34" s="1446"/>
      <c r="H34" s="1447"/>
      <c r="I34" s="546" t="s">
        <v>3</v>
      </c>
      <c r="J34" s="646" t="s">
        <v>455</v>
      </c>
      <c r="K34" s="646"/>
      <c r="L34" s="646"/>
      <c r="M34" s="646"/>
      <c r="N34" s="1448">
        <f>AD35</f>
        <v>89.385000000000005</v>
      </c>
      <c r="O34" s="1448"/>
      <c r="P34" s="1448"/>
      <c r="Q34" s="1449" t="str" cm="1">
        <f t="array" ref="Q34">angleDecimal2Txt(N34)</f>
        <v>+89°23.10 (+89.3850) [+89°23'06.00]</v>
      </c>
      <c r="R34" s="1449"/>
      <c r="S34" s="1449"/>
      <c r="T34" s="1449"/>
      <c r="U34" s="1450"/>
      <c r="AB34" s="65"/>
      <c r="AC34" s="3" t="s">
        <v>194</v>
      </c>
      <c r="AD34" s="3">
        <f>VLOOKUP(I34,Outils!$C$9:$E$10,3)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546"/>
      <c r="J35" s="646"/>
      <c r="K35" s="646"/>
      <c r="L35" s="646"/>
      <c r="M35" s="646"/>
      <c r="N35" s="1448"/>
      <c r="O35" s="1448"/>
      <c r="P35" s="1448"/>
      <c r="Q35" s="1451"/>
      <c r="R35" s="1451"/>
      <c r="S35" s="1451"/>
      <c r="T35" s="1451"/>
      <c r="U35" s="1452"/>
      <c r="AB35" s="61"/>
      <c r="AC35" s="3" t="s">
        <v>169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432</v>
      </c>
      <c r="C38" s="26"/>
      <c r="D38" s="26"/>
      <c r="E38" s="26"/>
      <c r="F38" s="554">
        <f>N39</f>
        <v>311.43</v>
      </c>
      <c r="G38" s="554"/>
      <c r="H38" s="554"/>
      <c r="I38" s="75"/>
      <c r="J38" s="1453" t="s">
        <v>55</v>
      </c>
      <c r="K38" s="1453"/>
      <c r="L38" s="1453"/>
      <c r="M38" s="1454" t="str">
        <f>J18</f>
        <v>Polaire</v>
      </c>
      <c r="N38" s="1454"/>
      <c r="O38" s="1454"/>
      <c r="P38" s="75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1446" t="s">
        <v>433</v>
      </c>
      <c r="D39" s="1446"/>
      <c r="E39" s="1446"/>
      <c r="F39" s="1446"/>
      <c r="G39" s="1446"/>
      <c r="H39" s="1447"/>
      <c r="I39" s="646" t="s">
        <v>456</v>
      </c>
      <c r="J39" s="646"/>
      <c r="K39" s="646"/>
      <c r="L39" s="646"/>
      <c r="M39" s="646"/>
      <c r="N39" s="1448" cm="1">
        <f t="array" ref="N39">angleConvert2Decimal(I39)</f>
        <v>311.43</v>
      </c>
      <c r="O39" s="1448"/>
      <c r="P39" s="1448"/>
      <c r="Q39" s="871" t="str" cm="1">
        <f t="array" ref="Q39">angleDecimal2Txt(N39)</f>
        <v>+311°25.80 (+311.4300) [+311°25'48.00]</v>
      </c>
      <c r="R39" s="550"/>
      <c r="S39" s="550"/>
      <c r="T39" s="550"/>
      <c r="U39" s="550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646"/>
      <c r="J40" s="646"/>
      <c r="K40" s="646"/>
      <c r="L40" s="646"/>
      <c r="M40" s="646"/>
      <c r="N40" s="1448"/>
      <c r="O40" s="1448"/>
      <c r="P40" s="1448"/>
      <c r="Q40" s="1265"/>
      <c r="R40" s="550"/>
      <c r="S40" s="550"/>
      <c r="T40" s="550"/>
      <c r="U40" s="550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431</v>
      </c>
      <c r="C42" s="26"/>
      <c r="D42" s="26"/>
      <c r="E42" s="26"/>
      <c r="F42" s="554">
        <f>IF(G43=AD43,F47,F55)</f>
        <v>311.64066666666668</v>
      </c>
      <c r="G42" s="554"/>
      <c r="H42" s="554"/>
      <c r="I42" s="26"/>
      <c r="J42" s="26"/>
      <c r="K42" s="26"/>
      <c r="L42" s="1455">
        <f>F42+360</f>
        <v>671.64066666666668</v>
      </c>
      <c r="M42" s="1455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532" t="s">
        <v>35</v>
      </c>
      <c r="D43" s="532"/>
      <c r="E43" s="532"/>
      <c r="F43" s="1476"/>
      <c r="G43" s="1477" t="s">
        <v>10</v>
      </c>
      <c r="H43" s="644"/>
      <c r="I43" s="645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1267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1267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596" t="s">
        <v>9</v>
      </c>
      <c r="G45" s="608"/>
      <c r="H45" s="597"/>
      <c r="I45" s="596" t="s">
        <v>12</v>
      </c>
      <c r="J45" s="608"/>
      <c r="K45" s="608"/>
      <c r="L45" s="597"/>
      <c r="M45" s="504" t="s">
        <v>13</v>
      </c>
      <c r="N45" s="505"/>
      <c r="O45" s="506"/>
      <c r="P45" s="587" t="s">
        <v>15</v>
      </c>
      <c r="Q45" s="588"/>
      <c r="R45" s="588"/>
      <c r="S45" s="588"/>
      <c r="T45" s="589"/>
      <c r="U45" s="14"/>
      <c r="V45" s="16"/>
      <c r="W45" s="16"/>
      <c r="X45" s="16"/>
      <c r="Y45" s="16"/>
      <c r="Z45" s="16"/>
      <c r="AA45" s="16"/>
      <c r="AB45" s="61"/>
      <c r="AD45" s="71" t="s">
        <v>73</v>
      </c>
      <c r="AE45" s="3" t="s">
        <v>180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600"/>
      <c r="G46" s="609"/>
      <c r="H46" s="601"/>
      <c r="I46" s="600"/>
      <c r="J46" s="609"/>
      <c r="K46" s="609"/>
      <c r="L46" s="601"/>
      <c r="M46" s="507"/>
      <c r="N46" s="508"/>
      <c r="O46" s="509"/>
      <c r="P46" s="590"/>
      <c r="Q46" s="591"/>
      <c r="R46" s="591"/>
      <c r="S46" s="591"/>
      <c r="T46" s="592"/>
      <c r="U46" s="14"/>
      <c r="V46" s="16"/>
      <c r="W46" s="16"/>
      <c r="X46" s="16"/>
      <c r="Y46" s="16"/>
      <c r="AA46" s="16"/>
      <c r="AB46" s="61"/>
      <c r="AC46" s="3" t="s">
        <v>172</v>
      </c>
      <c r="AD46" s="3">
        <f>VLOOKUP(P47,Outils!$D$9:$E$10,2)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1465">
        <f>IF(G43=AD44,"---",AD51)</f>
        <v>311.64066666666668</v>
      </c>
      <c r="G47" s="1465"/>
      <c r="H47" s="1465"/>
      <c r="I47" s="1466">
        <f>E11</f>
        <v>18.808333333333334</v>
      </c>
      <c r="J47" s="1466"/>
      <c r="K47" s="1466"/>
      <c r="L47" s="1466"/>
      <c r="M47" s="1467">
        <v>18</v>
      </c>
      <c r="N47" s="499"/>
      <c r="O47" s="717"/>
      <c r="P47" s="1468" t="s">
        <v>5</v>
      </c>
      <c r="Q47" s="1469" t="s">
        <v>457</v>
      </c>
      <c r="R47" s="536"/>
      <c r="S47" s="536"/>
      <c r="T47" s="1470"/>
      <c r="U47" s="549" t="str" cm="1">
        <f t="array" ref="U47">angleDecimal2Txt(AE46)</f>
        <v>+299°29.00 (+299.4833) [+299°29'00.00]</v>
      </c>
      <c r="V47" s="550"/>
      <c r="W47" s="550"/>
      <c r="X47" s="550"/>
      <c r="Y47" s="550"/>
      <c r="AA47" s="16"/>
      <c r="AB47" s="61"/>
      <c r="AC47" s="3" t="s">
        <v>173</v>
      </c>
      <c r="AD47" s="3">
        <f>VLOOKUP(P49,Outils!$D$9:$E$10,2)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629"/>
      <c r="G48" s="629"/>
      <c r="H48" s="629"/>
      <c r="I48" s="1466"/>
      <c r="J48" s="1466"/>
      <c r="K48" s="1466"/>
      <c r="L48" s="1466"/>
      <c r="M48" s="957"/>
      <c r="N48" s="501"/>
      <c r="O48" s="718"/>
      <c r="P48" s="721"/>
      <c r="Q48" s="1471"/>
      <c r="R48" s="539"/>
      <c r="S48" s="539"/>
      <c r="T48" s="1472"/>
      <c r="U48" s="550"/>
      <c r="V48" s="550"/>
      <c r="W48" s="550"/>
      <c r="X48" s="550"/>
      <c r="Y48" s="550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629"/>
      <c r="G49" s="629"/>
      <c r="H49" s="629"/>
      <c r="I49" s="1466"/>
      <c r="J49" s="1466"/>
      <c r="K49" s="1466"/>
      <c r="L49" s="1466"/>
      <c r="M49" s="1473">
        <v>19</v>
      </c>
      <c r="N49" s="730"/>
      <c r="O49" s="1474"/>
      <c r="P49" s="1010" t="s">
        <v>5</v>
      </c>
      <c r="Q49" s="955" t="s">
        <v>458</v>
      </c>
      <c r="R49" s="626"/>
      <c r="S49" s="626"/>
      <c r="T49" s="1475"/>
      <c r="U49" s="549" t="str" cm="1">
        <f t="array" ref="U49">angleDecimal2Txt((AE47))</f>
        <v>+314°31.39 (+314.5233) [+314°31'24.00]</v>
      </c>
      <c r="V49" s="550"/>
      <c r="W49" s="550"/>
      <c r="X49" s="550"/>
      <c r="Y49" s="550"/>
      <c r="AA49" s="16"/>
      <c r="AB49" s="61"/>
      <c r="AC49" s="3" t="s">
        <v>174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629"/>
      <c r="G50" s="629"/>
      <c r="H50" s="629"/>
      <c r="I50" s="1466"/>
      <c r="J50" s="1466"/>
      <c r="K50" s="1466"/>
      <c r="L50" s="1466"/>
      <c r="M50" s="957"/>
      <c r="N50" s="501"/>
      <c r="O50" s="718"/>
      <c r="P50" s="721"/>
      <c r="Q50" s="1471"/>
      <c r="R50" s="539"/>
      <c r="S50" s="539"/>
      <c r="T50" s="1472"/>
      <c r="U50" s="550"/>
      <c r="V50" s="550"/>
      <c r="W50" s="550"/>
      <c r="X50" s="550"/>
      <c r="Y50" s="550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804" t="str" cm="1">
        <f t="array" ref="F51">angleDecimal2Txt(F47)</f>
        <v>+311°38.44 (+311.6406) [+311°38'26.40]</v>
      </c>
      <c r="G51" s="805"/>
      <c r="H51" s="805"/>
      <c r="I51" s="805"/>
      <c r="J51" s="805"/>
      <c r="K51" s="494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596" t="s">
        <v>9</v>
      </c>
      <c r="G53" s="608"/>
      <c r="H53" s="597"/>
      <c r="I53" s="596" t="s">
        <v>12</v>
      </c>
      <c r="J53" s="608"/>
      <c r="K53" s="608"/>
      <c r="L53" s="597"/>
      <c r="M53" s="504" t="s">
        <v>13</v>
      </c>
      <c r="N53" s="505"/>
      <c r="O53" s="506"/>
      <c r="P53" s="587" t="s">
        <v>16</v>
      </c>
      <c r="Q53" s="588"/>
      <c r="R53" s="588"/>
      <c r="S53" s="588"/>
      <c r="T53" s="589"/>
      <c r="U53" s="587" t="s">
        <v>94</v>
      </c>
      <c r="V53" s="588"/>
      <c r="W53" s="588"/>
      <c r="X53" s="588"/>
      <c r="Y53" s="589"/>
      <c r="Z53" s="16"/>
      <c r="AA53" s="14"/>
      <c r="AB53" s="61"/>
      <c r="AC53" s="3" t="s">
        <v>175</v>
      </c>
      <c r="AD53" s="3">
        <f>VLOOKUP(P55,Outils!$D$9:$E$10,2)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600"/>
      <c r="G54" s="609"/>
      <c r="H54" s="601"/>
      <c r="I54" s="600"/>
      <c r="J54" s="609"/>
      <c r="K54" s="609"/>
      <c r="L54" s="601"/>
      <c r="M54" s="507"/>
      <c r="N54" s="508"/>
      <c r="O54" s="509"/>
      <c r="P54" s="590"/>
      <c r="Q54" s="591"/>
      <c r="R54" s="591"/>
      <c r="S54" s="591"/>
      <c r="T54" s="592"/>
      <c r="U54" s="590"/>
      <c r="V54" s="591"/>
      <c r="W54" s="591"/>
      <c r="X54" s="591"/>
      <c r="Y54" s="592"/>
      <c r="Z54" s="14"/>
      <c r="AA54" s="14"/>
      <c r="AB54" s="61"/>
      <c r="AC54" s="3" t="s">
        <v>176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1465" t="str">
        <f>IF(G43=AD44,AD57,"---")</f>
        <v>---</v>
      </c>
      <c r="G55" s="1465"/>
      <c r="H55" s="1465"/>
      <c r="I55" s="1466">
        <f>E11</f>
        <v>18.808333333333334</v>
      </c>
      <c r="J55" s="1466"/>
      <c r="K55" s="1466"/>
      <c r="L55" s="1466"/>
      <c r="M55" s="1467">
        <v>18.808299999999999</v>
      </c>
      <c r="N55" s="499"/>
      <c r="O55" s="717"/>
      <c r="P55" s="1468" t="s">
        <v>5</v>
      </c>
      <c r="Q55" s="1469" t="s">
        <v>197</v>
      </c>
      <c r="R55" s="536"/>
      <c r="S55" s="536"/>
      <c r="T55" s="537"/>
      <c r="U55" s="1468" t="s">
        <v>5</v>
      </c>
      <c r="V55" s="1469" t="s">
        <v>109</v>
      </c>
      <c r="W55" s="536"/>
      <c r="X55" s="536"/>
      <c r="Y55" s="537"/>
      <c r="Z55" s="14"/>
      <c r="AA55" s="16"/>
      <c r="AB55" s="61"/>
      <c r="AC55" s="3" t="s">
        <v>177</v>
      </c>
      <c r="AD55" s="3">
        <f>VLOOKUP(U55,Outils!$D$9:$E$10,2)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629"/>
      <c r="G56" s="629"/>
      <c r="H56" s="629"/>
      <c r="I56" s="1466"/>
      <c r="J56" s="1466"/>
      <c r="K56" s="1466"/>
      <c r="L56" s="1466"/>
      <c r="M56" s="957"/>
      <c r="N56" s="501"/>
      <c r="O56" s="718"/>
      <c r="P56" s="1478"/>
      <c r="Q56" s="1479"/>
      <c r="R56" s="719"/>
      <c r="S56" s="719"/>
      <c r="T56" s="1480"/>
      <c r="U56" s="1478"/>
      <c r="V56" s="1479"/>
      <c r="W56" s="719"/>
      <c r="X56" s="719"/>
      <c r="Y56" s="1480"/>
      <c r="Z56" s="14"/>
      <c r="AA56" s="16"/>
      <c r="AB56" s="61"/>
      <c r="AC56" s="3" t="s">
        <v>178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472" t="e" cm="1">
        <f t="array" ref="F57">angleDecimal2Txt(F55)</f>
        <v>#VALUE!</v>
      </c>
      <c r="G57" s="472"/>
      <c r="H57" s="472"/>
      <c r="I57" s="472"/>
      <c r="J57" s="472"/>
      <c r="K57" s="472"/>
      <c r="L57" s="16"/>
      <c r="M57" s="16"/>
      <c r="N57" s="16"/>
      <c r="O57" s="16"/>
      <c r="P57" s="472" t="str" cm="1">
        <f t="array" ref="P57">angleDecimal2Txt(AD54)</f>
        <v>+311°38.00 (+311.6333) [+311°38'00.00]</v>
      </c>
      <c r="Q57" s="472"/>
      <c r="R57" s="472"/>
      <c r="S57" s="472"/>
      <c r="T57" s="472"/>
      <c r="U57" s="472" t="str" cm="1">
        <f t="array" ref="U57">angleDecimal2Txt(AD56)</f>
        <v>+15°00.12 (+15.0020) [+15°00'07.20]</v>
      </c>
      <c r="V57" s="722"/>
      <c r="W57" s="722"/>
      <c r="X57" s="722"/>
      <c r="Y57" s="722"/>
      <c r="Z57" s="16"/>
      <c r="AA57" s="16"/>
      <c r="AB57" s="61"/>
      <c r="AC57" s="3" t="s">
        <v>179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439</v>
      </c>
      <c r="C59" s="26"/>
      <c r="D59" s="26"/>
      <c r="E59" s="26"/>
      <c r="F59" s="554">
        <f>I60</f>
        <v>263.07066666666674</v>
      </c>
      <c r="G59" s="554"/>
      <c r="H59" s="554"/>
      <c r="I59" s="26"/>
      <c r="J59" s="736" t="s">
        <v>55</v>
      </c>
      <c r="K59" s="736"/>
      <c r="L59" s="736"/>
      <c r="M59" s="503">
        <f>J13</f>
        <v>0</v>
      </c>
      <c r="N59" s="503"/>
      <c r="O59" s="503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446" t="s">
        <v>436</v>
      </c>
      <c r="D60" s="1446"/>
      <c r="E60" s="1446"/>
      <c r="F60" s="1446"/>
      <c r="G60" s="1446"/>
      <c r="H60" s="1481"/>
      <c r="I60" s="1482">
        <f>AD61</f>
        <v>263.07066666666674</v>
      </c>
      <c r="J60" s="865"/>
      <c r="K60" s="865"/>
      <c r="L60" s="866"/>
      <c r="M60" s="36" t="s">
        <v>45</v>
      </c>
      <c r="N60" s="527">
        <f>AD60</f>
        <v>623.07066666666674</v>
      </c>
      <c r="O60" s="527"/>
      <c r="P60" s="527"/>
      <c r="Q60" s="527"/>
      <c r="AB60" s="61"/>
      <c r="AC60" s="3" t="s">
        <v>440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722" t="str" cm="1">
        <f t="array" ref="I61">angleDecimal2Txt(I60)</f>
        <v>+263°04.24 (+263.0706) [+263°04'14.40]</v>
      </c>
      <c r="J61" s="722"/>
      <c r="K61" s="722"/>
      <c r="L61" s="722"/>
      <c r="M61" s="722"/>
      <c r="N61" s="722"/>
      <c r="AB61" s="66"/>
      <c r="AC61" s="3" t="s">
        <v>182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435</v>
      </c>
      <c r="C64" s="26"/>
      <c r="D64" s="26"/>
      <c r="E64" s="26"/>
      <c r="F64" s="554">
        <f>I65</f>
        <v>250.57066666666674</v>
      </c>
      <c r="G64" s="554"/>
      <c r="H64" s="554"/>
      <c r="I64" s="26"/>
      <c r="J64" s="736" t="s">
        <v>55</v>
      </c>
      <c r="K64" s="736"/>
      <c r="L64" s="736"/>
      <c r="M64" s="503" t="str">
        <f>J18</f>
        <v>Polaire</v>
      </c>
      <c r="N64" s="503"/>
      <c r="O64" s="503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1446" t="s">
        <v>436</v>
      </c>
      <c r="D65" s="1446"/>
      <c r="E65" s="1446"/>
      <c r="F65" s="1446"/>
      <c r="G65" s="1446"/>
      <c r="H65" s="1481"/>
      <c r="I65" s="1482">
        <f>AD66</f>
        <v>250.57066666666674</v>
      </c>
      <c r="J65" s="865"/>
      <c r="K65" s="865"/>
      <c r="L65" s="866"/>
      <c r="M65" s="36" t="s">
        <v>45</v>
      </c>
      <c r="N65" s="527">
        <f>AD65</f>
        <v>250.57066666666674</v>
      </c>
      <c r="O65" s="527"/>
      <c r="P65" s="527"/>
      <c r="Q65" s="527"/>
      <c r="AB65" s="61"/>
      <c r="AC65" s="3" t="s">
        <v>441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722" t="str" cm="1">
        <f t="array" ref="I66">angleDecimal2Txt(I65)</f>
        <v>+250°34.24 (+250.5706) [+250°34'14.40]</v>
      </c>
      <c r="J66" s="722"/>
      <c r="K66" s="722"/>
      <c r="L66" s="722"/>
      <c r="M66" s="722"/>
      <c r="N66" s="722"/>
      <c r="AB66" s="66"/>
      <c r="AC66" s="3" t="s">
        <v>182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1173" t="s">
        <v>72</v>
      </c>
      <c r="E68" s="1174"/>
      <c r="F68" s="554">
        <f>IF(G69=AD69,O106,O98)</f>
        <v>28.819379568060796</v>
      </c>
      <c r="G68" s="554"/>
      <c r="H68" s="554"/>
      <c r="I68" s="26"/>
      <c r="J68" s="737" t="str" cm="1">
        <f t="array" ref="J68">angleDecimal2Txt(F68)</f>
        <v>+28°49.16 (+28.8193) [+28°49'09.76]</v>
      </c>
      <c r="K68" s="653"/>
      <c r="L68" s="653"/>
      <c r="M68" s="653"/>
      <c r="N68" s="654"/>
      <c r="O68" s="26"/>
      <c r="P68" s="1173"/>
      <c r="Q68" s="1173"/>
      <c r="R68" s="26"/>
      <c r="S68" s="60"/>
      <c r="T68" s="26" t="s">
        <v>95</v>
      </c>
      <c r="U68" s="26"/>
      <c r="V68" s="725">
        <f>-O85+O80+O89</f>
        <v>-2.9960824388447736E-2</v>
      </c>
      <c r="W68" s="726"/>
      <c r="X68" s="727"/>
      <c r="Y68" s="82" t="str" cm="1">
        <f t="array" ref="Y68">angleDecimal2Txt(V68)</f>
        <v>-00°01.79 (-00.0299) [-00°01'47.85]</v>
      </c>
      <c r="Z68" s="82"/>
      <c r="AA68" s="82"/>
      <c r="AB68" s="8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532" t="s">
        <v>35</v>
      </c>
      <c r="D69" s="532"/>
      <c r="E69" s="532"/>
      <c r="F69" s="532"/>
      <c r="G69" s="611" t="s">
        <v>51</v>
      </c>
      <c r="H69" s="611"/>
      <c r="I69" s="611"/>
      <c r="P69" s="16" t="s">
        <v>69</v>
      </c>
      <c r="V69" s="14"/>
      <c r="W69" s="14"/>
      <c r="X69" s="14"/>
      <c r="Y69" s="14"/>
      <c r="Z69" s="14"/>
      <c r="AB69" s="61"/>
      <c r="AC69" s="1267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1128" t="s">
        <v>62</v>
      </c>
      <c r="G70" s="1128"/>
      <c r="H70" s="1172"/>
      <c r="I70" s="1172"/>
      <c r="J70" s="724">
        <f>IF(G69=AD69,"---",O98)</f>
        <v>28.819379568060796</v>
      </c>
      <c r="K70" s="724"/>
      <c r="L70" s="724"/>
      <c r="V70" s="14"/>
      <c r="W70" s="14"/>
      <c r="X70" s="14"/>
      <c r="Y70" s="14"/>
      <c r="Z70" s="14"/>
      <c r="AB70" s="61"/>
      <c r="AC70" s="1267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1270" t="s">
        <v>47</v>
      </c>
      <c r="I71" s="1270"/>
      <c r="J71" s="1270"/>
      <c r="K71" s="1270"/>
      <c r="L71" s="1270"/>
      <c r="M71" s="1270"/>
      <c r="N71" s="1270"/>
      <c r="O71" s="525">
        <f>J17</f>
        <v>28.916666666666668</v>
      </c>
      <c r="P71" s="525"/>
      <c r="Q71" s="525"/>
      <c r="R71" s="525"/>
      <c r="S71" s="16" t="s">
        <v>54</v>
      </c>
      <c r="U71" s="472" t="str" cm="1">
        <f t="array" ref="U71">angleDecimal2Txt(O71)</f>
        <v>+28°55.00 (+28.9166) [+28°55'00.00]</v>
      </c>
      <c r="V71" s="472"/>
      <c r="W71" s="472"/>
      <c r="X71" s="472"/>
      <c r="Y71" s="472"/>
      <c r="Z71" s="472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1270" t="s">
        <v>24</v>
      </c>
      <c r="I72" s="1270"/>
      <c r="J72" s="1270"/>
      <c r="K72" s="1270"/>
      <c r="L72" s="1270"/>
      <c r="M72" s="1270"/>
      <c r="N72" s="1270"/>
      <c r="O72" s="525">
        <f>J16</f>
        <v>0</v>
      </c>
      <c r="P72" s="525"/>
      <c r="Q72" s="525"/>
      <c r="R72" s="525"/>
      <c r="S72" s="16" t="s">
        <v>54</v>
      </c>
      <c r="U72" s="472" t="str" cm="1">
        <f t="array" ref="U72">angleDecimal2Txt(O72)</f>
        <v>+00°00.00 (+00.0000) [+00°00'00.00]</v>
      </c>
      <c r="V72" s="472"/>
      <c r="W72" s="472"/>
      <c r="X72" s="472"/>
      <c r="Y72" s="472"/>
      <c r="Z72" s="472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1268" t="s">
        <v>68</v>
      </c>
      <c r="I73" s="1268"/>
      <c r="J73" s="1268"/>
      <c r="K73" s="1268"/>
      <c r="L73" s="1268"/>
      <c r="M73" s="1268"/>
      <c r="N73" s="1268"/>
      <c r="O73" s="651">
        <f>AD73</f>
        <v>6.7326274217425694E-2</v>
      </c>
      <c r="P73" s="651"/>
      <c r="Q73" s="651"/>
      <c r="R73" s="651"/>
      <c r="S73" s="16" t="s">
        <v>54</v>
      </c>
      <c r="U73" s="472" t="str" cm="1">
        <f t="array" ref="U73">angleDecimal2Txt(O73)</f>
        <v>+00°04.03 (+00.0673) [+00°04'02.37]</v>
      </c>
      <c r="V73" s="472"/>
      <c r="W73" s="472"/>
      <c r="X73" s="472"/>
      <c r="Y73" s="472"/>
      <c r="Z73" s="472"/>
      <c r="AB73" s="61"/>
      <c r="AC73" s="72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921" t="s">
        <v>113</v>
      </c>
      <c r="N74" s="921"/>
      <c r="O74" s="921"/>
      <c r="P74" s="921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1269" t="s">
        <v>423</v>
      </c>
      <c r="I75" s="1269"/>
      <c r="J75" s="1269"/>
      <c r="K75" s="1269"/>
      <c r="L75" s="1269"/>
      <c r="M75" s="1269"/>
      <c r="N75" s="1269"/>
      <c r="O75" s="528">
        <f>O71-O72-O73</f>
        <v>28.849340392449243</v>
      </c>
      <c r="P75" s="529"/>
      <c r="Q75" s="16" t="s">
        <v>54</v>
      </c>
      <c r="R75" s="742">
        <f>O75*Outils!$F$4</f>
        <v>0.50351597687683236</v>
      </c>
      <c r="S75" s="742"/>
      <c r="T75" s="37" t="s">
        <v>64</v>
      </c>
      <c r="U75" s="472" t="str" cm="1">
        <f t="array" ref="U75">angleDecimal2Txt(O75)</f>
        <v>+28°50.96 (+28.8493) [+28°50'57.62]</v>
      </c>
      <c r="V75" s="472"/>
      <c r="W75" s="472"/>
      <c r="X75" s="472"/>
      <c r="Y75" s="472"/>
      <c r="Z75" s="472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1271" t="s">
        <v>61</v>
      </c>
      <c r="N77" s="1271"/>
      <c r="O77" s="1271"/>
      <c r="P77" s="1271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1485" t="s">
        <v>139</v>
      </c>
      <c r="N78" s="1485"/>
      <c r="O78" s="1271"/>
      <c r="P78" s="1271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651" t="s">
        <v>52</v>
      </c>
      <c r="I79" s="651"/>
      <c r="J79" s="651"/>
      <c r="K79" s="651"/>
      <c r="L79" s="651"/>
      <c r="M79" s="651"/>
      <c r="N79" s="651"/>
      <c r="O79" s="530">
        <v>0</v>
      </c>
      <c r="P79" s="531"/>
      <c r="Q79" s="531"/>
      <c r="R79" s="531"/>
      <c r="S79" s="16" t="s">
        <v>54</v>
      </c>
      <c r="U79" s="472" t="str" cm="1">
        <f t="array" ref="U79">angleDecimal2Txt(O79)</f>
        <v>+00°00.00 (+00.0000) [+00°00'00.00]</v>
      </c>
      <c r="V79" s="472"/>
      <c r="W79" s="472"/>
      <c r="X79" s="472"/>
      <c r="Y79" s="472"/>
      <c r="Z79" s="472"/>
      <c r="AB79" s="61"/>
      <c r="AC79" s="3" t="s">
        <v>183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714" t="s">
        <v>140</v>
      </c>
      <c r="I80" s="517"/>
      <c r="J80" s="517"/>
      <c r="K80" s="517"/>
      <c r="L80" s="517"/>
      <c r="M80" s="517"/>
      <c r="N80" s="518"/>
      <c r="O80" s="496">
        <f>AD79</f>
        <v>0</v>
      </c>
      <c r="P80" s="496"/>
      <c r="Q80" s="496"/>
      <c r="R80" s="496"/>
      <c r="S80" s="16" t="s">
        <v>54</v>
      </c>
      <c r="T80" s="16"/>
      <c r="U80" s="472" t="str" cm="1">
        <f t="array" ref="U80">angleDecimal2Txt(O80)</f>
        <v>+00°00.00 (+00.0000) [+00°00'00.00]</v>
      </c>
      <c r="V80" s="472"/>
      <c r="W80" s="472"/>
      <c r="X80" s="472"/>
      <c r="Y80" s="472"/>
      <c r="Z80" s="472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566" t="s">
        <v>126</v>
      </c>
      <c r="T82" s="567"/>
      <c r="U82" s="568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185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651" t="s">
        <v>65</v>
      </c>
      <c r="I83" s="651"/>
      <c r="J83" s="651"/>
      <c r="K83" s="651"/>
      <c r="L83" s="651"/>
      <c r="M83" s="651"/>
      <c r="N83" s="651"/>
      <c r="O83" s="712">
        <f>S83</f>
        <v>10</v>
      </c>
      <c r="P83" s="713"/>
      <c r="Q83" s="713"/>
      <c r="R83" s="713"/>
      <c r="S83" s="706">
        <v>10</v>
      </c>
      <c r="T83" s="707"/>
      <c r="U83" s="708"/>
      <c r="V83" s="16"/>
      <c r="W83" s="16"/>
      <c r="X83" s="16"/>
      <c r="Y83" s="14"/>
      <c r="Z83" s="14"/>
      <c r="AA83" s="16"/>
      <c r="AB83" s="61"/>
      <c r="AC83" s="3" t="s">
        <v>186</v>
      </c>
      <c r="AD83" s="3">
        <f>1/TAN((O75 + 7.31 / (O75 + 4.4)) *Outils!$F$4)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651" t="s">
        <v>66</v>
      </c>
      <c r="I84" s="651"/>
      <c r="J84" s="651"/>
      <c r="K84" s="651"/>
      <c r="L84" s="651"/>
      <c r="M84" s="651"/>
      <c r="N84" s="651"/>
      <c r="O84" s="712">
        <f>S84</f>
        <v>1010</v>
      </c>
      <c r="P84" s="713"/>
      <c r="Q84" s="713"/>
      <c r="R84" s="713"/>
      <c r="S84" s="706">
        <v>1010</v>
      </c>
      <c r="T84" s="707"/>
      <c r="U84" s="708"/>
      <c r="V84" s="16"/>
      <c r="W84" s="16"/>
      <c r="X84" s="16"/>
      <c r="Y84" s="14"/>
      <c r="Z84" s="14"/>
      <c r="AA84" s="16"/>
      <c r="AB84" s="61"/>
      <c r="AC84" s="3" t="s">
        <v>187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714" t="s">
        <v>141</v>
      </c>
      <c r="I85" s="517"/>
      <c r="J85" s="517"/>
      <c r="K85" s="517"/>
      <c r="L85" s="517"/>
      <c r="M85" s="517"/>
      <c r="N85" s="518"/>
      <c r="O85" s="496">
        <f>AD86</f>
        <v>2.9960824388447736E-2</v>
      </c>
      <c r="P85" s="496"/>
      <c r="Q85" s="496"/>
      <c r="R85" s="496"/>
      <c r="S85" s="16" t="s">
        <v>54</v>
      </c>
      <c r="T85" s="16"/>
      <c r="U85" s="472" t="str" cm="1">
        <f t="array" ref="U85">angleDecimal2Txt(O85)</f>
        <v>+00°01.79 (+00.0299) [+00°01'47.85]</v>
      </c>
      <c r="V85" s="472"/>
      <c r="W85" s="472"/>
      <c r="X85" s="472"/>
      <c r="Y85" s="472"/>
      <c r="Z85" s="472"/>
      <c r="AA85" s="16"/>
      <c r="AB85" s="61"/>
      <c r="AC85" s="3" t="s">
        <v>96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184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651" t="s">
        <v>100</v>
      </c>
      <c r="I87" s="651"/>
      <c r="J87" s="651"/>
      <c r="K87" s="651"/>
      <c r="L87" s="651"/>
      <c r="M87" s="651"/>
      <c r="N87" s="651"/>
      <c r="O87" s="745">
        <v>0</v>
      </c>
      <c r="P87" s="745"/>
      <c r="Q87" s="745"/>
      <c r="R87" s="745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651" t="s">
        <v>70</v>
      </c>
      <c r="I88" s="651"/>
      <c r="J88" s="651"/>
      <c r="K88" s="651"/>
      <c r="L88" s="651"/>
      <c r="M88" s="651"/>
      <c r="N88" s="651"/>
      <c r="O88" s="745">
        <f>J19</f>
        <v>0</v>
      </c>
      <c r="P88" s="745"/>
      <c r="Q88" s="745"/>
      <c r="R88" s="745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469" t="str">
        <f>J18</f>
        <v>Polaire</v>
      </c>
      <c r="AE88" s="469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1275" t="s">
        <v>71</v>
      </c>
      <c r="I89" s="1276"/>
      <c r="J89" s="1276"/>
      <c r="K89" s="1276"/>
      <c r="L89" s="1276"/>
      <c r="M89" s="1276"/>
      <c r="N89" s="1277"/>
      <c r="O89" s="527">
        <f>AD92</f>
        <v>0</v>
      </c>
      <c r="P89" s="527"/>
      <c r="Q89" s="527"/>
      <c r="R89" s="527"/>
      <c r="S89" s="16" t="s">
        <v>54</v>
      </c>
      <c r="T89" s="16"/>
      <c r="U89" s="472" t="str" cm="1">
        <f t="array" ref="U89">angleDecimal2Txt(O89)</f>
        <v>+00°00.00 (+00.0000) [+00°00'00.00]</v>
      </c>
      <c r="V89" s="472"/>
      <c r="W89" s="472"/>
      <c r="X89" s="472"/>
      <c r="Y89" s="472"/>
      <c r="Z89" s="472"/>
      <c r="AA89" s="16"/>
      <c r="AB89" s="61"/>
      <c r="AC89" s="3" t="s">
        <v>190</v>
      </c>
      <c r="AD89" s="469">
        <f>O88</f>
        <v>0</v>
      </c>
      <c r="AE89" s="469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191</v>
      </c>
      <c r="AD90" s="703">
        <v>0</v>
      </c>
      <c r="AE90" s="703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793" t="s">
        <v>107</v>
      </c>
      <c r="H91" s="794"/>
      <c r="I91" s="794"/>
      <c r="J91" s="794"/>
      <c r="K91" s="794"/>
      <c r="L91" s="794"/>
      <c r="M91" s="794"/>
      <c r="N91" s="794"/>
      <c r="O91" s="794"/>
      <c r="P91" s="794"/>
      <c r="Q91" s="794"/>
      <c r="R91" s="794"/>
      <c r="S91" s="795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100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746" t="s">
        <v>115</v>
      </c>
      <c r="H92" s="747"/>
      <c r="I92" s="790" t="s">
        <v>110</v>
      </c>
      <c r="J92" s="791"/>
      <c r="K92" s="791"/>
      <c r="L92" s="791"/>
      <c r="M92" s="791"/>
      <c r="N92" s="792"/>
      <c r="O92" s="796">
        <f>(O80-O85-O73+O87/2) * 60</f>
        <v>-5.8372259163524056</v>
      </c>
      <c r="P92" s="788"/>
      <c r="Q92" s="788"/>
      <c r="R92" s="788"/>
      <c r="S92" s="743" t="s">
        <v>108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191</v>
      </c>
      <c r="AD92" s="703">
        <f>AE91*AD90</f>
        <v>0</v>
      </c>
      <c r="AE92" s="703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748"/>
      <c r="H93" s="749"/>
      <c r="I93" s="1272" t="s">
        <v>114</v>
      </c>
      <c r="J93" s="1273"/>
      <c r="K93" s="1273"/>
      <c r="L93" s="1273"/>
      <c r="M93" s="1273"/>
      <c r="N93" s="1274"/>
      <c r="O93" s="797"/>
      <c r="P93" s="789"/>
      <c r="Q93" s="789"/>
      <c r="R93" s="789"/>
      <c r="S93" s="744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790" t="s">
        <v>111</v>
      </c>
      <c r="J94" s="791"/>
      <c r="K94" s="791"/>
      <c r="L94" s="791"/>
      <c r="M94" s="791"/>
      <c r="N94" s="792"/>
      <c r="O94" s="788">
        <f>(O80-O85+O87/2)*60</f>
        <v>-1.7976494633068643</v>
      </c>
      <c r="P94" s="788"/>
      <c r="Q94" s="788"/>
      <c r="R94" s="788"/>
      <c r="S94" s="743" t="s">
        <v>108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801" t="s">
        <v>112</v>
      </c>
      <c r="J95" s="802"/>
      <c r="K95" s="802"/>
      <c r="L95" s="802"/>
      <c r="M95" s="802"/>
      <c r="N95" s="803"/>
      <c r="O95" s="789"/>
      <c r="P95" s="789"/>
      <c r="Q95" s="789"/>
      <c r="R95" s="789"/>
      <c r="S95" s="744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1278" t="s">
        <v>71</v>
      </c>
      <c r="J96" s="1278"/>
      <c r="K96" s="1278"/>
      <c r="L96" s="1278"/>
      <c r="M96" s="1278"/>
      <c r="N96" s="1278"/>
      <c r="O96" s="780">
        <f>O89*60</f>
        <v>0</v>
      </c>
      <c r="P96" s="781"/>
      <c r="Q96" s="781"/>
      <c r="R96" s="781"/>
      <c r="S96" s="73" t="s">
        <v>108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1124" t="s">
        <v>142</v>
      </c>
      <c r="I98" s="1125"/>
      <c r="J98" s="1125"/>
      <c r="K98" s="1125"/>
      <c r="L98" s="1125"/>
      <c r="M98" s="1125"/>
      <c r="N98" s="1126"/>
      <c r="O98" s="529">
        <f>O75-O85+O80+O89</f>
        <v>28.819379568060796</v>
      </c>
      <c r="P98" s="496"/>
      <c r="Q98" s="496"/>
      <c r="R98" s="496"/>
      <c r="S98" s="16" t="s">
        <v>54</v>
      </c>
      <c r="T98" s="16"/>
      <c r="U98" s="472" t="str" cm="1">
        <f t="array" ref="U98">angleDecimal2Txt(O98)</f>
        <v>+28°49.16 (+28.8193) [+28°49'09.76]</v>
      </c>
      <c r="V98" s="472"/>
      <c r="W98" s="472"/>
      <c r="X98" s="472"/>
      <c r="Y98" s="472"/>
      <c r="Z98" s="472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1128" t="s">
        <v>63</v>
      </c>
      <c r="G100" s="1128"/>
      <c r="H100" s="1128"/>
      <c r="I100" s="1128"/>
      <c r="J100" s="496" t="str">
        <f>IF(G69=AD69,O106,"---")</f>
        <v>---</v>
      </c>
      <c r="K100" s="496"/>
      <c r="L100" s="496"/>
      <c r="M100" s="16"/>
      <c r="N100" s="16"/>
      <c r="O100" s="16"/>
      <c r="P100" s="16"/>
      <c r="Q100" s="16"/>
      <c r="R100" s="38" t="s">
        <v>82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78</v>
      </c>
      <c r="S101" s="16" t="s">
        <v>80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75</v>
      </c>
      <c r="L102" s="16" t="s">
        <v>59</v>
      </c>
      <c r="M102" s="16"/>
      <c r="N102" s="40" t="s">
        <v>76</v>
      </c>
      <c r="O102" s="16"/>
      <c r="P102" s="16"/>
      <c r="Q102" s="40" t="s">
        <v>77</v>
      </c>
      <c r="R102" s="41" t="s">
        <v>79</v>
      </c>
      <c r="S102" s="16" t="s">
        <v>81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75</v>
      </c>
      <c r="L103" s="43">
        <f>O72</f>
        <v>0</v>
      </c>
      <c r="M103" s="16"/>
      <c r="N103" s="1483" t="s">
        <v>146</v>
      </c>
      <c r="O103" s="1483"/>
      <c r="P103" s="1483"/>
      <c r="Q103" s="40" t="s">
        <v>77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4" cm="1">
        <f t="array" ref="L104">angleConvert2Decimal(L103)</f>
        <v>0</v>
      </c>
      <c r="N104" s="1484" cm="1">
        <f t="array" ref="N104">angleConvert2Decimal(N103)</f>
        <v>0.17166666666666669</v>
      </c>
      <c r="O104" s="1484"/>
      <c r="P104" s="1484"/>
      <c r="Q104" s="11"/>
      <c r="R104" s="74" cm="1">
        <f t="array" ref="R104">angleConvert2Decimal(R103)</f>
        <v>0</v>
      </c>
      <c r="T104" s="7" t="s">
        <v>103</v>
      </c>
      <c r="U104" s="7"/>
      <c r="V104" s="7">
        <f>R104+N104</f>
        <v>0.17166666666666669</v>
      </c>
      <c r="W104" s="804" t="str" cm="1">
        <f t="array" ref="W104">angleDecimal2Txt(V104)</f>
        <v>+00°10.30 (+00.1716) [+00°10'18.00]</v>
      </c>
      <c r="X104" s="805"/>
      <c r="Y104" s="805"/>
      <c r="Z104" s="805"/>
      <c r="AA104" s="494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1124" t="s">
        <v>145</v>
      </c>
      <c r="I106" s="1125"/>
      <c r="J106" s="1125"/>
      <c r="K106" s="1125"/>
      <c r="L106" s="1125"/>
      <c r="M106" s="1125"/>
      <c r="N106" s="1126"/>
      <c r="O106" s="529">
        <f>J103-L104+N104+R104</f>
        <v>29.088333333333335</v>
      </c>
      <c r="P106" s="496"/>
      <c r="Q106" s="496"/>
      <c r="R106" s="496"/>
      <c r="S106" s="16" t="s">
        <v>54</v>
      </c>
      <c r="T106" s="16"/>
      <c r="U106" s="472" t="str" cm="1">
        <f t="array" ref="U106">angleDecimal2Txt(O106)</f>
        <v>+29°05.29 (+29.0883) [+29°05'18.00]</v>
      </c>
      <c r="V106" s="472"/>
      <c r="W106" s="472"/>
      <c r="X106" s="472"/>
      <c r="Y106" s="472"/>
      <c r="Z106" s="472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7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433" t="s">
        <v>154</v>
      </c>
      <c r="E109" s="1434"/>
      <c r="F109" s="1434"/>
      <c r="G109" s="1434"/>
      <c r="H109" s="1442">
        <f>90-P110</f>
        <v>0.61499999999999488</v>
      </c>
      <c r="I109" s="1442"/>
      <c r="J109" s="1442"/>
      <c r="K109" s="1442"/>
      <c r="L109" s="1442"/>
      <c r="N109" s="1445" t="s">
        <v>155</v>
      </c>
      <c r="O109" s="1445"/>
      <c r="P109" s="1445"/>
      <c r="Q109" s="1445"/>
      <c r="R109" s="1445"/>
      <c r="S109" s="1445"/>
      <c r="T109" s="1445"/>
      <c r="U109" s="1445"/>
      <c r="V109" s="1445"/>
      <c r="W109" s="1445"/>
      <c r="AA109"/>
      <c r="AB109" s="83"/>
      <c r="AC109"/>
      <c r="AD109"/>
      <c r="AE109"/>
      <c r="AF109"/>
      <c r="AL109" s="77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84"/>
      <c r="D110" s="1435"/>
      <c r="E110" s="1436"/>
      <c r="F110" s="1436"/>
      <c r="G110" s="1436"/>
      <c r="H110" s="1442"/>
      <c r="I110" s="1442"/>
      <c r="J110" s="1442"/>
      <c r="K110" s="1442"/>
      <c r="L110" s="1442"/>
      <c r="M110" s="48" t="s">
        <v>116</v>
      </c>
      <c r="N110" s="1432" t="s">
        <v>84</v>
      </c>
      <c r="O110" s="1432"/>
      <c r="P110" s="1432">
        <f>F33</f>
        <v>89.385000000000005</v>
      </c>
      <c r="Q110" s="1432"/>
      <c r="R110" s="1432"/>
      <c r="S110" s="78" t="s">
        <v>54</v>
      </c>
      <c r="T110" s="1432">
        <f>P110*Outils!$F$4</f>
        <v>1.5600625518951317</v>
      </c>
      <c r="U110" s="1432"/>
      <c r="V110" s="1432"/>
      <c r="W110" s="78" t="s">
        <v>64</v>
      </c>
      <c r="AA110"/>
      <c r="AB110" s="83"/>
      <c r="AC110"/>
      <c r="AD110"/>
      <c r="AE110"/>
      <c r="AF110"/>
      <c r="AL110" s="77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84"/>
      <c r="D111" s="1437"/>
      <c r="E111" s="1438"/>
      <c r="F111" s="1438"/>
      <c r="G111" s="1438"/>
      <c r="H111" s="1443" t="str" cm="1">
        <f t="array" ref="H111">angleDecimal2Txt(H109)</f>
        <v>+00°36.89 (+00.6149) [+00°36'53.99]</v>
      </c>
      <c r="I111" s="1443"/>
      <c r="J111" s="1443"/>
      <c r="K111" s="1443"/>
      <c r="L111" s="1443"/>
      <c r="N111" s="1441"/>
      <c r="O111" s="1441"/>
      <c r="P111" s="1441"/>
      <c r="Q111" s="1441"/>
      <c r="R111" s="1441"/>
      <c r="S111" s="84"/>
      <c r="T111" s="1441"/>
      <c r="U111" s="1441"/>
      <c r="V111" s="1441"/>
      <c r="W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440"/>
      <c r="O112" s="1441"/>
      <c r="P112" s="1441"/>
      <c r="Q112" s="1441"/>
      <c r="R112" s="1441"/>
      <c r="S112" s="1441"/>
      <c r="T112" s="1441"/>
      <c r="U112" s="1441"/>
      <c r="V112" s="1441"/>
      <c r="W112" s="1441"/>
      <c r="X112" s="1441"/>
      <c r="Y112" s="1441"/>
      <c r="Z112" s="1441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433" t="s">
        <v>156</v>
      </c>
      <c r="E113" s="1434"/>
      <c r="F113" s="1434"/>
      <c r="G113" s="1434"/>
      <c r="H113" s="1442">
        <f>-H109*COS(T114)</f>
        <v>0.20457604995500583</v>
      </c>
      <c r="I113" s="1442"/>
      <c r="J113" s="1442"/>
      <c r="K113" s="1442"/>
      <c r="L113" s="1442"/>
      <c r="N113" s="1444" t="s">
        <v>159</v>
      </c>
      <c r="O113" s="1445"/>
      <c r="P113" s="1445"/>
      <c r="Q113" s="1445"/>
      <c r="R113" s="1445"/>
      <c r="S113" s="1445"/>
      <c r="T113" s="1445"/>
      <c r="U113" s="1445"/>
      <c r="V113" s="1445"/>
      <c r="W113" s="1445"/>
      <c r="X113" s="84"/>
      <c r="Y113" s="84"/>
      <c r="Z113" s="84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84"/>
      <c r="D114" s="1435"/>
      <c r="E114" s="1436"/>
      <c r="F114" s="1436"/>
      <c r="G114" s="1436"/>
      <c r="H114" s="1442"/>
      <c r="I114" s="1442"/>
      <c r="J114" s="1442"/>
      <c r="K114" s="1442"/>
      <c r="L114" s="1442"/>
      <c r="M114" s="48" t="s">
        <v>116</v>
      </c>
      <c r="N114" s="1432" t="s">
        <v>43</v>
      </c>
      <c r="O114" s="1432"/>
      <c r="P114" s="1432">
        <f>F64</f>
        <v>250.57066666666674</v>
      </c>
      <c r="Q114" s="1432"/>
      <c r="R114" s="1432"/>
      <c r="S114" s="78" t="s">
        <v>54</v>
      </c>
      <c r="T114" s="1432">
        <f>P114*Outils!$F$4</f>
        <v>4.3732831422505392</v>
      </c>
      <c r="U114" s="1432"/>
      <c r="V114" s="1432"/>
      <c r="W114" s="78" t="s">
        <v>64</v>
      </c>
      <c r="X114" s="84"/>
      <c r="Y114" s="84"/>
      <c r="Z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84"/>
      <c r="D115" s="1437"/>
      <c r="E115" s="1438"/>
      <c r="F115" s="1438"/>
      <c r="G115" s="1438"/>
      <c r="H115" s="1431" t="str" cm="1">
        <f t="array" ref="H115">angleDecimal2Txt(H113)</f>
        <v>+00°12.27 (+00.2045) [+00°12'16.47]</v>
      </c>
      <c r="I115" s="1431"/>
      <c r="J115" s="1431"/>
      <c r="K115" s="1431"/>
      <c r="L115" s="1431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" t="s">
        <v>430</v>
      </c>
      <c r="Z115" s="84"/>
      <c r="AA115"/>
      <c r="AB115" s="8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84"/>
      <c r="AA116"/>
      <c r="AB116" s="8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439" t="s">
        <v>157</v>
      </c>
      <c r="E117" s="1434"/>
      <c r="F117" s="1434"/>
      <c r="G117" s="1434"/>
      <c r="H117" s="1442">
        <f>F68+H113</f>
        <v>29.023955618015801</v>
      </c>
      <c r="I117" s="1442"/>
      <c r="J117" s="1442"/>
      <c r="K117" s="1442"/>
      <c r="L117" s="1442"/>
      <c r="N117" s="1445" t="s">
        <v>161</v>
      </c>
      <c r="O117" s="1445"/>
      <c r="P117" s="1445"/>
      <c r="Q117" s="1445"/>
      <c r="R117" s="1445"/>
      <c r="S117" s="1445"/>
      <c r="T117" s="1445"/>
      <c r="U117" s="1445"/>
      <c r="V117" s="1445"/>
      <c r="W117" s="1445"/>
      <c r="X117" s="84"/>
      <c r="Y117" s="84"/>
      <c r="AA117"/>
      <c r="AB117" s="8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84"/>
      <c r="D118" s="1435"/>
      <c r="E118" s="1436"/>
      <c r="F118" s="1436"/>
      <c r="G118" s="1436"/>
      <c r="H118" s="1442"/>
      <c r="I118" s="1442"/>
      <c r="J118" s="1442"/>
      <c r="K118" s="1442"/>
      <c r="L118" s="1442"/>
      <c r="M118" s="48" t="s">
        <v>116</v>
      </c>
      <c r="N118" s="1432" t="s">
        <v>101</v>
      </c>
      <c r="O118" s="1432"/>
      <c r="P118" s="1432">
        <f>F68</f>
        <v>28.819379568060796</v>
      </c>
      <c r="Q118" s="1432"/>
      <c r="R118" s="1432"/>
      <c r="S118" s="78" t="s">
        <v>54</v>
      </c>
      <c r="T118" s="1432">
        <f>P118*Outils!$F$4</f>
        <v>0.5029930618446421</v>
      </c>
      <c r="U118" s="1432"/>
      <c r="V118" s="1432"/>
      <c r="W118" s="78" t="s">
        <v>64</v>
      </c>
      <c r="X118" s="1441"/>
      <c r="Y118" s="1441"/>
      <c r="AA118"/>
      <c r="AB118" s="8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84"/>
      <c r="D119" s="1437"/>
      <c r="E119" s="1438"/>
      <c r="F119" s="1438"/>
      <c r="G119" s="1438"/>
      <c r="H119" s="1443" t="str" cm="1">
        <f t="array" ref="H119">angleDecimal2Txt(H117)</f>
        <v>+29°01.43 (+29.0239) [+29°01'26.24]</v>
      </c>
      <c r="I119" s="1443"/>
      <c r="J119" s="1443"/>
      <c r="K119" s="1443"/>
      <c r="L119" s="1443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AA119"/>
      <c r="AB119" s="8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84"/>
      <c r="S120" s="84"/>
      <c r="T120" s="84"/>
      <c r="U120" s="84"/>
      <c r="V120" s="84"/>
      <c r="W120" s="84"/>
      <c r="X120" s="84"/>
      <c r="AA120"/>
      <c r="AB120" s="83"/>
      <c r="AC120" t="s">
        <v>198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439" t="s">
        <v>158</v>
      </c>
      <c r="E121" s="1434"/>
      <c r="F121" s="1434"/>
      <c r="G121" s="1434"/>
      <c r="H121" s="948">
        <f>AF125</f>
        <v>0.66327315444081658</v>
      </c>
      <c r="I121" s="948"/>
      <c r="J121" s="948"/>
      <c r="K121" s="948"/>
      <c r="L121" s="948"/>
      <c r="N121" s="1444" t="s">
        <v>160</v>
      </c>
      <c r="O121" s="1445"/>
      <c r="P121" s="1445"/>
      <c r="Q121" s="1445"/>
      <c r="R121" s="1445"/>
      <c r="S121" s="1445"/>
      <c r="T121" s="1445"/>
      <c r="U121" s="1445"/>
      <c r="V121" s="1445"/>
      <c r="W121" s="1445"/>
      <c r="X121" s="84"/>
      <c r="AA121"/>
      <c r="AB121" s="8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435"/>
      <c r="E122" s="1436"/>
      <c r="F122" s="1436"/>
      <c r="G122" s="1436"/>
      <c r="H122" s="948"/>
      <c r="I122" s="948"/>
      <c r="J122" s="948"/>
      <c r="K122" s="948"/>
      <c r="L122" s="948"/>
      <c r="M122" s="48" t="s">
        <v>116</v>
      </c>
      <c r="N122" s="1432" t="s">
        <v>43</v>
      </c>
      <c r="O122" s="1432"/>
      <c r="P122" s="1432">
        <f>F64</f>
        <v>250.57066666666674</v>
      </c>
      <c r="Q122" s="1432"/>
      <c r="R122" s="1432"/>
      <c r="S122" s="78" t="s">
        <v>54</v>
      </c>
      <c r="T122" s="1432">
        <f>P122*Outils!$F$4</f>
        <v>4.3732831422505392</v>
      </c>
      <c r="U122" s="1432"/>
      <c r="V122" s="1432"/>
      <c r="W122" s="78" t="s">
        <v>64</v>
      </c>
      <c r="X122" s="84"/>
      <c r="AA122"/>
      <c r="AB122" s="83"/>
      <c r="AC122" s="11" t="s">
        <v>426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437"/>
      <c r="E123" s="1438"/>
      <c r="F123" s="1438"/>
      <c r="G123" s="1438"/>
      <c r="H123" s="1431" t="str" cm="1">
        <f t="array" ref="H123">angleDecimal2Txt(H121)</f>
        <v>+00°39.79 (+00.6632) [+00°39'47.78]</v>
      </c>
      <c r="I123" s="1431"/>
      <c r="J123" s="1431"/>
      <c r="K123" s="1431"/>
      <c r="L123" s="1431"/>
      <c r="N123" s="1432" t="s">
        <v>41</v>
      </c>
      <c r="O123" s="1432"/>
      <c r="P123" s="1432">
        <f>H117</f>
        <v>29.023955618015801</v>
      </c>
      <c r="Q123" s="1432"/>
      <c r="R123" s="1432"/>
      <c r="S123" s="78" t="s">
        <v>54</v>
      </c>
      <c r="T123" s="1432">
        <f>P123*Outils!$F$4</f>
        <v>0.50656358748708141</v>
      </c>
      <c r="U123" s="1432"/>
      <c r="V123" s="1432"/>
      <c r="W123" s="78" t="s">
        <v>64</v>
      </c>
      <c r="AA123"/>
      <c r="AB123" s="83"/>
      <c r="AC123" t="s">
        <v>427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 t="s">
        <v>428</v>
      </c>
      <c r="AD124">
        <f>COS(T123)</f>
        <v>0.87441692965898243</v>
      </c>
      <c r="AE124"/>
      <c r="AF124"/>
      <c r="AL124" s="77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/>
      <c r="B125"/>
      <c r="C125"/>
      <c r="D125"/>
      <c r="E125" s="84"/>
      <c r="F125" s="59"/>
      <c r="G125" s="84"/>
      <c r="H125" s="84"/>
      <c r="I125" s="84"/>
      <c r="J125" s="84"/>
      <c r="K125" s="84"/>
      <c r="L125" s="84"/>
      <c r="M125" s="1441"/>
      <c r="N125" s="1441"/>
      <c r="O125" s="84"/>
      <c r="P125" s="1441"/>
      <c r="Q125" s="1441"/>
      <c r="R125" s="1441"/>
      <c r="S125" s="1441"/>
      <c r="T125" s="1441"/>
      <c r="U125" s="1441"/>
      <c r="V125" s="84"/>
      <c r="W125" s="1441"/>
      <c r="X125" s="1441"/>
      <c r="Y125" s="1441"/>
      <c r="Z125" s="84"/>
      <c r="AA125"/>
      <c r="AB125" s="83"/>
      <c r="AC125" s="11" t="s">
        <v>429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77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/>
      <c r="B126"/>
      <c r="C126"/>
      <c r="D126"/>
      <c r="E126" s="59"/>
      <c r="F126" s="59"/>
      <c r="G126" s="84"/>
      <c r="H126" s="1441"/>
      <c r="I126" s="1441"/>
      <c r="J126" s="84"/>
      <c r="K126" s="1441"/>
      <c r="L126" s="1441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/>
      <c r="AB126" s="83"/>
      <c r="AD126"/>
      <c r="AE126"/>
      <c r="AF126"/>
      <c r="AL126" s="77"/>
      <c r="AZ126"/>
      <c r="BA126"/>
      <c r="BB126"/>
      <c r="BC126"/>
      <c r="BD126"/>
      <c r="BE126"/>
      <c r="BF126"/>
      <c r="BG126"/>
    </row>
    <row r="127" spans="1:59" s="16" customFormat="1" ht="17.25" customHeight="1">
      <c r="A127"/>
      <c r="B127"/>
      <c r="C127"/>
      <c r="D127"/>
      <c r="H127" s="1441"/>
      <c r="I127" s="1441"/>
      <c r="J127" s="84"/>
      <c r="K127" s="1441"/>
      <c r="L127" s="1441"/>
      <c r="M127" s="84"/>
      <c r="N127" s="1441"/>
      <c r="O127" s="1441"/>
      <c r="P127" s="1441"/>
      <c r="Q127" s="1441"/>
      <c r="R127" s="1441"/>
      <c r="S127" s="1441"/>
      <c r="T127" s="1441"/>
      <c r="U127" s="84"/>
      <c r="V127" s="84"/>
      <c r="W127" s="84"/>
      <c r="X127" s="84"/>
      <c r="Y127" s="84"/>
      <c r="Z127" s="84"/>
      <c r="AA127"/>
      <c r="AB127" s="83"/>
      <c r="AC127"/>
      <c r="AD127"/>
      <c r="AE127"/>
      <c r="AF127"/>
      <c r="AL127" s="77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441"/>
      <c r="I128" s="1441"/>
      <c r="J128" s="1441"/>
      <c r="K128" s="1441"/>
      <c r="L128" s="1441"/>
      <c r="M128" s="84"/>
      <c r="N128" s="84"/>
      <c r="O128" s="84"/>
      <c r="P128" s="84"/>
      <c r="Q128" s="84"/>
      <c r="R128" s="84"/>
      <c r="S128" s="1441"/>
      <c r="T128" s="1441"/>
      <c r="U128" s="1441"/>
      <c r="V128" s="1441"/>
      <c r="W128" s="1441"/>
      <c r="X128" s="1441"/>
      <c r="Y128" s="84"/>
      <c r="Z128" s="84"/>
      <c r="AA128"/>
      <c r="AB128" s="83"/>
      <c r="AC128"/>
      <c r="AD128"/>
      <c r="AE128"/>
      <c r="AF128"/>
      <c r="AL128" s="77"/>
    </row>
    <row r="129" spans="2:65" s="16" customFormat="1" ht="17.25" customHeight="1" thickBot="1">
      <c r="C129" s="59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  <c r="AA129"/>
      <c r="AB129" s="83"/>
      <c r="AC129"/>
      <c r="AD129"/>
      <c r="AE129"/>
      <c r="AF129"/>
      <c r="AL129" s="77"/>
    </row>
    <row r="130" spans="2:65" customFormat="1" ht="15.75" thickBot="1">
      <c r="B130" s="109" t="s">
        <v>525</v>
      </c>
      <c r="C130" s="110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1"/>
    </row>
    <row r="131" spans="2:65" customFormat="1" ht="15">
      <c r="K131" s="92"/>
      <c r="L131" s="92"/>
    </row>
    <row r="132" spans="2:65" customFormat="1" ht="15">
      <c r="B132" s="1279" t="s">
        <v>1</v>
      </c>
      <c r="C132" s="1279"/>
      <c r="D132" s="1279" t="str">
        <f>E7</f>
        <v>20/10/2029</v>
      </c>
      <c r="E132" s="1279"/>
      <c r="F132" s="1279"/>
      <c r="G132" s="1279"/>
      <c r="H132" s="232" t="s">
        <v>2</v>
      </c>
      <c r="I132" s="1279" t="str">
        <f>G7</f>
        <v>18:48:30.00(18.8083)</v>
      </c>
      <c r="J132" s="1279"/>
      <c r="K132" s="1279"/>
      <c r="L132" s="1279"/>
    </row>
    <row r="133" spans="2:65" customFormat="1" ht="15">
      <c r="B133" s="1280" t="s">
        <v>30</v>
      </c>
      <c r="C133" s="1280"/>
      <c r="D133" s="1332" t="s">
        <v>422</v>
      </c>
      <c r="E133" s="1332"/>
      <c r="F133" s="1332"/>
      <c r="G133" s="1332"/>
      <c r="H133" s="226"/>
      <c r="I133" s="226"/>
      <c r="J133" s="226"/>
      <c r="K133" s="226"/>
      <c r="L133" s="226"/>
      <c r="AA133" s="223"/>
    </row>
    <row r="134" spans="2:65" customFormat="1" ht="15">
      <c r="B134" s="222"/>
      <c r="C134" s="222"/>
      <c r="D134" s="225"/>
      <c r="E134" s="222"/>
      <c r="AA134" s="223"/>
    </row>
    <row r="135" spans="2:65" s="92" customFormat="1" ht="17.25" customHeight="1" thickBot="1">
      <c r="B135" s="229" t="s">
        <v>386</v>
      </c>
      <c r="C135" s="229"/>
      <c r="D135" s="229"/>
      <c r="E135" s="229"/>
      <c r="F135" s="228"/>
      <c r="G135" s="228"/>
      <c r="H135" s="227"/>
      <c r="I135" s="227"/>
      <c r="J135" s="227"/>
      <c r="K135" s="227"/>
      <c r="L135" s="227"/>
      <c r="M135" s="227"/>
      <c r="N135" s="227"/>
      <c r="O135" s="227"/>
      <c r="P135" s="227"/>
      <c r="Q135" s="227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 thickTop="1">
      <c r="C136" s="1282" t="s">
        <v>387</v>
      </c>
      <c r="D136" s="1282"/>
      <c r="E136" s="1282" t="str" cm="1">
        <f t="array" ref="E136">angleDecimal2Txt(angleConvert2Decimal(M17))</f>
        <v>+28°55.00 (+28.9166) [+28°55'00.00]</v>
      </c>
      <c r="F136" s="1282"/>
      <c r="G136" s="1282"/>
      <c r="H136" s="1282"/>
      <c r="I136" s="1282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C137" s="1284" t="s">
        <v>388</v>
      </c>
      <c r="D137" s="1284"/>
      <c r="E137" s="1285" t="str" cm="1">
        <f t="array" ref="E137">angleDecimal2Txt(angleConvert2Decimal(M16))</f>
        <v>+00°00.00 (+00.0000) [+00°00'00.00]</v>
      </c>
      <c r="F137" s="1285"/>
      <c r="G137" s="1285"/>
      <c r="H137" s="1285"/>
      <c r="I137" s="1285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C138" s="1279" t="s">
        <v>389</v>
      </c>
      <c r="D138" s="1279"/>
      <c r="E138" s="1286" t="str">
        <f>CONCATENATE(M15, " m")</f>
        <v>5.28 m</v>
      </c>
      <c r="F138" s="1286"/>
      <c r="G138" s="1286"/>
      <c r="H138" s="1286"/>
      <c r="I138" s="1286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E139" s="1287" t="str" cm="1">
        <f t="array" ref="E139">angleDecimal2Txt(O75)</f>
        <v>+28°50.96 (+28.8493) [+28°50'57.62]</v>
      </c>
      <c r="F139" s="1287"/>
      <c r="G139" s="1287"/>
      <c r="H139" s="1287"/>
      <c r="I139" s="1287"/>
      <c r="J139" s="1287" t="s">
        <v>391</v>
      </c>
      <c r="K139" s="1287"/>
      <c r="L139" s="1287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E140" s="230"/>
      <c r="F140" s="1288" t="s">
        <v>389</v>
      </c>
      <c r="G140" s="1289"/>
      <c r="H140" s="1290" t="str" cm="1">
        <f t="array" ref="H140">angleDecimal2Txt(O73)</f>
        <v>+00°04.03 (+00.0673) [+00°04'02.37]</v>
      </c>
      <c r="I140" s="1290"/>
      <c r="J140" s="1290"/>
      <c r="K140" s="1290"/>
      <c r="L140" s="1290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F141" s="1288" t="s">
        <v>396</v>
      </c>
      <c r="G141" s="1289"/>
      <c r="H141" s="1298" t="str" cm="1">
        <f t="array" ref="H141">angleDecimal2Txt(O85)</f>
        <v>+00°01.79 (+00.0299) [+00°01'47.85]</v>
      </c>
      <c r="I141" s="1299"/>
      <c r="J141" s="1299"/>
      <c r="K141" s="1299"/>
      <c r="L141" s="1300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D142" s="224"/>
      <c r="E142" s="1287" t="str" cm="1">
        <f t="array" ref="E142">angleDecimal2Txt(F68)</f>
        <v>+28°49.16 (+28.8193) [+28°49'09.76]</v>
      </c>
      <c r="F142" s="1287"/>
      <c r="G142" s="1287"/>
      <c r="H142" s="1287"/>
      <c r="I142" s="1287"/>
      <c r="J142" s="1287" t="s">
        <v>390</v>
      </c>
      <c r="K142" s="1287"/>
      <c r="L142" s="1287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>
      <c r="D143" s="224"/>
      <c r="F143" s="1291" t="str" cm="1">
        <f t="array" ref="F143">angleDecimal2Txt(O80-O85-O73)</f>
        <v>-00°05.83 (-00.0972) [-00°05'50.23]</v>
      </c>
      <c r="G143" s="1291"/>
      <c r="H143" s="1291"/>
      <c r="I143" s="1291"/>
      <c r="J143" s="1291"/>
      <c r="K143" s="1291" t="s">
        <v>398</v>
      </c>
      <c r="L143" s="1291"/>
      <c r="M143" s="1291"/>
      <c r="N143" s="1292" t="s">
        <v>413</v>
      </c>
      <c r="O143" s="1292"/>
      <c r="P143" s="1292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>
      <c r="D144" s="224"/>
      <c r="F144" s="1291" t="str" cm="1">
        <f t="array" ref="F144">angleDecimal2Txt(O80-O85-O73+O89)</f>
        <v>-00°05.83 (-00.0972) [-00°05'50.23]</v>
      </c>
      <c r="G144" s="1291"/>
      <c r="H144" s="1291"/>
      <c r="I144" s="1291"/>
      <c r="J144" s="1291"/>
      <c r="K144" s="1291" t="s">
        <v>394</v>
      </c>
      <c r="L144" s="1291"/>
      <c r="M144" s="1291"/>
      <c r="N144" s="1292"/>
      <c r="O144" s="1292"/>
      <c r="P144" s="1292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92" customFormat="1" ht="17.25" customHeight="1">
      <c r="D145" s="224"/>
      <c r="F145" s="1291" t="str" cm="1">
        <f t="array" ref="F145">angleDecimal2Txt(O80-O85+O89)</f>
        <v>-00°01.79 (-00.0299) [-00°01'47.85]</v>
      </c>
      <c r="G145" s="1291"/>
      <c r="H145" s="1291"/>
      <c r="I145" s="1291"/>
      <c r="J145" s="1291"/>
      <c r="K145" s="1291" t="s">
        <v>395</v>
      </c>
      <c r="L145" s="1291"/>
      <c r="M145" s="1291"/>
      <c r="N145" s="1292"/>
      <c r="O145" s="1292"/>
      <c r="P145" s="1292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92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92" customFormat="1" ht="17.25" customHeight="1">
      <c r="C147" s="224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92" customFormat="1" ht="17.25" customHeight="1" thickBot="1">
      <c r="B148" s="227" t="s">
        <v>62</v>
      </c>
      <c r="C148" s="228"/>
      <c r="D148" s="228"/>
      <c r="E148" s="228"/>
      <c r="F148" s="228"/>
      <c r="G148" s="228"/>
      <c r="H148" s="227"/>
      <c r="I148" s="227"/>
      <c r="J148" s="227"/>
      <c r="K148" s="227"/>
      <c r="L148" s="227"/>
      <c r="M148" s="227"/>
      <c r="N148" s="227"/>
      <c r="O148" s="227"/>
      <c r="P148" s="227"/>
      <c r="Q148" s="227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92" customFormat="1" ht="17.25" customHeight="1" thickTop="1">
      <c r="C149" s="1293" t="s">
        <v>399</v>
      </c>
      <c r="D149" s="1293"/>
      <c r="E149" s="1293" t="str" cm="1">
        <f t="array" ref="E149">latitudeDecimal2Txt(F24)</f>
        <v>N 29°05.00 (N 29.0833) [N 29°05'00.00]</v>
      </c>
      <c r="F149" s="1293"/>
      <c r="G149" s="1293"/>
      <c r="H149" s="1293"/>
      <c r="I149" s="1293"/>
      <c r="J149" s="1293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92" customFormat="1" ht="17.25" customHeight="1">
      <c r="C150" s="1283" t="s">
        <v>400</v>
      </c>
      <c r="D150" s="1283"/>
      <c r="E150" s="1283" t="str" cm="1">
        <f t="array" ref="E150">longitudeDecimal2Txt(F29)</f>
        <v>W 12°30.00 (W 12.5000) [W 12°30'00.00]</v>
      </c>
      <c r="F150" s="1283"/>
      <c r="G150" s="1283"/>
      <c r="H150" s="1283"/>
      <c r="I150" s="1283"/>
      <c r="J150" s="1283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92" customFormat="1" ht="17.25" customHeight="1">
      <c r="F151" s="1492" t="s">
        <v>424</v>
      </c>
      <c r="G151" s="1494" t="str">
        <f>CONCATENATE(" -",G43)</f>
        <v xml:space="preserve"> -Par interval</v>
      </c>
      <c r="H151" s="1291">
        <f>IF(G43=AD43,M47,CONCATENATE("T0:",M55))</f>
        <v>18</v>
      </c>
      <c r="I151" s="1291"/>
      <c r="J151" s="1291"/>
      <c r="K151" s="1291" t="str" cm="1">
        <f t="array" ref="K151">IF(G43=AD43,angleDecimal2Txt(AE46,0),CONCATENATE("Pos. à T0:",angleDecimal2Txt(AD54,0)))</f>
        <v>+299°29.00</v>
      </c>
      <c r="L151" s="1291"/>
      <c r="M151" s="1291"/>
      <c r="AB151" s="61"/>
      <c r="AC151" s="238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92" customFormat="1" ht="17.25" customHeight="1">
      <c r="F152" s="1493"/>
      <c r="G152" s="1495"/>
      <c r="H152" s="1291" cm="1">
        <f t="array" ref="H152">IF(G43=AD43,M49,CONCATENATE("V:",angleDecimal2Txt(AD56,0)))</f>
        <v>19</v>
      </c>
      <c r="I152" s="1291"/>
      <c r="J152" s="1291"/>
      <c r="K152" s="1291" t="str" cm="1">
        <f t="array" ref="K152">IF(G43=AD43,angleDecimal2Txt(AE47,0),CONCATENATE("dt:",TEXT((I55-M55),"0.000")," h"))</f>
        <v>+314°31.39</v>
      </c>
      <c r="L152" s="1291"/>
      <c r="M152" s="1291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92" customFormat="1" ht="17.25" customHeight="1">
      <c r="C153" s="1232" t="s">
        <v>425</v>
      </c>
      <c r="D153" s="1232"/>
      <c r="E153" s="1232" t="str" cm="1">
        <f t="array" ref="E153">angleDecimal2Txt(F42,0)</f>
        <v>+311°38.44</v>
      </c>
      <c r="F153" s="1232"/>
      <c r="G153" s="1232"/>
      <c r="H153" s="1232"/>
      <c r="I153" s="1232"/>
      <c r="J153" s="1232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92" customFormat="1" ht="17.25" customHeight="1">
      <c r="C154" s="1342" t="s">
        <v>449</v>
      </c>
      <c r="D154" s="1345"/>
      <c r="E154" s="1232" t="str" cm="1">
        <f t="array" ref="E154">angleDecimal2Txt(F38,0)</f>
        <v>+311°25.80</v>
      </c>
      <c r="F154" s="1232"/>
      <c r="G154" s="1232"/>
      <c r="H154" s="1232"/>
      <c r="I154" s="1232"/>
      <c r="J154" s="1232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92" customFormat="1" ht="17.25" customHeight="1">
      <c r="C155" s="1342" t="s">
        <v>438</v>
      </c>
      <c r="D155" s="1345"/>
      <c r="E155" s="1232" t="str" cm="1">
        <f t="array" ref="E155">angleDecimal2Txt(F59,0)</f>
        <v>+263°04.24</v>
      </c>
      <c r="F155" s="1232"/>
      <c r="G155" s="1232"/>
      <c r="H155" s="1232"/>
      <c r="I155" s="1232"/>
      <c r="J155" s="1232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92" customFormat="1" ht="17.25" customHeight="1">
      <c r="C156" s="1232" t="s">
        <v>437</v>
      </c>
      <c r="D156" s="1232"/>
      <c r="E156" s="1232" t="str" cm="1">
        <f t="array" ref="E156">angleDecimal2Txt(F64,0)</f>
        <v>+250°34.24</v>
      </c>
      <c r="F156" s="1232"/>
      <c r="G156" s="1232"/>
      <c r="H156" s="1232"/>
      <c r="I156" s="1232"/>
      <c r="J156" s="1232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92" customFormat="1" ht="17.25" customHeight="1">
      <c r="C157" s="1232" t="s">
        <v>9</v>
      </c>
      <c r="D157" s="1232"/>
      <c r="E157" s="1232" t="str" cm="1">
        <f t="array" ref="E157">angleDecimal2Txt(F33,0)</f>
        <v>+89°23.10</v>
      </c>
      <c r="F157" s="1232"/>
      <c r="G157" s="1232"/>
      <c r="H157" s="1232"/>
      <c r="I157" s="1232"/>
      <c r="J157" s="1232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92" customFormat="1" ht="17.25" customHeight="1">
      <c r="F158" s="1487" t="s">
        <v>442</v>
      </c>
      <c r="G158" s="1487"/>
      <c r="H158" s="1487"/>
      <c r="I158" s="1487"/>
      <c r="J158" s="1487"/>
      <c r="K158" s="1487"/>
      <c r="L158" s="1487"/>
      <c r="M158" s="1487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92" customFormat="1" ht="17.25" customHeight="1">
      <c r="F159" s="1291" t="s">
        <v>443</v>
      </c>
      <c r="G159" s="1291"/>
      <c r="H159" s="1291"/>
      <c r="I159" s="1291" t="str" cm="1">
        <f t="array" ref="I159">angleDecimal2Txt(H109,0)</f>
        <v>+00°36.89</v>
      </c>
      <c r="J159" s="1291"/>
      <c r="K159" s="1291"/>
      <c r="L159" s="1291"/>
      <c r="M159" s="1291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92" customFormat="1" ht="17.25" customHeight="1">
      <c r="F160" s="1291" t="s">
        <v>444</v>
      </c>
      <c r="G160" s="1291"/>
      <c r="H160" s="1291"/>
      <c r="I160" s="1291" t="str" cm="1">
        <f t="array" ref="I160">angleDecimal2Txt(H113)</f>
        <v>+00°12.27 (+00.2045) [+00°12'16.47]</v>
      </c>
      <c r="J160" s="1291"/>
      <c r="K160" s="1291"/>
      <c r="L160" s="1291"/>
      <c r="M160" s="1291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92" customFormat="1" ht="17.25" customHeight="1">
      <c r="F161" s="1487" t="s">
        <v>446</v>
      </c>
      <c r="G161" s="1487"/>
      <c r="H161" s="1487"/>
      <c r="I161" s="1487"/>
      <c r="J161" s="1487"/>
      <c r="K161" s="1487"/>
      <c r="L161" s="1487"/>
      <c r="M161" s="1487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92" customFormat="1" ht="17.25" customHeight="1">
      <c r="F162" s="1487" t="s">
        <v>445</v>
      </c>
      <c r="G162" s="1487"/>
      <c r="H162" s="1487"/>
      <c r="I162" s="1487"/>
      <c r="J162" s="1487"/>
      <c r="K162" s="1487"/>
      <c r="L162" s="1487"/>
      <c r="M162" s="1487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92" customFormat="1" ht="17.25" customHeight="1">
      <c r="C163" s="1297" t="s">
        <v>41</v>
      </c>
      <c r="D163" s="1297"/>
      <c r="E163" s="1297" t="str" cm="1">
        <f t="array" ref="E163">latitudeDecimal2Txt(H117)</f>
        <v>N 29°01.43 (N 29.0239) [N 29°01'26.24]</v>
      </c>
      <c r="F163" s="1490"/>
      <c r="G163" s="1490"/>
      <c r="H163" s="1490"/>
      <c r="I163" s="1490"/>
      <c r="J163" s="1490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92" customFormat="1" ht="17.25" customHeight="1">
      <c r="C164" s="1488" t="s">
        <v>448</v>
      </c>
      <c r="D164" s="1489"/>
      <c r="E164" s="1396" t="str" cm="1">
        <f t="array" ref="E164">angleDecimal2Txt(H121,0)</f>
        <v>+00°39.79</v>
      </c>
      <c r="F164" s="1491"/>
      <c r="G164" s="1491"/>
      <c r="H164" s="1491"/>
      <c r="I164" s="1491"/>
      <c r="J164" s="1403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8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6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8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6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7"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D121:G123"/>
    <mergeCell ref="T118:V118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43:F43"/>
    <mergeCell ref="G43:I43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E22:H23"/>
    <mergeCell ref="F24:H25"/>
    <mergeCell ref="I24:I25"/>
    <mergeCell ref="J24:N25"/>
    <mergeCell ref="O24:X25"/>
    <mergeCell ref="J29:N30"/>
    <mergeCell ref="O29:X30"/>
    <mergeCell ref="F53:H54"/>
    <mergeCell ref="I53:L54"/>
    <mergeCell ref="M53:O54"/>
    <mergeCell ref="P53:T54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H115:L115"/>
    <mergeCell ref="N111:O111"/>
    <mergeCell ref="P111:R111"/>
    <mergeCell ref="T111:V111"/>
    <mergeCell ref="H109:L110"/>
    <mergeCell ref="H121:L122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F51:K51"/>
    <mergeCell ref="H123:L123"/>
    <mergeCell ref="N122:O122"/>
    <mergeCell ref="P122:R122"/>
    <mergeCell ref="T122:V122"/>
    <mergeCell ref="N123:O123"/>
    <mergeCell ref="P123:R123"/>
    <mergeCell ref="T123:V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10:O110"/>
    <mergeCell ref="P110:R110"/>
    <mergeCell ref="T110:V110"/>
    <mergeCell ref="H111:L111"/>
    <mergeCell ref="N113:W113"/>
    <mergeCell ref="N117:W117"/>
    <mergeCell ref="N118:O118"/>
    <mergeCell ref="P118:R118"/>
  </mergeCells>
  <dataValidations disablePrompts="1"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829D-7371-4254-8CFB-77D45FE44937}">
  <sheetPr codeName="Sheet7"/>
  <dimension ref="A1:N96"/>
  <sheetViews>
    <sheetView topLeftCell="B49" workbookViewId="0">
      <selection activeCell="M87" sqref="M87"/>
    </sheetView>
  </sheetViews>
  <sheetFormatPr defaultRowHeight="15"/>
  <cols>
    <col min="1" max="1" width="13.5703125" customWidth="1"/>
    <col min="3" max="4" width="3.5703125" customWidth="1"/>
    <col min="5" max="5" width="12" customWidth="1"/>
    <col min="6" max="6" width="16.85546875" customWidth="1"/>
    <col min="7" max="7" width="18" customWidth="1"/>
    <col min="8" max="8" width="32.140625" customWidth="1"/>
    <col min="9" max="9" width="25.140625" customWidth="1"/>
    <col min="10" max="10" width="32.42578125" customWidth="1"/>
    <col min="12" max="12" width="18" customWidth="1"/>
    <col min="13" max="13" width="12.42578125" customWidth="1"/>
    <col min="14" max="14" width="30.42578125" customWidth="1"/>
  </cols>
  <sheetData>
    <row r="1" spans="1:14" ht="29.25" customHeight="1">
      <c r="A1" s="1497" t="s">
        <v>647</v>
      </c>
      <c r="B1" s="1497"/>
      <c r="C1" s="1496" t="s">
        <v>708</v>
      </c>
      <c r="D1" s="1496"/>
      <c r="E1" s="1496"/>
      <c r="F1" s="1496"/>
      <c r="G1" s="1496"/>
      <c r="H1" s="1496"/>
      <c r="I1" s="1496"/>
      <c r="J1" s="1496"/>
      <c r="K1" s="1496"/>
      <c r="L1" s="1496"/>
      <c r="M1" s="1496"/>
      <c r="N1" s="1496"/>
    </row>
    <row r="2" spans="1:14">
      <c r="B2" t="s">
        <v>648</v>
      </c>
      <c r="D2" s="458" t="s">
        <v>715</v>
      </c>
      <c r="E2" s="458"/>
      <c r="F2" s="458"/>
      <c r="G2" s="458"/>
      <c r="H2" s="458"/>
      <c r="I2" s="458"/>
      <c r="J2" s="458"/>
      <c r="K2" s="458"/>
      <c r="L2" s="458"/>
      <c r="M2" s="458"/>
      <c r="N2" s="458"/>
    </row>
    <row r="3" spans="1:14">
      <c r="E3" s="447" t="s">
        <v>709</v>
      </c>
      <c r="F3" s="447" t="s">
        <v>710</v>
      </c>
      <c r="G3" s="447"/>
      <c r="H3" s="447"/>
      <c r="I3" s="447"/>
      <c r="J3" s="447"/>
      <c r="K3" s="447"/>
      <c r="L3" s="447"/>
      <c r="M3" s="447"/>
      <c r="N3" s="447"/>
    </row>
    <row r="4" spans="1:14">
      <c r="E4" s="447" t="s">
        <v>711</v>
      </c>
      <c r="F4" s="447" t="s">
        <v>712</v>
      </c>
      <c r="G4" s="447"/>
      <c r="H4" s="447"/>
      <c r="I4" s="447"/>
      <c r="J4" s="447"/>
      <c r="K4" s="447"/>
      <c r="L4" s="447"/>
      <c r="M4" s="447"/>
      <c r="N4" s="447"/>
    </row>
    <row r="5" spans="1:14">
      <c r="E5" s="447" t="s">
        <v>713</v>
      </c>
      <c r="F5" s="447" t="s">
        <v>714</v>
      </c>
      <c r="G5" s="447"/>
      <c r="H5" s="447"/>
      <c r="I5" s="447"/>
      <c r="J5" s="447"/>
      <c r="K5" s="447"/>
      <c r="L5" s="447"/>
      <c r="M5" s="447"/>
      <c r="N5" s="447"/>
    </row>
    <row r="7" spans="1:14">
      <c r="D7" s="458" t="s">
        <v>716</v>
      </c>
      <c r="E7" s="458"/>
      <c r="F7" s="458"/>
      <c r="G7" s="458"/>
      <c r="H7" s="458"/>
      <c r="I7" s="458"/>
      <c r="J7" s="458"/>
      <c r="K7" s="458"/>
      <c r="L7" s="458"/>
      <c r="M7" s="458"/>
      <c r="N7" s="458"/>
    </row>
    <row r="8" spans="1:14">
      <c r="B8" t="s">
        <v>649</v>
      </c>
      <c r="E8" s="447" t="s">
        <v>650</v>
      </c>
      <c r="F8" s="447"/>
      <c r="G8" s="447"/>
      <c r="H8" s="447"/>
      <c r="I8" s="447"/>
      <c r="J8" s="447"/>
      <c r="K8" s="447"/>
      <c r="L8" s="447"/>
      <c r="M8" s="447"/>
      <c r="N8" s="447"/>
    </row>
    <row r="9" spans="1:14">
      <c r="E9" s="447" t="s">
        <v>651</v>
      </c>
      <c r="F9" s="447"/>
      <c r="G9" s="447"/>
      <c r="H9" s="447"/>
      <c r="I9" s="447"/>
      <c r="J9" s="447"/>
      <c r="K9" s="447"/>
      <c r="L9" s="447"/>
      <c r="M9" s="447"/>
      <c r="N9" s="447"/>
    </row>
    <row r="10" spans="1:14">
      <c r="E10" s="447" t="s">
        <v>652</v>
      </c>
      <c r="F10" s="447"/>
      <c r="G10" s="447"/>
      <c r="H10" s="447"/>
      <c r="I10" s="447"/>
      <c r="J10" s="447"/>
      <c r="K10" s="447"/>
      <c r="L10" s="447"/>
      <c r="M10" s="447"/>
      <c r="N10" s="447"/>
    </row>
    <row r="12" spans="1:14">
      <c r="D12" s="459" t="s">
        <v>721</v>
      </c>
      <c r="E12" s="460"/>
      <c r="F12" s="460"/>
      <c r="G12" s="460"/>
      <c r="H12" s="460"/>
      <c r="I12" s="460"/>
      <c r="J12" s="460"/>
      <c r="K12" s="460"/>
      <c r="L12" s="460"/>
      <c r="M12" s="460"/>
      <c r="N12" s="460"/>
    </row>
    <row r="13" spans="1:14">
      <c r="B13" t="s">
        <v>653</v>
      </c>
      <c r="E13" s="461" t="s">
        <v>717</v>
      </c>
      <c r="F13" s="461"/>
      <c r="G13" s="448"/>
      <c r="H13" s="448"/>
      <c r="I13" s="448"/>
      <c r="J13" s="448"/>
      <c r="K13" s="448"/>
      <c r="L13" s="448"/>
      <c r="M13" s="448"/>
      <c r="N13" s="448"/>
    </row>
    <row r="14" spans="1:14">
      <c r="E14" s="452"/>
      <c r="F14" s="449" t="s">
        <v>60</v>
      </c>
      <c r="G14" s="449"/>
      <c r="H14" s="449"/>
      <c r="I14" s="448"/>
      <c r="J14" s="448"/>
      <c r="K14" s="448"/>
      <c r="L14" s="448"/>
      <c r="M14" s="448"/>
      <c r="N14" s="448"/>
    </row>
    <row r="15" spans="1:14" ht="18" customHeight="1">
      <c r="E15" s="452"/>
      <c r="F15" s="450" t="s">
        <v>719</v>
      </c>
      <c r="G15" s="454" t="s">
        <v>718</v>
      </c>
      <c r="H15" s="449"/>
      <c r="I15" s="448"/>
      <c r="J15" s="448"/>
      <c r="K15" s="448"/>
      <c r="L15" s="448"/>
      <c r="M15" s="448"/>
      <c r="N15" s="448"/>
    </row>
    <row r="16" spans="1:14" ht="18" customHeight="1">
      <c r="E16" s="452"/>
      <c r="F16" s="450"/>
      <c r="G16" s="450" t="s">
        <v>719</v>
      </c>
      <c r="H16" s="455" t="s">
        <v>720</v>
      </c>
      <c r="I16" s="448"/>
      <c r="J16" s="448"/>
      <c r="K16" s="448"/>
      <c r="L16" s="448"/>
      <c r="M16" s="448"/>
      <c r="N16" s="448"/>
    </row>
    <row r="17" spans="2:14" ht="18" customHeight="1">
      <c r="E17" s="452"/>
      <c r="F17" s="450"/>
      <c r="G17" s="451"/>
      <c r="H17" s="448"/>
      <c r="I17" s="448"/>
      <c r="J17" s="448"/>
      <c r="K17" s="448"/>
      <c r="L17" s="448"/>
      <c r="M17" s="448"/>
      <c r="N17" s="448"/>
    </row>
    <row r="18" spans="2:14" ht="18" customHeight="1">
      <c r="E18" s="461" t="s">
        <v>722</v>
      </c>
      <c r="F18" s="462"/>
      <c r="G18" s="451"/>
      <c r="H18" s="448"/>
      <c r="I18" s="448"/>
      <c r="J18" s="448"/>
      <c r="K18" s="448"/>
      <c r="L18" s="448"/>
      <c r="M18" s="448"/>
      <c r="N18" s="448"/>
    </row>
    <row r="19" spans="2:14">
      <c r="F19" s="453" t="s">
        <v>659</v>
      </c>
      <c r="G19" s="453"/>
      <c r="H19" s="453"/>
      <c r="I19" s="447"/>
      <c r="J19" s="447"/>
      <c r="K19" s="447"/>
      <c r="L19" s="447"/>
      <c r="M19" s="447"/>
      <c r="N19" s="447"/>
    </row>
    <row r="20" spans="2:14" ht="18" customHeight="1">
      <c r="F20" s="450" t="s">
        <v>719</v>
      </c>
      <c r="G20" s="456" t="s">
        <v>723</v>
      </c>
      <c r="H20" s="453"/>
      <c r="I20" s="447"/>
      <c r="J20" s="447"/>
      <c r="K20" s="447"/>
      <c r="L20" s="447"/>
      <c r="M20" s="447"/>
      <c r="N20" s="447"/>
    </row>
    <row r="21" spans="2:14">
      <c r="E21" s="463" t="s">
        <v>578</v>
      </c>
      <c r="F21" s="463"/>
      <c r="G21" s="447"/>
      <c r="H21" s="447"/>
      <c r="I21" s="447"/>
      <c r="J21" s="447"/>
      <c r="K21" s="447"/>
      <c r="L21" s="447"/>
      <c r="M21" s="447"/>
      <c r="N21" s="447"/>
    </row>
    <row r="22" spans="2:14">
      <c r="F22" s="447" t="s">
        <v>724</v>
      </c>
      <c r="G22" s="457" t="s">
        <v>725</v>
      </c>
      <c r="H22" s="447"/>
      <c r="I22" s="447"/>
      <c r="J22" s="447"/>
      <c r="K22" s="447"/>
      <c r="L22" s="447"/>
      <c r="M22" s="447"/>
      <c r="N22" s="447"/>
    </row>
    <row r="23" spans="2:14">
      <c r="E23" s="463" t="s">
        <v>654</v>
      </c>
      <c r="F23" s="463"/>
      <c r="G23" s="447"/>
      <c r="H23" s="447"/>
      <c r="I23" s="447"/>
      <c r="J23" s="447"/>
      <c r="K23" s="447"/>
      <c r="L23" s="447"/>
      <c r="M23" s="447"/>
      <c r="N23" s="447"/>
    </row>
    <row r="24" spans="2:14">
      <c r="F24" s="447" t="s">
        <v>726</v>
      </c>
      <c r="G24" s="447"/>
      <c r="H24" s="447"/>
      <c r="I24" s="447"/>
      <c r="J24" s="447"/>
      <c r="K24" s="447"/>
      <c r="L24" s="447"/>
      <c r="M24" s="447"/>
      <c r="N24" s="447"/>
    </row>
    <row r="25" spans="2:14">
      <c r="F25" s="447" t="s">
        <v>655</v>
      </c>
      <c r="G25" s="447"/>
      <c r="H25" s="447"/>
      <c r="I25" s="447"/>
      <c r="J25" s="447"/>
      <c r="K25" s="447"/>
      <c r="L25" s="447"/>
      <c r="M25" s="447"/>
      <c r="N25" s="447"/>
    </row>
    <row r="26" spans="2:14" ht="15.75" thickBot="1"/>
    <row r="27" spans="2:14" ht="16.5" thickTop="1" thickBot="1">
      <c r="D27" s="1525" t="s">
        <v>656</v>
      </c>
      <c r="E27" s="1525"/>
      <c r="F27" s="1563" t="s">
        <v>734</v>
      </c>
      <c r="G27" s="1517" t="s">
        <v>389</v>
      </c>
      <c r="H27" s="310">
        <f>0.0293 * SQRT(F32)</f>
        <v>5.8599999999999999E-2</v>
      </c>
      <c r="I27" s="1557" t="str" cm="1">
        <f t="array" ref="I27">angleDecimal2Txt(H27)</f>
        <v>+00°03.51 (+00.0586) [+00°03'30.96]</v>
      </c>
    </row>
    <row r="28" spans="2:14" ht="15.75" thickTop="1">
      <c r="B28" s="1590" t="s">
        <v>745</v>
      </c>
      <c r="C28" s="1590"/>
      <c r="D28" s="1590"/>
      <c r="E28" s="1590"/>
      <c r="F28" s="1591">
        <v>0.58333333333333337</v>
      </c>
      <c r="G28" s="1517" t="s">
        <v>735</v>
      </c>
      <c r="H28" s="328" cm="1">
        <f t="array" ref="H28">dateConvert2Decimal(F27)</f>
        <v>1177286400</v>
      </c>
    </row>
    <row r="29" spans="2:14">
      <c r="B29" s="1592" t="s">
        <v>744</v>
      </c>
      <c r="C29" s="1592"/>
      <c r="D29" s="1592"/>
      <c r="E29" s="1592"/>
      <c r="F29" s="200"/>
      <c r="G29" s="310" t="s">
        <v>736</v>
      </c>
      <c r="H29" s="310" cm="1">
        <f t="array" ref="H29">dateTS2XLSDate(H28)</f>
        <v>39195</v>
      </c>
    </row>
    <row r="30" spans="2:14">
      <c r="B30" s="1593"/>
      <c r="C30" s="1593"/>
      <c r="D30" s="1590" t="s">
        <v>748</v>
      </c>
      <c r="E30" s="1590"/>
      <c r="F30" s="1594" t="s">
        <v>751</v>
      </c>
      <c r="G30" s="1517" t="s">
        <v>657</v>
      </c>
      <c r="H30" s="310">
        <f>MONTH(H29)</f>
        <v>4</v>
      </c>
    </row>
    <row r="31" spans="2:14" ht="15.75" thickBot="1">
      <c r="B31" s="1593"/>
      <c r="C31" s="1593"/>
      <c r="D31" s="1590" t="s">
        <v>749</v>
      </c>
      <c r="E31" s="1590"/>
      <c r="F31" s="1594" t="s">
        <v>750</v>
      </c>
      <c r="G31" s="1547" t="s">
        <v>742</v>
      </c>
      <c r="H31" s="310" cm="1">
        <f t="array" ref="H31">astroHPSoleilEnDegre()</f>
        <v>2.8833333333333302E-3</v>
      </c>
    </row>
    <row r="32" spans="2:14" ht="16.5" thickTop="1" thickBot="1">
      <c r="D32" s="1525" t="s">
        <v>753</v>
      </c>
      <c r="E32" s="1525"/>
      <c r="F32" s="198">
        <v>4</v>
      </c>
      <c r="G32" s="1517" t="s">
        <v>661</v>
      </c>
      <c r="H32" s="310" cm="1">
        <f t="array" ref="H32">astroDiametreSoleilEnDegre(H30)</f>
        <v>0.53333333299999997</v>
      </c>
      <c r="I32" s="1557" t="str" cm="1">
        <f t="array" ref="I32">angleDecimal2Txt(H32)</f>
        <v>+00°31.99 (+00.5333) [+00°31'59.99]</v>
      </c>
    </row>
    <row r="33" spans="3:14" ht="16.5" thickTop="1" thickBot="1">
      <c r="D33" s="1525" t="s">
        <v>732</v>
      </c>
      <c r="E33" s="1525"/>
      <c r="F33" s="198">
        <v>56.9</v>
      </c>
      <c r="G33" s="1547" t="s">
        <v>741</v>
      </c>
      <c r="H33" s="310">
        <f>F33/60</f>
        <v>0.94833333333333336</v>
      </c>
      <c r="K33" s="1526" t="s">
        <v>57</v>
      </c>
      <c r="L33">
        <v>0.5</v>
      </c>
      <c r="M33" s="1526" t="s">
        <v>738</v>
      </c>
      <c r="N33">
        <v>0.5</v>
      </c>
    </row>
    <row r="34" spans="3:14" ht="16.5" thickTop="1" thickBot="1">
      <c r="G34" s="1517" t="s">
        <v>662</v>
      </c>
      <c r="H34" s="310" cm="1">
        <f t="array" ref="H34">astroDiametreLuneEnDegre(F33/60)</f>
        <v>0.51763780940000004</v>
      </c>
      <c r="I34" s="1557" t="str" cm="1">
        <f t="array" ref="I34">angleDecimal2Txt(H34)</f>
        <v>+00°31.05 (+00.5176) [+00°31'03.49]</v>
      </c>
      <c r="K34" s="1526" t="s">
        <v>188</v>
      </c>
      <c r="L34">
        <v>-0.5</v>
      </c>
      <c r="M34" s="1526" t="s">
        <v>739</v>
      </c>
      <c r="N34">
        <v>-0.5</v>
      </c>
    </row>
    <row r="35" spans="3:14" ht="15.75" thickTop="1">
      <c r="G35" s="1561" t="s">
        <v>746</v>
      </c>
      <c r="H35" cm="1">
        <f t="array" ref="H35">angleConvert2Decimal(F30)</f>
        <v>49</v>
      </c>
      <c r="K35" s="1526" t="s">
        <v>58</v>
      </c>
      <c r="L35">
        <v>0</v>
      </c>
      <c r="M35" s="1526" t="s">
        <v>58</v>
      </c>
      <c r="N35">
        <v>0</v>
      </c>
    </row>
    <row r="36" spans="3:14" ht="15.75" thickBot="1">
      <c r="G36" s="1562" t="s">
        <v>747</v>
      </c>
      <c r="H36" cm="1">
        <f t="array" ref="H36">angleConvert2Decimal(F31)</f>
        <v>-8</v>
      </c>
    </row>
    <row r="37" spans="3:14" ht="16.5" thickTop="1" thickBot="1">
      <c r="G37" s="1561" t="s">
        <v>752</v>
      </c>
      <c r="H37">
        <f>12-H36/15.002</f>
        <v>12.533262231702439</v>
      </c>
      <c r="I37" s="1557" t="str" cm="1">
        <f t="array" ref="I37">heureDecimal2Txt(H37)</f>
        <v>12:31:59.74(12.5332)</v>
      </c>
    </row>
    <row r="38" spans="3:14" ht="16.5" thickTop="1" thickBot="1">
      <c r="C38" s="1518" t="s">
        <v>33</v>
      </c>
      <c r="D38" s="1518"/>
      <c r="E38" s="464" t="s">
        <v>60</v>
      </c>
      <c r="F38" s="199" t="s">
        <v>664</v>
      </c>
      <c r="G38" s="1519" cm="1">
        <f t="array" ref="G38">angleConvert2Decimal(F38)</f>
        <v>32.983333333333334</v>
      </c>
      <c r="H38" s="1519"/>
    </row>
    <row r="39" spans="3:14" ht="16.5" thickTop="1" thickBot="1">
      <c r="C39" s="1518"/>
      <c r="D39" s="1518"/>
      <c r="E39" s="464" t="s">
        <v>70</v>
      </c>
      <c r="F39" s="1527" t="s">
        <v>57</v>
      </c>
      <c r="G39" s="1519">
        <f>VLOOKUP(F39,$K$33:$L$35,2)</f>
        <v>0.5</v>
      </c>
      <c r="H39" s="1519"/>
      <c r="I39" s="440" t="s">
        <v>71</v>
      </c>
      <c r="J39" s="1557" t="str" cm="1">
        <f t="array" ref="J39">angleDecimal2Txt(K39)</f>
        <v>+00°15.52 (+00.2588) [+00°15'31.74]</v>
      </c>
      <c r="K39">
        <f>H34*G39</f>
        <v>0.25881890470000002</v>
      </c>
    </row>
    <row r="40" spans="3:14" ht="16.5" thickTop="1" thickBot="1">
      <c r="C40" s="1518" t="s">
        <v>737</v>
      </c>
      <c r="D40" s="1518"/>
      <c r="E40" s="464" t="s">
        <v>60</v>
      </c>
      <c r="F40" s="199" t="s">
        <v>663</v>
      </c>
      <c r="G40" s="1519" cm="1">
        <f t="array" ref="G40">angleConvert2Decimal(F40)</f>
        <v>49.674999999999997</v>
      </c>
      <c r="H40" s="1519"/>
    </row>
    <row r="41" spans="3:14" ht="16.5" thickTop="1" thickBot="1">
      <c r="C41" s="1518"/>
      <c r="D41" s="1518"/>
      <c r="E41" s="464" t="s">
        <v>70</v>
      </c>
      <c r="F41" s="1527" t="s">
        <v>57</v>
      </c>
      <c r="G41" s="1519">
        <f>VLOOKUP(F41,$K$33:$L$35,2)</f>
        <v>0.5</v>
      </c>
      <c r="H41" s="1519"/>
      <c r="I41" s="440" t="s">
        <v>71</v>
      </c>
      <c r="J41" s="1557" t="str" cm="1">
        <f t="array" ref="J41">angleDecimal2Txt(K41)</f>
        <v>+00°15.99 (+00.2666) [+00°15'59.99]</v>
      </c>
      <c r="K41">
        <f>H32*G41</f>
        <v>0.26666666649999998</v>
      </c>
    </row>
    <row r="42" spans="3:14" ht="15.75" thickTop="1">
      <c r="C42" s="1518" t="s">
        <v>659</v>
      </c>
      <c r="D42" s="1518"/>
      <c r="E42" s="464" t="s">
        <v>733</v>
      </c>
      <c r="F42" s="199" t="s">
        <v>660</v>
      </c>
      <c r="G42" s="1519" cm="1">
        <f t="array" ref="G42">angleConvert2Decimal(F42)</f>
        <v>81.825000000000003</v>
      </c>
      <c r="H42" s="1519"/>
    </row>
    <row r="43" spans="3:14">
      <c r="C43" s="1518"/>
      <c r="D43" s="1518"/>
      <c r="E43" s="464" t="s">
        <v>70</v>
      </c>
      <c r="F43" s="1527" t="s">
        <v>739</v>
      </c>
      <c r="G43" s="1519" cm="1">
        <f t="array" ref="G43">angleConvert2Decimal(F43)</f>
        <v>0</v>
      </c>
      <c r="H43" s="1519"/>
    </row>
    <row r="45" spans="3:14">
      <c r="E45" s="11"/>
    </row>
    <row r="47" spans="3:14">
      <c r="E47" s="442"/>
      <c r="F47" s="442"/>
      <c r="G47" s="1501" t="s">
        <v>33</v>
      </c>
      <c r="H47" s="1502"/>
      <c r="I47" s="1499" t="s">
        <v>31</v>
      </c>
      <c r="J47" s="1500"/>
      <c r="K47" s="1498" t="s">
        <v>658</v>
      </c>
      <c r="L47" s="1498"/>
      <c r="M47" s="1498"/>
      <c r="N47" s="1498"/>
    </row>
    <row r="48" spans="3:14" ht="15.75" thickBot="1">
      <c r="E48" s="1540" t="s">
        <v>60</v>
      </c>
      <c r="F48" s="1540"/>
      <c r="G48" s="1536">
        <f>G38</f>
        <v>32.983333333333334</v>
      </c>
      <c r="H48" s="1521"/>
      <c r="I48" s="1520">
        <f>G40</f>
        <v>49.674999999999997</v>
      </c>
      <c r="J48" s="1531"/>
      <c r="K48" s="1544" t="s">
        <v>659</v>
      </c>
      <c r="L48" s="1533">
        <f>G42</f>
        <v>81.825000000000003</v>
      </c>
      <c r="M48" s="1520"/>
      <c r="N48" s="1520"/>
    </row>
    <row r="49" spans="1:14" ht="16.5" thickTop="1" thickBot="1">
      <c r="E49" s="1564" t="s">
        <v>72</v>
      </c>
      <c r="F49" s="1551" t="s">
        <v>754</v>
      </c>
      <c r="G49" s="1567">
        <f>H34*G39-H27</f>
        <v>0.20021890470000003</v>
      </c>
      <c r="H49" s="1577" t="str" cm="1">
        <f t="array" ref="H49">angleDecimal2Txt(G49)</f>
        <v>+00°12.01 (+00.2002) [+00°12'00.78]</v>
      </c>
      <c r="I49" s="1568">
        <f>G41*H32-H27</f>
        <v>0.2080666665</v>
      </c>
      <c r="J49" s="1578" t="str" cm="1">
        <f t="array" ref="J49">angleDecimal2Txt(I49)</f>
        <v>+00°12.48 (+00.2080) [+00°12'29.03]</v>
      </c>
      <c r="K49" s="1544"/>
      <c r="L49" s="1569" t="s">
        <v>676</v>
      </c>
      <c r="M49" s="1572">
        <f>L48*Outils!$F$4</f>
        <v>1.4281156604443601</v>
      </c>
      <c r="N49" s="1573"/>
    </row>
    <row r="50" spans="1:14" ht="16.5" thickTop="1" thickBot="1">
      <c r="E50" s="1565"/>
      <c r="F50" s="1542" t="s">
        <v>666</v>
      </c>
      <c r="G50" s="1537">
        <f>G48+G49</f>
        <v>33.183552238033336</v>
      </c>
      <c r="H50" s="1523" t="str" cm="1">
        <f t="array" ref="H50">angleDecimal2Txt(G50)</f>
        <v>+33°11.01 (+33.1835) [+33°11'00.78]</v>
      </c>
      <c r="I50" s="1537">
        <f>I48+I49</f>
        <v>49.8830666665</v>
      </c>
      <c r="J50" s="1532" t="str" cm="1">
        <f t="array" ref="J50">angleDecimal2Txt(I50)</f>
        <v>+49°52.98 (+49.8830) [+49°52'59.03]</v>
      </c>
      <c r="K50" s="1544"/>
      <c r="L50" s="1570"/>
      <c r="M50" s="1574"/>
      <c r="N50" s="1549"/>
    </row>
    <row r="51" spans="1:14" ht="16.5" thickTop="1" thickBot="1">
      <c r="A51" s="441"/>
      <c r="E51" s="1566"/>
      <c r="F51" s="1550" t="s">
        <v>675</v>
      </c>
      <c r="G51" s="1548">
        <f>G50*Outils!$F$4</f>
        <v>0.57916224406121486</v>
      </c>
      <c r="H51" s="1549"/>
      <c r="I51" s="1548">
        <f>I50*Outils!$F$4</f>
        <v>0.87062375432225714</v>
      </c>
      <c r="J51" s="1549"/>
      <c r="K51" s="1544"/>
      <c r="L51" s="1571"/>
      <c r="M51" s="1575"/>
      <c r="N51" s="1576"/>
    </row>
    <row r="52" spans="1:14" ht="16.5" thickTop="1" thickBot="1">
      <c r="E52" s="1579" t="s">
        <v>184</v>
      </c>
      <c r="F52" s="1579"/>
      <c r="G52" s="1552">
        <f>(1/TAN((G50 + 7.31 / (G50 + 4.4)) * Outils!$F$4))/60</f>
        <v>2.5297407444576595E-2</v>
      </c>
      <c r="H52" s="1577" t="str" cm="1">
        <f t="array" ref="H52">angleDecimal2Txt(G52)</f>
        <v>+00°01.51 (+00.0252) [+00°01'31.07]</v>
      </c>
      <c r="I52" s="1553">
        <f>(1/TAN((I50 + 7.31 / (I50 + 4.4)) * Outils!$F$4))/60</f>
        <v>1.3976206828614383E-2</v>
      </c>
      <c r="J52" s="1578" t="str" cm="1">
        <f t="array" ref="J52">angleDecimal2Txt(I52)</f>
        <v>+00°00.83 (+00.0139) [+00°00'50.31]</v>
      </c>
      <c r="K52" s="1538"/>
      <c r="L52" s="1534"/>
      <c r="M52" s="105"/>
      <c r="N52" s="105"/>
    </row>
    <row r="53" spans="1:14" ht="16.5" thickTop="1" thickBot="1">
      <c r="E53" s="1579" t="s">
        <v>740</v>
      </c>
      <c r="F53" s="1579"/>
      <c r="G53" s="1552">
        <f>ASIN(SIN(H33*Outils!F4)*COS(G51))*Outils!F5</f>
        <v>0.79366966768813074</v>
      </c>
      <c r="H53" s="1577" t="str" cm="1">
        <f t="array" ref="H53">angleDecimal2Txt(G53)</f>
        <v>+00°47.62 (+00.7936) [+00°47'37.21]</v>
      </c>
      <c r="I53" s="1553">
        <f>ASIN(SIN(H31*Outils!F4)*COS(I51))*Outils!F5</f>
        <v>1.8578748766220486E-3</v>
      </c>
      <c r="J53" s="1578" t="str" cm="1">
        <f t="array" ref="J53">angleDecimal2Txt(I53)</f>
        <v>+00°00.11 (+00.0018) [+00°00'06.68]</v>
      </c>
      <c r="K53" s="1539"/>
      <c r="L53" s="1534"/>
      <c r="M53" s="105"/>
      <c r="N53" s="105"/>
    </row>
    <row r="54" spans="1:14" ht="31.5" thickTop="1" thickBot="1">
      <c r="E54" s="1541" t="s">
        <v>329</v>
      </c>
      <c r="F54" s="1542" t="s">
        <v>665</v>
      </c>
      <c r="G54" s="1537">
        <f>G50-G52+G53</f>
        <v>33.951924498276888</v>
      </c>
      <c r="H54" s="1523" t="str" cm="1">
        <f t="array" ref="H54">angleDecimal2Txt(G54)</f>
        <v>+33°57.11 (+33.9519) [+33°57'06.92]</v>
      </c>
      <c r="I54" s="311">
        <f>I50-I52+I53</f>
        <v>49.870948334548004</v>
      </c>
      <c r="J54" s="1532" t="str" cm="1">
        <f t="array" ref="J54">angleDecimal2Txt(I54)</f>
        <v>+49°52.25 (+49.8709) [+49°52'15.41]</v>
      </c>
      <c r="K54" s="1543" t="s">
        <v>671</v>
      </c>
      <c r="L54" s="1535" t="s">
        <v>674</v>
      </c>
      <c r="M54" s="105">
        <f>L48+H32*G41+H34*G39</f>
        <v>82.350485571200011</v>
      </c>
      <c r="N54" s="1524" t="str" cm="1">
        <f t="array" ref="N54">angleDecimal2Txt(M54)</f>
        <v>+82°21.02 (+82.3504) [+82°21'01.74]</v>
      </c>
    </row>
    <row r="55" spans="1:14" ht="15.75" thickTop="1">
      <c r="E55" s="1541"/>
      <c r="F55" s="1551" t="s">
        <v>675</v>
      </c>
      <c r="G55" s="1581">
        <f>G54*Outils!$F$4</f>
        <v>0.59257286988345559</v>
      </c>
      <c r="H55" s="1576"/>
      <c r="I55" s="1575">
        <f>I54*Outils!$F$4</f>
        <v>0.87041224952984519</v>
      </c>
      <c r="J55" s="1580"/>
      <c r="K55" s="1543"/>
      <c r="L55" s="1554" t="s">
        <v>676</v>
      </c>
      <c r="M55" s="1555" cm="1">
        <f t="array" ref="M55">angleConvert2Decimal("82°21.2")*Outils!$F$4</f>
        <v>1.4373368166590637</v>
      </c>
      <c r="N55" s="1555">
        <f>M54*Outils!$F$4</f>
        <v>1.4372871138335235</v>
      </c>
    </row>
    <row r="56" spans="1:14">
      <c r="E56" s="1545" t="s">
        <v>672</v>
      </c>
      <c r="F56" s="1545"/>
      <c r="G56" s="1522">
        <f>SIN(G51)</f>
        <v>0.54732299301012166</v>
      </c>
      <c r="H56" s="1522"/>
      <c r="I56" s="1522">
        <f>SIN(I51)</f>
        <v>0.76473100165685415</v>
      </c>
      <c r="J56" s="1522"/>
      <c r="K56" s="1546" t="s">
        <v>679</v>
      </c>
      <c r="L56" s="1529">
        <f>SIN(M49)</f>
        <v>0.98983837029864696</v>
      </c>
      <c r="M56" s="1529"/>
      <c r="N56" s="1528"/>
    </row>
    <row r="57" spans="1:14">
      <c r="E57" s="1545" t="s">
        <v>669</v>
      </c>
      <c r="F57" s="1545"/>
      <c r="G57" s="1522">
        <f>COS(G51)</f>
        <v>0.83692146663975731</v>
      </c>
      <c r="H57" s="1522"/>
      <c r="I57" s="1522">
        <f>COS(I51)</f>
        <v>0.64434966835166796</v>
      </c>
      <c r="J57" s="1522"/>
      <c r="K57" s="1546" t="s">
        <v>680</v>
      </c>
      <c r="L57" s="1529">
        <f>COS(M49)</f>
        <v>0.14219704878976458</v>
      </c>
      <c r="M57" s="1529"/>
      <c r="N57" s="1528"/>
    </row>
    <row r="58" spans="1:14">
      <c r="E58" s="1545" t="s">
        <v>673</v>
      </c>
      <c r="F58" s="1545"/>
      <c r="G58" s="1522">
        <f>SIN(G55)</f>
        <v>0.55849708134304998</v>
      </c>
      <c r="H58" s="1522"/>
      <c r="I58" s="1522">
        <f>SIN(I55)</f>
        <v>0.76459470151018061</v>
      </c>
      <c r="J58" s="1522"/>
      <c r="K58" s="1546" t="s">
        <v>677</v>
      </c>
      <c r="L58" s="1529">
        <f>SIN(M55)</f>
        <v>0.99110749037425339</v>
      </c>
      <c r="M58" s="1529"/>
      <c r="N58" s="1528"/>
    </row>
    <row r="59" spans="1:14">
      <c r="E59" s="1545" t="s">
        <v>668</v>
      </c>
      <c r="F59" s="1545"/>
      <c r="G59" s="1522">
        <f>COS(G55)</f>
        <v>0.82950648588862441</v>
      </c>
      <c r="H59" s="1522"/>
      <c r="I59" s="1522">
        <f>COS(I55)</f>
        <v>0.64451139820996017</v>
      </c>
      <c r="J59" s="1522"/>
      <c r="K59" s="1546" t="s">
        <v>678</v>
      </c>
      <c r="L59" s="1529">
        <f>COS(M55)</f>
        <v>0.13306367845527695</v>
      </c>
      <c r="M59" s="1529"/>
      <c r="N59" s="1528"/>
    </row>
    <row r="64" spans="1:14">
      <c r="F64" s="1530" t="s">
        <v>578</v>
      </c>
      <c r="G64" t="s">
        <v>681</v>
      </c>
      <c r="H64" s="443" t="s">
        <v>727</v>
      </c>
      <c r="I64">
        <f>I56*G56</f>
        <v>0.41855486067445774</v>
      </c>
    </row>
    <row r="65" spans="2:10">
      <c r="F65" s="1530"/>
      <c r="G65" t="s">
        <v>678</v>
      </c>
      <c r="H65" s="443" t="s">
        <v>728</v>
      </c>
      <c r="I65">
        <f>L59</f>
        <v>0.13306367845527695</v>
      </c>
    </row>
    <row r="66" spans="2:10">
      <c r="F66" s="1530"/>
      <c r="G66" t="s">
        <v>683</v>
      </c>
      <c r="H66" s="443" t="s">
        <v>729</v>
      </c>
      <c r="I66">
        <f>G58*I58</f>
        <v>0.42702390920379635</v>
      </c>
    </row>
    <row r="67" spans="2:10">
      <c r="F67" s="1530"/>
      <c r="G67" t="s">
        <v>682</v>
      </c>
      <c r="H67" s="443" t="s">
        <v>658</v>
      </c>
      <c r="I67">
        <f>G57*I57</f>
        <v>0.5392700694657192</v>
      </c>
    </row>
    <row r="68" spans="2:10">
      <c r="F68" s="1530"/>
      <c r="G68" t="s">
        <v>684</v>
      </c>
      <c r="H68" s="443" t="s">
        <v>5</v>
      </c>
      <c r="I68">
        <f>G59*I59</f>
        <v>0.53462638504430793</v>
      </c>
    </row>
    <row r="69" spans="2:10" ht="15.75" thickBot="1">
      <c r="F69" s="1530"/>
      <c r="G69" t="s">
        <v>667</v>
      </c>
      <c r="H69" s="1556" t="s">
        <v>743</v>
      </c>
      <c r="I69">
        <f>I64+(I65-I66)*I67/I68</f>
        <v>0.1220413355464845</v>
      </c>
    </row>
    <row r="70" spans="2:10" ht="16.5" thickTop="1" thickBot="1">
      <c r="G70" s="1559" t="s">
        <v>670</v>
      </c>
      <c r="H70" s="1560"/>
      <c r="I70" s="1558">
        <f>ACOS(I69)*Outils!$F$5</f>
        <v>82.990071465515769</v>
      </c>
      <c r="J70" s="1557" t="str" cm="1">
        <f t="array" ref="J70">angleDecimal2Txt(I70)</f>
        <v>+82°59.40 (+82.9900) [+82°59'24.25]</v>
      </c>
    </row>
    <row r="75" spans="2:10" ht="15.75" thickBot="1"/>
    <row r="76" spans="2:10" ht="15.75" thickBot="1">
      <c r="B76" s="1583"/>
      <c r="C76" s="1584" t="s">
        <v>685</v>
      </c>
      <c r="D76" s="1584"/>
      <c r="E76" s="1584"/>
      <c r="F76" s="1584"/>
      <c r="G76" s="1585"/>
      <c r="I76" s="1589" t="s">
        <v>759</v>
      </c>
      <c r="J76" s="1589"/>
    </row>
    <row r="77" spans="2:10">
      <c r="C77" s="1582" t="s">
        <v>686</v>
      </c>
      <c r="D77" s="1582"/>
      <c r="E77" s="1582" t="s">
        <v>756</v>
      </c>
      <c r="F77" s="1582"/>
      <c r="I77" s="1595" t="s">
        <v>760</v>
      </c>
      <c r="J77" s="1596">
        <f>G81*I70+H81</f>
        <v>16.439499321860751</v>
      </c>
    </row>
    <row r="78" spans="2:10">
      <c r="C78" s="1108">
        <v>0</v>
      </c>
      <c r="D78" s="1108"/>
      <c r="E78" s="1586" t="s">
        <v>687</v>
      </c>
      <c r="F78" s="445" cm="1">
        <f t="array" ref="F78">angleConvert2Decimal(E78)</f>
        <v>74.680000000000007</v>
      </c>
      <c r="I78" s="1595"/>
      <c r="J78" s="1597" t="str" cm="1">
        <f t="array" ref="J78">heureDecimal2Txt(J77)</f>
        <v>16:26:22.19(16.4394)</v>
      </c>
    </row>
    <row r="79" spans="2:10">
      <c r="C79" s="1108">
        <v>3</v>
      </c>
      <c r="D79" s="1108"/>
      <c r="E79" s="1586" t="s">
        <v>688</v>
      </c>
      <c r="F79" s="445" cm="1">
        <f t="array" ref="F79">angleConvert2Decimal(E79)</f>
        <v>76.211666666666673</v>
      </c>
      <c r="G79" s="1587" t="s">
        <v>755</v>
      </c>
      <c r="H79" s="1587"/>
    </row>
    <row r="80" spans="2:10">
      <c r="C80" s="1108">
        <v>6</v>
      </c>
      <c r="D80" s="1108"/>
      <c r="E80" s="1586" t="s">
        <v>689</v>
      </c>
      <c r="F80" s="445" cm="1">
        <f t="array" ref="F80">angleConvert2Decimal(E80)</f>
        <v>77.736666666666665</v>
      </c>
      <c r="G80" s="426" t="s">
        <v>243</v>
      </c>
      <c r="H80" s="426" t="s">
        <v>244</v>
      </c>
    </row>
    <row r="81" spans="3:13">
      <c r="C81" s="1108">
        <v>9</v>
      </c>
      <c r="D81" s="1108"/>
      <c r="E81" s="1586" t="s">
        <v>690</v>
      </c>
      <c r="F81" s="445" cm="1">
        <f t="array" ref="F81">angleConvert2Decimal(E81)</f>
        <v>79.256666666666661</v>
      </c>
      <c r="G81" s="426" cm="1">
        <f t="array" ref="G81:H81">LINEST(C78:C85,F78:F85,TRUE)</f>
        <v>1.9836429367531845</v>
      </c>
      <c r="H81" s="426">
        <v>-148.18316976135159</v>
      </c>
    </row>
    <row r="82" spans="3:13">
      <c r="C82" s="1108">
        <v>12</v>
      </c>
      <c r="D82" s="1108"/>
      <c r="E82" s="1586" t="s">
        <v>691</v>
      </c>
      <c r="F82" s="445" cm="1">
        <f t="array" ref="F82">angleConvert2Decimal(E82)</f>
        <v>80.768333333333331</v>
      </c>
    </row>
    <row r="83" spans="3:13">
      <c r="C83" s="1108">
        <v>15</v>
      </c>
      <c r="D83" s="1108"/>
      <c r="E83" s="1586" t="s">
        <v>692</v>
      </c>
      <c r="F83" s="445" cm="1">
        <f t="array" ref="F83">angleConvert2Decimal(E83)</f>
        <v>82.273333333333326</v>
      </c>
    </row>
    <row r="84" spans="3:13">
      <c r="C84" s="1108">
        <v>18</v>
      </c>
      <c r="D84" s="1108"/>
      <c r="E84" s="1586" t="s">
        <v>693</v>
      </c>
      <c r="F84" s="445" cm="1">
        <f t="array" ref="F84">angleConvert2Decimal(E84)</f>
        <v>83.773333333333326</v>
      </c>
    </row>
    <row r="85" spans="3:13">
      <c r="C85" s="1108">
        <v>21</v>
      </c>
      <c r="D85" s="1108"/>
      <c r="E85" s="1586" t="s">
        <v>694</v>
      </c>
      <c r="F85" s="445" cm="1">
        <f t="array" ref="F85">angleConvert2Decimal(E85)</f>
        <v>85.266666666666666</v>
      </c>
      <c r="M85" s="149"/>
    </row>
    <row r="86" spans="3:13" ht="15.75" thickBot="1">
      <c r="M86" s="149"/>
    </row>
    <row r="87" spans="3:13" ht="16.5" thickTop="1" thickBot="1">
      <c r="G87" s="1588" t="s">
        <v>757</v>
      </c>
      <c r="H87" s="1588"/>
      <c r="M87" s="149"/>
    </row>
    <row r="88" spans="3:13" ht="16.5" thickTop="1" thickBot="1">
      <c r="G88" s="1523" t="s">
        <v>756</v>
      </c>
      <c r="H88" s="1523" t="s">
        <v>758</v>
      </c>
      <c r="M88" s="149"/>
    </row>
    <row r="89" spans="3:13" ht="15.75" thickTop="1">
      <c r="G89" s="226">
        <f>F78</f>
        <v>74.680000000000007</v>
      </c>
      <c r="H89" s="226">
        <f>C78-($G$81*G89+$H$81)</f>
        <v>4.4715244623773742E-2</v>
      </c>
      <c r="M89" s="149"/>
    </row>
    <row r="90" spans="3:13">
      <c r="G90" s="226">
        <f>F79</f>
        <v>76.211666666666673</v>
      </c>
      <c r="H90" s="226">
        <f>C79-($G$81*G90+$H$81)</f>
        <v>6.435479830145141E-3</v>
      </c>
      <c r="M90" s="149"/>
    </row>
    <row r="91" spans="3:13">
      <c r="G91" s="226">
        <f>F80</f>
        <v>77.736666666666665</v>
      </c>
      <c r="H91" s="226">
        <f>C80-($G$81*G91+$H$81)</f>
        <v>-1.8619998718463648E-2</v>
      </c>
    </row>
    <row r="92" spans="3:13">
      <c r="G92" s="226">
        <f>F81</f>
        <v>79.256666666666661</v>
      </c>
      <c r="H92" s="226">
        <f>C81-($G$81*G92+$H$81)</f>
        <v>-3.3757262583293368E-2</v>
      </c>
    </row>
    <row r="93" spans="3:13">
      <c r="G93" s="226">
        <f>F82</f>
        <v>80.768333333333331</v>
      </c>
      <c r="H93" s="226">
        <f>C82-($G$81*G93+$H$81)</f>
        <v>-3.2364168641862534E-2</v>
      </c>
    </row>
    <row r="94" spans="3:13">
      <c r="G94" s="226">
        <f>F83</f>
        <v>82.273333333333326</v>
      </c>
      <c r="H94" s="226">
        <f>C83-($G$81*G94+$H$81)</f>
        <v>-1.7746788455383466E-2</v>
      </c>
    </row>
    <row r="95" spans="3:13">
      <c r="G95" s="226">
        <f>F84</f>
        <v>83.773333333333326</v>
      </c>
      <c r="H95" s="226">
        <f>C84-($G$81*G95+$H$81)</f>
        <v>6.7888064148178273E-3</v>
      </c>
    </row>
    <row r="96" spans="3:13">
      <c r="G96" s="226">
        <f>F85</f>
        <v>85.266666666666666</v>
      </c>
      <c r="H96" s="226">
        <f>C85-($G$81*G96+$H$81)</f>
        <v>4.4548687530067355E-2</v>
      </c>
    </row>
  </sheetData>
  <mergeCells count="69">
    <mergeCell ref="G79:H79"/>
    <mergeCell ref="G87:H87"/>
    <mergeCell ref="I76:J76"/>
    <mergeCell ref="I77:I78"/>
    <mergeCell ref="C82:D82"/>
    <mergeCell ref="C83:D83"/>
    <mergeCell ref="C84:D84"/>
    <mergeCell ref="C85:D85"/>
    <mergeCell ref="C77:D77"/>
    <mergeCell ref="C78:D78"/>
    <mergeCell ref="C79:D79"/>
    <mergeCell ref="C80:D80"/>
    <mergeCell ref="C81:D81"/>
    <mergeCell ref="L49:L51"/>
    <mergeCell ref="M49:N51"/>
    <mergeCell ref="I55:J55"/>
    <mergeCell ref="G55:H55"/>
    <mergeCell ref="G51:H51"/>
    <mergeCell ref="I51:J51"/>
    <mergeCell ref="F64:F69"/>
    <mergeCell ref="G70:H70"/>
    <mergeCell ref="B28:E28"/>
    <mergeCell ref="D30:E30"/>
    <mergeCell ref="D31:E31"/>
    <mergeCell ref="D32:E32"/>
    <mergeCell ref="D33:E33"/>
    <mergeCell ref="E49:E51"/>
    <mergeCell ref="L56:N56"/>
    <mergeCell ref="L57:N57"/>
    <mergeCell ref="L58:N58"/>
    <mergeCell ref="L59:N59"/>
    <mergeCell ref="K52:K53"/>
    <mergeCell ref="I48:J48"/>
    <mergeCell ref="L48:N48"/>
    <mergeCell ref="C38:D39"/>
    <mergeCell ref="C40:D41"/>
    <mergeCell ref="C42:D43"/>
    <mergeCell ref="G39:H39"/>
    <mergeCell ref="G41:H41"/>
    <mergeCell ref="G43:H43"/>
    <mergeCell ref="E48:F48"/>
    <mergeCell ref="G38:H38"/>
    <mergeCell ref="G40:H40"/>
    <mergeCell ref="G42:H42"/>
    <mergeCell ref="G48:H48"/>
    <mergeCell ref="D27:E27"/>
    <mergeCell ref="E52:F52"/>
    <mergeCell ref="E53:F53"/>
    <mergeCell ref="E56:F56"/>
    <mergeCell ref="E77:F77"/>
    <mergeCell ref="E57:F57"/>
    <mergeCell ref="E58:F58"/>
    <mergeCell ref="E59:F59"/>
    <mergeCell ref="G56:H56"/>
    <mergeCell ref="G57:H57"/>
    <mergeCell ref="G58:H58"/>
    <mergeCell ref="G59:H59"/>
    <mergeCell ref="I56:J56"/>
    <mergeCell ref="I57:J57"/>
    <mergeCell ref="I58:J58"/>
    <mergeCell ref="I59:J59"/>
    <mergeCell ref="C1:N1"/>
    <mergeCell ref="A1:B1"/>
    <mergeCell ref="K47:N47"/>
    <mergeCell ref="E54:E55"/>
    <mergeCell ref="K48:K51"/>
    <mergeCell ref="K54:K55"/>
    <mergeCell ref="I47:J47"/>
    <mergeCell ref="G47:H47"/>
  </mergeCells>
  <dataValidations count="2">
    <dataValidation type="list" allowBlank="1" showInputMessage="1" showErrorMessage="1" sqref="F43" xr:uid="{0266F0FF-37C8-4A7C-94B1-2F44977462E3}">
      <formula1>$M$33:$M$35</formula1>
    </dataValidation>
    <dataValidation type="list" allowBlank="1" showInputMessage="1" showErrorMessage="1" sqref="F39 F41" xr:uid="{965A8534-9E4C-448B-97B4-393C5763A121}">
      <formula1>$K$33:$K$35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23B4B-9D9C-45E3-B509-3FD79CA5D521}">
  <sheetPr codeName="Sheet8"/>
  <dimension ref="A1:AB15"/>
  <sheetViews>
    <sheetView tabSelected="1" workbookViewId="0">
      <selection activeCell="P14" sqref="P14"/>
    </sheetView>
  </sheetViews>
  <sheetFormatPr defaultRowHeight="15"/>
  <sheetData>
    <row r="1" spans="1:28">
      <c r="A1" s="1598" t="s">
        <v>761</v>
      </c>
      <c r="B1" s="1598"/>
      <c r="C1" s="1598"/>
      <c r="D1" s="1598"/>
      <c r="E1" s="1598"/>
      <c r="F1" s="1598"/>
      <c r="G1" s="1598"/>
      <c r="H1" s="1598"/>
      <c r="I1" s="1598"/>
      <c r="J1" s="1598"/>
      <c r="K1" s="1598"/>
      <c r="L1" s="1598"/>
      <c r="M1" s="1598"/>
      <c r="N1" s="1598"/>
      <c r="O1" s="1598"/>
      <c r="P1" s="1598"/>
      <c r="Q1" s="1598"/>
      <c r="R1" s="1598"/>
      <c r="S1" s="1598"/>
      <c r="T1" s="1598"/>
      <c r="U1" s="1598"/>
      <c r="V1" s="1598"/>
      <c r="W1" s="1598"/>
      <c r="X1" s="1598"/>
      <c r="Y1" s="1598"/>
      <c r="Z1" s="1598"/>
      <c r="AA1" s="1598"/>
      <c r="AB1" s="1598"/>
    </row>
    <row r="2" spans="1:28">
      <c r="A2" s="1598"/>
      <c r="B2" s="1598"/>
      <c r="C2" s="1598"/>
      <c r="D2" s="1598"/>
      <c r="E2" s="1598"/>
      <c r="F2" s="1598"/>
      <c r="G2" s="1598"/>
      <c r="H2" s="1598"/>
      <c r="I2" s="1598"/>
      <c r="J2" s="1598"/>
      <c r="K2" s="1598"/>
      <c r="L2" s="1598"/>
      <c r="M2" s="1598"/>
      <c r="N2" s="1598"/>
      <c r="O2" s="1598"/>
      <c r="P2" s="1598"/>
      <c r="Q2" s="1598"/>
      <c r="R2" s="1598"/>
      <c r="S2" s="1598"/>
      <c r="T2" s="1598"/>
      <c r="U2" s="1598"/>
      <c r="V2" s="1598"/>
      <c r="W2" s="1598"/>
      <c r="X2" s="1598"/>
      <c r="Y2" s="1598"/>
      <c r="Z2" s="1598"/>
      <c r="AA2" s="1598"/>
      <c r="AB2" s="1598"/>
    </row>
    <row r="4" spans="1:28">
      <c r="B4" t="s">
        <v>120</v>
      </c>
    </row>
    <row r="5" spans="1:28">
      <c r="C5" t="s">
        <v>762</v>
      </c>
    </row>
    <row r="6" spans="1:28">
      <c r="D6" t="s">
        <v>763</v>
      </c>
    </row>
    <row r="7" spans="1:28">
      <c r="D7" t="s">
        <v>764</v>
      </c>
    </row>
    <row r="8" spans="1:28">
      <c r="D8" t="s">
        <v>765</v>
      </c>
    </row>
    <row r="9" spans="1:28">
      <c r="D9" s="1599" t="s">
        <v>766</v>
      </c>
      <c r="E9" s="1600"/>
      <c r="F9" s="1600"/>
      <c r="G9" s="1600"/>
    </row>
    <row r="11" spans="1:28">
      <c r="C11" t="s">
        <v>767</v>
      </c>
    </row>
    <row r="12" spans="1:28">
      <c r="D12" t="s">
        <v>768</v>
      </c>
    </row>
    <row r="14" spans="1:28">
      <c r="C14" t="s">
        <v>769</v>
      </c>
    </row>
    <row r="15" spans="1:28">
      <c r="D15" t="s">
        <v>770</v>
      </c>
    </row>
  </sheetData>
  <mergeCells count="1">
    <mergeCell ref="A1:A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B2:BN22"/>
  <sheetViews>
    <sheetView workbookViewId="0">
      <selection activeCell="F4" sqref="F4"/>
    </sheetView>
  </sheetViews>
  <sheetFormatPr defaultColWidth="11.42578125" defaultRowHeight="15"/>
  <cols>
    <col min="6" max="6" width="13.42578125" customWidth="1"/>
  </cols>
  <sheetData>
    <row r="2" spans="2:66" ht="15.75" thickBot="1"/>
    <row r="3" spans="2:66">
      <c r="C3" s="1503" t="s">
        <v>102</v>
      </c>
      <c r="D3" s="1504"/>
      <c r="E3" s="1504"/>
      <c r="F3" s="1505"/>
    </row>
    <row r="4" spans="2:66">
      <c r="C4" s="52" t="s">
        <v>53</v>
      </c>
      <c r="D4" s="53" t="s">
        <v>90</v>
      </c>
      <c r="E4" s="54" t="s">
        <v>149</v>
      </c>
      <c r="F4" s="243">
        <f>PI()/180</f>
        <v>1.7453292519943295E-2</v>
      </c>
    </row>
    <row r="5" spans="2:66" ht="15.75" thickBot="1">
      <c r="C5" s="19" t="s">
        <v>91</v>
      </c>
      <c r="D5" s="55" t="s">
        <v>90</v>
      </c>
      <c r="E5" s="56" t="s">
        <v>150</v>
      </c>
      <c r="F5" s="244">
        <f>180/PI()</f>
        <v>57.295779513082323</v>
      </c>
    </row>
    <row r="6" spans="2:66" ht="15.75" thickBot="1"/>
    <row r="7" spans="2:66" ht="15.75" thickBot="1">
      <c r="C7" s="1506" t="s">
        <v>34</v>
      </c>
      <c r="D7" s="1507"/>
      <c r="E7" s="1508"/>
    </row>
    <row r="8" spans="2:66">
      <c r="C8" s="17" t="s">
        <v>41</v>
      </c>
      <c r="D8" s="32" t="s">
        <v>42</v>
      </c>
      <c r="E8" s="18"/>
    </row>
    <row r="9" spans="2:66">
      <c r="C9" s="17" t="s">
        <v>3</v>
      </c>
      <c r="D9" s="32" t="s">
        <v>5</v>
      </c>
      <c r="E9" s="18">
        <v>1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>
      <c r="C12" s="1503" t="s">
        <v>583</v>
      </c>
      <c r="D12" s="1504"/>
      <c r="E12" s="1504"/>
      <c r="F12" s="1505"/>
    </row>
    <row r="13" spans="2:66">
      <c r="B13" s="438"/>
      <c r="C13" s="52" t="s">
        <v>550</v>
      </c>
      <c r="D13" s="53" t="s">
        <v>90</v>
      </c>
      <c r="E13" s="54" t="s">
        <v>551</v>
      </c>
      <c r="F13" s="243">
        <f>1/0.3048</f>
        <v>3.280839895013123</v>
      </c>
      <c r="G13" s="440"/>
    </row>
    <row r="14" spans="2:66" ht="15.75" thickBot="1">
      <c r="B14" s="438">
        <v>15</v>
      </c>
      <c r="C14" s="19" t="s">
        <v>553</v>
      </c>
      <c r="D14" s="55" t="s">
        <v>90</v>
      </c>
      <c r="E14" s="56" t="s">
        <v>552</v>
      </c>
      <c r="F14" s="244">
        <f>0.3048</f>
        <v>0.30480000000000002</v>
      </c>
      <c r="G14" s="440">
        <f>B14*F14</f>
        <v>4.5720000000000001</v>
      </c>
    </row>
    <row r="15" spans="2:66" s="16" customFormat="1" ht="17.25" customHeight="1" thickBot="1">
      <c r="B15" s="439"/>
      <c r="C15"/>
      <c r="D15"/>
      <c r="E15"/>
      <c r="G15" s="77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>
      <c r="B16" s="439"/>
      <c r="C16" s="1503" t="s">
        <v>584</v>
      </c>
      <c r="D16" s="1504"/>
      <c r="E16" s="1504"/>
      <c r="F16" s="1505"/>
      <c r="G16" s="77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7.25" customHeight="1">
      <c r="B17" s="439"/>
      <c r="C17" s="52" t="s">
        <v>585</v>
      </c>
      <c r="D17" s="53" t="s">
        <v>90</v>
      </c>
      <c r="E17" s="54" t="s">
        <v>588</v>
      </c>
      <c r="F17" s="243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s="16" customFormat="1" ht="17.25" customHeight="1" thickBot="1">
      <c r="B18" s="439">
        <v>15</v>
      </c>
      <c r="C18" s="19" t="s">
        <v>586</v>
      </c>
      <c r="D18" s="55" t="s">
        <v>90</v>
      </c>
      <c r="E18" s="56" t="s">
        <v>587</v>
      </c>
      <c r="F18" s="244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2:66" ht="15.75" thickBot="1">
      <c r="B19" s="438"/>
      <c r="G19" s="440"/>
    </row>
    <row r="20" spans="2:66" ht="15.75" thickBot="1">
      <c r="B20" s="438"/>
      <c r="C20" s="1506" t="s">
        <v>642</v>
      </c>
      <c r="D20" s="1507"/>
      <c r="E20" s="1507"/>
      <c r="F20" s="1508"/>
      <c r="G20" s="440"/>
    </row>
    <row r="21" spans="2:66">
      <c r="B21" s="438">
        <v>7</v>
      </c>
      <c r="C21" s="17" t="s">
        <v>643</v>
      </c>
      <c r="D21" s="435" t="s">
        <v>90</v>
      </c>
      <c r="E21" s="436" t="s">
        <v>644</v>
      </c>
      <c r="F21" s="437" t="s">
        <v>645</v>
      </c>
      <c r="G21" s="440">
        <f>B21*(9/5)+32</f>
        <v>44.6</v>
      </c>
    </row>
    <row r="22" spans="2:66" ht="15.75" thickBot="1">
      <c r="B22" s="438">
        <v>44</v>
      </c>
      <c r="C22" s="19" t="s">
        <v>644</v>
      </c>
      <c r="D22" s="55" t="s">
        <v>90</v>
      </c>
      <c r="E22" s="56" t="s">
        <v>643</v>
      </c>
      <c r="F22" s="434" t="s">
        <v>646</v>
      </c>
      <c r="G22" s="440">
        <f>(B22-32)*(5/9)</f>
        <v>6.666666666666667</v>
      </c>
    </row>
  </sheetData>
  <sheetProtection selectLockedCells="1" selectUnlockedCells="1"/>
  <mergeCells count="5">
    <mergeCell ref="C3:F3"/>
    <mergeCell ref="C7:E7"/>
    <mergeCell ref="C12:F12"/>
    <mergeCell ref="C16:F16"/>
    <mergeCell ref="C20:F2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377</v>
      </c>
      <c r="E1" s="216">
        <v>31557600</v>
      </c>
      <c r="G1" s="217" t="s">
        <v>382</v>
      </c>
      <c r="H1" s="217"/>
    </row>
    <row r="3" spans="2:9">
      <c r="B3" s="10" t="s">
        <v>370</v>
      </c>
      <c r="C3" s="10" t="s">
        <v>371</v>
      </c>
      <c r="D3" s="192" t="s">
        <v>376</v>
      </c>
      <c r="E3" s="218" t="s">
        <v>378</v>
      </c>
      <c r="F3" s="192" t="s">
        <v>375</v>
      </c>
      <c r="G3" s="220" t="s">
        <v>380</v>
      </c>
      <c r="H3" s="192" t="s">
        <v>381</v>
      </c>
      <c r="I3" s="219" t="s">
        <v>383</v>
      </c>
    </row>
    <row r="4" spans="2:9">
      <c r="B4" s="221" t="s">
        <v>372</v>
      </c>
      <c r="C4" s="10">
        <v>0</v>
      </c>
      <c r="D4" s="192">
        <f>dateConvert2Decimal(B4)</f>
        <v>1696118400</v>
      </c>
      <c r="E4" s="192"/>
      <c r="F4" s="192"/>
      <c r="G4" s="220"/>
      <c r="H4" s="192"/>
      <c r="I4" s="220"/>
    </row>
    <row r="5" spans="2:9">
      <c r="B5" s="170" t="s">
        <v>373</v>
      </c>
      <c r="C5" s="10">
        <v>62</v>
      </c>
      <c r="D5" s="192">
        <f>dateConvert2Decimal(B5)</f>
        <v>1714521600</v>
      </c>
      <c r="E5" s="192">
        <f>D5-$D$4</f>
        <v>18403200</v>
      </c>
      <c r="F5" s="192">
        <f>$E$1*C5/E5</f>
        <v>106.3169014084507</v>
      </c>
      <c r="G5" s="220">
        <f>30*H5</f>
        <v>8.7323943661971821</v>
      </c>
      <c r="H5" s="192">
        <f>F5/365.25</f>
        <v>0.29107981220657275</v>
      </c>
      <c r="I5" s="220">
        <v>10</v>
      </c>
    </row>
    <row r="6" spans="2:9">
      <c r="B6" s="170" t="s">
        <v>374</v>
      </c>
      <c r="C6" s="10">
        <v>73</v>
      </c>
      <c r="D6" s="192">
        <f>dateConvert2Decimal(B6)</f>
        <v>1721606400</v>
      </c>
      <c r="E6" s="192">
        <f>D6-$D$4</f>
        <v>25488000</v>
      </c>
      <c r="F6" s="192">
        <f>$E$1*C6/E6</f>
        <v>90.383898305084742</v>
      </c>
      <c r="G6" s="220">
        <f>30*H6</f>
        <v>7.4237288135593218</v>
      </c>
      <c r="H6" s="192">
        <f>F6/365.25</f>
        <v>0.24745762711864405</v>
      </c>
      <c r="I6" s="220">
        <v>12</v>
      </c>
    </row>
    <row r="7" spans="2:9">
      <c r="B7" s="221" t="s">
        <v>379</v>
      </c>
      <c r="C7" s="10">
        <v>86</v>
      </c>
      <c r="D7" s="192">
        <f>dateConvert2Decimal(B7)</f>
        <v>1722816000</v>
      </c>
      <c r="E7" s="192">
        <f>D7-$D$4</f>
        <v>26697600</v>
      </c>
      <c r="F7" s="192">
        <f>$E$1*C7/E7</f>
        <v>101.65533980582525</v>
      </c>
      <c r="G7" s="220">
        <f>30*H7</f>
        <v>8.3495145631067977</v>
      </c>
      <c r="H7" s="192">
        <f>F7/365.25</f>
        <v>0.27831715210355989</v>
      </c>
      <c r="I7" s="220">
        <v>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B5:T20"/>
  <sheetViews>
    <sheetView topLeftCell="C7" workbookViewId="0">
      <selection activeCell="K11" sqref="K11"/>
    </sheetView>
  </sheetViews>
  <sheetFormatPr defaultRowHeight="15"/>
  <cols>
    <col min="20" max="20" width="12" bestFit="1" customWidth="1"/>
  </cols>
  <sheetData>
    <row r="5" spans="4:19">
      <c r="E5" s="11" t="s">
        <v>474</v>
      </c>
      <c r="F5" cm="1">
        <f t="array" ref="F5">heureConvert2Decimal(E5)</f>
        <v>12.336944444444445</v>
      </c>
    </row>
    <row r="6" spans="4:19">
      <c r="E6" s="11" t="s">
        <v>472</v>
      </c>
      <c r="F6" cm="1">
        <f t="array" ref="F6">heureConvert2Decimal(E6)</f>
        <v>8.5013888888888882</v>
      </c>
    </row>
    <row r="7" spans="4:19">
      <c r="E7" s="11" t="s">
        <v>473</v>
      </c>
      <c r="F7" cm="1">
        <f t="array" ref="F7">heureConvert2Decimal(E7)</f>
        <v>6.2694444444444448</v>
      </c>
    </row>
    <row r="9" spans="4:19">
      <c r="F9">
        <f>F6-F7</f>
        <v>2.2319444444444434</v>
      </c>
      <c r="G9">
        <f>F5-F6</f>
        <v>3.8355555555555565</v>
      </c>
    </row>
    <row r="10" spans="4:19">
      <c r="G10">
        <v>15</v>
      </c>
      <c r="H10">
        <f>$G$10*F9</f>
        <v>33.47916666666665</v>
      </c>
      <c r="I10">
        <f>$G$10*G9</f>
        <v>57.533333333333346</v>
      </c>
    </row>
    <row r="16" spans="4:19">
      <c r="D16" t="s">
        <v>695</v>
      </c>
      <c r="E16">
        <v>52</v>
      </c>
      <c r="F16">
        <v>54</v>
      </c>
      <c r="G16">
        <v>55</v>
      </c>
      <c r="H16">
        <v>55.5</v>
      </c>
      <c r="I16">
        <v>56</v>
      </c>
      <c r="J16">
        <v>56.5</v>
      </c>
      <c r="K16">
        <v>57</v>
      </c>
      <c r="L16">
        <v>57.5</v>
      </c>
      <c r="M16">
        <v>58</v>
      </c>
      <c r="N16">
        <v>58.5</v>
      </c>
      <c r="O16">
        <v>59</v>
      </c>
      <c r="P16">
        <v>59.5</v>
      </c>
      <c r="Q16">
        <v>60</v>
      </c>
      <c r="R16">
        <v>61</v>
      </c>
      <c r="S16">
        <v>63</v>
      </c>
    </row>
    <row r="17" spans="2:20">
      <c r="D17" t="s">
        <v>696</v>
      </c>
      <c r="E17">
        <f>E20*E16+F20</f>
        <v>0.47217147409615379</v>
      </c>
      <c r="F17">
        <v>0.49</v>
      </c>
      <c r="G17">
        <v>0.5</v>
      </c>
      <c r="H17">
        <v>0.505</v>
      </c>
      <c r="I17">
        <v>0.51</v>
      </c>
      <c r="J17">
        <v>0.51333333299999995</v>
      </c>
      <c r="K17">
        <v>0.51833333299999995</v>
      </c>
      <c r="L17">
        <v>0.52333333299999996</v>
      </c>
      <c r="M17">
        <v>0.52833333299999996</v>
      </c>
      <c r="N17">
        <v>0.53333333299999997</v>
      </c>
      <c r="O17">
        <v>0.53666666699999999</v>
      </c>
      <c r="P17">
        <v>0.54166666699999999</v>
      </c>
      <c r="Q17">
        <v>0.546666667</v>
      </c>
      <c r="R17">
        <v>0.55500000000000005</v>
      </c>
      <c r="S17">
        <f>S16*E20+F20</f>
        <v>0.57423878221153846</v>
      </c>
    </row>
    <row r="18" spans="2:20">
      <c r="B18" t="s">
        <v>730</v>
      </c>
      <c r="D18" t="s">
        <v>731</v>
      </c>
      <c r="E18">
        <f>(E16*$E$20+$F$20)-E17</f>
        <v>0</v>
      </c>
      <c r="F18">
        <f t="shared" ref="F18:S18" si="0">(F16*$E$20+$F$20)-F17</f>
        <v>7.2916648076915003E-4</v>
      </c>
      <c r="G18">
        <f t="shared" si="0"/>
        <v>8.0126730769292109E-6</v>
      </c>
      <c r="H18">
        <f t="shared" si="0"/>
        <v>-3.5256423076923671E-4</v>
      </c>
      <c r="I18">
        <f t="shared" si="0"/>
        <v>-7.1314113461540263E-4</v>
      </c>
      <c r="J18">
        <f t="shared" si="0"/>
        <v>5.9294896153849752E-4</v>
      </c>
      <c r="K18">
        <f t="shared" si="0"/>
        <v>2.323720576923316E-4</v>
      </c>
      <c r="L18">
        <f t="shared" si="0"/>
        <v>-1.2820484615383432E-4</v>
      </c>
      <c r="M18">
        <f t="shared" si="0"/>
        <v>-4.8878175000000024E-4</v>
      </c>
      <c r="N18">
        <f t="shared" si="0"/>
        <v>-8.4935865384616616E-4</v>
      </c>
      <c r="O18">
        <f t="shared" si="0"/>
        <v>4.5673044230765125E-4</v>
      </c>
      <c r="P18">
        <f t="shared" si="0"/>
        <v>9.6153538461485333E-5</v>
      </c>
      <c r="Q18">
        <f t="shared" si="0"/>
        <v>-2.6442336538468059E-4</v>
      </c>
      <c r="R18">
        <f t="shared" si="0"/>
        <v>6.8108982692305364E-4</v>
      </c>
      <c r="S18">
        <f t="shared" si="0"/>
        <v>0</v>
      </c>
    </row>
    <row r="19" spans="2:20">
      <c r="D19" t="s">
        <v>731</v>
      </c>
      <c r="E19">
        <f>E18*E18</f>
        <v>0</v>
      </c>
      <c r="F19">
        <f t="shared" ref="F19:S19" si="1">F18*F18</f>
        <v>5.3168375667726719E-7</v>
      </c>
      <c r="G19">
        <f t="shared" si="1"/>
        <v>6.4202929837746229E-11</v>
      </c>
      <c r="H19">
        <f t="shared" si="1"/>
        <v>1.243015368179036E-7</v>
      </c>
      <c r="I19">
        <f t="shared" si="1"/>
        <v>5.0857027788054385E-7</v>
      </c>
      <c r="J19">
        <f t="shared" si="1"/>
        <v>3.5158847098958261E-7</v>
      </c>
      <c r="K19">
        <f t="shared" si="1"/>
        <v>5.3996773196168285E-8</v>
      </c>
      <c r="L19">
        <f t="shared" si="1"/>
        <v>1.6436482577328327E-8</v>
      </c>
      <c r="M19">
        <f t="shared" si="1"/>
        <v>2.3890759913306272E-7</v>
      </c>
      <c r="N19">
        <f t="shared" si="1"/>
        <v>7.2141012286337154E-7</v>
      </c>
      <c r="O19">
        <f t="shared" si="1"/>
        <v>2.0860269693054276E-7</v>
      </c>
      <c r="P19">
        <f t="shared" si="1"/>
        <v>9.2455029586643398E-9</v>
      </c>
      <c r="Q19">
        <f t="shared" si="1"/>
        <v>6.9919716161360301E-8</v>
      </c>
      <c r="R19">
        <f t="shared" si="1"/>
        <v>4.6388335233807518E-7</v>
      </c>
      <c r="S19">
        <f t="shared" si="1"/>
        <v>0</v>
      </c>
      <c r="T19">
        <f>SUM(E19:S19)</f>
        <v>3.2986104914537082E-6</v>
      </c>
    </row>
    <row r="20" spans="2:20">
      <c r="E20" cm="1">
        <f t="array" ref="E20:F20">LINEST(F17:R17,F16:R16,TRUE,FALSE)</f>
        <v>9.2788461923076944E-3</v>
      </c>
      <c r="F20">
        <v>-1.0328527903846307E-2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2025-01-23T15:16:13Z</cp:lastPrinted>
  <dcterms:created xsi:type="dcterms:W3CDTF">2023-12-16T12:20:09Z</dcterms:created>
  <dcterms:modified xsi:type="dcterms:W3CDTF">2025-04-01T15:26:16Z</dcterms:modified>
</cp:coreProperties>
</file>