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orkSpaces\WS\GitHub\Navigation\NavigationBateau\ProjetXLS\"/>
    </mc:Choice>
  </mc:AlternateContent>
  <xr:revisionPtr revIDLastSave="0" documentId="13_ncr:1_{7BFCD277-5C5E-4A63-9D52-A3846CC342A0}" xr6:coauthVersionLast="47" xr6:coauthVersionMax="47" xr10:uidLastSave="{00000000-0000-0000-0000-000000000000}"/>
  <bookViews>
    <workbookView xWindow="0" yWindow="240" windowWidth="28110" windowHeight="15030" tabRatio="770" xr2:uid="{00000000-000D-0000-FFFF-FFFF00000000}"/>
  </bookViews>
  <sheets>
    <sheet name="Droite de hauteur-soleil" sheetId="1" r:id="rId1"/>
    <sheet name="Droite de hauteur-lune" sheetId="8" r:id="rId2"/>
    <sheet name="Droite de hauteur-Etoile" sheetId="9" r:id="rId3"/>
    <sheet name="Latitude Polaire -OK" sheetId="10" r:id="rId4"/>
    <sheet name="Droite de hauteur-GENERIQUE" sheetId="7" r:id="rId5"/>
    <sheet name="Nav" sheetId="3" r:id="rId6"/>
    <sheet name="Maree" sheetId="4" r:id="rId7"/>
    <sheet name="Sheet1" sheetId="6" r:id="rId8"/>
    <sheet name="Test" sheetId="2" r:id="rId9"/>
  </sheets>
  <definedNames>
    <definedName name="_xlnm._FilterDatabase" localSheetId="6" hidden="1">Maree!$C$9:$D$9</definedName>
    <definedName name="A" localSheetId="2">'Droite de hauteur-Etoile'!$H$130</definedName>
    <definedName name="A" localSheetId="4">'Droite de hauteur-GENERIQUE'!$H$149</definedName>
    <definedName name="A" localSheetId="1">'Droite de hauteur-lune'!$H$125</definedName>
    <definedName name="A" localSheetId="3">'Latitude Polaire -OK'!$H$119</definedName>
    <definedName name="A">'Droite de hauteur-soleil'!$I$125</definedName>
    <definedName name="D" localSheetId="2">'Droite de hauteur-Etoile'!$E$43</definedName>
    <definedName name="D" localSheetId="4">'Droite de hauteur-GENERIQUE'!$E$43</definedName>
    <definedName name="D" localSheetId="1">'Droite de hauteur-lune'!$E$43</definedName>
    <definedName name="D" localSheetId="3">'Latitude Polaire -OK'!$E$43</definedName>
    <definedName name="D">'Droite de hauteur-soleil'!$F$43</definedName>
    <definedName name="DegToRad" localSheetId="2">'Droite de hauteur-Etoile'!#REF!</definedName>
    <definedName name="DegToRad" localSheetId="4">'Droite de hauteur-GENERIQUE'!#REF!</definedName>
    <definedName name="DegToRad" localSheetId="1">'Droite de hauteur-lune'!#REF!</definedName>
    <definedName name="DegToRad" localSheetId="3">'Latitude Polaire -OK'!#REF!</definedName>
    <definedName name="DegToRad">'Droite de hauteur-soleil'!#REF!</definedName>
    <definedName name="H" localSheetId="2">'Droite de hauteur-Etoile'!#REF!</definedName>
    <definedName name="H" localSheetId="4">'Droite de hauteur-GENERIQUE'!#REF!</definedName>
    <definedName name="H" localSheetId="1">'Droite de hauteur-lune'!#REF!</definedName>
    <definedName name="H" localSheetId="3">'Latitude Polaire -OK'!#REF!</definedName>
    <definedName name="H">'Droite de hauteur-soleil'!#REF!</definedName>
    <definedName name="L" localSheetId="2">'Droite de hauteur-Etoile'!$E$34</definedName>
    <definedName name="L" localSheetId="4">'Droite de hauteur-GENERIQUE'!$E$34</definedName>
    <definedName name="L" localSheetId="1">'Droite de hauteur-lune'!$E$34</definedName>
    <definedName name="L" localSheetId="3">'Latitude Polaire -OK'!$E$34</definedName>
    <definedName name="L">'Droite de hauteur-soleil'!$F$34</definedName>
    <definedName name="_xlnm.Print_Area" localSheetId="2">'Droite de hauteur-Etoile'!$B$7:$Y$132</definedName>
    <definedName name="_xlnm.Print_Area" localSheetId="4">'Droite de hauteur-GENERIQUE'!$B$7:$Y$151</definedName>
    <definedName name="_xlnm.Print_Area" localSheetId="1">'Droite de hauteur-lune'!$B$7:$Y$127</definedName>
    <definedName name="_xlnm.Print_Area" localSheetId="0">'Droite de hauteur-soleil'!$B$7:$Z$127</definedName>
    <definedName name="_xlnm.Print_Area" localSheetId="3">'Latitude Polaire -OK'!$B$7:$Y$121</definedName>
    <definedName name="RadToDeg" localSheetId="2">'Droite de hauteur-Etoile'!#REF!</definedName>
    <definedName name="RadToDeg" localSheetId="4">'Droite de hauteur-GENERIQUE'!#REF!</definedName>
    <definedName name="RadToDeg" localSheetId="1">'Droite de hauteur-lune'!#REF!</definedName>
    <definedName name="RadToDeg" localSheetId="3">'Latitude Polaire -OK'!#REF!</definedName>
    <definedName name="RadToDeg">'Droite de hauteur-soleil'!#REF!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7" i="10" l="1"/>
  <c r="AE83" i="10" s="1"/>
  <c r="AG83" i="10" s="1"/>
  <c r="AC83" i="10" s="1"/>
  <c r="AB57" i="10"/>
  <c r="AB58" i="10" s="1"/>
  <c r="AE58" i="10" s="1"/>
  <c r="AB56" i="10"/>
  <c r="AB55" i="10" s="1"/>
  <c r="AE55" i="10" s="1"/>
  <c r="AE52" i="10"/>
  <c r="AB49" i="10"/>
  <c r="AB50" i="10" s="1"/>
  <c r="AE50" i="10" s="1"/>
  <c r="AB47" i="10"/>
  <c r="AB48" i="10" s="1"/>
  <c r="AE48" i="10" s="1"/>
  <c r="AA9" i="10"/>
  <c r="AD9" i="10" s="1"/>
  <c r="AE9" i="10" s="1"/>
  <c r="AC133" i="10"/>
  <c r="AA68" i="10"/>
  <c r="AD68" i="10" s="1"/>
  <c r="O28" i="10"/>
  <c r="L26" i="10" s="1"/>
  <c r="AA29" i="10" s="1"/>
  <c r="AD29" i="10" s="1"/>
  <c r="AE29" i="10" s="1"/>
  <c r="O24" i="10"/>
  <c r="AA24" i="10" s="1"/>
  <c r="AD24" i="10" s="1"/>
  <c r="D137" i="10"/>
  <c r="D136" i="10"/>
  <c r="AA112" i="10"/>
  <c r="AE112" i="10" s="1"/>
  <c r="AA111" i="10"/>
  <c r="AD111" i="10" s="1"/>
  <c r="AF111" i="10" s="1"/>
  <c r="I110" i="10"/>
  <c r="N94" i="10"/>
  <c r="N93" i="10"/>
  <c r="AA65" i="10"/>
  <c r="AD65" i="10" s="1"/>
  <c r="AE65" i="10" s="1"/>
  <c r="AA39" i="10"/>
  <c r="AA38" i="10" s="1"/>
  <c r="AA34" i="10"/>
  <c r="AA33" i="10" s="1"/>
  <c r="AD33" i="10" s="1"/>
  <c r="I21" i="10"/>
  <c r="N98" i="10" s="1"/>
  <c r="I20" i="10"/>
  <c r="AA18" i="10"/>
  <c r="AD18" i="10" s="1"/>
  <c r="AA15" i="10"/>
  <c r="AD15" i="10" s="1"/>
  <c r="AA14" i="10"/>
  <c r="AD14" i="10" s="1"/>
  <c r="AF14" i="10" s="1"/>
  <c r="AG14" i="10" s="1"/>
  <c r="AF12" i="10"/>
  <c r="AE12" i="10"/>
  <c r="AA10" i="10"/>
  <c r="AD10" i="10" s="1"/>
  <c r="AF10" i="10" s="1"/>
  <c r="AM83" i="1"/>
  <c r="AM78" i="1"/>
  <c r="AM76" i="1"/>
  <c r="AM73" i="1"/>
  <c r="AM71" i="1"/>
  <c r="AM68" i="1"/>
  <c r="AM66" i="1"/>
  <c r="AM59" i="1"/>
  <c r="AM57" i="1"/>
  <c r="AM55" i="1"/>
  <c r="AM52" i="1"/>
  <c r="AM49" i="1"/>
  <c r="AM47" i="1"/>
  <c r="AM38" i="1"/>
  <c r="AM33" i="1"/>
  <c r="AM29" i="1"/>
  <c r="AM28" i="1"/>
  <c r="AM25" i="1"/>
  <c r="AM24" i="1"/>
  <c r="AM19" i="1"/>
  <c r="AM18" i="1"/>
  <c r="AM16" i="1"/>
  <c r="AM15" i="1"/>
  <c r="AM14" i="1"/>
  <c r="AN9" i="1"/>
  <c r="D26" i="4"/>
  <c r="AC26" i="4" s="1"/>
  <c r="AE26" i="4" s="1"/>
  <c r="K61" i="8"/>
  <c r="AM9" i="4"/>
  <c r="AL9" i="4"/>
  <c r="AK9" i="4"/>
  <c r="AJ9" i="4"/>
  <c r="AI9" i="4"/>
  <c r="AH9" i="4"/>
  <c r="AG9" i="4"/>
  <c r="AF9" i="4"/>
  <c r="AE9" i="4"/>
  <c r="AM18" i="4"/>
  <c r="AL18" i="4"/>
  <c r="AK18" i="4"/>
  <c r="AJ18" i="4"/>
  <c r="AI18" i="4"/>
  <c r="AH18" i="4"/>
  <c r="AG18" i="4"/>
  <c r="AF18" i="4"/>
  <c r="AC18" i="4"/>
  <c r="AD18" i="4" s="1"/>
  <c r="AB42" i="4"/>
  <c r="G57" i="4"/>
  <c r="H57" i="4"/>
  <c r="AM72" i="4"/>
  <c r="AQ72" i="4" s="1"/>
  <c r="AM71" i="4"/>
  <c r="AQ71" i="4" s="1"/>
  <c r="AM70" i="4"/>
  <c r="AQ70" i="4" s="1"/>
  <c r="AM69" i="4"/>
  <c r="AQ69" i="4" s="1"/>
  <c r="AM68" i="4"/>
  <c r="AQ68" i="4" s="1"/>
  <c r="AM67" i="4"/>
  <c r="AQ67" i="4" s="1"/>
  <c r="AM66" i="4"/>
  <c r="AQ66" i="4" s="1"/>
  <c r="AM65" i="4"/>
  <c r="AQ65" i="4" s="1"/>
  <c r="AP65" i="4"/>
  <c r="AN65" i="4"/>
  <c r="AO65" i="4" s="1"/>
  <c r="AB40" i="4"/>
  <c r="AL40" i="4"/>
  <c r="AK40" i="4"/>
  <c r="AJ40" i="4"/>
  <c r="AI40" i="4"/>
  <c r="AH40" i="4"/>
  <c r="AG40" i="4"/>
  <c r="AF40" i="4"/>
  <c r="AE40" i="4"/>
  <c r="AM40" i="4"/>
  <c r="AD40" i="4"/>
  <c r="AC40" i="4"/>
  <c r="AH22" i="4"/>
  <c r="AK22" i="4" s="1"/>
  <c r="AH23" i="4"/>
  <c r="AK23" i="4"/>
  <c r="AH24" i="4"/>
  <c r="AK24" i="4" s="1"/>
  <c r="AH25" i="4"/>
  <c r="AK25" i="4" s="1"/>
  <c r="AH26" i="4"/>
  <c r="AK26" i="4" s="1"/>
  <c r="AH27" i="4"/>
  <c r="AK27" i="4" s="1"/>
  <c r="AH28" i="4"/>
  <c r="AK28" i="4" s="1"/>
  <c r="AH29" i="4"/>
  <c r="AK29" i="4" s="1"/>
  <c r="AH30" i="4"/>
  <c r="AK30" i="4" s="1"/>
  <c r="AH31" i="4"/>
  <c r="AK31" i="4" s="1"/>
  <c r="AD9" i="4"/>
  <c r="AM17" i="4"/>
  <c r="AL17" i="4"/>
  <c r="AK17" i="4"/>
  <c r="AJ17" i="4"/>
  <c r="AI17" i="4"/>
  <c r="AH17" i="4"/>
  <c r="AG17" i="4"/>
  <c r="AF17" i="4"/>
  <c r="AM16" i="4"/>
  <c r="AL16" i="4"/>
  <c r="AK16" i="4"/>
  <c r="AJ16" i="4"/>
  <c r="AI16" i="4"/>
  <c r="AH16" i="4"/>
  <c r="AG16" i="4"/>
  <c r="AF16" i="4"/>
  <c r="AM15" i="4"/>
  <c r="AL15" i="4"/>
  <c r="AK15" i="4"/>
  <c r="AJ15" i="4"/>
  <c r="AI15" i="4"/>
  <c r="AH15" i="4"/>
  <c r="AG15" i="4"/>
  <c r="AF15" i="4"/>
  <c r="AM14" i="4"/>
  <c r="AL14" i="4"/>
  <c r="AK14" i="4"/>
  <c r="AJ14" i="4"/>
  <c r="AI14" i="4"/>
  <c r="AH14" i="4"/>
  <c r="AG14" i="4"/>
  <c r="AF14" i="4"/>
  <c r="AM13" i="4"/>
  <c r="AL13" i="4"/>
  <c r="AK13" i="4"/>
  <c r="AJ13" i="4"/>
  <c r="AI13" i="4"/>
  <c r="AH13" i="4"/>
  <c r="AG13" i="4"/>
  <c r="AF13" i="4"/>
  <c r="AM12" i="4"/>
  <c r="AL12" i="4"/>
  <c r="AK12" i="4"/>
  <c r="AJ12" i="4"/>
  <c r="AI12" i="4"/>
  <c r="AH12" i="4"/>
  <c r="AG12" i="4"/>
  <c r="AF12" i="4"/>
  <c r="AC15" i="4"/>
  <c r="AC16" i="4" s="1"/>
  <c r="AC17" i="4" s="1"/>
  <c r="AD17" i="4" s="1"/>
  <c r="AC12" i="4"/>
  <c r="AD12" i="4" s="1"/>
  <c r="AD7" i="4"/>
  <c r="AI7" i="4" s="1"/>
  <c r="AD31" i="4"/>
  <c r="AF31" i="4" s="1"/>
  <c r="AJ31" i="4" s="1"/>
  <c r="AD30" i="4"/>
  <c r="AF30" i="4" s="1"/>
  <c r="AJ30" i="4" s="1"/>
  <c r="AD29" i="4"/>
  <c r="AF29" i="4" s="1"/>
  <c r="AJ29" i="4" s="1"/>
  <c r="AD28" i="4"/>
  <c r="AF28" i="4" s="1"/>
  <c r="AJ28" i="4" s="1"/>
  <c r="AD27" i="4"/>
  <c r="AF27" i="4" s="1"/>
  <c r="AJ27" i="4" s="1"/>
  <c r="AD26" i="4"/>
  <c r="AF26" i="4" s="1"/>
  <c r="AJ26" i="4" s="1"/>
  <c r="AD25" i="4"/>
  <c r="AF25" i="4" s="1"/>
  <c r="AJ25" i="4" s="1"/>
  <c r="AD24" i="4"/>
  <c r="AF24" i="4" s="1"/>
  <c r="AJ24" i="4" s="1"/>
  <c r="AD23" i="4"/>
  <c r="AF23" i="4" s="1"/>
  <c r="AJ23" i="4" s="1"/>
  <c r="AD22" i="4"/>
  <c r="AF22" i="4" s="1"/>
  <c r="AJ22" i="4" s="1"/>
  <c r="AC31" i="4"/>
  <c r="AE31" i="4" s="1"/>
  <c r="AC30" i="4"/>
  <c r="AE30" i="4" s="1"/>
  <c r="AC29" i="4"/>
  <c r="AE29" i="4" s="1"/>
  <c r="AC28" i="4"/>
  <c r="AE28" i="4" s="1"/>
  <c r="AC27" i="4"/>
  <c r="AE27" i="4" s="1"/>
  <c r="AC25" i="4"/>
  <c r="AE25" i="4" s="1"/>
  <c r="AC24" i="4"/>
  <c r="AE24" i="4" s="1"/>
  <c r="AC23" i="4"/>
  <c r="AE23" i="4" s="1"/>
  <c r="AC22" i="4"/>
  <c r="AE22" i="4" s="1"/>
  <c r="AB22" i="4"/>
  <c r="AG22" i="4" s="1"/>
  <c r="C23" i="4"/>
  <c r="AB23" i="4" s="1"/>
  <c r="AG23" i="4" s="1"/>
  <c r="AG58" i="10" l="1"/>
  <c r="AF58" i="10"/>
  <c r="AG55" i="10"/>
  <c r="AF55" i="10"/>
  <c r="AG50" i="10"/>
  <c r="AF50" i="10"/>
  <c r="AG48" i="10"/>
  <c r="AF48" i="10"/>
  <c r="AD38" i="10"/>
  <c r="AE38" i="10" s="1"/>
  <c r="AE68" i="10"/>
  <c r="AF68" i="10"/>
  <c r="AE33" i="10"/>
  <c r="AF33" i="10"/>
  <c r="AG33" i="10" s="1"/>
  <c r="AI14" i="10"/>
  <c r="AS14" i="10" s="1"/>
  <c r="AF9" i="10"/>
  <c r="AH9" i="10" s="1"/>
  <c r="AJ9" i="10" s="1"/>
  <c r="AK9" i="10" s="1"/>
  <c r="AL9" i="10" s="1"/>
  <c r="AE94" i="10"/>
  <c r="AE24" i="10"/>
  <c r="AF24" i="10"/>
  <c r="AI24" i="10" s="1"/>
  <c r="AS24" i="10" s="1"/>
  <c r="L22" i="10"/>
  <c r="AA25" i="10" s="1"/>
  <c r="AD25" i="10" s="1"/>
  <c r="AF25" i="10" s="1"/>
  <c r="AF29" i="10"/>
  <c r="AG29" i="10" s="1"/>
  <c r="AH10" i="10"/>
  <c r="AJ10" i="10" s="1"/>
  <c r="AK10" i="10" s="1"/>
  <c r="AL10" i="10" s="1"/>
  <c r="AG10" i="10"/>
  <c r="AF15" i="10"/>
  <c r="AE15" i="10"/>
  <c r="AE14" i="10"/>
  <c r="AH29" i="10"/>
  <c r="AH14" i="10"/>
  <c r="AF18" i="10"/>
  <c r="AE18" i="10"/>
  <c r="AE10" i="10"/>
  <c r="AA28" i="10"/>
  <c r="AD28" i="10" s="1"/>
  <c r="AK83" i="10"/>
  <c r="N83" i="10"/>
  <c r="AI83" i="10"/>
  <c r="AJ83" i="10" s="1"/>
  <c r="L72" i="10"/>
  <c r="AF65" i="10"/>
  <c r="AF98" i="10"/>
  <c r="AD98" i="10"/>
  <c r="AE98" i="10"/>
  <c r="AE99" i="10" s="1"/>
  <c r="AI111" i="10"/>
  <c r="AS111" i="10" s="1"/>
  <c r="AH111" i="10"/>
  <c r="AG112" i="10"/>
  <c r="AF112" i="10"/>
  <c r="AA113" i="10"/>
  <c r="AE111" i="10"/>
  <c r="AG111" i="10"/>
  <c r="AC13" i="4"/>
  <c r="AC14" i="4" s="1"/>
  <c r="AD14" i="4" s="1"/>
  <c r="AD15" i="4"/>
  <c r="AN72" i="4"/>
  <c r="AO72" i="4" s="1"/>
  <c r="AP72" i="4"/>
  <c r="AR72" i="4" s="1"/>
  <c r="AN71" i="4"/>
  <c r="AO71" i="4" s="1"/>
  <c r="AP71" i="4"/>
  <c r="AR71" i="4" s="1"/>
  <c r="AN70" i="4"/>
  <c r="AO70" i="4" s="1"/>
  <c r="AP70" i="4"/>
  <c r="AR70" i="4" s="1"/>
  <c r="AN69" i="4"/>
  <c r="AO69" i="4" s="1"/>
  <c r="AP69" i="4"/>
  <c r="AR69" i="4" s="1"/>
  <c r="AN68" i="4"/>
  <c r="AO68" i="4" s="1"/>
  <c r="AP68" i="4"/>
  <c r="AR68" i="4" s="1"/>
  <c r="AN67" i="4"/>
  <c r="AO67" i="4" s="1"/>
  <c r="AP67" i="4"/>
  <c r="AR67" i="4" s="1"/>
  <c r="AN66" i="4"/>
  <c r="AO66" i="4" s="1"/>
  <c r="AP66" i="4"/>
  <c r="AR66" i="4" s="1"/>
  <c r="AR65" i="4"/>
  <c r="AI31" i="4"/>
  <c r="AL31" i="4" s="1"/>
  <c r="AI25" i="4"/>
  <c r="AL25" i="4" s="1"/>
  <c r="AI26" i="4"/>
  <c r="AL26" i="4" s="1"/>
  <c r="AI28" i="4"/>
  <c r="AI29" i="4"/>
  <c r="AI27" i="4"/>
  <c r="AI30" i="4"/>
  <c r="AI22" i="4"/>
  <c r="AL22" i="4" s="1"/>
  <c r="AM22" i="4" s="1"/>
  <c r="AI23" i="4"/>
  <c r="AI24" i="4"/>
  <c r="AD16" i="4"/>
  <c r="C24" i="4"/>
  <c r="AC146" i="9"/>
  <c r="D141" i="9"/>
  <c r="D140" i="9"/>
  <c r="AA123" i="9"/>
  <c r="AE123" i="9" s="1"/>
  <c r="AA122" i="9"/>
  <c r="AD122" i="9" s="1"/>
  <c r="I121" i="9"/>
  <c r="N105" i="9"/>
  <c r="N104" i="9"/>
  <c r="AA82" i="9"/>
  <c r="AD82" i="9" s="1"/>
  <c r="AE82" i="9" s="1"/>
  <c r="AA74" i="9"/>
  <c r="AA75" i="9" s="1"/>
  <c r="AD75" i="9" s="1"/>
  <c r="E74" i="9"/>
  <c r="AA72" i="9"/>
  <c r="AA73" i="9" s="1"/>
  <c r="AD73" i="9" s="1"/>
  <c r="AD70" i="9"/>
  <c r="AB70" i="9"/>
  <c r="AS67" i="9"/>
  <c r="AQ67" i="9"/>
  <c r="AP67" i="9"/>
  <c r="AA67" i="9"/>
  <c r="AA68" i="9" s="1"/>
  <c r="AD68" i="9" s="1"/>
  <c r="AA65" i="9"/>
  <c r="AA66" i="9" s="1"/>
  <c r="AD66" i="9" s="1"/>
  <c r="AA58" i="9"/>
  <c r="AA57" i="9"/>
  <c r="AD57" i="9" s="1"/>
  <c r="AF57" i="9" s="1"/>
  <c r="AA56" i="9"/>
  <c r="AA55" i="9"/>
  <c r="AD55" i="9" s="1"/>
  <c r="AF55" i="9" s="1"/>
  <c r="AD51" i="9"/>
  <c r="AA50" i="9"/>
  <c r="AA49" i="9" s="1"/>
  <c r="AD49" i="9" s="1"/>
  <c r="AA48" i="9"/>
  <c r="AA47" i="9" s="1"/>
  <c r="AD47" i="9" s="1"/>
  <c r="E48" i="9"/>
  <c r="AA39" i="9"/>
  <c r="AA38" i="9" s="1"/>
  <c r="AD38" i="9" s="1"/>
  <c r="AF38" i="9" s="1"/>
  <c r="AA34" i="9"/>
  <c r="AA33" i="9" s="1"/>
  <c r="AD33" i="9" s="1"/>
  <c r="AF33" i="9" s="1"/>
  <c r="O28" i="9"/>
  <c r="AA28" i="9" s="1"/>
  <c r="AD28" i="9" s="1"/>
  <c r="O24" i="9"/>
  <c r="AA24" i="9" s="1"/>
  <c r="AD24" i="9" s="1"/>
  <c r="AF24" i="9" s="1"/>
  <c r="I21" i="9"/>
  <c r="N109" i="9" s="1"/>
  <c r="I20" i="9"/>
  <c r="AA18" i="9"/>
  <c r="AD18" i="9" s="1"/>
  <c r="I17" i="9"/>
  <c r="AE94" i="9" s="1"/>
  <c r="AG94" i="9" s="1"/>
  <c r="AC94" i="9" s="1"/>
  <c r="AA15" i="9"/>
  <c r="AD15" i="9" s="1"/>
  <c r="AA14" i="9"/>
  <c r="AD14" i="9" s="1"/>
  <c r="AF12" i="9"/>
  <c r="AE12" i="9"/>
  <c r="AA10" i="9"/>
  <c r="AD10" i="9" s="1"/>
  <c r="AD9" i="9"/>
  <c r="AF9" i="9" s="1"/>
  <c r="AC141" i="8"/>
  <c r="D135" i="8"/>
  <c r="D134" i="8"/>
  <c r="AA118" i="8"/>
  <c r="AE118" i="8" s="1"/>
  <c r="AA117" i="8"/>
  <c r="AD117" i="8" s="1"/>
  <c r="I116" i="8"/>
  <c r="N100" i="8"/>
  <c r="N99" i="8"/>
  <c r="AA75" i="8"/>
  <c r="AA76" i="8" s="1"/>
  <c r="AD76" i="8" s="1"/>
  <c r="AF76" i="8" s="1"/>
  <c r="AA74" i="8"/>
  <c r="AA73" i="8" s="1"/>
  <c r="AD73" i="8" s="1"/>
  <c r="AD70" i="8"/>
  <c r="AA68" i="8"/>
  <c r="AD68" i="8" s="1"/>
  <c r="AA67" i="8"/>
  <c r="E66" i="8"/>
  <c r="AA65" i="8"/>
  <c r="AA66" i="8" s="1"/>
  <c r="AD66" i="8" s="1"/>
  <c r="AA58" i="8"/>
  <c r="AA57" i="8" s="1"/>
  <c r="AD57" i="8" s="1"/>
  <c r="AA56" i="8"/>
  <c r="AA55" i="8"/>
  <c r="AD55" i="8" s="1"/>
  <c r="AD51" i="8"/>
  <c r="AA50" i="8"/>
  <c r="AA49" i="8" s="1"/>
  <c r="AD49" i="8" s="1"/>
  <c r="AE49" i="8" s="1"/>
  <c r="AA48" i="8"/>
  <c r="AA47" i="8" s="1"/>
  <c r="AD47" i="8" s="1"/>
  <c r="E48" i="8"/>
  <c r="AA39" i="8"/>
  <c r="AA38" i="8" s="1"/>
  <c r="AD38" i="8" s="1"/>
  <c r="AA34" i="8"/>
  <c r="AA33" i="8" s="1"/>
  <c r="AD33" i="8" s="1"/>
  <c r="AF33" i="8" s="1"/>
  <c r="O28" i="8"/>
  <c r="L26" i="8" s="1"/>
  <c r="AA29" i="8" s="1"/>
  <c r="AD29" i="8" s="1"/>
  <c r="O24" i="8"/>
  <c r="AA24" i="8" s="1"/>
  <c r="AD24" i="8" s="1"/>
  <c r="I21" i="8"/>
  <c r="N104" i="8" s="1"/>
  <c r="I20" i="8"/>
  <c r="AA18" i="8"/>
  <c r="AD18" i="8" s="1"/>
  <c r="I17" i="8"/>
  <c r="AE89" i="8" s="1"/>
  <c r="AG89" i="8" s="1"/>
  <c r="AC89" i="8" s="1"/>
  <c r="AA15" i="8"/>
  <c r="AD15" i="8" s="1"/>
  <c r="AA14" i="8"/>
  <c r="AD14" i="8" s="1"/>
  <c r="AF12" i="8"/>
  <c r="AE12" i="8"/>
  <c r="AA10" i="8"/>
  <c r="AD10" i="8" s="1"/>
  <c r="AD9" i="8"/>
  <c r="AF9" i="8" s="1"/>
  <c r="D135" i="1"/>
  <c r="AB9" i="1"/>
  <c r="AE9" i="1" s="1"/>
  <c r="AG9" i="1" s="1"/>
  <c r="AB65" i="1"/>
  <c r="AB66" i="1" s="1"/>
  <c r="AE66" i="1" s="1"/>
  <c r="F66" i="1"/>
  <c r="AB67" i="1"/>
  <c r="AB68" i="1" s="1"/>
  <c r="AE68" i="1" s="1"/>
  <c r="AE70" i="1"/>
  <c r="AB74" i="1"/>
  <c r="AB73" i="1" s="1"/>
  <c r="AE73" i="1" s="1"/>
  <c r="AB75" i="1"/>
  <c r="AB76" i="1" s="1"/>
  <c r="AE76" i="1" s="1"/>
  <c r="AF76" i="1" s="1"/>
  <c r="AC165" i="7"/>
  <c r="D159" i="7"/>
  <c r="D158" i="7"/>
  <c r="AA142" i="7"/>
  <c r="AE142" i="7" s="1"/>
  <c r="AA141" i="7"/>
  <c r="AD141" i="7" s="1"/>
  <c r="I140" i="7"/>
  <c r="N124" i="7"/>
  <c r="N123" i="7"/>
  <c r="AA99" i="7"/>
  <c r="AA100" i="7" s="1"/>
  <c r="AD100" i="7" s="1"/>
  <c r="AE100" i="7" s="1"/>
  <c r="AA98" i="7"/>
  <c r="AA97" i="7"/>
  <c r="AD97" i="7" s="1"/>
  <c r="AF97" i="7" s="1"/>
  <c r="AD94" i="7"/>
  <c r="AA92" i="7"/>
  <c r="AD92" i="7" s="1"/>
  <c r="AF92" i="7" s="1"/>
  <c r="AA91" i="7"/>
  <c r="E90" i="7"/>
  <c r="AA89" i="7"/>
  <c r="AA90" i="7" s="1"/>
  <c r="AD90" i="7" s="1"/>
  <c r="AA82" i="7"/>
  <c r="AD82" i="7" s="1"/>
  <c r="AE82" i="7" s="1"/>
  <c r="AA75" i="7"/>
  <c r="AD75" i="7" s="1"/>
  <c r="AA74" i="7"/>
  <c r="E74" i="7"/>
  <c r="AA72" i="7"/>
  <c r="AA73" i="7" s="1"/>
  <c r="AD73" i="7" s="1"/>
  <c r="AD70" i="7"/>
  <c r="AB70" i="7"/>
  <c r="AS67" i="7"/>
  <c r="AR67" i="7"/>
  <c r="AU67" i="7" s="1"/>
  <c r="AQ67" i="7"/>
  <c r="AT67" i="7" s="1"/>
  <c r="AP67" i="7"/>
  <c r="AA67" i="7"/>
  <c r="AA68" i="7" s="1"/>
  <c r="AD68" i="7" s="1"/>
  <c r="AA66" i="7"/>
  <c r="AD66" i="7" s="1"/>
  <c r="AA65" i="7"/>
  <c r="AA58" i="7"/>
  <c r="AA57" i="7" s="1"/>
  <c r="AD57" i="7" s="1"/>
  <c r="AA56" i="7"/>
  <c r="AA55" i="7"/>
  <c r="AD55" i="7" s="1"/>
  <c r="AF55" i="7" s="1"/>
  <c r="AD51" i="7"/>
  <c r="AA50" i="7"/>
  <c r="AA49" i="7" s="1"/>
  <c r="AD49" i="7" s="1"/>
  <c r="AA48" i="7"/>
  <c r="E48" i="7"/>
  <c r="AA47" i="7"/>
  <c r="AD47" i="7" s="1"/>
  <c r="AA39" i="7"/>
  <c r="AA38" i="7" s="1"/>
  <c r="AD38" i="7" s="1"/>
  <c r="AA34" i="7"/>
  <c r="AA33" i="7"/>
  <c r="AD33" i="7" s="1"/>
  <c r="AF33" i="7" s="1"/>
  <c r="AG33" i="7" s="1"/>
  <c r="O28" i="7"/>
  <c r="AA28" i="7" s="1"/>
  <c r="AD28" i="7" s="1"/>
  <c r="L26" i="7"/>
  <c r="AA29" i="7" s="1"/>
  <c r="AD29" i="7" s="1"/>
  <c r="AF29" i="7" s="1"/>
  <c r="O24" i="7"/>
  <c r="AA24" i="7" s="1"/>
  <c r="AD24" i="7" s="1"/>
  <c r="L22" i="7"/>
  <c r="AA25" i="7" s="1"/>
  <c r="AD25" i="7" s="1"/>
  <c r="I21" i="7"/>
  <c r="N128" i="7" s="1"/>
  <c r="I20" i="7"/>
  <c r="AA18" i="7"/>
  <c r="AD18" i="7" s="1"/>
  <c r="I17" i="7"/>
  <c r="AE113" i="7" s="1"/>
  <c r="AG113" i="7" s="1"/>
  <c r="AC113" i="7" s="1"/>
  <c r="AA15" i="7"/>
  <c r="AD15" i="7" s="1"/>
  <c r="AA14" i="7"/>
  <c r="AD14" i="7" s="1"/>
  <c r="AF12" i="7"/>
  <c r="AE12" i="7"/>
  <c r="AA10" i="7"/>
  <c r="AD10" i="7" s="1"/>
  <c r="AF9" i="7"/>
  <c r="AG9" i="7" s="1"/>
  <c r="AD9" i="7"/>
  <c r="AE9" i="7" s="1"/>
  <c r="AB15" i="1"/>
  <c r="AE15" i="1" s="1"/>
  <c r="AB14" i="1"/>
  <c r="AE14" i="1" s="1"/>
  <c r="AG14" i="1" s="1"/>
  <c r="E31" i="6"/>
  <c r="E30" i="6"/>
  <c r="F31" i="6" s="1"/>
  <c r="G31" i="6" s="1"/>
  <c r="N5" i="6"/>
  <c r="F15" i="6"/>
  <c r="L15" i="6" s="1"/>
  <c r="E15" i="6"/>
  <c r="K15" i="6" s="1"/>
  <c r="D15" i="6"/>
  <c r="C15" i="6"/>
  <c r="F14" i="6"/>
  <c r="L14" i="6" s="1"/>
  <c r="E14" i="6"/>
  <c r="K14" i="6" s="1"/>
  <c r="D14" i="6"/>
  <c r="C14" i="6"/>
  <c r="F13" i="6"/>
  <c r="L13" i="6" s="1"/>
  <c r="E13" i="6"/>
  <c r="K13" i="6" s="1"/>
  <c r="D13" i="6"/>
  <c r="C13" i="6"/>
  <c r="F12" i="6"/>
  <c r="L12" i="6" s="1"/>
  <c r="E12" i="6"/>
  <c r="K12" i="6" s="1"/>
  <c r="D12" i="6"/>
  <c r="C12" i="6"/>
  <c r="F11" i="6"/>
  <c r="L11" i="6" s="1"/>
  <c r="E11" i="6"/>
  <c r="K11" i="6" s="1"/>
  <c r="D11" i="6"/>
  <c r="C11" i="6"/>
  <c r="F10" i="6"/>
  <c r="L10" i="6" s="1"/>
  <c r="E10" i="6"/>
  <c r="K10" i="6" s="1"/>
  <c r="D10" i="6"/>
  <c r="C10" i="6"/>
  <c r="F9" i="6"/>
  <c r="L9" i="6" s="1"/>
  <c r="E9" i="6"/>
  <c r="K9" i="6" s="1"/>
  <c r="D9" i="6"/>
  <c r="C9" i="6"/>
  <c r="F8" i="6"/>
  <c r="L8" i="6" s="1"/>
  <c r="E8" i="6"/>
  <c r="K8" i="6" s="1"/>
  <c r="D8" i="6"/>
  <c r="C8" i="6"/>
  <c r="F7" i="6"/>
  <c r="L7" i="6" s="1"/>
  <c r="E7" i="6"/>
  <c r="K7" i="6" s="1"/>
  <c r="D7" i="6"/>
  <c r="C7" i="6"/>
  <c r="E6" i="6"/>
  <c r="K6" i="6" s="1"/>
  <c r="D6" i="6"/>
  <c r="C6" i="6"/>
  <c r="F6" i="6"/>
  <c r="L6" i="6" s="1"/>
  <c r="N6" i="6"/>
  <c r="D4" i="6"/>
  <c r="K16" i="6"/>
  <c r="L16" i="6"/>
  <c r="N4" i="6"/>
  <c r="F5" i="6"/>
  <c r="L5" i="6" s="1"/>
  <c r="E5" i="6"/>
  <c r="K5" i="6" s="1"/>
  <c r="D5" i="6"/>
  <c r="C5" i="6"/>
  <c r="F4" i="6"/>
  <c r="L4" i="6" s="1"/>
  <c r="E4" i="6"/>
  <c r="K4" i="6" s="1"/>
  <c r="C4" i="6"/>
  <c r="O100" i="1"/>
  <c r="O99" i="1"/>
  <c r="AD141" i="1"/>
  <c r="AA80" i="3"/>
  <c r="AD80" i="3" s="1"/>
  <c r="AA79" i="3"/>
  <c r="AD79" i="3" s="1"/>
  <c r="AB56" i="1"/>
  <c r="AB55" i="1" s="1"/>
  <c r="AE55" i="1" s="1"/>
  <c r="AG55" i="1" s="1"/>
  <c r="AB58" i="1"/>
  <c r="AB57" i="1" s="1"/>
  <c r="AE57" i="1" s="1"/>
  <c r="AF57" i="1" s="1"/>
  <c r="AB50" i="1"/>
  <c r="AB49" i="1" s="1"/>
  <c r="AE49" i="1" s="1"/>
  <c r="AF49" i="1" s="1"/>
  <c r="AB48" i="1"/>
  <c r="AB47" i="1" s="1"/>
  <c r="AE47" i="1" s="1"/>
  <c r="AB39" i="1"/>
  <c r="AB38" i="1" s="1"/>
  <c r="AB34" i="1"/>
  <c r="AB33" i="1" s="1"/>
  <c r="AE33" i="1" s="1"/>
  <c r="M57" i="2"/>
  <c r="N57" i="2" s="1"/>
  <c r="M52" i="2"/>
  <c r="N52" i="2" s="1"/>
  <c r="M50" i="2"/>
  <c r="N50" i="2" s="1"/>
  <c r="O48" i="2"/>
  <c r="M48" i="2"/>
  <c r="N48" i="2" s="1"/>
  <c r="M44" i="2"/>
  <c r="N44" i="2" s="1"/>
  <c r="M42" i="2"/>
  <c r="N42" i="2" s="1"/>
  <c r="M40" i="2"/>
  <c r="N40" i="2" s="1"/>
  <c r="M38" i="2"/>
  <c r="N38" i="2" s="1"/>
  <c r="M33" i="2"/>
  <c r="N33" i="2" s="1"/>
  <c r="M31" i="2"/>
  <c r="O31" i="2" s="1"/>
  <c r="M27" i="2"/>
  <c r="O27" i="2" s="1"/>
  <c r="M22" i="2"/>
  <c r="J58" i="2"/>
  <c r="M58" i="2" s="1"/>
  <c r="J57" i="2"/>
  <c r="J56" i="2"/>
  <c r="M56" i="2" s="1"/>
  <c r="J55" i="2"/>
  <c r="M55" i="2" s="1"/>
  <c r="J54" i="2"/>
  <c r="M54" i="2" s="1"/>
  <c r="N54" i="2" s="1"/>
  <c r="J53" i="2"/>
  <c r="M53" i="2" s="1"/>
  <c r="J52" i="2"/>
  <c r="J51" i="2"/>
  <c r="M51" i="2" s="1"/>
  <c r="J50" i="2"/>
  <c r="J49" i="2"/>
  <c r="M49" i="2" s="1"/>
  <c r="J48" i="2"/>
  <c r="J47" i="2"/>
  <c r="M47" i="2" s="1"/>
  <c r="J46" i="2"/>
  <c r="M46" i="2" s="1"/>
  <c r="N46" i="2" s="1"/>
  <c r="J45" i="2"/>
  <c r="M45" i="2" s="1"/>
  <c r="J44" i="2"/>
  <c r="J43" i="2"/>
  <c r="M43" i="2" s="1"/>
  <c r="J42" i="2"/>
  <c r="J41" i="2"/>
  <c r="M41" i="2" s="1"/>
  <c r="N41" i="2" s="1"/>
  <c r="J40" i="2"/>
  <c r="J39" i="2"/>
  <c r="M39" i="2" s="1"/>
  <c r="N39" i="2" s="1"/>
  <c r="J38" i="2"/>
  <c r="AA63" i="3"/>
  <c r="AD63" i="3" s="1"/>
  <c r="AF63" i="3" s="1"/>
  <c r="AA61" i="3"/>
  <c r="AF61" i="3" s="1"/>
  <c r="AP61" i="3" s="1"/>
  <c r="AA60" i="3"/>
  <c r="AF60" i="3" s="1"/>
  <c r="AP60" i="3" s="1"/>
  <c r="AE57" i="3"/>
  <c r="AF57" i="3" s="1"/>
  <c r="AA56" i="3"/>
  <c r="AD56" i="3" s="1"/>
  <c r="AE55" i="3"/>
  <c r="AF55" i="3" s="1"/>
  <c r="AA54" i="3"/>
  <c r="AF54" i="3" s="1"/>
  <c r="AP54" i="3" s="1"/>
  <c r="AE40" i="3"/>
  <c r="AF40" i="3" s="1"/>
  <c r="AA39" i="3"/>
  <c r="AF39" i="3" s="1"/>
  <c r="AP39" i="3" s="1"/>
  <c r="AE38" i="3"/>
  <c r="AF38" i="3" s="1"/>
  <c r="AA37" i="3"/>
  <c r="AE37" i="3" s="1"/>
  <c r="AE34" i="3"/>
  <c r="AF34" i="3" s="1"/>
  <c r="AE32" i="3"/>
  <c r="K13" i="3"/>
  <c r="K14" i="3"/>
  <c r="AP44" i="3" s="1"/>
  <c r="AA33" i="3"/>
  <c r="AE33" i="3" s="1"/>
  <c r="AA31" i="3"/>
  <c r="AD31" i="3" s="1"/>
  <c r="AA10" i="3"/>
  <c r="AF10" i="3" s="1"/>
  <c r="AP10" i="3" s="1"/>
  <c r="AA8" i="3"/>
  <c r="AD8" i="3" s="1"/>
  <c r="R92" i="2"/>
  <c r="T92" i="2" s="1"/>
  <c r="J86" i="2" s="1"/>
  <c r="D86" i="2"/>
  <c r="D85" i="2"/>
  <c r="Q86" i="2"/>
  <c r="V86" i="2" s="1"/>
  <c r="AF86" i="2" s="1"/>
  <c r="V81" i="2"/>
  <c r="AF81" i="2" s="1"/>
  <c r="T81" i="2"/>
  <c r="U81" i="2"/>
  <c r="V80" i="2"/>
  <c r="AF80" i="2" s="1"/>
  <c r="T79" i="2"/>
  <c r="V79" i="2"/>
  <c r="AF79" i="2" s="1"/>
  <c r="T78" i="2"/>
  <c r="V78" i="2"/>
  <c r="AF78" i="2" s="1"/>
  <c r="V76" i="2"/>
  <c r="AF76" i="2" s="1"/>
  <c r="T75" i="2"/>
  <c r="V75" i="2"/>
  <c r="AF75" i="2" s="1"/>
  <c r="U74" i="2"/>
  <c r="Q68" i="2"/>
  <c r="V68" i="2" s="1"/>
  <c r="AF68" i="2" s="1"/>
  <c r="L72" i="2"/>
  <c r="Q72" i="2" s="1"/>
  <c r="L71" i="2"/>
  <c r="I71" i="2" s="1"/>
  <c r="L69" i="2"/>
  <c r="Q69" i="2" s="1"/>
  <c r="I68" i="2"/>
  <c r="P28" i="1"/>
  <c r="M26" i="1" s="1"/>
  <c r="L77" i="2" s="1"/>
  <c r="Q77" i="2" s="1"/>
  <c r="P24" i="1"/>
  <c r="AB24" i="1" s="1"/>
  <c r="AE24" i="1" s="1"/>
  <c r="AF24" i="1" s="1"/>
  <c r="D136" i="1"/>
  <c r="AB118" i="1"/>
  <c r="AF118" i="1" s="1"/>
  <c r="AB117" i="1"/>
  <c r="AE117" i="1" s="1"/>
  <c r="AG117" i="1" s="1"/>
  <c r="J21" i="1"/>
  <c r="O104" i="1" s="1"/>
  <c r="AE104" i="1" s="1"/>
  <c r="J37" i="2"/>
  <c r="M37" i="2" s="1"/>
  <c r="AE51" i="1"/>
  <c r="AG12" i="1"/>
  <c r="AF12" i="1"/>
  <c r="AB10" i="1"/>
  <c r="AE10" i="1" s="1"/>
  <c r="AF10" i="1" s="1"/>
  <c r="J12" i="2"/>
  <c r="M12" i="2" s="1"/>
  <c r="J11" i="2"/>
  <c r="M11" i="2" s="1"/>
  <c r="J10" i="2"/>
  <c r="M10" i="2" s="1"/>
  <c r="J9" i="2"/>
  <c r="M9" i="2" s="1"/>
  <c r="J8" i="2"/>
  <c r="M8" i="2" s="1"/>
  <c r="J7" i="2"/>
  <c r="M7" i="2" s="1"/>
  <c r="J6" i="2"/>
  <c r="M6" i="2" s="1"/>
  <c r="J5" i="2"/>
  <c r="M5" i="2" s="1"/>
  <c r="J4" i="2"/>
  <c r="M4" i="2" s="1"/>
  <c r="J36" i="2"/>
  <c r="M36" i="2" s="1"/>
  <c r="J35" i="2"/>
  <c r="M35" i="2" s="1"/>
  <c r="J34" i="2"/>
  <c r="M34" i="2" s="1"/>
  <c r="J33" i="2"/>
  <c r="J32" i="2"/>
  <c r="M32" i="2" s="1"/>
  <c r="J21" i="2"/>
  <c r="M21" i="2" s="1"/>
  <c r="J31" i="2"/>
  <c r="J30" i="2"/>
  <c r="M30" i="2" s="1"/>
  <c r="J29" i="2"/>
  <c r="M29" i="2" s="1"/>
  <c r="J28" i="2"/>
  <c r="M28" i="2" s="1"/>
  <c r="J27" i="2"/>
  <c r="J26" i="2"/>
  <c r="M26" i="2" s="1"/>
  <c r="J25" i="2"/>
  <c r="M25" i="2" s="1"/>
  <c r="J24" i="2"/>
  <c r="M24" i="2" s="1"/>
  <c r="O24" i="2" s="1"/>
  <c r="Q24" i="2" s="1"/>
  <c r="J23" i="2"/>
  <c r="M23" i="2" s="1"/>
  <c r="J22" i="2"/>
  <c r="J20" i="2"/>
  <c r="J17" i="1"/>
  <c r="AF89" i="1" s="1"/>
  <c r="AH89" i="1" s="1"/>
  <c r="AD89" i="1" s="1"/>
  <c r="O89" i="1" s="1"/>
  <c r="AB18" i="1"/>
  <c r="AE18" i="1" s="1"/>
  <c r="J20" i="1"/>
  <c r="AJ48" i="10" l="1"/>
  <c r="AT48" i="10" s="1"/>
  <c r="AI48" i="10"/>
  <c r="AP48" i="10" s="1"/>
  <c r="AH48" i="10"/>
  <c r="AH50" i="10"/>
  <c r="AJ50" i="10"/>
  <c r="AT50" i="10" s="1"/>
  <c r="AI50" i="10"/>
  <c r="AH55" i="10"/>
  <c r="AJ55" i="10"/>
  <c r="AT55" i="10" s="1"/>
  <c r="AI55" i="10"/>
  <c r="AJ58" i="10"/>
  <c r="AT58" i="10" s="1"/>
  <c r="AI58" i="10"/>
  <c r="AH58" i="10"/>
  <c r="AF38" i="10"/>
  <c r="AG38" i="10" s="1"/>
  <c r="AG9" i="10"/>
  <c r="AI9" i="10" s="1"/>
  <c r="AM9" i="10" s="1"/>
  <c r="AN9" i="10" s="1"/>
  <c r="AO9" i="10" s="1"/>
  <c r="AQ9" i="10" s="1"/>
  <c r="AH68" i="10"/>
  <c r="AI68" i="10"/>
  <c r="AS68" i="10" s="1"/>
  <c r="AG68" i="10"/>
  <c r="AO14" i="10"/>
  <c r="AO111" i="10"/>
  <c r="AI33" i="10"/>
  <c r="AS33" i="10" s="1"/>
  <c r="AH33" i="10"/>
  <c r="AI29" i="10"/>
  <c r="AS29" i="10" s="1"/>
  <c r="AE25" i="10"/>
  <c r="AG24" i="10"/>
  <c r="AH24" i="10"/>
  <c r="AO24" i="10" s="1"/>
  <c r="AH15" i="10"/>
  <c r="AG15" i="10"/>
  <c r="AI15" i="10"/>
  <c r="AS15" i="10" s="1"/>
  <c r="AF28" i="10"/>
  <c r="AE28" i="10"/>
  <c r="AJ111" i="10"/>
  <c r="AI65" i="10"/>
  <c r="AS65" i="10" s="1"/>
  <c r="AH65" i="10"/>
  <c r="AG65" i="10"/>
  <c r="AJ14" i="10"/>
  <c r="AD113" i="10"/>
  <c r="AF113" i="10"/>
  <c r="AP113" i="10" s="1"/>
  <c r="AE113" i="10"/>
  <c r="AH18" i="10"/>
  <c r="AG18" i="10"/>
  <c r="AI18" i="10"/>
  <c r="AS18" i="10" s="1"/>
  <c r="AI10" i="10"/>
  <c r="AM10" i="10" s="1"/>
  <c r="AL83" i="10"/>
  <c r="AG25" i="10"/>
  <c r="AI25" i="10"/>
  <c r="AS25" i="10" s="1"/>
  <c r="AH25" i="10"/>
  <c r="L26" i="9"/>
  <c r="AA29" i="9" s="1"/>
  <c r="AD29" i="9" s="1"/>
  <c r="AE29" i="9" s="1"/>
  <c r="AE105" i="9"/>
  <c r="N35" i="2"/>
  <c r="O35" i="2"/>
  <c r="Q35" i="2" s="1"/>
  <c r="O23" i="2"/>
  <c r="N23" i="2"/>
  <c r="N43" i="2"/>
  <c r="O43" i="2"/>
  <c r="Q43" i="2" s="1"/>
  <c r="O21" i="2"/>
  <c r="N21" i="2"/>
  <c r="O28" i="2"/>
  <c r="N28" i="2"/>
  <c r="N36" i="2"/>
  <c r="O36" i="2"/>
  <c r="O25" i="2"/>
  <c r="R25" i="2" s="1"/>
  <c r="AB25" i="2" s="1"/>
  <c r="N25" i="2"/>
  <c r="N37" i="2"/>
  <c r="O37" i="2"/>
  <c r="Q37" i="2" s="1"/>
  <c r="I31" i="6"/>
  <c r="J31" i="6" s="1"/>
  <c r="H31" i="6"/>
  <c r="N58" i="2"/>
  <c r="O58" i="2"/>
  <c r="R58" i="2" s="1"/>
  <c r="AB58" i="2" s="1"/>
  <c r="O32" i="2"/>
  <c r="N32" i="2"/>
  <c r="N45" i="2"/>
  <c r="O45" i="2"/>
  <c r="Q45" i="2" s="1"/>
  <c r="N53" i="2"/>
  <c r="O53" i="2"/>
  <c r="AE57" i="7"/>
  <c r="AF57" i="7"/>
  <c r="AI57" i="7" s="1"/>
  <c r="AS57" i="7" s="1"/>
  <c r="AF14" i="9"/>
  <c r="AI14" i="9" s="1"/>
  <c r="AS14" i="9" s="1"/>
  <c r="AE14" i="9"/>
  <c r="N34" i="2"/>
  <c r="O34" i="2"/>
  <c r="Q34" i="2" s="1"/>
  <c r="N56" i="2"/>
  <c r="O56" i="2"/>
  <c r="O29" i="2"/>
  <c r="N29" i="2"/>
  <c r="N49" i="2"/>
  <c r="O49" i="2"/>
  <c r="Q49" i="2" s="1"/>
  <c r="L22" i="9"/>
  <c r="AA25" i="9" s="1"/>
  <c r="AD25" i="9" s="1"/>
  <c r="AF25" i="9" s="1"/>
  <c r="O42" i="2"/>
  <c r="AF100" i="1"/>
  <c r="AE124" i="7"/>
  <c r="O38" i="2"/>
  <c r="Q38" i="2" s="1"/>
  <c r="O52" i="2"/>
  <c r="AD13" i="4"/>
  <c r="N27" i="2"/>
  <c r="N31" i="2"/>
  <c r="O44" i="2"/>
  <c r="O57" i="2"/>
  <c r="AL27" i="4"/>
  <c r="AL24" i="4"/>
  <c r="AM24" i="4" s="1"/>
  <c r="AL30" i="4"/>
  <c r="AL29" i="4"/>
  <c r="AL28" i="4"/>
  <c r="AL23" i="4"/>
  <c r="AM23" i="4" s="1"/>
  <c r="C25" i="4"/>
  <c r="AB24" i="4"/>
  <c r="AG24" i="4" s="1"/>
  <c r="M15" i="6"/>
  <c r="M7" i="6"/>
  <c r="M5" i="6"/>
  <c r="M6" i="6"/>
  <c r="M12" i="6"/>
  <c r="AI57" i="9"/>
  <c r="AS57" i="9" s="1"/>
  <c r="AH57" i="9"/>
  <c r="AG57" i="9"/>
  <c r="AJ57" i="9" s="1"/>
  <c r="AI24" i="9"/>
  <c r="AS24" i="9" s="1"/>
  <c r="AH24" i="9"/>
  <c r="AG24" i="9"/>
  <c r="AF47" i="9"/>
  <c r="AE47" i="9"/>
  <c r="AH9" i="9"/>
  <c r="AJ9" i="9" s="1"/>
  <c r="AK9" i="9" s="1"/>
  <c r="AL9" i="9" s="1"/>
  <c r="AG9" i="9"/>
  <c r="AE15" i="9"/>
  <c r="AF15" i="9"/>
  <c r="AE28" i="9"/>
  <c r="AF28" i="9"/>
  <c r="AE18" i="9"/>
  <c r="AF18" i="9"/>
  <c r="AF10" i="9"/>
  <c r="AE10" i="9"/>
  <c r="AI55" i="9"/>
  <c r="AS55" i="9" s="1"/>
  <c r="AH55" i="9"/>
  <c r="AG55" i="9"/>
  <c r="AF122" i="9"/>
  <c r="AE122" i="9"/>
  <c r="L85" i="9"/>
  <c r="AE24" i="9"/>
  <c r="AG33" i="9"/>
  <c r="AH33" i="9"/>
  <c r="AE49" i="9"/>
  <c r="AF49" i="9"/>
  <c r="AE55" i="9"/>
  <c r="AF73" i="9"/>
  <c r="AE73" i="9"/>
  <c r="AE9" i="9"/>
  <c r="AF109" i="9"/>
  <c r="AE109" i="9"/>
  <c r="AE110" i="9" s="1"/>
  <c r="AD109" i="9"/>
  <c r="AG38" i="9"/>
  <c r="AH38" i="9"/>
  <c r="AF68" i="9"/>
  <c r="AE68" i="9"/>
  <c r="AF29" i="9"/>
  <c r="AE57" i="9"/>
  <c r="AE33" i="9"/>
  <c r="AT67" i="9"/>
  <c r="AR67" i="9"/>
  <c r="AU67" i="9" s="1"/>
  <c r="AV67" i="9" s="1"/>
  <c r="AK94" i="9"/>
  <c r="N94" i="9"/>
  <c r="AI94" i="9"/>
  <c r="AJ94" i="9" s="1"/>
  <c r="AI33" i="9"/>
  <c r="AS33" i="9" s="1"/>
  <c r="AE38" i="9"/>
  <c r="AI38" i="9"/>
  <c r="AS38" i="9" s="1"/>
  <c r="AF66" i="9"/>
  <c r="AE66" i="9"/>
  <c r="AF75" i="9"/>
  <c r="AE75" i="9"/>
  <c r="AG123" i="9"/>
  <c r="AF123" i="9"/>
  <c r="AA124" i="9"/>
  <c r="AF82" i="9"/>
  <c r="AE47" i="8"/>
  <c r="AF47" i="8"/>
  <c r="AG47" i="8" s="1"/>
  <c r="AE14" i="8"/>
  <c r="AF14" i="8"/>
  <c r="AI14" i="8" s="1"/>
  <c r="AS14" i="8" s="1"/>
  <c r="AF73" i="8"/>
  <c r="AI73" i="8" s="1"/>
  <c r="AS73" i="8" s="1"/>
  <c r="AE73" i="8"/>
  <c r="AE38" i="8"/>
  <c r="AF38" i="8"/>
  <c r="AI38" i="8" s="1"/>
  <c r="AS38" i="8" s="1"/>
  <c r="AE100" i="8"/>
  <c r="L22" i="8"/>
  <c r="AA25" i="8" s="1"/>
  <c r="AD25" i="8" s="1"/>
  <c r="AF25" i="8" s="1"/>
  <c r="AA28" i="8"/>
  <c r="AD28" i="8" s="1"/>
  <c r="AF28" i="8" s="1"/>
  <c r="AF10" i="8"/>
  <c r="AE10" i="8"/>
  <c r="AE18" i="8"/>
  <c r="AF18" i="8"/>
  <c r="AH33" i="8"/>
  <c r="AG33" i="8"/>
  <c r="AI33" i="8"/>
  <c r="AS33" i="8" s="1"/>
  <c r="AF57" i="8"/>
  <c r="AE57" i="8"/>
  <c r="AF104" i="8"/>
  <c r="AF105" i="8" s="1"/>
  <c r="AE104" i="8"/>
  <c r="AE105" i="8" s="1"/>
  <c r="AD104" i="8"/>
  <c r="AE24" i="8"/>
  <c r="AF24" i="8"/>
  <c r="AF29" i="8"/>
  <c r="AE29" i="8"/>
  <c r="AF55" i="8"/>
  <c r="AE55" i="8"/>
  <c r="AE15" i="8"/>
  <c r="AF15" i="8"/>
  <c r="AH9" i="8"/>
  <c r="AJ9" i="8" s="1"/>
  <c r="AK9" i="8" s="1"/>
  <c r="AL9" i="8" s="1"/>
  <c r="AG9" i="8"/>
  <c r="AK89" i="8"/>
  <c r="N89" i="8"/>
  <c r="AI89" i="8"/>
  <c r="AJ89" i="8" s="1"/>
  <c r="L80" i="8"/>
  <c r="AE9" i="8"/>
  <c r="AF49" i="8"/>
  <c r="AH14" i="8"/>
  <c r="AO14" i="8" s="1"/>
  <c r="AE33" i="8"/>
  <c r="AF66" i="8"/>
  <c r="AE66" i="8"/>
  <c r="AF117" i="8"/>
  <c r="AE117" i="8"/>
  <c r="AF68" i="8"/>
  <c r="AE68" i="8"/>
  <c r="AH73" i="8"/>
  <c r="AI76" i="8"/>
  <c r="AS76" i="8" s="1"/>
  <c r="AH76" i="8"/>
  <c r="AO76" i="8" s="1"/>
  <c r="AG76" i="8"/>
  <c r="AE76" i="8"/>
  <c r="AG118" i="8"/>
  <c r="AF118" i="8"/>
  <c r="AA119" i="8"/>
  <c r="AE38" i="1"/>
  <c r="AF38" i="1" s="1"/>
  <c r="AF73" i="1"/>
  <c r="AG73" i="1"/>
  <c r="AF68" i="1"/>
  <c r="AG68" i="1"/>
  <c r="AF66" i="1"/>
  <c r="AG66" i="1"/>
  <c r="AG76" i="1"/>
  <c r="AI55" i="7"/>
  <c r="AS55" i="7" s="1"/>
  <c r="AH55" i="7"/>
  <c r="AG55" i="7"/>
  <c r="AJ55" i="7" s="1"/>
  <c r="AF38" i="7"/>
  <c r="AE38" i="7"/>
  <c r="AF18" i="7"/>
  <c r="AE18" i="7"/>
  <c r="AF68" i="7"/>
  <c r="AE68" i="7"/>
  <c r="AF10" i="7"/>
  <c r="AE10" i="7"/>
  <c r="AF24" i="7"/>
  <c r="AE24" i="7"/>
  <c r="AF14" i="7"/>
  <c r="AE14" i="7"/>
  <c r="AI29" i="7"/>
  <c r="AS29" i="7" s="1"/>
  <c r="AH29" i="7"/>
  <c r="AG29" i="7"/>
  <c r="AE49" i="7"/>
  <c r="AF49" i="7"/>
  <c r="AF25" i="7"/>
  <c r="AE25" i="7"/>
  <c r="AF15" i="7"/>
  <c r="AE15" i="7"/>
  <c r="AF28" i="7"/>
  <c r="AE28" i="7"/>
  <c r="AF75" i="7"/>
  <c r="AE75" i="7"/>
  <c r="AE29" i="7"/>
  <c r="AF73" i="7"/>
  <c r="AE73" i="7"/>
  <c r="AE141" i="7"/>
  <c r="AF141" i="7"/>
  <c r="AF47" i="7"/>
  <c r="AE47" i="7"/>
  <c r="AG57" i="7"/>
  <c r="AE55" i="7"/>
  <c r="AH9" i="7"/>
  <c r="AJ9" i="7" s="1"/>
  <c r="AK9" i="7" s="1"/>
  <c r="AL9" i="7" s="1"/>
  <c r="AE33" i="7"/>
  <c r="AH33" i="7"/>
  <c r="AE90" i="7"/>
  <c r="AF90" i="7"/>
  <c r="AI33" i="7"/>
  <c r="AS33" i="7" s="1"/>
  <c r="AK113" i="7"/>
  <c r="N113" i="7"/>
  <c r="AI113" i="7"/>
  <c r="AJ113" i="7" s="1"/>
  <c r="L104" i="7"/>
  <c r="AF128" i="7"/>
  <c r="AF129" i="7" s="1"/>
  <c r="AE128" i="7"/>
  <c r="AE129" i="7" s="1"/>
  <c r="AC129" i="7" s="1"/>
  <c r="AD128" i="7"/>
  <c r="AF66" i="7"/>
  <c r="AE66" i="7"/>
  <c r="AV67" i="7"/>
  <c r="AH92" i="7"/>
  <c r="AG92" i="7"/>
  <c r="AH97" i="7"/>
  <c r="AG97" i="7"/>
  <c r="AI97" i="7"/>
  <c r="AS97" i="7" s="1"/>
  <c r="AE92" i="7"/>
  <c r="AE97" i="7"/>
  <c r="AI92" i="7"/>
  <c r="AS92" i="7" s="1"/>
  <c r="AF100" i="7"/>
  <c r="AF82" i="7"/>
  <c r="AG142" i="7"/>
  <c r="AF142" i="7"/>
  <c r="AA143" i="7"/>
  <c r="AF15" i="1"/>
  <c r="AG15" i="1"/>
  <c r="AH14" i="1"/>
  <c r="AJ14" i="1"/>
  <c r="AT14" i="1" s="1"/>
  <c r="AI14" i="1"/>
  <c r="AF14" i="1"/>
  <c r="S89" i="2"/>
  <c r="M4" i="6"/>
  <c r="Q4" i="6" s="1"/>
  <c r="M14" i="6"/>
  <c r="M13" i="6"/>
  <c r="M8" i="6"/>
  <c r="M9" i="6"/>
  <c r="M10" i="6"/>
  <c r="M11" i="6"/>
  <c r="M16" i="6"/>
  <c r="AE79" i="3"/>
  <c r="AF79" i="3"/>
  <c r="AE80" i="3"/>
  <c r="AF80" i="3"/>
  <c r="AG18" i="1"/>
  <c r="AJ18" i="1" s="1"/>
  <c r="AT18" i="1" s="1"/>
  <c r="AF18" i="1"/>
  <c r="M22" i="1"/>
  <c r="L73" i="2" s="1"/>
  <c r="Q73" i="2" s="1"/>
  <c r="V73" i="2" s="1"/>
  <c r="AF73" i="2" s="1"/>
  <c r="AB29" i="1"/>
  <c r="AE29" i="1" s="1"/>
  <c r="AG29" i="1" s="1"/>
  <c r="AJ29" i="1" s="1"/>
  <c r="AT29" i="1" s="1"/>
  <c r="AB28" i="1"/>
  <c r="AE28" i="1" s="1"/>
  <c r="AF28" i="1" s="1"/>
  <c r="AG57" i="1"/>
  <c r="AJ57" i="1" s="1"/>
  <c r="AT57" i="1" s="1"/>
  <c r="AF47" i="1"/>
  <c r="AG47" i="1"/>
  <c r="AJ47" i="1" s="1"/>
  <c r="AT47" i="1" s="1"/>
  <c r="AF33" i="1"/>
  <c r="AG33" i="1"/>
  <c r="AJ33" i="1" s="1"/>
  <c r="AT33" i="1" s="1"/>
  <c r="AG49" i="1"/>
  <c r="AG24" i="1"/>
  <c r="AJ117" i="1"/>
  <c r="AT117" i="1" s="1"/>
  <c r="AI117" i="1"/>
  <c r="AH117" i="1"/>
  <c r="AF117" i="1"/>
  <c r="AJ55" i="1"/>
  <c r="AT55" i="1" s="1"/>
  <c r="AI55" i="1"/>
  <c r="AH55" i="1"/>
  <c r="AF55" i="1"/>
  <c r="O26" i="2"/>
  <c r="N26" i="2"/>
  <c r="R29" i="2"/>
  <c r="AB29" i="2" s="1"/>
  <c r="Q29" i="2"/>
  <c r="P29" i="2"/>
  <c r="P28" i="2"/>
  <c r="R28" i="2"/>
  <c r="AB28" i="2" s="1"/>
  <c r="R23" i="2"/>
  <c r="AB23" i="2" s="1"/>
  <c r="Q23" i="2"/>
  <c r="P23" i="2"/>
  <c r="S23" i="2" s="1"/>
  <c r="O30" i="2"/>
  <c r="N30" i="2"/>
  <c r="X43" i="2"/>
  <c r="R31" i="2"/>
  <c r="AB31" i="2" s="1"/>
  <c r="Q31" i="2"/>
  <c r="P31" i="2"/>
  <c r="R27" i="2"/>
  <c r="AB27" i="2" s="1"/>
  <c r="Q27" i="2"/>
  <c r="P27" i="2"/>
  <c r="R21" i="2"/>
  <c r="AB21" i="2" s="1"/>
  <c r="Q21" i="2"/>
  <c r="P21" i="2"/>
  <c r="Q28" i="2"/>
  <c r="Q25" i="2"/>
  <c r="P25" i="2"/>
  <c r="P32" i="2"/>
  <c r="S32" i="2" s="1"/>
  <c r="Q32" i="2"/>
  <c r="X32" i="2" s="1"/>
  <c r="R32" i="2"/>
  <c r="AB32" i="2" s="1"/>
  <c r="O22" i="2"/>
  <c r="N22" i="2"/>
  <c r="P24" i="2"/>
  <c r="R24" i="2"/>
  <c r="AB24" i="2" s="1"/>
  <c r="O40" i="2"/>
  <c r="O46" i="2"/>
  <c r="O50" i="2"/>
  <c r="P37" i="2"/>
  <c r="R37" i="2"/>
  <c r="AB37" i="2" s="1"/>
  <c r="O47" i="2"/>
  <c r="N47" i="2"/>
  <c r="O51" i="2"/>
  <c r="N51" i="2"/>
  <c r="O55" i="2"/>
  <c r="N55" i="2"/>
  <c r="X37" i="2"/>
  <c r="R42" i="2"/>
  <c r="AB42" i="2" s="1"/>
  <c r="P42" i="2"/>
  <c r="O39" i="2"/>
  <c r="Q42" i="2"/>
  <c r="X42" i="2" s="1"/>
  <c r="O54" i="2"/>
  <c r="N24" i="2"/>
  <c r="R36" i="2"/>
  <c r="AB36" i="2" s="1"/>
  <c r="P36" i="2"/>
  <c r="S36" i="2" s="1"/>
  <c r="R44" i="2"/>
  <c r="AB44" i="2" s="1"/>
  <c r="P44" i="2"/>
  <c r="R48" i="2"/>
  <c r="AB48" i="2" s="1"/>
  <c r="P48" i="2"/>
  <c r="P53" i="2"/>
  <c r="R53" i="2"/>
  <c r="AB53" i="2" s="1"/>
  <c r="Q58" i="2"/>
  <c r="P58" i="2"/>
  <c r="R35" i="2"/>
  <c r="AB35" i="2" s="1"/>
  <c r="P35" i="2"/>
  <c r="O33" i="2"/>
  <c r="Q36" i="2"/>
  <c r="X36" i="2" s="1"/>
  <c r="O41" i="2"/>
  <c r="Q44" i="2"/>
  <c r="X44" i="2" s="1"/>
  <c r="Q48" i="2"/>
  <c r="X48" i="2" s="1"/>
  <c r="Q53" i="2"/>
  <c r="R43" i="2"/>
  <c r="AB43" i="2" s="1"/>
  <c r="P43" i="2"/>
  <c r="S43" i="2" s="1"/>
  <c r="R38" i="2"/>
  <c r="AB38" i="2" s="1"/>
  <c r="P45" i="2"/>
  <c r="S45" i="2" s="1"/>
  <c r="R45" i="2"/>
  <c r="AB45" i="2" s="1"/>
  <c r="P49" i="2"/>
  <c r="R49" i="2"/>
  <c r="AB49" i="2" s="1"/>
  <c r="R57" i="2"/>
  <c r="AB57" i="2" s="1"/>
  <c r="P52" i="2"/>
  <c r="P56" i="2"/>
  <c r="M20" i="2"/>
  <c r="AB81" i="2"/>
  <c r="Q71" i="2"/>
  <c r="U71" i="2" s="1"/>
  <c r="W81" i="2"/>
  <c r="Y81" i="2" s="1"/>
  <c r="AH63" i="3"/>
  <c r="AJ63" i="3" s="1"/>
  <c r="AK63" i="3" s="1"/>
  <c r="AL63" i="3" s="1"/>
  <c r="AG63" i="3"/>
  <c r="AE63" i="3"/>
  <c r="AE56" i="3"/>
  <c r="AF56" i="3"/>
  <c r="AD54" i="3"/>
  <c r="AE54" i="3"/>
  <c r="AL54" i="3" s="1"/>
  <c r="AD60" i="3"/>
  <c r="AE60" i="3"/>
  <c r="AL60" i="3" s="1"/>
  <c r="AD61" i="3"/>
  <c r="AE61" i="3"/>
  <c r="AL61" i="3" s="1"/>
  <c r="AD37" i="3"/>
  <c r="AD39" i="3"/>
  <c r="AF37" i="3"/>
  <c r="AP37" i="3" s="1"/>
  <c r="AE39" i="3"/>
  <c r="AL39" i="3" s="1"/>
  <c r="AF32" i="3"/>
  <c r="AD33" i="3"/>
  <c r="AF33" i="3"/>
  <c r="AP33" i="3" s="1"/>
  <c r="AE31" i="3"/>
  <c r="AF31" i="3"/>
  <c r="AP31" i="3" s="1"/>
  <c r="AD10" i="3"/>
  <c r="AE8" i="3"/>
  <c r="AF8" i="3"/>
  <c r="AE10" i="3"/>
  <c r="AL10" i="3" s="1"/>
  <c r="U77" i="2"/>
  <c r="V77" i="2"/>
  <c r="AF77" i="2" s="1"/>
  <c r="T77" i="2"/>
  <c r="U72" i="2"/>
  <c r="V72" i="2"/>
  <c r="AF72" i="2" s="1"/>
  <c r="T72" i="2"/>
  <c r="V69" i="2"/>
  <c r="AF69" i="2" s="1"/>
  <c r="U69" i="2"/>
  <c r="T69" i="2"/>
  <c r="T68" i="2"/>
  <c r="T86" i="2"/>
  <c r="U86" i="2"/>
  <c r="AB86" i="2" s="1"/>
  <c r="T80" i="2"/>
  <c r="U80" i="2"/>
  <c r="AB80" i="2" s="1"/>
  <c r="U79" i="2"/>
  <c r="AB79" i="2" s="1"/>
  <c r="U78" i="2"/>
  <c r="AB78" i="2" s="1"/>
  <c r="T76" i="2"/>
  <c r="U76" i="2"/>
  <c r="AB76" i="2" s="1"/>
  <c r="U75" i="2"/>
  <c r="AB75" i="2" s="1"/>
  <c r="T74" i="2"/>
  <c r="V74" i="2"/>
  <c r="AF74" i="2" s="1"/>
  <c r="U68" i="2"/>
  <c r="AB68" i="2" s="1"/>
  <c r="AH118" i="1"/>
  <c r="AG118" i="1"/>
  <c r="AB119" i="1"/>
  <c r="AF119" i="1" s="1"/>
  <c r="AJ89" i="1"/>
  <c r="AK89" i="1" s="1"/>
  <c r="AL89" i="1"/>
  <c r="AM89" i="1" s="1"/>
  <c r="AN89" i="1" s="1"/>
  <c r="AG104" i="1"/>
  <c r="AG105" i="1" s="1"/>
  <c r="AF104" i="1"/>
  <c r="M80" i="1"/>
  <c r="AG10" i="1"/>
  <c r="AI9" i="1"/>
  <c r="AK9" i="1" s="1"/>
  <c r="AL9" i="1" s="1"/>
  <c r="AM9" i="1" s="1"/>
  <c r="AH9" i="1"/>
  <c r="AF9" i="1"/>
  <c r="N12" i="2"/>
  <c r="O12" i="2"/>
  <c r="O11" i="2"/>
  <c r="N11" i="2"/>
  <c r="O10" i="2"/>
  <c r="N10" i="2"/>
  <c r="O9" i="2"/>
  <c r="N9" i="2"/>
  <c r="O8" i="2"/>
  <c r="N8" i="2"/>
  <c r="O7" i="2"/>
  <c r="N7" i="2"/>
  <c r="O6" i="2"/>
  <c r="N6" i="2"/>
  <c r="N5" i="2"/>
  <c r="O5" i="2"/>
  <c r="O4" i="2"/>
  <c r="N4" i="2"/>
  <c r="AP58" i="10" l="1"/>
  <c r="AK55" i="10"/>
  <c r="AK58" i="10"/>
  <c r="AP50" i="10"/>
  <c r="AK50" i="10"/>
  <c r="AP55" i="10"/>
  <c r="AK48" i="10"/>
  <c r="AI38" i="10"/>
  <c r="AS38" i="10" s="1"/>
  <c r="AH38" i="10"/>
  <c r="AJ24" i="10"/>
  <c r="AK24" i="10" s="1"/>
  <c r="AJ68" i="10"/>
  <c r="AM68" i="10" s="1"/>
  <c r="AN68" i="10" s="1"/>
  <c r="AJ29" i="10"/>
  <c r="AM29" i="10" s="1"/>
  <c r="AN29" i="10" s="1"/>
  <c r="AO29" i="10"/>
  <c r="AO33" i="10"/>
  <c r="AO68" i="10"/>
  <c r="AL113" i="10"/>
  <c r="AJ33" i="10"/>
  <c r="AK33" i="10" s="1"/>
  <c r="AJ18" i="10"/>
  <c r="AL18" i="10" s="1"/>
  <c r="AO18" i="10"/>
  <c r="AO65" i="10"/>
  <c r="AN10" i="10"/>
  <c r="AO10" i="10" s="1"/>
  <c r="AQ10" i="10" s="1"/>
  <c r="AJ25" i="10"/>
  <c r="AJ15" i="10"/>
  <c r="AJ65" i="10"/>
  <c r="AO15" i="10"/>
  <c r="AL111" i="10"/>
  <c r="AK111" i="10"/>
  <c r="AM111" i="10"/>
  <c r="AN111" i="10" s="1"/>
  <c r="AG28" i="10"/>
  <c r="AI28" i="10"/>
  <c r="AS28" i="10" s="1"/>
  <c r="AH28" i="10"/>
  <c r="AM83" i="10"/>
  <c r="AN83" i="10" s="1"/>
  <c r="AB83" i="10" s="1"/>
  <c r="T83" i="10" s="1"/>
  <c r="AG113" i="10"/>
  <c r="AL14" i="10"/>
  <c r="AK14" i="10"/>
  <c r="AM14" i="10"/>
  <c r="AN14" i="10" s="1"/>
  <c r="AO25" i="10"/>
  <c r="AP9" i="10"/>
  <c r="AC9" i="10"/>
  <c r="AD12" i="10" s="1"/>
  <c r="AE25" i="9"/>
  <c r="AG14" i="8"/>
  <c r="AJ14" i="8" s="1"/>
  <c r="AJ76" i="8"/>
  <c r="X58" i="2"/>
  <c r="P38" i="2"/>
  <c r="S38" i="2" s="1"/>
  <c r="X35" i="2"/>
  <c r="X23" i="2"/>
  <c r="AH57" i="7"/>
  <c r="AE25" i="8"/>
  <c r="AH14" i="9"/>
  <c r="AO14" i="9" s="1"/>
  <c r="AG14" i="9"/>
  <c r="AJ14" i="9" s="1"/>
  <c r="AI9" i="9"/>
  <c r="AM9" i="9" s="1"/>
  <c r="AO57" i="9"/>
  <c r="X24" i="2"/>
  <c r="P57" i="2"/>
  <c r="Q57" i="2"/>
  <c r="S53" i="2"/>
  <c r="T53" i="2" s="1"/>
  <c r="AJ97" i="7"/>
  <c r="R56" i="2"/>
  <c r="AB56" i="2" s="1"/>
  <c r="Q56" i="2"/>
  <c r="S56" i="2" s="1"/>
  <c r="P34" i="2"/>
  <c r="S34" i="2" s="1"/>
  <c r="V34" i="2" s="1"/>
  <c r="W34" i="2" s="1"/>
  <c r="X45" i="2"/>
  <c r="S48" i="2"/>
  <c r="R34" i="2"/>
  <c r="AB34" i="2" s="1"/>
  <c r="X21" i="2"/>
  <c r="AJ29" i="7"/>
  <c r="AO55" i="7"/>
  <c r="X53" i="2"/>
  <c r="S35" i="2"/>
  <c r="AJ92" i="7"/>
  <c r="AO29" i="7"/>
  <c r="AH38" i="8"/>
  <c r="AO38" i="8" s="1"/>
  <c r="AJ38" i="9"/>
  <c r="AL38" i="9" s="1"/>
  <c r="AO24" i="9"/>
  <c r="AJ10" i="4"/>
  <c r="AP8" i="4"/>
  <c r="AH10" i="4"/>
  <c r="AF10" i="4"/>
  <c r="AP11" i="4"/>
  <c r="AP9" i="4"/>
  <c r="AL10" i="4"/>
  <c r="AP10" i="4"/>
  <c r="S58" i="2"/>
  <c r="X27" i="2"/>
  <c r="R52" i="2"/>
  <c r="AB52" i="2" s="1"/>
  <c r="Q52" i="2"/>
  <c r="X52" i="2" s="1"/>
  <c r="AN22" i="4"/>
  <c r="AO22" i="4" s="1"/>
  <c r="AZ22" i="4" s="1"/>
  <c r="C26" i="4"/>
  <c r="AB25" i="4"/>
  <c r="AG25" i="4" s="1"/>
  <c r="AM25" i="4" s="1"/>
  <c r="H22" i="4"/>
  <c r="AG47" i="9"/>
  <c r="AI47" i="9"/>
  <c r="AS47" i="9" s="1"/>
  <c r="AH47" i="9"/>
  <c r="AI29" i="9"/>
  <c r="AS29" i="9" s="1"/>
  <c r="AH29" i="9"/>
  <c r="AG29" i="9"/>
  <c r="AJ55" i="9"/>
  <c r="AI82" i="9"/>
  <c r="AS82" i="9" s="1"/>
  <c r="AH82" i="9"/>
  <c r="AG82" i="9"/>
  <c r="AO33" i="9"/>
  <c r="AO55" i="9"/>
  <c r="AI15" i="9"/>
  <c r="AS15" i="9" s="1"/>
  <c r="AH15" i="9"/>
  <c r="AG15" i="9"/>
  <c r="AJ33" i="9"/>
  <c r="AK57" i="9"/>
  <c r="AL57" i="9"/>
  <c r="AM57" i="9"/>
  <c r="AN57" i="9" s="1"/>
  <c r="AI75" i="9"/>
  <c r="AS75" i="9" s="1"/>
  <c r="AG75" i="9"/>
  <c r="AH75" i="9"/>
  <c r="AL94" i="9"/>
  <c r="AM94" i="9" s="1"/>
  <c r="AW67" i="9"/>
  <c r="AI68" i="9"/>
  <c r="AS68" i="9" s="1"/>
  <c r="AH68" i="9"/>
  <c r="AO68" i="9" s="1"/>
  <c r="AG68" i="9"/>
  <c r="AG10" i="9"/>
  <c r="AH10" i="9"/>
  <c r="AJ10" i="9" s="1"/>
  <c r="AK10" i="9" s="1"/>
  <c r="AL10" i="9" s="1"/>
  <c r="AD124" i="9"/>
  <c r="AF124" i="9"/>
  <c r="AP124" i="9" s="1"/>
  <c r="AE124" i="9"/>
  <c r="AI66" i="9"/>
  <c r="AS66" i="9" s="1"/>
  <c r="AG66" i="9"/>
  <c r="AH66" i="9"/>
  <c r="AO66" i="9" s="1"/>
  <c r="AO38" i="9"/>
  <c r="AI73" i="9"/>
  <c r="AS73" i="9" s="1"/>
  <c r="AG73" i="9"/>
  <c r="AH73" i="9"/>
  <c r="AI18" i="9"/>
  <c r="AS18" i="9" s="1"/>
  <c r="AH18" i="9"/>
  <c r="AG18" i="9"/>
  <c r="AI25" i="9"/>
  <c r="AS25" i="9" s="1"/>
  <c r="AH25" i="9"/>
  <c r="AG25" i="9"/>
  <c r="AI49" i="9"/>
  <c r="AS49" i="9" s="1"/>
  <c r="AG49" i="9"/>
  <c r="AH49" i="9"/>
  <c r="AI122" i="9"/>
  <c r="AS122" i="9" s="1"/>
  <c r="AH122" i="9"/>
  <c r="AO122" i="9" s="1"/>
  <c r="AG122" i="9"/>
  <c r="AG28" i="9"/>
  <c r="AI28" i="9"/>
  <c r="AS28" i="9" s="1"/>
  <c r="AH28" i="9"/>
  <c r="AJ24" i="9"/>
  <c r="AG73" i="8"/>
  <c r="AJ73" i="8" s="1"/>
  <c r="AC105" i="8"/>
  <c r="AK105" i="8" s="1"/>
  <c r="AO73" i="8"/>
  <c r="AG38" i="8"/>
  <c r="AI47" i="8"/>
  <c r="AS47" i="8" s="1"/>
  <c r="AH47" i="8"/>
  <c r="AO47" i="8" s="1"/>
  <c r="AE28" i="8"/>
  <c r="AL76" i="8"/>
  <c r="AK76" i="8"/>
  <c r="AM76" i="8"/>
  <c r="AN76" i="8" s="1"/>
  <c r="AG25" i="8"/>
  <c r="AH25" i="8"/>
  <c r="AI25" i="8"/>
  <c r="AS25" i="8" s="1"/>
  <c r="AI117" i="8"/>
  <c r="AS117" i="8" s="1"/>
  <c r="AH117" i="8"/>
  <c r="AG117" i="8"/>
  <c r="AL89" i="8"/>
  <c r="AD119" i="8"/>
  <c r="AF119" i="8"/>
  <c r="AP119" i="8" s="1"/>
  <c r="AE119" i="8"/>
  <c r="AI9" i="8"/>
  <c r="AI29" i="8"/>
  <c r="AS29" i="8" s="1"/>
  <c r="AH29" i="8"/>
  <c r="AG29" i="8"/>
  <c r="AJ33" i="8"/>
  <c r="AG66" i="8"/>
  <c r="AI66" i="8"/>
  <c r="AS66" i="8" s="1"/>
  <c r="AH66" i="8"/>
  <c r="AI24" i="8"/>
  <c r="AS24" i="8" s="1"/>
  <c r="AH24" i="8"/>
  <c r="AG24" i="8"/>
  <c r="AH68" i="8"/>
  <c r="AG68" i="8"/>
  <c r="AI68" i="8"/>
  <c r="AS68" i="8" s="1"/>
  <c r="AO33" i="8"/>
  <c r="AG28" i="8"/>
  <c r="AH28" i="8"/>
  <c r="AI28" i="8"/>
  <c r="AS28" i="8" s="1"/>
  <c r="AG15" i="8"/>
  <c r="AI15" i="8"/>
  <c r="AS15" i="8" s="1"/>
  <c r="AH15" i="8"/>
  <c r="AI49" i="8"/>
  <c r="AS49" i="8" s="1"/>
  <c r="AH49" i="8"/>
  <c r="AG49" i="8"/>
  <c r="AH57" i="8"/>
  <c r="AG57" i="8"/>
  <c r="AI57" i="8"/>
  <c r="AS57" i="8" s="1"/>
  <c r="AG18" i="8"/>
  <c r="AI18" i="8"/>
  <c r="AS18" i="8" s="1"/>
  <c r="AH18" i="8"/>
  <c r="AH55" i="8"/>
  <c r="AG55" i="8"/>
  <c r="AI55" i="8"/>
  <c r="AS55" i="8" s="1"/>
  <c r="AK14" i="8"/>
  <c r="AM14" i="8"/>
  <c r="AN14" i="8" s="1"/>
  <c r="AL14" i="8"/>
  <c r="AM9" i="8"/>
  <c r="AH10" i="8"/>
  <c r="AJ10" i="8" s="1"/>
  <c r="AK10" i="8" s="1"/>
  <c r="AL10" i="8" s="1"/>
  <c r="AG10" i="8"/>
  <c r="AG38" i="1"/>
  <c r="AH38" i="1" s="1"/>
  <c r="AI66" i="1"/>
  <c r="AH66" i="1"/>
  <c r="AJ66" i="1"/>
  <c r="AT66" i="1" s="1"/>
  <c r="AH76" i="1"/>
  <c r="AI76" i="1"/>
  <c r="AJ76" i="1"/>
  <c r="AT76" i="1" s="1"/>
  <c r="AJ73" i="1"/>
  <c r="AT73" i="1" s="1"/>
  <c r="AI73" i="1"/>
  <c r="AH73" i="1"/>
  <c r="AJ68" i="1"/>
  <c r="AT68" i="1" s="1"/>
  <c r="AI68" i="1"/>
  <c r="AH68" i="1"/>
  <c r="AO57" i="7"/>
  <c r="AI25" i="7"/>
  <c r="AS25" i="7" s="1"/>
  <c r="AH25" i="7"/>
  <c r="AG25" i="7"/>
  <c r="AG18" i="7"/>
  <c r="AI18" i="7"/>
  <c r="AS18" i="7" s="1"/>
  <c r="AH18" i="7"/>
  <c r="AI82" i="7"/>
  <c r="AS82" i="7" s="1"/>
  <c r="AG82" i="7"/>
  <c r="AH82" i="7"/>
  <c r="AO82" i="7" s="1"/>
  <c r="AG90" i="7"/>
  <c r="AI90" i="7"/>
  <c r="AS90" i="7" s="1"/>
  <c r="AH90" i="7"/>
  <c r="AI49" i="7"/>
  <c r="AS49" i="7" s="1"/>
  <c r="AH49" i="7"/>
  <c r="AG49" i="7"/>
  <c r="AI24" i="7"/>
  <c r="AS24" i="7" s="1"/>
  <c r="AH24" i="7"/>
  <c r="AG24" i="7"/>
  <c r="AI100" i="7"/>
  <c r="AS100" i="7" s="1"/>
  <c r="AH100" i="7"/>
  <c r="AG100" i="7"/>
  <c r="AO97" i="7"/>
  <c r="AG75" i="7"/>
  <c r="AI75" i="7"/>
  <c r="AS75" i="7" s="1"/>
  <c r="AH75" i="7"/>
  <c r="AO75" i="7" s="1"/>
  <c r="AG38" i="7"/>
  <c r="AI38" i="7"/>
  <c r="AS38" i="7" s="1"/>
  <c r="AH38" i="7"/>
  <c r="AL92" i="7"/>
  <c r="AK92" i="7"/>
  <c r="AM92" i="7"/>
  <c r="AN92" i="7" s="1"/>
  <c r="AO33" i="7"/>
  <c r="AJ33" i="7"/>
  <c r="AI47" i="7"/>
  <c r="AS47" i="7" s="1"/>
  <c r="AH47" i="7"/>
  <c r="AG47" i="7"/>
  <c r="AL29" i="7"/>
  <c r="AK29" i="7"/>
  <c r="AM29" i="7"/>
  <c r="AN29" i="7" s="1"/>
  <c r="AI9" i="7"/>
  <c r="AM9" i="7" s="1"/>
  <c r="AO92" i="7"/>
  <c r="AI141" i="7"/>
  <c r="AS141" i="7" s="1"/>
  <c r="AH141" i="7"/>
  <c r="AO141" i="7" s="1"/>
  <c r="AG141" i="7"/>
  <c r="AI28" i="7"/>
  <c r="AS28" i="7" s="1"/>
  <c r="AG28" i="7"/>
  <c r="AH28" i="7"/>
  <c r="AH10" i="7"/>
  <c r="AJ10" i="7" s="1"/>
  <c r="AK10" i="7" s="1"/>
  <c r="AL10" i="7" s="1"/>
  <c r="AG10" i="7"/>
  <c r="AI10" i="7" s="1"/>
  <c r="AM10" i="7" s="1"/>
  <c r="AK55" i="7"/>
  <c r="AM55" i="7"/>
  <c r="AN55" i="7" s="1"/>
  <c r="AL55" i="7"/>
  <c r="AL97" i="7"/>
  <c r="AK97" i="7"/>
  <c r="AM97" i="7"/>
  <c r="AN97" i="7" s="1"/>
  <c r="AW67" i="7"/>
  <c r="AK129" i="7"/>
  <c r="N129" i="7"/>
  <c r="N136" i="7" s="1"/>
  <c r="AI129" i="7"/>
  <c r="AJ129" i="7" s="1"/>
  <c r="AD143" i="7"/>
  <c r="AE143" i="7"/>
  <c r="AL143" i="7" s="1"/>
  <c r="AF143" i="7"/>
  <c r="AP143" i="7" s="1"/>
  <c r="AG15" i="7"/>
  <c r="AI15" i="7"/>
  <c r="AS15" i="7" s="1"/>
  <c r="AH15" i="7"/>
  <c r="AO15" i="7" s="1"/>
  <c r="AI68" i="7"/>
  <c r="AS68" i="7" s="1"/>
  <c r="AH68" i="7"/>
  <c r="AG68" i="7"/>
  <c r="AG66" i="7"/>
  <c r="AI66" i="7"/>
  <c r="AS66" i="7" s="1"/>
  <c r="AH66" i="7"/>
  <c r="AL113" i="7"/>
  <c r="AM113" i="7" s="1"/>
  <c r="AN113" i="7" s="1"/>
  <c r="AB113" i="7" s="1"/>
  <c r="T113" i="7" s="1"/>
  <c r="AJ57" i="7"/>
  <c r="AG73" i="7"/>
  <c r="AH73" i="7"/>
  <c r="AI73" i="7"/>
  <c r="AS73" i="7" s="1"/>
  <c r="AH14" i="7"/>
  <c r="AO14" i="7" s="1"/>
  <c r="AI14" i="7"/>
  <c r="AS14" i="7" s="1"/>
  <c r="AG14" i="7"/>
  <c r="AJ15" i="1"/>
  <c r="AT15" i="1" s="1"/>
  <c r="AI15" i="1"/>
  <c r="AH15" i="1"/>
  <c r="AK14" i="1"/>
  <c r="AP14" i="1"/>
  <c r="P6" i="6"/>
  <c r="Q6" i="6"/>
  <c r="P4" i="6"/>
  <c r="R4" i="6" s="1"/>
  <c r="S4" i="6" s="1"/>
  <c r="AI79" i="3"/>
  <c r="AS79" i="3" s="1"/>
  <c r="AH79" i="3"/>
  <c r="AG79" i="3"/>
  <c r="AG80" i="3"/>
  <c r="AH80" i="3"/>
  <c r="AI80" i="3"/>
  <c r="AS80" i="3" s="1"/>
  <c r="AH29" i="1"/>
  <c r="AF29" i="1"/>
  <c r="AI29" i="1"/>
  <c r="AP29" i="1" s="1"/>
  <c r="AG28" i="1"/>
  <c r="AJ28" i="1" s="1"/>
  <c r="AT28" i="1" s="1"/>
  <c r="AP55" i="1"/>
  <c r="AI18" i="1"/>
  <c r="AP18" i="1" s="1"/>
  <c r="AP117" i="1"/>
  <c r="AB25" i="1"/>
  <c r="AE25" i="1" s="1"/>
  <c r="AF25" i="1" s="1"/>
  <c r="AH18" i="1"/>
  <c r="U73" i="2"/>
  <c r="AB73" i="2" s="1"/>
  <c r="T73" i="2"/>
  <c r="AO89" i="1"/>
  <c r="AH57" i="1"/>
  <c r="AI57" i="1"/>
  <c r="AP57" i="1" s="1"/>
  <c r="T71" i="2"/>
  <c r="AI47" i="1"/>
  <c r="AP47" i="1" s="1"/>
  <c r="AH47" i="1"/>
  <c r="AI33" i="1"/>
  <c r="AP33" i="1" s="1"/>
  <c r="AH33" i="1"/>
  <c r="AJ49" i="1"/>
  <c r="AT49" i="1" s="1"/>
  <c r="AH49" i="1"/>
  <c r="AI49" i="1"/>
  <c r="AI24" i="1"/>
  <c r="AH24" i="1"/>
  <c r="AJ24" i="1"/>
  <c r="AT24" i="1" s="1"/>
  <c r="AK117" i="1"/>
  <c r="AK55" i="1"/>
  <c r="R46" i="2"/>
  <c r="AB46" i="2" s="1"/>
  <c r="Q46" i="2"/>
  <c r="X46" i="2" s="1"/>
  <c r="P46" i="2"/>
  <c r="V36" i="2"/>
  <c r="W36" i="2" s="1"/>
  <c r="T36" i="2"/>
  <c r="U36" i="2"/>
  <c r="R40" i="2"/>
  <c r="AB40" i="2" s="1"/>
  <c r="P40" i="2"/>
  <c r="Q40" i="2"/>
  <c r="X40" i="2" s="1"/>
  <c r="R22" i="2"/>
  <c r="AB22" i="2" s="1"/>
  <c r="Q22" i="2"/>
  <c r="P22" i="2"/>
  <c r="X28" i="2"/>
  <c r="S28" i="2"/>
  <c r="P41" i="2"/>
  <c r="R41" i="2"/>
  <c r="AB41" i="2" s="1"/>
  <c r="Q41" i="2"/>
  <c r="S49" i="2"/>
  <c r="S37" i="2"/>
  <c r="R30" i="2"/>
  <c r="AB30" i="2" s="1"/>
  <c r="Q30" i="2"/>
  <c r="P30" i="2"/>
  <c r="S29" i="2"/>
  <c r="U34" i="2"/>
  <c r="V45" i="2"/>
  <c r="W45" i="2" s="1"/>
  <c r="T45" i="2"/>
  <c r="U45" i="2"/>
  <c r="P33" i="2"/>
  <c r="R33" i="2"/>
  <c r="AB33" i="2" s="1"/>
  <c r="Q33" i="2"/>
  <c r="X33" i="2" s="1"/>
  <c r="U53" i="2"/>
  <c r="R55" i="2"/>
  <c r="AB55" i="2" s="1"/>
  <c r="Q55" i="2"/>
  <c r="P55" i="2"/>
  <c r="S57" i="2"/>
  <c r="S21" i="2"/>
  <c r="X38" i="2"/>
  <c r="X29" i="2"/>
  <c r="V48" i="2"/>
  <c r="W48" i="2" s="1"/>
  <c r="U48" i="2"/>
  <c r="T48" i="2"/>
  <c r="X49" i="2"/>
  <c r="V32" i="2"/>
  <c r="W32" i="2" s="1"/>
  <c r="U32" i="2"/>
  <c r="T32" i="2"/>
  <c r="V23" i="2"/>
  <c r="W23" i="2" s="1"/>
  <c r="U23" i="2"/>
  <c r="T23" i="2"/>
  <c r="V38" i="2"/>
  <c r="W38" i="2" s="1"/>
  <c r="T38" i="2"/>
  <c r="U38" i="2"/>
  <c r="T35" i="2"/>
  <c r="V35" i="2"/>
  <c r="W35" i="2" s="1"/>
  <c r="U35" i="2"/>
  <c r="R39" i="2"/>
  <c r="AB39" i="2" s="1"/>
  <c r="P39" i="2"/>
  <c r="Q39" i="2"/>
  <c r="R51" i="2"/>
  <c r="AB51" i="2" s="1"/>
  <c r="P51" i="2"/>
  <c r="S51" i="2" s="1"/>
  <c r="Q51" i="2"/>
  <c r="X57" i="2"/>
  <c r="S31" i="2"/>
  <c r="T43" i="2"/>
  <c r="V43" i="2"/>
  <c r="W43" i="2" s="1"/>
  <c r="U43" i="2"/>
  <c r="S42" i="2"/>
  <c r="S44" i="2"/>
  <c r="S24" i="2"/>
  <c r="S25" i="2"/>
  <c r="X31" i="2"/>
  <c r="R26" i="2"/>
  <c r="AB26" i="2" s="1"/>
  <c r="Q26" i="2"/>
  <c r="X26" i="2" s="1"/>
  <c r="P26" i="2"/>
  <c r="V58" i="2"/>
  <c r="W58" i="2" s="1"/>
  <c r="U58" i="2"/>
  <c r="T58" i="2"/>
  <c r="R54" i="2"/>
  <c r="AB54" i="2" s="1"/>
  <c r="Q54" i="2"/>
  <c r="X54" i="2" s="1"/>
  <c r="P54" i="2"/>
  <c r="S54" i="2" s="1"/>
  <c r="R47" i="2"/>
  <c r="AB47" i="2" s="1"/>
  <c r="P47" i="2"/>
  <c r="Q47" i="2"/>
  <c r="R50" i="2"/>
  <c r="AB50" i="2" s="1"/>
  <c r="Q50" i="2"/>
  <c r="P50" i="2"/>
  <c r="X25" i="2"/>
  <c r="S27" i="2"/>
  <c r="N20" i="2"/>
  <c r="O20" i="2"/>
  <c r="V71" i="2"/>
  <c r="AF71" i="2" s="1"/>
  <c r="I72" i="2" s="1"/>
  <c r="W74" i="2"/>
  <c r="Z74" i="2" s="1"/>
  <c r="AA74" i="2" s="1"/>
  <c r="W77" i="2"/>
  <c r="Y77" i="2" s="1"/>
  <c r="Z81" i="2"/>
  <c r="AA81" i="2" s="1"/>
  <c r="AC81" i="2" s="1"/>
  <c r="X81" i="2"/>
  <c r="AG56" i="3"/>
  <c r="AI56" i="3" s="1"/>
  <c r="AL56" i="3"/>
  <c r="AG61" i="3"/>
  <c r="AJ61" i="3" s="1"/>
  <c r="AK61" i="3" s="1"/>
  <c r="AI63" i="3"/>
  <c r="AM63" i="3" s="1"/>
  <c r="AN63" i="3" s="1"/>
  <c r="AP56" i="3"/>
  <c r="AG54" i="3"/>
  <c r="AG37" i="3"/>
  <c r="AJ37" i="3" s="1"/>
  <c r="AK37" i="3" s="1"/>
  <c r="AG60" i="3"/>
  <c r="AL37" i="3"/>
  <c r="AG39" i="3"/>
  <c r="AG33" i="3"/>
  <c r="AI33" i="3" s="1"/>
  <c r="AL33" i="3"/>
  <c r="AL31" i="3"/>
  <c r="AG31" i="3"/>
  <c r="AG10" i="3"/>
  <c r="AH8" i="3"/>
  <c r="AJ8" i="3" s="1"/>
  <c r="AK8" i="3" s="1"/>
  <c r="AL8" i="3" s="1"/>
  <c r="AG8" i="3"/>
  <c r="W72" i="2"/>
  <c r="AB72" i="2"/>
  <c r="AB77" i="2"/>
  <c r="AB69" i="2"/>
  <c r="W69" i="2"/>
  <c r="W86" i="2"/>
  <c r="Y86" i="2" s="1"/>
  <c r="W80" i="2"/>
  <c r="X80" i="2" s="1"/>
  <c r="AB74" i="2"/>
  <c r="W79" i="2"/>
  <c r="W78" i="2"/>
  <c r="W76" i="2"/>
  <c r="W75" i="2"/>
  <c r="W68" i="2"/>
  <c r="AG119" i="1"/>
  <c r="AQ119" i="1" s="1"/>
  <c r="AE119" i="1"/>
  <c r="AI10" i="1"/>
  <c r="AK10" i="1" s="1"/>
  <c r="AL10" i="1" s="1"/>
  <c r="AM10" i="1" s="1"/>
  <c r="AH10" i="1"/>
  <c r="AJ9" i="1"/>
  <c r="Q11" i="2"/>
  <c r="S11" i="2" s="1"/>
  <c r="T11" i="2" s="1"/>
  <c r="U11" i="2" s="1"/>
  <c r="P11" i="2"/>
  <c r="Q5" i="2"/>
  <c r="S5" i="2" s="1"/>
  <c r="T5" i="2" s="1"/>
  <c r="U5" i="2" s="1"/>
  <c r="P5" i="2"/>
  <c r="R5" i="2" s="1"/>
  <c r="Q12" i="2"/>
  <c r="P12" i="2"/>
  <c r="Q10" i="2"/>
  <c r="P10" i="2"/>
  <c r="R10" i="2" s="1"/>
  <c r="P6" i="2"/>
  <c r="Q6" i="2"/>
  <c r="Q4" i="2"/>
  <c r="S4" i="2" s="1"/>
  <c r="P4" i="2"/>
  <c r="R4" i="2" s="1"/>
  <c r="Q9" i="2"/>
  <c r="P9" i="2"/>
  <c r="P8" i="2"/>
  <c r="Q8" i="2"/>
  <c r="P7" i="2"/>
  <c r="Q7" i="2"/>
  <c r="AL58" i="10" l="1"/>
  <c r="AN58" i="10"/>
  <c r="AO58" i="10" s="1"/>
  <c r="AM58" i="10"/>
  <c r="AN55" i="10"/>
  <c r="AO55" i="10" s="1"/>
  <c r="AM55" i="10"/>
  <c r="AL55" i="10"/>
  <c r="AN48" i="10"/>
  <c r="AO48" i="10" s="1"/>
  <c r="AM48" i="10"/>
  <c r="AL48" i="10"/>
  <c r="AN50" i="10"/>
  <c r="AO50" i="10" s="1"/>
  <c r="AM50" i="10"/>
  <c r="AL50" i="10"/>
  <c r="AO38" i="10"/>
  <c r="AJ38" i="10"/>
  <c r="AM38" i="10" s="1"/>
  <c r="AN38" i="10" s="1"/>
  <c r="AM24" i="10"/>
  <c r="AN24" i="10" s="1"/>
  <c r="AQ24" i="10" s="1"/>
  <c r="AK29" i="10"/>
  <c r="AL29" i="10"/>
  <c r="AL24" i="10"/>
  <c r="AK68" i="10"/>
  <c r="AL68" i="10"/>
  <c r="AK18" i="10"/>
  <c r="AM18" i="10"/>
  <c r="AN18" i="10" s="1"/>
  <c r="AP18" i="10" s="1"/>
  <c r="AP68" i="10"/>
  <c r="AQ68" i="10"/>
  <c r="AL33" i="10"/>
  <c r="AM33" i="10"/>
  <c r="AN33" i="10" s="1"/>
  <c r="AP33" i="10" s="1"/>
  <c r="AO28" i="10"/>
  <c r="AJ28" i="10"/>
  <c r="AM65" i="10"/>
  <c r="AN65" i="10" s="1"/>
  <c r="AK65" i="10"/>
  <c r="AL65" i="10"/>
  <c r="AM25" i="10"/>
  <c r="AN25" i="10" s="1"/>
  <c r="AL25" i="10"/>
  <c r="AK25" i="10"/>
  <c r="AQ111" i="10"/>
  <c r="AP111" i="10"/>
  <c r="AM15" i="10"/>
  <c r="AN15" i="10" s="1"/>
  <c r="AL15" i="10"/>
  <c r="AK15" i="10"/>
  <c r="AJ113" i="10"/>
  <c r="AK113" i="10" s="1"/>
  <c r="AI113" i="10"/>
  <c r="AH113" i="10"/>
  <c r="AQ14" i="10"/>
  <c r="AP14" i="10"/>
  <c r="AP29" i="10"/>
  <c r="AQ29" i="10"/>
  <c r="AR9" i="10"/>
  <c r="AS9" i="10" s="1"/>
  <c r="AB9" i="10" s="1"/>
  <c r="AC10" i="10"/>
  <c r="AG12" i="10" s="1"/>
  <c r="AI12" i="10" s="1"/>
  <c r="AP10" i="10"/>
  <c r="AN9" i="9"/>
  <c r="AP9" i="9" s="1"/>
  <c r="AO28" i="9"/>
  <c r="AO47" i="9"/>
  <c r="AJ68" i="9"/>
  <c r="AM68" i="9" s="1"/>
  <c r="AN68" i="9" s="1"/>
  <c r="AO75" i="9"/>
  <c r="AO73" i="9"/>
  <c r="N105" i="8"/>
  <c r="N112" i="8" s="1"/>
  <c r="AJ38" i="8"/>
  <c r="V56" i="2"/>
  <c r="W56" i="2" s="1"/>
  <c r="U56" i="2"/>
  <c r="T56" i="2"/>
  <c r="V53" i="2"/>
  <c r="W53" i="2" s="1"/>
  <c r="T34" i="2"/>
  <c r="AJ49" i="9"/>
  <c r="AQ10" i="4"/>
  <c r="AR10" i="4" s="1"/>
  <c r="AT10" i="4"/>
  <c r="AS10" i="4"/>
  <c r="S52" i="2"/>
  <c r="S39" i="2"/>
  <c r="AJ82" i="7"/>
  <c r="AQ9" i="4"/>
  <c r="AR9" i="4" s="1"/>
  <c r="AT9" i="4"/>
  <c r="AS9" i="4"/>
  <c r="X50" i="2"/>
  <c r="S55" i="2"/>
  <c r="S30" i="2"/>
  <c r="AO66" i="7"/>
  <c r="AJ15" i="7"/>
  <c r="AO49" i="8"/>
  <c r="AJ25" i="9"/>
  <c r="AK25" i="9" s="1"/>
  <c r="AL124" i="9"/>
  <c r="AM38" i="9"/>
  <c r="AN38" i="9" s="1"/>
  <c r="AP38" i="9" s="1"/>
  <c r="AQ11" i="4"/>
  <c r="AR11" i="4" s="1"/>
  <c r="AT11" i="4"/>
  <c r="AS11" i="4"/>
  <c r="X55" i="2"/>
  <c r="X30" i="2"/>
  <c r="AK38" i="9"/>
  <c r="X56" i="2"/>
  <c r="AJ29" i="9"/>
  <c r="S22" i="2"/>
  <c r="S47" i="2"/>
  <c r="S26" i="2"/>
  <c r="AJ47" i="7"/>
  <c r="AO38" i="7"/>
  <c r="AO90" i="7"/>
  <c r="AJ18" i="7"/>
  <c r="AG119" i="8"/>
  <c r="AN94" i="9"/>
  <c r="AB94" i="9" s="1"/>
  <c r="T94" i="9" s="1"/>
  <c r="AJ15" i="9"/>
  <c r="AM15" i="9" s="1"/>
  <c r="AN15" i="9" s="1"/>
  <c r="AO29" i="9"/>
  <c r="AQ8" i="4"/>
  <c r="AR8" i="4" s="1"/>
  <c r="AT8" i="4"/>
  <c r="AS8" i="4"/>
  <c r="X34" i="2"/>
  <c r="AW22" i="4"/>
  <c r="AY22" i="4"/>
  <c r="AX22" i="4"/>
  <c r="AS22" i="4"/>
  <c r="AT22" i="4"/>
  <c r="AR22" i="4"/>
  <c r="AN23" i="4"/>
  <c r="AO23" i="4" s="1"/>
  <c r="I22" i="4"/>
  <c r="C27" i="4"/>
  <c r="AB26" i="4"/>
  <c r="AG26" i="4" s="1"/>
  <c r="AM26" i="4" s="1"/>
  <c r="H23" i="4"/>
  <c r="AK55" i="9"/>
  <c r="AL55" i="9"/>
  <c r="AM55" i="9"/>
  <c r="AN55" i="9" s="1"/>
  <c r="AJ73" i="9"/>
  <c r="AJ75" i="9"/>
  <c r="AL15" i="9"/>
  <c r="AK15" i="9"/>
  <c r="AM49" i="9"/>
  <c r="AN49" i="9" s="1"/>
  <c r="AL49" i="9"/>
  <c r="AK49" i="9"/>
  <c r="AJ28" i="9"/>
  <c r="AO15" i="9"/>
  <c r="AJ82" i="9"/>
  <c r="AM24" i="9"/>
  <c r="AN24" i="9" s="1"/>
  <c r="AL24" i="9"/>
  <c r="AK24" i="9"/>
  <c r="AJ122" i="9"/>
  <c r="AG124" i="9"/>
  <c r="AL33" i="9"/>
  <c r="AK33" i="9"/>
  <c r="AM33" i="9"/>
  <c r="AN33" i="9" s="1"/>
  <c r="AO82" i="9"/>
  <c r="AJ47" i="9"/>
  <c r="BB67" i="9"/>
  <c r="AX67" i="9"/>
  <c r="AL14" i="9"/>
  <c r="AK14" i="9"/>
  <c r="AM14" i="9"/>
  <c r="AN14" i="9" s="1"/>
  <c r="AL29" i="9"/>
  <c r="AM29" i="9"/>
  <c r="AN29" i="9" s="1"/>
  <c r="AK29" i="9"/>
  <c r="AQ57" i="9"/>
  <c r="AP57" i="9"/>
  <c r="AO25" i="9"/>
  <c r="AJ18" i="9"/>
  <c r="AJ66" i="9"/>
  <c r="AI10" i="9"/>
  <c r="AM10" i="9" s="1"/>
  <c r="AO49" i="9"/>
  <c r="AO18" i="9"/>
  <c r="AO24" i="8"/>
  <c r="AO57" i="8"/>
  <c r="AL119" i="8"/>
  <c r="AI105" i="8"/>
  <c r="AJ105" i="8" s="1"/>
  <c r="AO29" i="8"/>
  <c r="AJ25" i="8"/>
  <c r="AL25" i="8" s="1"/>
  <c r="AO15" i="8"/>
  <c r="AO66" i="8"/>
  <c r="AJ47" i="8"/>
  <c r="AO28" i="8"/>
  <c r="AJ24" i="8"/>
  <c r="AM24" i="8" s="1"/>
  <c r="AN24" i="8" s="1"/>
  <c r="AJ15" i="8"/>
  <c r="AJ66" i="8"/>
  <c r="AM89" i="8"/>
  <c r="AN89" i="8" s="1"/>
  <c r="AB89" i="8" s="1"/>
  <c r="T89" i="8" s="1"/>
  <c r="AI10" i="8"/>
  <c r="AM10" i="8" s="1"/>
  <c r="AO18" i="8"/>
  <c r="AJ49" i="8"/>
  <c r="AJ29" i="8"/>
  <c r="AL73" i="8"/>
  <c r="AK73" i="8"/>
  <c r="AM73" i="8"/>
  <c r="AN73" i="8" s="1"/>
  <c r="AN9" i="8"/>
  <c r="AO9" i="8" s="1"/>
  <c r="AQ9" i="8" s="1"/>
  <c r="AJ55" i="8"/>
  <c r="AJ18" i="8"/>
  <c r="AJ28" i="8"/>
  <c r="AJ68" i="8"/>
  <c r="AO25" i="8"/>
  <c r="AJ117" i="8"/>
  <c r="AK25" i="8"/>
  <c r="AO55" i="8"/>
  <c r="AO68" i="8"/>
  <c r="AL105" i="8"/>
  <c r="AM105" i="8" s="1"/>
  <c r="AJ119" i="8"/>
  <c r="AK119" i="8" s="1"/>
  <c r="AI119" i="8"/>
  <c r="AH119" i="8"/>
  <c r="AQ14" i="8"/>
  <c r="AP14" i="8"/>
  <c r="AJ57" i="8"/>
  <c r="AL33" i="8"/>
  <c r="AK33" i="8"/>
  <c r="AM33" i="8"/>
  <c r="AN33" i="8" s="1"/>
  <c r="AO117" i="8"/>
  <c r="AQ76" i="8"/>
  <c r="AP76" i="8"/>
  <c r="AP68" i="1"/>
  <c r="AK66" i="1"/>
  <c r="AL66" i="1" s="1"/>
  <c r="AI38" i="1"/>
  <c r="AJ38" i="1"/>
  <c r="AT38" i="1" s="1"/>
  <c r="AK73" i="1"/>
  <c r="AP73" i="1"/>
  <c r="AK68" i="1"/>
  <c r="AL68" i="1" s="1"/>
  <c r="AP66" i="1"/>
  <c r="AP76" i="1"/>
  <c r="AK76" i="1"/>
  <c r="AP15" i="1"/>
  <c r="AN10" i="7"/>
  <c r="AQ29" i="7"/>
  <c r="AP29" i="7"/>
  <c r="AM18" i="7"/>
  <c r="AN18" i="7" s="1"/>
  <c r="AL18" i="7"/>
  <c r="AK18" i="7"/>
  <c r="AJ141" i="7"/>
  <c r="AP92" i="7"/>
  <c r="AQ92" i="7"/>
  <c r="AQ55" i="7"/>
  <c r="AP55" i="7"/>
  <c r="AJ75" i="7"/>
  <c r="AJ24" i="7"/>
  <c r="AJ90" i="7"/>
  <c r="AJ25" i="7"/>
  <c r="AJ66" i="7"/>
  <c r="AO73" i="7"/>
  <c r="AG143" i="7"/>
  <c r="AO24" i="7"/>
  <c r="AO25" i="7"/>
  <c r="AJ73" i="7"/>
  <c r="AM82" i="7"/>
  <c r="AN82" i="7" s="1"/>
  <c r="AL82" i="7"/>
  <c r="AK82" i="7"/>
  <c r="AM47" i="7"/>
  <c r="AN47" i="7" s="1"/>
  <c r="AL47" i="7"/>
  <c r="AK47" i="7"/>
  <c r="AK57" i="7"/>
  <c r="AM57" i="7"/>
  <c r="AN57" i="7" s="1"/>
  <c r="AL57" i="7"/>
  <c r="BB67" i="7"/>
  <c r="AX67" i="7"/>
  <c r="AO47" i="7"/>
  <c r="AJ49" i="7"/>
  <c r="AM15" i="7"/>
  <c r="AN15" i="7" s="1"/>
  <c r="AL15" i="7"/>
  <c r="AK15" i="7"/>
  <c r="AJ14" i="7"/>
  <c r="AJ68" i="7"/>
  <c r="AM129" i="7"/>
  <c r="AN129" i="7" s="1"/>
  <c r="AB129" i="7" s="1"/>
  <c r="T129" i="7" s="1"/>
  <c r="AL129" i="7"/>
  <c r="AP97" i="7"/>
  <c r="AQ97" i="7"/>
  <c r="AO28" i="7"/>
  <c r="AN9" i="7"/>
  <c r="AJ38" i="7"/>
  <c r="AJ100" i="7"/>
  <c r="AO49" i="7"/>
  <c r="AO18" i="7"/>
  <c r="AO68" i="7"/>
  <c r="AJ28" i="7"/>
  <c r="AL33" i="7"/>
  <c r="AK33" i="7"/>
  <c r="AM33" i="7"/>
  <c r="AN33" i="7" s="1"/>
  <c r="AO100" i="7"/>
  <c r="AK15" i="1"/>
  <c r="AL14" i="1"/>
  <c r="AN14" i="1"/>
  <c r="AO14" i="1" s="1"/>
  <c r="R6" i="6"/>
  <c r="S6" i="6" s="1"/>
  <c r="T4" i="6"/>
  <c r="AO80" i="3"/>
  <c r="AJ80" i="3"/>
  <c r="AJ79" i="3"/>
  <c r="AO79" i="3"/>
  <c r="AG25" i="1"/>
  <c r="AH25" i="1" s="1"/>
  <c r="AK18" i="1"/>
  <c r="AN18" i="1" s="1"/>
  <c r="AO18" i="1" s="1"/>
  <c r="AH28" i="1"/>
  <c r="AI28" i="1"/>
  <c r="AP28" i="1" s="1"/>
  <c r="AK29" i="1"/>
  <c r="W73" i="2"/>
  <c r="Z73" i="2" s="1"/>
  <c r="AA73" i="2" s="1"/>
  <c r="AC73" i="2" s="1"/>
  <c r="AK24" i="1"/>
  <c r="AN24" i="1" s="1"/>
  <c r="AO24" i="1" s="1"/>
  <c r="AP24" i="1"/>
  <c r="AK57" i="1"/>
  <c r="AK47" i="1"/>
  <c r="AK33" i="1"/>
  <c r="AN33" i="1" s="1"/>
  <c r="AO33" i="1" s="1"/>
  <c r="AR33" i="1" s="1"/>
  <c r="AK49" i="1"/>
  <c r="AP49" i="1"/>
  <c r="AM117" i="1"/>
  <c r="AL117" i="1"/>
  <c r="AN117" i="1"/>
  <c r="AO117" i="1" s="1"/>
  <c r="AL55" i="1"/>
  <c r="AN55" i="1"/>
  <c r="AO55" i="1" s="1"/>
  <c r="Z48" i="2"/>
  <c r="Y48" i="2"/>
  <c r="T39" i="2"/>
  <c r="V39" i="2"/>
  <c r="W39" i="2" s="1"/>
  <c r="U39" i="2"/>
  <c r="V27" i="2"/>
  <c r="W27" i="2" s="1"/>
  <c r="U27" i="2"/>
  <c r="T27" i="2"/>
  <c r="T55" i="2"/>
  <c r="V55" i="2"/>
  <c r="W55" i="2" s="1"/>
  <c r="U55" i="2"/>
  <c r="S33" i="2"/>
  <c r="S41" i="2"/>
  <c r="V42" i="2"/>
  <c r="W42" i="2" s="1"/>
  <c r="T42" i="2"/>
  <c r="U42" i="2"/>
  <c r="Z35" i="2"/>
  <c r="Y35" i="2"/>
  <c r="V28" i="2"/>
  <c r="W28" i="2" s="1"/>
  <c r="U28" i="2"/>
  <c r="T28" i="2"/>
  <c r="Z23" i="2"/>
  <c r="Y23" i="2"/>
  <c r="T26" i="2"/>
  <c r="V26" i="2"/>
  <c r="W26" i="2" s="1"/>
  <c r="U26" i="2"/>
  <c r="V54" i="2"/>
  <c r="W54" i="2" s="1"/>
  <c r="T54" i="2"/>
  <c r="U54" i="2"/>
  <c r="V31" i="2"/>
  <c r="W31" i="2" s="1"/>
  <c r="U31" i="2"/>
  <c r="T31" i="2"/>
  <c r="Z56" i="2"/>
  <c r="Y56" i="2"/>
  <c r="T30" i="2"/>
  <c r="U30" i="2"/>
  <c r="V30" i="2"/>
  <c r="W30" i="2" s="1"/>
  <c r="S40" i="2"/>
  <c r="S50" i="2"/>
  <c r="V25" i="2"/>
  <c r="W25" i="2" s="1"/>
  <c r="U25" i="2"/>
  <c r="T25" i="2"/>
  <c r="X51" i="2"/>
  <c r="T51" i="2"/>
  <c r="V51" i="2"/>
  <c r="W51" i="2" s="1"/>
  <c r="U51" i="2"/>
  <c r="T22" i="2"/>
  <c r="V22" i="2"/>
  <c r="W22" i="2" s="1"/>
  <c r="U22" i="2"/>
  <c r="Z36" i="2"/>
  <c r="Y36" i="2"/>
  <c r="X47" i="2"/>
  <c r="Z58" i="2"/>
  <c r="Y58" i="2"/>
  <c r="V44" i="2"/>
  <c r="W44" i="2" s="1"/>
  <c r="U44" i="2"/>
  <c r="T44" i="2"/>
  <c r="Z43" i="2"/>
  <c r="Y43" i="2"/>
  <c r="X39" i="2"/>
  <c r="Z38" i="2"/>
  <c r="Y38" i="2"/>
  <c r="Z53" i="2"/>
  <c r="Y53" i="2"/>
  <c r="V49" i="2"/>
  <c r="W49" i="2" s="1"/>
  <c r="T49" i="2"/>
  <c r="U49" i="2"/>
  <c r="X22" i="2"/>
  <c r="S46" i="2"/>
  <c r="V24" i="2"/>
  <c r="W24" i="2" s="1"/>
  <c r="U24" i="2"/>
  <c r="T24" i="2"/>
  <c r="Z45" i="2"/>
  <c r="Y45" i="2"/>
  <c r="T47" i="2"/>
  <c r="V47" i="2"/>
  <c r="W47" i="2" s="1"/>
  <c r="U47" i="2"/>
  <c r="Z32" i="2"/>
  <c r="Y32" i="2"/>
  <c r="V21" i="2"/>
  <c r="W21" i="2" s="1"/>
  <c r="U21" i="2"/>
  <c r="T21" i="2"/>
  <c r="Z34" i="2"/>
  <c r="Y34" i="2"/>
  <c r="X41" i="2"/>
  <c r="V37" i="2"/>
  <c r="W37" i="2" s="1"/>
  <c r="T37" i="2"/>
  <c r="U37" i="2"/>
  <c r="V57" i="2"/>
  <c r="W57" i="2" s="1"/>
  <c r="U57" i="2"/>
  <c r="T57" i="2"/>
  <c r="V29" i="2"/>
  <c r="W29" i="2" s="1"/>
  <c r="U29" i="2"/>
  <c r="T29" i="2"/>
  <c r="W71" i="2"/>
  <c r="Y71" i="2" s="1"/>
  <c r="P20" i="2"/>
  <c r="R20" i="2"/>
  <c r="AB20" i="2" s="1"/>
  <c r="Q20" i="2"/>
  <c r="X74" i="2"/>
  <c r="Z77" i="2"/>
  <c r="AA77" i="2" s="1"/>
  <c r="AD77" i="2" s="1"/>
  <c r="AE77" i="2" s="1"/>
  <c r="AH77" i="2" s="1"/>
  <c r="Y74" i="2"/>
  <c r="AB71" i="2"/>
  <c r="AD81" i="2"/>
  <c r="AE81" i="2" s="1"/>
  <c r="AH81" i="2" s="1"/>
  <c r="AI81" i="2" s="1"/>
  <c r="X77" i="2"/>
  <c r="AI61" i="3"/>
  <c r="AH56" i="3"/>
  <c r="AJ56" i="3"/>
  <c r="AK56" i="3" s="1"/>
  <c r="AM56" i="3" s="1"/>
  <c r="AH61" i="3"/>
  <c r="AP63" i="3"/>
  <c r="AC63" i="3"/>
  <c r="F64" i="3" s="1"/>
  <c r="AC66" i="3" s="1"/>
  <c r="AO63" i="3"/>
  <c r="AQ63" i="3" s="1"/>
  <c r="AJ54" i="3"/>
  <c r="AK54" i="3" s="1"/>
  <c r="AI54" i="3"/>
  <c r="AH54" i="3"/>
  <c r="AI37" i="3"/>
  <c r="AH37" i="3"/>
  <c r="AH60" i="3"/>
  <c r="AI60" i="3"/>
  <c r="AJ60" i="3"/>
  <c r="AK60" i="3" s="1"/>
  <c r="AM61" i="3"/>
  <c r="AN61" i="3"/>
  <c r="AJ39" i="3"/>
  <c r="AK39" i="3" s="1"/>
  <c r="AH39" i="3"/>
  <c r="AI39" i="3"/>
  <c r="AM37" i="3"/>
  <c r="AN37" i="3"/>
  <c r="AJ33" i="3"/>
  <c r="AK33" i="3" s="1"/>
  <c r="AN33" i="3" s="1"/>
  <c r="AH33" i="3"/>
  <c r="AJ31" i="3"/>
  <c r="AK31" i="3" s="1"/>
  <c r="AI31" i="3"/>
  <c r="AH31" i="3"/>
  <c r="AI8" i="3"/>
  <c r="AM8" i="3" s="1"/>
  <c r="AN8" i="3" s="1"/>
  <c r="AI10" i="3"/>
  <c r="AH10" i="3"/>
  <c r="AJ10" i="3"/>
  <c r="AK10" i="3" s="1"/>
  <c r="X72" i="2"/>
  <c r="Z72" i="2"/>
  <c r="AA72" i="2" s="1"/>
  <c r="Y72" i="2"/>
  <c r="Y69" i="2"/>
  <c r="X69" i="2"/>
  <c r="Z69" i="2"/>
  <c r="AA69" i="2" s="1"/>
  <c r="AC69" i="2" s="1"/>
  <c r="I69" i="2" s="1"/>
  <c r="Z86" i="2"/>
  <c r="AA86" i="2" s="1"/>
  <c r="AD86" i="2" s="1"/>
  <c r="X86" i="2"/>
  <c r="Y80" i="2"/>
  <c r="Z80" i="2"/>
  <c r="AA80" i="2" s="1"/>
  <c r="AC80" i="2" s="1"/>
  <c r="AG81" i="2"/>
  <c r="Y79" i="2"/>
  <c r="X79" i="2"/>
  <c r="Z79" i="2"/>
  <c r="AA79" i="2" s="1"/>
  <c r="Y78" i="2"/>
  <c r="X78" i="2"/>
  <c r="Z78" i="2"/>
  <c r="AA78" i="2" s="1"/>
  <c r="Y76" i="2"/>
  <c r="Z76" i="2"/>
  <c r="AA76" i="2" s="1"/>
  <c r="X76" i="2"/>
  <c r="Y75" i="2"/>
  <c r="X75" i="2"/>
  <c r="Z75" i="2"/>
  <c r="AA75" i="2" s="1"/>
  <c r="AC74" i="2"/>
  <c r="AD74" i="2"/>
  <c r="Y68" i="2"/>
  <c r="X68" i="2"/>
  <c r="Z68" i="2"/>
  <c r="AA68" i="2" s="1"/>
  <c r="AH119" i="1"/>
  <c r="AJ119" i="1" s="1"/>
  <c r="AM119" i="1"/>
  <c r="AC89" i="1"/>
  <c r="U89" i="1" s="1"/>
  <c r="AJ10" i="1"/>
  <c r="AN10" i="1" s="1"/>
  <c r="AO9" i="1"/>
  <c r="V5" i="2"/>
  <c r="W5" i="2" s="1"/>
  <c r="X5" i="2" s="1"/>
  <c r="R9" i="2"/>
  <c r="R11" i="2"/>
  <c r="R8" i="2"/>
  <c r="R12" i="2"/>
  <c r="R7" i="2"/>
  <c r="R6" i="2"/>
  <c r="S12" i="2"/>
  <c r="T12" i="2" s="1"/>
  <c r="U12" i="2" s="1"/>
  <c r="S10" i="2"/>
  <c r="S6" i="2"/>
  <c r="S9" i="2"/>
  <c r="S8" i="2"/>
  <c r="S7" i="2"/>
  <c r="AR58" i="10" l="1"/>
  <c r="AQ58" i="10"/>
  <c r="AR48" i="10"/>
  <c r="AQ48" i="10"/>
  <c r="AR55" i="10"/>
  <c r="AQ55" i="10"/>
  <c r="AR50" i="10"/>
  <c r="AQ50" i="10"/>
  <c r="AP24" i="10"/>
  <c r="AQ38" i="10"/>
  <c r="AT38" i="10" s="1"/>
  <c r="AP38" i="10"/>
  <c r="AL38" i="10"/>
  <c r="AK38" i="10"/>
  <c r="AQ18" i="10"/>
  <c r="AR18" i="10" s="1"/>
  <c r="AU18" i="10" s="1"/>
  <c r="AV18" i="10" s="1"/>
  <c r="AT68" i="10"/>
  <c r="AR68" i="10"/>
  <c r="AU68" i="10" s="1"/>
  <c r="AV68" i="10" s="1"/>
  <c r="AQ33" i="10"/>
  <c r="AR33" i="10" s="1"/>
  <c r="AU33" i="10" s="1"/>
  <c r="AV33" i="10" s="1"/>
  <c r="AC12" i="10"/>
  <c r="D11" i="10" s="1"/>
  <c r="AJ12" i="10"/>
  <c r="AT24" i="10"/>
  <c r="AR24" i="10"/>
  <c r="AU24" i="10" s="1"/>
  <c r="AP15" i="10"/>
  <c r="AQ15" i="10"/>
  <c r="AH12" i="10"/>
  <c r="AN113" i="10"/>
  <c r="AM113" i="10"/>
  <c r="AQ65" i="10"/>
  <c r="AP65" i="10"/>
  <c r="AT29" i="10"/>
  <c r="AR29" i="10"/>
  <c r="AU29" i="10" s="1"/>
  <c r="AV29" i="10" s="1"/>
  <c r="AT14" i="10"/>
  <c r="AR14" i="10"/>
  <c r="AU14" i="10" s="1"/>
  <c r="AV14" i="10" s="1"/>
  <c r="AK28" i="10"/>
  <c r="AM28" i="10"/>
  <c r="AN28" i="10" s="1"/>
  <c r="AL28" i="10"/>
  <c r="AQ25" i="10"/>
  <c r="AP25" i="10"/>
  <c r="AR10" i="10"/>
  <c r="AS10" i="10" s="1"/>
  <c r="AB10" i="10" s="1"/>
  <c r="AR38" i="10"/>
  <c r="AU38" i="10" s="1"/>
  <c r="AT111" i="10"/>
  <c r="AR111" i="10"/>
  <c r="AU111" i="10" s="1"/>
  <c r="AV111" i="10" s="1"/>
  <c r="AC9" i="9"/>
  <c r="AD12" i="9" s="1"/>
  <c r="AO9" i="9"/>
  <c r="AQ9" i="9" s="1"/>
  <c r="AL68" i="9"/>
  <c r="AQ38" i="9"/>
  <c r="AT38" i="9" s="1"/>
  <c r="AK68" i="9"/>
  <c r="AL38" i="8"/>
  <c r="AK38" i="8"/>
  <c r="AM38" i="8"/>
  <c r="AN38" i="8" s="1"/>
  <c r="AU10" i="4"/>
  <c r="AK10" i="4" s="1"/>
  <c r="AU11" i="4"/>
  <c r="AM10" i="4" s="1"/>
  <c r="AU8" i="4"/>
  <c r="AG10" i="4" s="1"/>
  <c r="AQ22" i="4" s="1"/>
  <c r="AU22" i="4" s="1"/>
  <c r="J22" i="4" s="1"/>
  <c r="AU9" i="4"/>
  <c r="AI10" i="4" s="1"/>
  <c r="AR23" i="4" s="1"/>
  <c r="AM25" i="9"/>
  <c r="AN25" i="9" s="1"/>
  <c r="AQ25" i="9" s="1"/>
  <c r="AL25" i="9"/>
  <c r="AN105" i="8"/>
  <c r="AB105" i="8" s="1"/>
  <c r="T105" i="8" s="1"/>
  <c r="U52" i="2"/>
  <c r="V52" i="2"/>
  <c r="W52" i="2" s="1"/>
  <c r="T52" i="2"/>
  <c r="BA22" i="4"/>
  <c r="K22" i="4" s="1"/>
  <c r="AT23" i="4"/>
  <c r="AZ23" i="4"/>
  <c r="AY23" i="4"/>
  <c r="AW23" i="4"/>
  <c r="AX23" i="4"/>
  <c r="AS23" i="4"/>
  <c r="AQ23" i="4"/>
  <c r="AN24" i="4"/>
  <c r="AO24" i="4" s="1"/>
  <c r="I23" i="4"/>
  <c r="C28" i="4"/>
  <c r="AB27" i="4"/>
  <c r="AG27" i="4" s="1"/>
  <c r="AM27" i="4" s="1"/>
  <c r="H24" i="4"/>
  <c r="AK28" i="9"/>
  <c r="AM28" i="9"/>
  <c r="AN28" i="9" s="1"/>
  <c r="AL28" i="9"/>
  <c r="AR57" i="9"/>
  <c r="AU57" i="9" s="1"/>
  <c r="AV57" i="9" s="1"/>
  <c r="AT57" i="9"/>
  <c r="AQ15" i="9"/>
  <c r="AP15" i="9"/>
  <c r="AP33" i="9"/>
  <c r="AQ33" i="9"/>
  <c r="AQ24" i="9"/>
  <c r="AP24" i="9"/>
  <c r="AM75" i="9"/>
  <c r="AN75" i="9" s="1"/>
  <c r="AL75" i="9"/>
  <c r="AK75" i="9"/>
  <c r="AQ68" i="9"/>
  <c r="AP68" i="9"/>
  <c r="AM82" i="9"/>
  <c r="AN82" i="9" s="1"/>
  <c r="AL82" i="9"/>
  <c r="AK82" i="9"/>
  <c r="AM73" i="9"/>
  <c r="AN73" i="9" s="1"/>
  <c r="AL73" i="9"/>
  <c r="AK73" i="9"/>
  <c r="AY67" i="9"/>
  <c r="AZ67" i="9" s="1"/>
  <c r="AQ49" i="9"/>
  <c r="AP49" i="9"/>
  <c r="AM66" i="9"/>
  <c r="AN66" i="9" s="1"/>
  <c r="AL66" i="9"/>
  <c r="AK66" i="9"/>
  <c r="AQ29" i="9"/>
  <c r="AP29" i="9"/>
  <c r="AJ124" i="9"/>
  <c r="AK124" i="9" s="1"/>
  <c r="AI124" i="9"/>
  <c r="AH124" i="9"/>
  <c r="AQ55" i="9"/>
  <c r="AP55" i="9"/>
  <c r="AM18" i="9"/>
  <c r="AN18" i="9" s="1"/>
  <c r="AL18" i="9"/>
  <c r="AK18" i="9"/>
  <c r="AM47" i="9"/>
  <c r="AN47" i="9" s="1"/>
  <c r="AK47" i="9"/>
  <c r="AL47" i="9"/>
  <c r="AR9" i="9"/>
  <c r="AS9" i="9" s="1"/>
  <c r="AB9" i="9" s="1"/>
  <c r="AN10" i="9"/>
  <c r="AQ14" i="9"/>
  <c r="AP14" i="9"/>
  <c r="AL122" i="9"/>
  <c r="AK122" i="9"/>
  <c r="AM122" i="9"/>
  <c r="AN122" i="9" s="1"/>
  <c r="AM25" i="8"/>
  <c r="AN25" i="8" s="1"/>
  <c r="AQ25" i="8" s="1"/>
  <c r="AL47" i="8"/>
  <c r="AK47" i="8"/>
  <c r="AM47" i="8"/>
  <c r="AN47" i="8" s="1"/>
  <c r="AK24" i="8"/>
  <c r="AL24" i="8"/>
  <c r="AQ33" i="8"/>
  <c r="AP33" i="8"/>
  <c r="AM28" i="8"/>
  <c r="AN28" i="8" s="1"/>
  <c r="AL28" i="8"/>
  <c r="AK28" i="8"/>
  <c r="AL29" i="8"/>
  <c r="AK29" i="8"/>
  <c r="AM29" i="8"/>
  <c r="AN29" i="8" s="1"/>
  <c r="AP25" i="8"/>
  <c r="AK55" i="8"/>
  <c r="AL55" i="8"/>
  <c r="AM55" i="8"/>
  <c r="AN55" i="8" s="1"/>
  <c r="AM49" i="8"/>
  <c r="AN49" i="8" s="1"/>
  <c r="AL49" i="8"/>
  <c r="AK49" i="8"/>
  <c r="AL57" i="8"/>
  <c r="AK57" i="8"/>
  <c r="AM57" i="8"/>
  <c r="AN57" i="8" s="1"/>
  <c r="AL117" i="8"/>
  <c r="AK117" i="8"/>
  <c r="AM117" i="8"/>
  <c r="AN117" i="8" s="1"/>
  <c r="AN10" i="8"/>
  <c r="AO10" i="8" s="1"/>
  <c r="AQ10" i="8" s="1"/>
  <c r="AT76" i="8"/>
  <c r="AR76" i="8"/>
  <c r="AU76" i="8" s="1"/>
  <c r="AV76" i="8" s="1"/>
  <c r="AT14" i="8"/>
  <c r="AR14" i="8"/>
  <c r="AU14" i="8" s="1"/>
  <c r="AV14" i="8" s="1"/>
  <c r="AP73" i="8"/>
  <c r="AQ73" i="8"/>
  <c r="AN119" i="8"/>
  <c r="AM119" i="8"/>
  <c r="AM18" i="8"/>
  <c r="AN18" i="8" s="1"/>
  <c r="AL18" i="8"/>
  <c r="AK18" i="8"/>
  <c r="AP9" i="8"/>
  <c r="AC9" i="8"/>
  <c r="AD12" i="8" s="1"/>
  <c r="AM66" i="8"/>
  <c r="AN66" i="8" s="1"/>
  <c r="AK66" i="8"/>
  <c r="AL66" i="8"/>
  <c r="AP24" i="8"/>
  <c r="AQ24" i="8"/>
  <c r="AL68" i="8"/>
  <c r="AK68" i="8"/>
  <c r="AM68" i="8"/>
  <c r="AN68" i="8" s="1"/>
  <c r="AM15" i="8"/>
  <c r="AN15" i="8" s="1"/>
  <c r="AL15" i="8"/>
  <c r="AK15" i="8"/>
  <c r="AP38" i="1"/>
  <c r="AL73" i="1"/>
  <c r="AN66" i="1"/>
  <c r="AO66" i="1" s="1"/>
  <c r="AR66" i="1" s="1"/>
  <c r="AN73" i="1"/>
  <c r="AO73" i="1" s="1"/>
  <c r="AR73" i="1" s="1"/>
  <c r="AN68" i="1"/>
  <c r="AO68" i="1" s="1"/>
  <c r="AQ68" i="1" s="1"/>
  <c r="AK38" i="1"/>
  <c r="AN76" i="1"/>
  <c r="AO76" i="1" s="1"/>
  <c r="AL76" i="1"/>
  <c r="AT97" i="7"/>
  <c r="AR97" i="7"/>
  <c r="AU97" i="7" s="1"/>
  <c r="AV97" i="7" s="1"/>
  <c r="AM49" i="7"/>
  <c r="AN49" i="7" s="1"/>
  <c r="AL49" i="7"/>
  <c r="AK49" i="7"/>
  <c r="AL100" i="7"/>
  <c r="AK100" i="7"/>
  <c r="AM100" i="7"/>
  <c r="AN100" i="7" s="1"/>
  <c r="AQ47" i="7"/>
  <c r="AP47" i="7"/>
  <c r="AM75" i="7"/>
  <c r="AN75" i="7" s="1"/>
  <c r="AL75" i="7"/>
  <c r="AK75" i="7"/>
  <c r="AC9" i="7"/>
  <c r="AD12" i="7" s="1"/>
  <c r="AP9" i="7"/>
  <c r="AM68" i="7"/>
  <c r="AN68" i="7" s="1"/>
  <c r="AK68" i="7"/>
  <c r="AL68" i="7"/>
  <c r="AJ143" i="7"/>
  <c r="AK143" i="7" s="1"/>
  <c r="AI143" i="7"/>
  <c r="AH143" i="7"/>
  <c r="AQ18" i="7"/>
  <c r="AP18" i="7"/>
  <c r="AP33" i="7"/>
  <c r="AQ33" i="7"/>
  <c r="AO9" i="7"/>
  <c r="AQ9" i="7" s="1"/>
  <c r="AM14" i="7"/>
  <c r="AN14" i="7" s="1"/>
  <c r="AL14" i="7"/>
  <c r="AK14" i="7"/>
  <c r="AR55" i="7"/>
  <c r="AU55" i="7" s="1"/>
  <c r="AV55" i="7" s="1"/>
  <c r="AT55" i="7"/>
  <c r="AL38" i="7"/>
  <c r="AM38" i="7"/>
  <c r="AN38" i="7" s="1"/>
  <c r="AK38" i="7"/>
  <c r="AK28" i="7"/>
  <c r="AM28" i="7"/>
  <c r="AN28" i="7" s="1"/>
  <c r="AL28" i="7"/>
  <c r="AQ57" i="7"/>
  <c r="AP57" i="7"/>
  <c r="AQ82" i="7"/>
  <c r="AP82" i="7"/>
  <c r="AM66" i="7"/>
  <c r="AN66" i="7" s="1"/>
  <c r="AL66" i="7"/>
  <c r="AK66" i="7"/>
  <c r="AT92" i="7"/>
  <c r="AR92" i="7"/>
  <c r="AU92" i="7" s="1"/>
  <c r="AV92" i="7" s="1"/>
  <c r="AT29" i="7"/>
  <c r="AR29" i="7"/>
  <c r="AU29" i="7" s="1"/>
  <c r="AV29" i="7" s="1"/>
  <c r="AY67" i="7"/>
  <c r="AZ67" i="7" s="1"/>
  <c r="BA67" i="7" s="1"/>
  <c r="AM73" i="7"/>
  <c r="AN73" i="7" s="1"/>
  <c r="AL73" i="7"/>
  <c r="AK73" i="7"/>
  <c r="AL25" i="7"/>
  <c r="AM25" i="7"/>
  <c r="AN25" i="7" s="1"/>
  <c r="AK25" i="7"/>
  <c r="AQ15" i="7"/>
  <c r="AP15" i="7"/>
  <c r="AM90" i="7"/>
  <c r="AN90" i="7" s="1"/>
  <c r="AK90" i="7"/>
  <c r="AL90" i="7"/>
  <c r="AL141" i="7"/>
  <c r="AK141" i="7"/>
  <c r="AM141" i="7"/>
  <c r="AN141" i="7" s="1"/>
  <c r="AC10" i="7"/>
  <c r="AG12" i="7" s="1"/>
  <c r="AP10" i="7"/>
  <c r="AL24" i="7"/>
  <c r="AK24" i="7"/>
  <c r="AM24" i="7"/>
  <c r="AN24" i="7" s="1"/>
  <c r="AO10" i="7"/>
  <c r="AQ10" i="7" s="1"/>
  <c r="AL15" i="1"/>
  <c r="AN15" i="1"/>
  <c r="AO15" i="1" s="1"/>
  <c r="AR14" i="1"/>
  <c r="AQ14" i="1"/>
  <c r="T6" i="6"/>
  <c r="AL79" i="3"/>
  <c r="AK79" i="3"/>
  <c r="AM79" i="3"/>
  <c r="AN79" i="3" s="1"/>
  <c r="AM80" i="3"/>
  <c r="AN80" i="3" s="1"/>
  <c r="AL80" i="3"/>
  <c r="AK80" i="3"/>
  <c r="AI25" i="1"/>
  <c r="AL47" i="1"/>
  <c r="AJ25" i="1"/>
  <c r="AT25" i="1" s="1"/>
  <c r="AK28" i="1"/>
  <c r="AN28" i="1" s="1"/>
  <c r="AO28" i="1" s="1"/>
  <c r="AN47" i="1"/>
  <c r="AO47" i="1" s="1"/>
  <c r="AR47" i="1" s="1"/>
  <c r="AR18" i="1"/>
  <c r="AU18" i="1" s="1"/>
  <c r="AQ18" i="1"/>
  <c r="AL18" i="1"/>
  <c r="AN29" i="1"/>
  <c r="AO29" i="1" s="1"/>
  <c r="AL29" i="1"/>
  <c r="AD73" i="2"/>
  <c r="AG73" i="2" s="1"/>
  <c r="X73" i="2"/>
  <c r="Y73" i="2"/>
  <c r="AL24" i="1"/>
  <c r="Z71" i="2"/>
  <c r="AA71" i="2" s="1"/>
  <c r="AC71" i="2" s="1"/>
  <c r="AL57" i="1"/>
  <c r="AN57" i="1"/>
  <c r="AO57" i="1" s="1"/>
  <c r="X71" i="2"/>
  <c r="AQ33" i="1"/>
  <c r="AL33" i="1"/>
  <c r="AN49" i="1"/>
  <c r="AO49" i="1" s="1"/>
  <c r="AL49" i="1"/>
  <c r="AQ24" i="1"/>
  <c r="AR24" i="1"/>
  <c r="AR117" i="1"/>
  <c r="AQ117" i="1"/>
  <c r="AR55" i="1"/>
  <c r="AQ55" i="1"/>
  <c r="AU33" i="1"/>
  <c r="AS33" i="1"/>
  <c r="AV33" i="1" s="1"/>
  <c r="Z57" i="2"/>
  <c r="Y57" i="2"/>
  <c r="Z47" i="2"/>
  <c r="Y47" i="2"/>
  <c r="AC38" i="2"/>
  <c r="AA38" i="2"/>
  <c r="AD38" i="2" s="1"/>
  <c r="AE38" i="2" s="1"/>
  <c r="AC58" i="2"/>
  <c r="AA58" i="2"/>
  <c r="AD58" i="2" s="1"/>
  <c r="AE58" i="2" s="1"/>
  <c r="AC56" i="2"/>
  <c r="AA56" i="2"/>
  <c r="AD56" i="2" s="1"/>
  <c r="AE56" i="2" s="1"/>
  <c r="Z27" i="2"/>
  <c r="Y27" i="2"/>
  <c r="AC34" i="2"/>
  <c r="AA34" i="2"/>
  <c r="Z51" i="2"/>
  <c r="Y51" i="2"/>
  <c r="Z25" i="2"/>
  <c r="Y25" i="2"/>
  <c r="Z28" i="2"/>
  <c r="Y28" i="2"/>
  <c r="V33" i="2"/>
  <c r="W33" i="2" s="1"/>
  <c r="T33" i="2"/>
  <c r="U33" i="2"/>
  <c r="Z54" i="2"/>
  <c r="Y54" i="2"/>
  <c r="V41" i="2"/>
  <c r="W41" i="2" s="1"/>
  <c r="T41" i="2"/>
  <c r="U41" i="2"/>
  <c r="V50" i="2"/>
  <c r="W50" i="2" s="1"/>
  <c r="T50" i="2"/>
  <c r="U50" i="2"/>
  <c r="Z26" i="2"/>
  <c r="Y26" i="2"/>
  <c r="AC36" i="2"/>
  <c r="AA36" i="2"/>
  <c r="AD36" i="2" s="1"/>
  <c r="AE36" i="2" s="1"/>
  <c r="Z55" i="2"/>
  <c r="Y55" i="2"/>
  <c r="Z21" i="2"/>
  <c r="Y21" i="2"/>
  <c r="Z30" i="2"/>
  <c r="Y30" i="2"/>
  <c r="AC35" i="2"/>
  <c r="AA35" i="2"/>
  <c r="AA45" i="2"/>
  <c r="AC45" i="2"/>
  <c r="Z49" i="2"/>
  <c r="Y49" i="2"/>
  <c r="AC43" i="2"/>
  <c r="AA43" i="2"/>
  <c r="AD43" i="2" s="1"/>
  <c r="AE43" i="2" s="1"/>
  <c r="V40" i="2"/>
  <c r="W40" i="2" s="1"/>
  <c r="T40" i="2"/>
  <c r="U40" i="2"/>
  <c r="Z31" i="2"/>
  <c r="Y31" i="2"/>
  <c r="Z39" i="2"/>
  <c r="Y39" i="2"/>
  <c r="Z29" i="2"/>
  <c r="Y29" i="2"/>
  <c r="Z37" i="2"/>
  <c r="Y37" i="2"/>
  <c r="AC53" i="2"/>
  <c r="AA53" i="2"/>
  <c r="Z22" i="2"/>
  <c r="Y22" i="2"/>
  <c r="AC32" i="2"/>
  <c r="AA32" i="2"/>
  <c r="AD32" i="2" s="1"/>
  <c r="AE32" i="2" s="1"/>
  <c r="Z24" i="2"/>
  <c r="Y24" i="2"/>
  <c r="Z44" i="2"/>
  <c r="Y44" i="2"/>
  <c r="AC23" i="2"/>
  <c r="AA23" i="2"/>
  <c r="V46" i="2"/>
  <c r="W46" i="2" s="1"/>
  <c r="T46" i="2"/>
  <c r="U46" i="2"/>
  <c r="Z42" i="2"/>
  <c r="Y42" i="2"/>
  <c r="AC48" i="2"/>
  <c r="AA48" i="2"/>
  <c r="AG77" i="2"/>
  <c r="AC77" i="2"/>
  <c r="AI77" i="2" s="1"/>
  <c r="AJ77" i="2" s="1"/>
  <c r="V11" i="2"/>
  <c r="W11" i="2" s="1"/>
  <c r="L11" i="2" s="1"/>
  <c r="X20" i="2"/>
  <c r="S20" i="2"/>
  <c r="AN56" i="3"/>
  <c r="AQ56" i="3" s="1"/>
  <c r="AR63" i="3"/>
  <c r="AS63" i="3" s="1"/>
  <c r="AB63" i="3" s="1"/>
  <c r="N64" i="3" s="1"/>
  <c r="AN54" i="3"/>
  <c r="AM54" i="3"/>
  <c r="AN60" i="3"/>
  <c r="AM60" i="3"/>
  <c r="AQ61" i="3"/>
  <c r="AO61" i="3"/>
  <c r="AR61" i="3" s="1"/>
  <c r="AS61" i="3" s="1"/>
  <c r="AN39" i="3"/>
  <c r="AM39" i="3"/>
  <c r="AO37" i="3"/>
  <c r="AR37" i="3" s="1"/>
  <c r="AS37" i="3" s="1"/>
  <c r="AQ37" i="3"/>
  <c r="AM33" i="3"/>
  <c r="AN31" i="3"/>
  <c r="AM31" i="3"/>
  <c r="AQ33" i="3"/>
  <c r="AO33" i="3"/>
  <c r="AR33" i="3" s="1"/>
  <c r="AP8" i="3"/>
  <c r="AC8" i="3"/>
  <c r="G9" i="3"/>
  <c r="AO8" i="3"/>
  <c r="AQ8" i="3" s="1"/>
  <c r="AN10" i="3"/>
  <c r="AM10" i="3"/>
  <c r="AC72" i="2"/>
  <c r="AD72" i="2"/>
  <c r="AD69" i="2"/>
  <c r="AE69" i="2" s="1"/>
  <c r="AH69" i="2" s="1"/>
  <c r="AI69" i="2" s="1"/>
  <c r="AJ69" i="2" s="1"/>
  <c r="AC86" i="2"/>
  <c r="AG86" i="2"/>
  <c r="AE86" i="2"/>
  <c r="AH86" i="2" s="1"/>
  <c r="AD80" i="2"/>
  <c r="AE80" i="2" s="1"/>
  <c r="AH80" i="2" s="1"/>
  <c r="AI80" i="2" s="1"/>
  <c r="AJ81" i="2"/>
  <c r="AD79" i="2"/>
  <c r="AC79" i="2"/>
  <c r="AD78" i="2"/>
  <c r="AC78" i="2"/>
  <c r="AD76" i="2"/>
  <c r="AC76" i="2"/>
  <c r="AD75" i="2"/>
  <c r="AC75" i="2"/>
  <c r="AE74" i="2"/>
  <c r="AH74" i="2" s="1"/>
  <c r="AI74" i="2" s="1"/>
  <c r="AG74" i="2"/>
  <c r="AD68" i="2"/>
  <c r="AC68" i="2"/>
  <c r="AI119" i="1"/>
  <c r="AK119" i="1"/>
  <c r="AL119" i="1" s="1"/>
  <c r="AO10" i="1"/>
  <c r="AP10" i="1" s="1"/>
  <c r="AR10" i="1" s="1"/>
  <c r="AD9" i="1"/>
  <c r="AE12" i="1" s="1"/>
  <c r="AQ9" i="1"/>
  <c r="AP9" i="1"/>
  <c r="AR9" i="1" s="1"/>
  <c r="V12" i="2"/>
  <c r="W12" i="2" s="1"/>
  <c r="L5" i="2"/>
  <c r="Y5" i="2"/>
  <c r="T10" i="2"/>
  <c r="U10" i="2" s="1"/>
  <c r="V10" i="2" s="1"/>
  <c r="T6" i="2"/>
  <c r="U6" i="2" s="1"/>
  <c r="V6" i="2" s="1"/>
  <c r="T4" i="2"/>
  <c r="U4" i="2" s="1"/>
  <c r="V4" i="2" s="1"/>
  <c r="T9" i="2"/>
  <c r="U9" i="2" s="1"/>
  <c r="V9" i="2" s="1"/>
  <c r="T8" i="2"/>
  <c r="U8" i="2" s="1"/>
  <c r="V8" i="2" s="1"/>
  <c r="T7" i="2"/>
  <c r="U7" i="2" s="1"/>
  <c r="V7" i="2" s="1"/>
  <c r="I56" i="10" l="1"/>
  <c r="I48" i="10"/>
  <c r="AG52" i="10" s="1"/>
  <c r="AW58" i="10"/>
  <c r="AU55" i="10"/>
  <c r="AS55" i="10"/>
  <c r="AV55" i="10" s="1"/>
  <c r="AW55" i="10" s="1"/>
  <c r="AU48" i="10"/>
  <c r="AS48" i="10"/>
  <c r="AV48" i="10" s="1"/>
  <c r="AW48" i="10" s="1"/>
  <c r="AU50" i="10"/>
  <c r="AS50" i="10"/>
  <c r="AV50" i="10" s="1"/>
  <c r="AW50" i="10" s="1"/>
  <c r="AS58" i="10"/>
  <c r="AV58" i="10" s="1"/>
  <c r="AU58" i="10"/>
  <c r="AV24" i="10"/>
  <c r="AW24" i="10" s="1"/>
  <c r="AV38" i="10"/>
  <c r="AW38" i="10" s="1"/>
  <c r="AT18" i="10"/>
  <c r="AW68" i="10"/>
  <c r="AT33" i="10"/>
  <c r="AW14" i="10"/>
  <c r="AW29" i="10"/>
  <c r="AT25" i="10"/>
  <c r="AR25" i="10"/>
  <c r="AU25" i="10" s="1"/>
  <c r="AV25" i="10" s="1"/>
  <c r="AW111" i="10"/>
  <c r="AW18" i="10"/>
  <c r="AR15" i="10"/>
  <c r="AU15" i="10" s="1"/>
  <c r="AV15" i="10" s="1"/>
  <c r="AT15" i="10"/>
  <c r="AT65" i="10"/>
  <c r="AR65" i="10"/>
  <c r="AU65" i="10" s="1"/>
  <c r="AV65" i="10" s="1"/>
  <c r="AW33" i="10"/>
  <c r="AP28" i="10"/>
  <c r="AQ28" i="10"/>
  <c r="AQ113" i="10"/>
  <c r="AO113" i="10"/>
  <c r="AR113" i="10" s="1"/>
  <c r="AS113" i="10" s="1"/>
  <c r="AK12" i="10"/>
  <c r="AL12" i="10" s="1"/>
  <c r="AP25" i="9"/>
  <c r="AR38" i="9"/>
  <c r="AU38" i="9" s="1"/>
  <c r="AV38" i="9" s="1"/>
  <c r="AW38" i="9" s="1"/>
  <c r="AQ38" i="8"/>
  <c r="AP38" i="8"/>
  <c r="Z52" i="2"/>
  <c r="Y52" i="2"/>
  <c r="AD34" i="2"/>
  <c r="AE34" i="2" s="1"/>
  <c r="AD45" i="2"/>
  <c r="AE45" i="2" s="1"/>
  <c r="AC35" i="4"/>
  <c r="AC37" i="4" s="1"/>
  <c r="E40" i="4"/>
  <c r="AC34" i="4"/>
  <c r="AC36" i="4" s="1"/>
  <c r="AC39" i="4" s="1"/>
  <c r="D40" i="4"/>
  <c r="AK65" i="4" s="1"/>
  <c r="BA23" i="4"/>
  <c r="K23" i="4" s="1"/>
  <c r="E42" i="4" s="1"/>
  <c r="AU23" i="4"/>
  <c r="J23" i="4" s="1"/>
  <c r="D42" i="4" s="1"/>
  <c r="AK66" i="4" s="1"/>
  <c r="AZ24" i="4"/>
  <c r="AY24" i="4"/>
  <c r="AX24" i="4"/>
  <c r="AW24" i="4"/>
  <c r="AS24" i="4"/>
  <c r="AT24" i="4"/>
  <c r="AR24" i="4"/>
  <c r="AQ24" i="4"/>
  <c r="AN25" i="4"/>
  <c r="AO25" i="4" s="1"/>
  <c r="I24" i="4"/>
  <c r="C29" i="4"/>
  <c r="AB28" i="4"/>
  <c r="AG28" i="4" s="1"/>
  <c r="AM28" i="4" s="1"/>
  <c r="H25" i="4"/>
  <c r="AW57" i="9"/>
  <c r="AT25" i="9"/>
  <c r="AR25" i="9"/>
  <c r="AU25" i="9" s="1"/>
  <c r="AV25" i="9" s="1"/>
  <c r="AN124" i="9"/>
  <c r="AM124" i="9"/>
  <c r="AC10" i="9"/>
  <c r="AG12" i="9" s="1"/>
  <c r="AP10" i="9"/>
  <c r="AR24" i="9"/>
  <c r="AU24" i="9" s="1"/>
  <c r="AV24" i="9" s="1"/>
  <c r="AT24" i="9"/>
  <c r="AQ122" i="9"/>
  <c r="AP122" i="9"/>
  <c r="AO10" i="9"/>
  <c r="AQ10" i="9" s="1"/>
  <c r="AT29" i="9"/>
  <c r="AR29" i="9"/>
  <c r="AU29" i="9" s="1"/>
  <c r="AV29" i="9" s="1"/>
  <c r="BA67" i="9"/>
  <c r="BC67" i="9" s="1"/>
  <c r="AQ82" i="9"/>
  <c r="AP82" i="9"/>
  <c r="AT33" i="9"/>
  <c r="AR33" i="9"/>
  <c r="AU33" i="9" s="1"/>
  <c r="AV33" i="9" s="1"/>
  <c r="AQ47" i="9"/>
  <c r="AP47" i="9"/>
  <c r="AR55" i="9"/>
  <c r="AU55" i="9" s="1"/>
  <c r="AV55" i="9" s="1"/>
  <c r="AT55" i="9"/>
  <c r="AP28" i="9"/>
  <c r="AQ28" i="9"/>
  <c r="AT68" i="9"/>
  <c r="AR68" i="9"/>
  <c r="AU68" i="9" s="1"/>
  <c r="AV68" i="9" s="1"/>
  <c r="AT15" i="9"/>
  <c r="AR15" i="9"/>
  <c r="AU15" i="9" s="1"/>
  <c r="AV15" i="9" s="1"/>
  <c r="AQ66" i="9"/>
  <c r="AP66" i="9"/>
  <c r="AT14" i="9"/>
  <c r="AR14" i="9"/>
  <c r="AU14" i="9" s="1"/>
  <c r="AV14" i="9" s="1"/>
  <c r="AQ73" i="9"/>
  <c r="AP73" i="9"/>
  <c r="AQ18" i="9"/>
  <c r="AP18" i="9"/>
  <c r="AT49" i="9"/>
  <c r="AR49" i="9"/>
  <c r="AU49" i="9" s="1"/>
  <c r="AV49" i="9" s="1"/>
  <c r="AQ75" i="9"/>
  <c r="AP75" i="9"/>
  <c r="AP47" i="8"/>
  <c r="AQ47" i="8"/>
  <c r="AP68" i="8"/>
  <c r="AQ68" i="8"/>
  <c r="AT73" i="8"/>
  <c r="AR73" i="8"/>
  <c r="AU73" i="8" s="1"/>
  <c r="AV73" i="8" s="1"/>
  <c r="AR9" i="8"/>
  <c r="AS9" i="8" s="1"/>
  <c r="AB9" i="8" s="1"/>
  <c r="AR25" i="8"/>
  <c r="AU25" i="8" s="1"/>
  <c r="AV25" i="8" s="1"/>
  <c r="AT25" i="8"/>
  <c r="AQ28" i="8"/>
  <c r="AP28" i="8"/>
  <c r="AT24" i="8"/>
  <c r="AR24" i="8"/>
  <c r="AU24" i="8" s="1"/>
  <c r="AV24" i="8" s="1"/>
  <c r="AQ18" i="8"/>
  <c r="AP18" i="8"/>
  <c r="AW76" i="8"/>
  <c r="AC10" i="8"/>
  <c r="AG12" i="8" s="1"/>
  <c r="AH12" i="8" s="1"/>
  <c r="AP10" i="8"/>
  <c r="AQ117" i="8"/>
  <c r="AP117" i="8"/>
  <c r="AQ15" i="8"/>
  <c r="AP15" i="8"/>
  <c r="AQ119" i="8"/>
  <c r="AO119" i="8"/>
  <c r="AR119" i="8" s="1"/>
  <c r="AS119" i="8" s="1"/>
  <c r="AQ49" i="8"/>
  <c r="AP49" i="8"/>
  <c r="AQ29" i="8"/>
  <c r="AP29" i="8"/>
  <c r="AT33" i="8"/>
  <c r="AR33" i="8"/>
  <c r="AU33" i="8" s="1"/>
  <c r="AV33" i="8" s="1"/>
  <c r="AQ66" i="8"/>
  <c r="AP66" i="8"/>
  <c r="AP57" i="8"/>
  <c r="AQ57" i="8"/>
  <c r="AI12" i="8"/>
  <c r="AP55" i="8"/>
  <c r="AQ55" i="8"/>
  <c r="AW14" i="8"/>
  <c r="AQ66" i="1"/>
  <c r="AQ73" i="1"/>
  <c r="AR68" i="1"/>
  <c r="AS68" i="1" s="1"/>
  <c r="AV68" i="1" s="1"/>
  <c r="AW68" i="1" s="1"/>
  <c r="AN38" i="1"/>
  <c r="AO38" i="1" s="1"/>
  <c r="AR38" i="1" s="1"/>
  <c r="AU38" i="1" s="1"/>
  <c r="AL38" i="1"/>
  <c r="AS73" i="1"/>
  <c r="AV73" i="1" s="1"/>
  <c r="AU73" i="1"/>
  <c r="AS66" i="1"/>
  <c r="AV66" i="1" s="1"/>
  <c r="AU66" i="1"/>
  <c r="AQ76" i="1"/>
  <c r="AR76" i="1"/>
  <c r="AW97" i="7"/>
  <c r="AQ66" i="7"/>
  <c r="AP66" i="7"/>
  <c r="AI12" i="7"/>
  <c r="AH12" i="7"/>
  <c r="AQ25" i="7"/>
  <c r="AP25" i="7"/>
  <c r="BC67" i="7"/>
  <c r="AQ38" i="7"/>
  <c r="AP38" i="7"/>
  <c r="AP14" i="7"/>
  <c r="AQ14" i="7"/>
  <c r="AR9" i="7"/>
  <c r="AS9" i="7" s="1"/>
  <c r="AB9" i="7" s="1"/>
  <c r="AW29" i="7"/>
  <c r="AT82" i="7"/>
  <c r="AR82" i="7"/>
  <c r="AU82" i="7" s="1"/>
  <c r="AV82" i="7" s="1"/>
  <c r="AQ141" i="7"/>
  <c r="AP141" i="7"/>
  <c r="AT18" i="7"/>
  <c r="AR18" i="7"/>
  <c r="AU18" i="7" s="1"/>
  <c r="AV18" i="7" s="1"/>
  <c r="AP24" i="7"/>
  <c r="AQ24" i="7"/>
  <c r="AM143" i="7"/>
  <c r="AN143" i="7"/>
  <c r="AQ75" i="7"/>
  <c r="AP75" i="7"/>
  <c r="AQ49" i="7"/>
  <c r="AP49" i="7"/>
  <c r="AT15" i="7"/>
  <c r="AR15" i="7"/>
  <c r="AU15" i="7" s="1"/>
  <c r="AV15" i="7" s="1"/>
  <c r="AW92" i="7"/>
  <c r="AR57" i="7"/>
  <c r="AU57" i="7" s="1"/>
  <c r="AV57" i="7" s="1"/>
  <c r="AT57" i="7"/>
  <c r="AW55" i="7"/>
  <c r="AP90" i="7"/>
  <c r="AQ90" i="7"/>
  <c r="AQ73" i="7"/>
  <c r="AP73" i="7"/>
  <c r="AT33" i="7"/>
  <c r="AR33" i="7"/>
  <c r="AU33" i="7" s="1"/>
  <c r="AV33" i="7" s="1"/>
  <c r="AT47" i="7"/>
  <c r="AR47" i="7"/>
  <c r="AU47" i="7" s="1"/>
  <c r="AV47" i="7" s="1"/>
  <c r="AR10" i="7"/>
  <c r="AS10" i="7" s="1"/>
  <c r="AB10" i="7" s="1"/>
  <c r="AQ28" i="7"/>
  <c r="AP28" i="7"/>
  <c r="AQ68" i="7"/>
  <c r="AP68" i="7"/>
  <c r="AQ100" i="7"/>
  <c r="AP100" i="7"/>
  <c r="AR15" i="1"/>
  <c r="AQ15" i="1"/>
  <c r="AS14" i="1"/>
  <c r="AV14" i="1" s="1"/>
  <c r="AW14" i="1" s="1"/>
  <c r="AU14" i="1"/>
  <c r="AQ47" i="1"/>
  <c r="AK25" i="1"/>
  <c r="AN25" i="1" s="1"/>
  <c r="AO25" i="1" s="1"/>
  <c r="AP25" i="1"/>
  <c r="AP80" i="3"/>
  <c r="AQ80" i="3"/>
  <c r="AQ79" i="3"/>
  <c r="AP79" i="3"/>
  <c r="AE73" i="2"/>
  <c r="AH73" i="2" s="1"/>
  <c r="AI73" i="2" s="1"/>
  <c r="AJ73" i="2" s="1"/>
  <c r="AL28" i="1"/>
  <c r="AS18" i="1"/>
  <c r="AV18" i="1" s="1"/>
  <c r="AW18" i="1" s="1"/>
  <c r="AX18" i="1" s="1"/>
  <c r="AR29" i="1"/>
  <c r="AQ29" i="1"/>
  <c r="AD71" i="2"/>
  <c r="AG71" i="2" s="1"/>
  <c r="AR57" i="1"/>
  <c r="AQ57" i="1"/>
  <c r="AW33" i="1"/>
  <c r="AX33" i="1" s="1"/>
  <c r="AR49" i="1"/>
  <c r="AQ49" i="1"/>
  <c r="AR28" i="1"/>
  <c r="AQ28" i="1"/>
  <c r="AU24" i="1"/>
  <c r="AS24" i="1"/>
  <c r="AV24" i="1" s="1"/>
  <c r="AW24" i="1" s="1"/>
  <c r="AU117" i="1"/>
  <c r="AS117" i="1"/>
  <c r="AV117" i="1" s="1"/>
  <c r="AW117" i="1" s="1"/>
  <c r="AU55" i="1"/>
  <c r="AS55" i="1"/>
  <c r="AV55" i="1" s="1"/>
  <c r="AW55" i="1" s="1"/>
  <c r="AU47" i="1"/>
  <c r="AS47" i="1"/>
  <c r="AV47" i="1" s="1"/>
  <c r="AF58" i="2"/>
  <c r="AF34" i="2"/>
  <c r="AF45" i="2"/>
  <c r="AF56" i="2"/>
  <c r="AF43" i="2"/>
  <c r="AC21" i="2"/>
  <c r="AA21" i="2"/>
  <c r="AD21" i="2" s="1"/>
  <c r="AE21" i="2" s="1"/>
  <c r="Z46" i="2"/>
  <c r="Y46" i="2"/>
  <c r="AA26" i="2"/>
  <c r="AD26" i="2" s="1"/>
  <c r="AE26" i="2" s="1"/>
  <c r="AC26" i="2"/>
  <c r="AC28" i="2"/>
  <c r="AA28" i="2"/>
  <c r="AF38" i="2"/>
  <c r="Z41" i="2"/>
  <c r="Y41" i="2"/>
  <c r="AD48" i="2"/>
  <c r="AE48" i="2" s="1"/>
  <c r="AC24" i="2"/>
  <c r="AA24" i="2"/>
  <c r="AD24" i="2" s="1"/>
  <c r="AE24" i="2" s="1"/>
  <c r="AA22" i="2"/>
  <c r="AC22" i="2"/>
  <c r="AC29" i="2"/>
  <c r="AA29" i="2"/>
  <c r="AD29" i="2" s="1"/>
  <c r="AE29" i="2" s="1"/>
  <c r="Z40" i="2"/>
  <c r="Y40" i="2"/>
  <c r="AD35" i="2"/>
  <c r="AE35" i="2" s="1"/>
  <c r="AC55" i="2"/>
  <c r="AA55" i="2"/>
  <c r="AD55" i="2" s="1"/>
  <c r="AE55" i="2" s="1"/>
  <c r="AD23" i="2"/>
  <c r="AE23" i="2" s="1"/>
  <c r="AD53" i="2"/>
  <c r="AE53" i="2" s="1"/>
  <c r="AC25" i="2"/>
  <c r="AA25" i="2"/>
  <c r="AD25" i="2" s="1"/>
  <c r="AE25" i="2" s="1"/>
  <c r="AA47" i="2"/>
  <c r="AD47" i="2" s="1"/>
  <c r="AE47" i="2" s="1"/>
  <c r="AC47" i="2"/>
  <c r="AF32" i="2"/>
  <c r="AF36" i="2"/>
  <c r="AC39" i="2"/>
  <c r="AA39" i="2"/>
  <c r="AD39" i="2" s="1"/>
  <c r="AE39" i="2" s="1"/>
  <c r="AA30" i="2"/>
  <c r="AC30" i="2"/>
  <c r="Z50" i="2"/>
  <c r="Y50" i="2"/>
  <c r="AC44" i="2"/>
  <c r="AA44" i="2"/>
  <c r="AD44" i="2" s="1"/>
  <c r="AE44" i="2" s="1"/>
  <c r="AA37" i="2"/>
  <c r="AD37" i="2" s="1"/>
  <c r="AE37" i="2" s="1"/>
  <c r="AC37" i="2"/>
  <c r="AA54" i="2"/>
  <c r="AD54" i="2" s="1"/>
  <c r="AE54" i="2" s="1"/>
  <c r="AC54" i="2"/>
  <c r="AA49" i="2"/>
  <c r="AC49" i="2"/>
  <c r="AA51" i="2"/>
  <c r="AD51" i="2" s="1"/>
  <c r="AE51" i="2" s="1"/>
  <c r="AC51" i="2"/>
  <c r="AC57" i="2"/>
  <c r="AA57" i="2"/>
  <c r="AD57" i="2" s="1"/>
  <c r="AE57" i="2" s="1"/>
  <c r="AC27" i="2"/>
  <c r="AA27" i="2"/>
  <c r="AD27" i="2" s="1"/>
  <c r="AE27" i="2" s="1"/>
  <c r="AC42" i="2"/>
  <c r="AA42" i="2"/>
  <c r="AD42" i="2" s="1"/>
  <c r="AE42" i="2" s="1"/>
  <c r="AA31" i="2"/>
  <c r="AC31" i="2"/>
  <c r="Z33" i="2"/>
  <c r="Y33" i="2"/>
  <c r="U20" i="2"/>
  <c r="V20" i="2"/>
  <c r="W20" i="2" s="1"/>
  <c r="X12" i="2"/>
  <c r="AO56" i="3"/>
  <c r="AR56" i="3" s="1"/>
  <c r="AS56" i="3" s="1"/>
  <c r="AT56" i="3" s="1"/>
  <c r="AC56" i="3" s="1"/>
  <c r="AC57" i="3" s="1"/>
  <c r="E56" i="3" s="1"/>
  <c r="AO54" i="3"/>
  <c r="AR54" i="3" s="1"/>
  <c r="AS54" i="3" s="1"/>
  <c r="AT54" i="3" s="1"/>
  <c r="AQ54" i="3"/>
  <c r="AQ60" i="3"/>
  <c r="AO60" i="3"/>
  <c r="AR60" i="3" s="1"/>
  <c r="AS60" i="3" s="1"/>
  <c r="AT60" i="3" s="1"/>
  <c r="AC60" i="3" s="1"/>
  <c r="AT61" i="3"/>
  <c r="AO39" i="3"/>
  <c r="AR39" i="3" s="1"/>
  <c r="AS39" i="3" s="1"/>
  <c r="AQ39" i="3"/>
  <c r="AT37" i="3"/>
  <c r="AS33" i="3"/>
  <c r="AT33" i="3" s="1"/>
  <c r="AQ31" i="3"/>
  <c r="AO31" i="3"/>
  <c r="AR31" i="3" s="1"/>
  <c r="AS31" i="3" s="1"/>
  <c r="AT31" i="3" s="1"/>
  <c r="AC31" i="3" s="1"/>
  <c r="AQ10" i="3"/>
  <c r="AO10" i="3"/>
  <c r="AR10" i="3" s="1"/>
  <c r="AS10" i="3" s="1"/>
  <c r="AR8" i="3"/>
  <c r="AS8" i="3" s="1"/>
  <c r="AB8" i="3" s="1"/>
  <c r="J9" i="3" s="1"/>
  <c r="AG72" i="2"/>
  <c r="AE72" i="2"/>
  <c r="AH72" i="2" s="1"/>
  <c r="AI72" i="2" s="1"/>
  <c r="AJ72" i="2" s="1"/>
  <c r="AG69" i="2"/>
  <c r="AI86" i="2"/>
  <c r="AJ86" i="2" s="1"/>
  <c r="AG80" i="2"/>
  <c r="AL81" i="2"/>
  <c r="S81" i="2"/>
  <c r="AJ80" i="2"/>
  <c r="AG79" i="2"/>
  <c r="AE79" i="2"/>
  <c r="AH79" i="2" s="1"/>
  <c r="AI79" i="2" s="1"/>
  <c r="AG78" i="2"/>
  <c r="AE78" i="2"/>
  <c r="AH78" i="2" s="1"/>
  <c r="AI78" i="2" s="1"/>
  <c r="AL77" i="2"/>
  <c r="S77" i="2"/>
  <c r="AG76" i="2"/>
  <c r="AE76" i="2"/>
  <c r="AH76" i="2" s="1"/>
  <c r="AI76" i="2" s="1"/>
  <c r="AG75" i="2"/>
  <c r="AE75" i="2"/>
  <c r="AH75" i="2" s="1"/>
  <c r="AI75" i="2" s="1"/>
  <c r="AJ74" i="2"/>
  <c r="AL69" i="2"/>
  <c r="S69" i="2"/>
  <c r="AG68" i="2"/>
  <c r="AE68" i="2"/>
  <c r="AH68" i="2" s="1"/>
  <c r="AI68" i="2" s="1"/>
  <c r="AN119" i="1"/>
  <c r="AO119" i="1"/>
  <c r="AD10" i="1"/>
  <c r="AH12" i="1" s="1"/>
  <c r="AJ12" i="1" s="1"/>
  <c r="AD12" i="1" s="1"/>
  <c r="E11" i="1" s="1"/>
  <c r="AQ10" i="1"/>
  <c r="AS9" i="1"/>
  <c r="AT9" i="1" s="1"/>
  <c r="AC9" i="1" s="1"/>
  <c r="Y11" i="2"/>
  <c r="Z11" i="2" s="1"/>
  <c r="AA11" i="2" s="1"/>
  <c r="X11" i="2"/>
  <c r="W7" i="2"/>
  <c r="L7" i="2" s="1"/>
  <c r="W8" i="2"/>
  <c r="X8" i="2" s="1"/>
  <c r="W4" i="2"/>
  <c r="Y4" i="2" s="1"/>
  <c r="W6" i="2"/>
  <c r="X6" i="2" s="1"/>
  <c r="W10" i="2"/>
  <c r="X10" i="2" s="1"/>
  <c r="W9" i="2"/>
  <c r="X9" i="2" s="1"/>
  <c r="L12" i="2"/>
  <c r="Y12" i="2"/>
  <c r="Z12" i="2" s="1"/>
  <c r="Z5" i="2"/>
  <c r="AX50" i="10" l="1"/>
  <c r="AX48" i="10"/>
  <c r="AX55" i="10"/>
  <c r="AX58" i="10"/>
  <c r="BB68" i="10"/>
  <c r="AC68" i="10" s="1"/>
  <c r="E67" i="10" s="1"/>
  <c r="AX68" i="10"/>
  <c r="AW25" i="10"/>
  <c r="AR28" i="10"/>
  <c r="AU28" i="10" s="1"/>
  <c r="AV28" i="10" s="1"/>
  <c r="AT28" i="10"/>
  <c r="AW15" i="10"/>
  <c r="AT113" i="10"/>
  <c r="AM12" i="10"/>
  <c r="AB12" i="10" s="1"/>
  <c r="F11" i="10" s="1"/>
  <c r="BB29" i="10"/>
  <c r="AC29" i="10" s="1"/>
  <c r="I26" i="10" s="1"/>
  <c r="N97" i="10" s="1"/>
  <c r="AF99" i="10" s="1"/>
  <c r="AC99" i="10" s="1"/>
  <c r="AX29" i="10"/>
  <c r="AX33" i="10"/>
  <c r="BB33" i="10"/>
  <c r="AC33" i="10" s="1"/>
  <c r="E34" i="10" s="1"/>
  <c r="AX38" i="10"/>
  <c r="BB38" i="10"/>
  <c r="AC38" i="10" s="1"/>
  <c r="E39" i="10" s="1"/>
  <c r="AX18" i="10"/>
  <c r="BB18" i="10"/>
  <c r="AC18" i="10" s="1"/>
  <c r="I18" i="10" s="1"/>
  <c r="N82" i="10" s="1"/>
  <c r="BB24" i="10"/>
  <c r="AC24" i="10" s="1"/>
  <c r="AX24" i="10"/>
  <c r="AW65" i="10"/>
  <c r="BB111" i="10"/>
  <c r="AC111" i="10" s="1"/>
  <c r="AX111" i="10"/>
  <c r="BB14" i="10"/>
  <c r="AC14" i="10" s="1"/>
  <c r="I14" i="10" s="1"/>
  <c r="AX14" i="10"/>
  <c r="AT38" i="8"/>
  <c r="AR38" i="8"/>
  <c r="AU38" i="8" s="1"/>
  <c r="AV38" i="8" s="1"/>
  <c r="AW38" i="8" s="1"/>
  <c r="AD49" i="2"/>
  <c r="AE49" i="2" s="1"/>
  <c r="AD28" i="2"/>
  <c r="AE28" i="2" s="1"/>
  <c r="AW66" i="1"/>
  <c r="AA52" i="2"/>
  <c r="AD52" i="2" s="1"/>
  <c r="AE52" i="2" s="1"/>
  <c r="AF52" i="2" s="1"/>
  <c r="AC52" i="2"/>
  <c r="AB46" i="4"/>
  <c r="AD46" i="4" s="1"/>
  <c r="AI48" i="4"/>
  <c r="AI46" i="4"/>
  <c r="AF46" i="4"/>
  <c r="AF48" i="4"/>
  <c r="AI34" i="4"/>
  <c r="AD36" i="4" s="1"/>
  <c r="AE36" i="4" s="1"/>
  <c r="AF36" i="4" s="1"/>
  <c r="AG36" i="4" s="1"/>
  <c r="AH36" i="4" s="1"/>
  <c r="AI35" i="4"/>
  <c r="AE37" i="4" s="1"/>
  <c r="BA24" i="4"/>
  <c r="K24" i="4" s="1"/>
  <c r="E44" i="4" s="1"/>
  <c r="AB48" i="4" s="1"/>
  <c r="AU24" i="4"/>
  <c r="J24" i="4" s="1"/>
  <c r="D44" i="4" s="1"/>
  <c r="AK67" i="4" s="1"/>
  <c r="AT25" i="4"/>
  <c r="AZ25" i="4"/>
  <c r="AY25" i="4"/>
  <c r="AW25" i="4"/>
  <c r="AX25" i="4"/>
  <c r="AS25" i="4"/>
  <c r="AR25" i="4"/>
  <c r="AQ25" i="4"/>
  <c r="AN26" i="4"/>
  <c r="AO26" i="4" s="1"/>
  <c r="AX26" i="4" s="1"/>
  <c r="I25" i="4"/>
  <c r="C30" i="4"/>
  <c r="AB29" i="4"/>
  <c r="AG29" i="4" s="1"/>
  <c r="AM29" i="4" s="1"/>
  <c r="H26" i="4"/>
  <c r="AW33" i="9"/>
  <c r="AW49" i="9"/>
  <c r="AW14" i="9"/>
  <c r="AW25" i="9"/>
  <c r="AW68" i="9"/>
  <c r="AW15" i="9"/>
  <c r="AW29" i="9"/>
  <c r="AT18" i="9"/>
  <c r="AR18" i="9"/>
  <c r="AU18" i="9" s="1"/>
  <c r="AV18" i="9" s="1"/>
  <c r="AT122" i="9"/>
  <c r="AR122" i="9"/>
  <c r="AU122" i="9" s="1"/>
  <c r="AV122" i="9" s="1"/>
  <c r="AT82" i="9"/>
  <c r="AR82" i="9"/>
  <c r="AU82" i="9" s="1"/>
  <c r="AV82" i="9" s="1"/>
  <c r="AQ124" i="9"/>
  <c r="AO124" i="9"/>
  <c r="AR124" i="9" s="1"/>
  <c r="AS124" i="9" s="1"/>
  <c r="AW24" i="9"/>
  <c r="AW55" i="9"/>
  <c r="AT73" i="9"/>
  <c r="AR73" i="9"/>
  <c r="AU73" i="9" s="1"/>
  <c r="AV73" i="9" s="1"/>
  <c r="AT66" i="9"/>
  <c r="AR66" i="9"/>
  <c r="AU66" i="9" s="1"/>
  <c r="AV66" i="9" s="1"/>
  <c r="AR47" i="9"/>
  <c r="AU47" i="9" s="1"/>
  <c r="AV47" i="9" s="1"/>
  <c r="AT47" i="9"/>
  <c r="AR10" i="9"/>
  <c r="AS10" i="9" s="1"/>
  <c r="AB10" i="9" s="1"/>
  <c r="BB38" i="9"/>
  <c r="AC38" i="9" s="1"/>
  <c r="E39" i="9" s="1"/>
  <c r="AX38" i="9"/>
  <c r="AR28" i="9"/>
  <c r="AU28" i="9" s="1"/>
  <c r="AV28" i="9" s="1"/>
  <c r="AT28" i="9"/>
  <c r="AT75" i="9"/>
  <c r="AR75" i="9"/>
  <c r="AU75" i="9" s="1"/>
  <c r="AV75" i="9" s="1"/>
  <c r="AI12" i="9"/>
  <c r="AH12" i="9"/>
  <c r="AX57" i="9"/>
  <c r="BB57" i="9"/>
  <c r="AC57" i="9" s="1"/>
  <c r="AR47" i="8"/>
  <c r="AU47" i="8" s="1"/>
  <c r="AV47" i="8" s="1"/>
  <c r="AW47" i="8" s="1"/>
  <c r="AX47" i="8" s="1"/>
  <c r="AT47" i="8"/>
  <c r="AT119" i="8"/>
  <c r="AT57" i="8"/>
  <c r="AR57" i="8"/>
  <c r="AU57" i="8" s="1"/>
  <c r="AV57" i="8" s="1"/>
  <c r="AW33" i="8"/>
  <c r="AT55" i="8"/>
  <c r="AR55" i="8"/>
  <c r="AU55" i="8" s="1"/>
  <c r="AV55" i="8" s="1"/>
  <c r="AW73" i="8"/>
  <c r="AT15" i="8"/>
  <c r="AR15" i="8"/>
  <c r="AU15" i="8" s="1"/>
  <c r="AV15" i="8" s="1"/>
  <c r="AT18" i="8"/>
  <c r="AR18" i="8"/>
  <c r="AU18" i="8" s="1"/>
  <c r="AV18" i="8" s="1"/>
  <c r="AT28" i="8"/>
  <c r="AR28" i="8"/>
  <c r="AU28" i="8" s="1"/>
  <c r="AV28" i="8" s="1"/>
  <c r="AT29" i="8"/>
  <c r="AR29" i="8"/>
  <c r="AU29" i="8" s="1"/>
  <c r="AV29" i="8" s="1"/>
  <c r="AR49" i="8"/>
  <c r="AU49" i="8" s="1"/>
  <c r="AV49" i="8" s="1"/>
  <c r="AT49" i="8"/>
  <c r="AT117" i="8"/>
  <c r="AR117" i="8"/>
  <c r="AU117" i="8" s="1"/>
  <c r="AV117" i="8" s="1"/>
  <c r="AT68" i="8"/>
  <c r="AR68" i="8"/>
  <c r="AU68" i="8" s="1"/>
  <c r="AV68" i="8" s="1"/>
  <c r="AX14" i="8"/>
  <c r="BB14" i="8"/>
  <c r="AC14" i="8" s="1"/>
  <c r="I14" i="8" s="1"/>
  <c r="AR10" i="8"/>
  <c r="AS10" i="8" s="1"/>
  <c r="AB10" i="8" s="1"/>
  <c r="AW25" i="8"/>
  <c r="AR66" i="8"/>
  <c r="AU66" i="8" s="1"/>
  <c r="AV66" i="8" s="1"/>
  <c r="AT66" i="8"/>
  <c r="BB38" i="8"/>
  <c r="AC38" i="8" s="1"/>
  <c r="E39" i="8" s="1"/>
  <c r="AX38" i="8"/>
  <c r="BB76" i="8"/>
  <c r="AC76" i="8" s="1"/>
  <c r="AX76" i="8"/>
  <c r="AJ12" i="8"/>
  <c r="AC12" i="8"/>
  <c r="D11" i="8" s="1"/>
  <c r="AW24" i="8"/>
  <c r="AW73" i="1"/>
  <c r="AX73" i="1" s="1"/>
  <c r="AU68" i="1"/>
  <c r="AQ38" i="1"/>
  <c r="AW38" i="1" s="1"/>
  <c r="AX38" i="1" s="1"/>
  <c r="AS38" i="1"/>
  <c r="AV38" i="1" s="1"/>
  <c r="AX68" i="1"/>
  <c r="AU76" i="1"/>
  <c r="AS76" i="1"/>
  <c r="AV76" i="1" s="1"/>
  <c r="AW76" i="1" s="1"/>
  <c r="I66" i="1"/>
  <c r="AG70" i="1" s="1"/>
  <c r="I74" i="1"/>
  <c r="AX66" i="1"/>
  <c r="AW33" i="7"/>
  <c r="AW57" i="7"/>
  <c r="AW82" i="7"/>
  <c r="AW15" i="7"/>
  <c r="AW18" i="7"/>
  <c r="AT24" i="7"/>
  <c r="AR24" i="7"/>
  <c r="AU24" i="7" s="1"/>
  <c r="AV24" i="7" s="1"/>
  <c r="AR25" i="7"/>
  <c r="AU25" i="7" s="1"/>
  <c r="AV25" i="7" s="1"/>
  <c r="AT25" i="7"/>
  <c r="AT100" i="7"/>
  <c r="AR100" i="7"/>
  <c r="AU100" i="7" s="1"/>
  <c r="AV100" i="7" s="1"/>
  <c r="AR90" i="7"/>
  <c r="AU90" i="7" s="1"/>
  <c r="AV90" i="7" s="1"/>
  <c r="AT90" i="7"/>
  <c r="AK12" i="7"/>
  <c r="AL12" i="7" s="1"/>
  <c r="AX97" i="7"/>
  <c r="BB97" i="7"/>
  <c r="AC97" i="7" s="1"/>
  <c r="AT75" i="7"/>
  <c r="AR75" i="7"/>
  <c r="AU75" i="7" s="1"/>
  <c r="AV75" i="7" s="1"/>
  <c r="BB29" i="7"/>
  <c r="AC29" i="7" s="1"/>
  <c r="I26" i="7" s="1"/>
  <c r="N127" i="7" s="1"/>
  <c r="AX29" i="7"/>
  <c r="AT14" i="7"/>
  <c r="AR14" i="7"/>
  <c r="AU14" i="7" s="1"/>
  <c r="AV14" i="7" s="1"/>
  <c r="AC12" i="7"/>
  <c r="D11" i="7" s="1"/>
  <c r="AJ12" i="7"/>
  <c r="AT49" i="7"/>
  <c r="AR49" i="7"/>
  <c r="AU49" i="7" s="1"/>
  <c r="AV49" i="7" s="1"/>
  <c r="AW47" i="7"/>
  <c r="AR68" i="7"/>
  <c r="AU68" i="7" s="1"/>
  <c r="AV68" i="7" s="1"/>
  <c r="AT68" i="7"/>
  <c r="AX92" i="7"/>
  <c r="BB92" i="7"/>
  <c r="AC92" i="7" s="1"/>
  <c r="AQ143" i="7"/>
  <c r="AO143" i="7"/>
  <c r="AR143" i="7" s="1"/>
  <c r="AS143" i="7" s="1"/>
  <c r="AT141" i="7"/>
  <c r="AR141" i="7"/>
  <c r="AU141" i="7" s="1"/>
  <c r="AV141" i="7" s="1"/>
  <c r="AX55" i="7"/>
  <c r="BB55" i="7"/>
  <c r="AC55" i="7" s="1"/>
  <c r="AT66" i="7"/>
  <c r="AR66" i="7"/>
  <c r="AU66" i="7" s="1"/>
  <c r="AV66" i="7" s="1"/>
  <c r="AT73" i="7"/>
  <c r="AR73" i="7"/>
  <c r="AU73" i="7" s="1"/>
  <c r="AV73" i="7" s="1"/>
  <c r="AR28" i="7"/>
  <c r="AU28" i="7" s="1"/>
  <c r="AV28" i="7" s="1"/>
  <c r="AT28" i="7"/>
  <c r="AT38" i="7"/>
  <c r="AR38" i="7"/>
  <c r="AU38" i="7" s="1"/>
  <c r="AV38" i="7" s="1"/>
  <c r="AU15" i="1"/>
  <c r="AS15" i="1"/>
  <c r="AV15" i="1" s="1"/>
  <c r="AW15" i="1" s="1"/>
  <c r="AX14" i="1"/>
  <c r="AW47" i="1"/>
  <c r="AX47" i="1" s="1"/>
  <c r="AL25" i="1"/>
  <c r="AT80" i="3"/>
  <c r="AR80" i="3"/>
  <c r="AU80" i="3" s="1"/>
  <c r="AV80" i="3" s="1"/>
  <c r="AT79" i="3"/>
  <c r="AR79" i="3"/>
  <c r="AU79" i="3" s="1"/>
  <c r="AV79" i="3" s="1"/>
  <c r="AS29" i="1"/>
  <c r="AV29" i="1" s="1"/>
  <c r="AW29" i="1" s="1"/>
  <c r="AX29" i="1" s="1"/>
  <c r="BC29" i="1" s="1"/>
  <c r="AD29" i="1" s="1"/>
  <c r="J26" i="1" s="1"/>
  <c r="AU29" i="1"/>
  <c r="AQ25" i="1"/>
  <c r="AR25" i="1"/>
  <c r="AE71" i="2"/>
  <c r="AH71" i="2" s="1"/>
  <c r="AI71" i="2" s="1"/>
  <c r="AJ71" i="2" s="1"/>
  <c r="S71" i="2" s="1"/>
  <c r="AS57" i="1"/>
  <c r="AV57" i="1" s="1"/>
  <c r="AW57" i="1" s="1"/>
  <c r="AX57" i="1" s="1"/>
  <c r="AY57" i="1" s="1"/>
  <c r="AU57" i="1"/>
  <c r="AU49" i="1"/>
  <c r="AS49" i="1"/>
  <c r="AV49" i="1" s="1"/>
  <c r="AW49" i="1" s="1"/>
  <c r="AS28" i="1"/>
  <c r="AV28" i="1" s="1"/>
  <c r="AW28" i="1" s="1"/>
  <c r="AU28" i="1"/>
  <c r="AX24" i="1"/>
  <c r="AX117" i="1"/>
  <c r="AX55" i="1"/>
  <c r="BC33" i="1"/>
  <c r="AD33" i="1" s="1"/>
  <c r="F34" i="1" s="1"/>
  <c r="AY33" i="1"/>
  <c r="BC18" i="1"/>
  <c r="AD18" i="1" s="1"/>
  <c r="AY18" i="1"/>
  <c r="AF28" i="2"/>
  <c r="AF55" i="2"/>
  <c r="AF24" i="2"/>
  <c r="AF42" i="2"/>
  <c r="AF47" i="2"/>
  <c r="AF39" i="2"/>
  <c r="AF49" i="2"/>
  <c r="AF25" i="2"/>
  <c r="AF57" i="2"/>
  <c r="AC46" i="2"/>
  <c r="AA46" i="2"/>
  <c r="AD30" i="2"/>
  <c r="AE30" i="2" s="1"/>
  <c r="AF21" i="2"/>
  <c r="AC33" i="2"/>
  <c r="AA33" i="2"/>
  <c r="AD33" i="2" s="1"/>
  <c r="AE33" i="2" s="1"/>
  <c r="AF54" i="2"/>
  <c r="AK32" i="2"/>
  <c r="L32" i="2" s="1"/>
  <c r="AG32" i="2"/>
  <c r="AK38" i="2"/>
  <c r="L38" i="2" s="1"/>
  <c r="AG38" i="2"/>
  <c r="AG56" i="2"/>
  <c r="AK56" i="2"/>
  <c r="L56" i="2" s="1"/>
  <c r="AD31" i="2"/>
  <c r="AE31" i="2" s="1"/>
  <c r="AF37" i="2"/>
  <c r="AD22" i="2"/>
  <c r="AE22" i="2" s="1"/>
  <c r="AF51" i="2"/>
  <c r="AK45" i="2"/>
  <c r="L45" i="2" s="1"/>
  <c r="AG45" i="2"/>
  <c r="AF35" i="2"/>
  <c r="AK43" i="2"/>
  <c r="L43" i="2" s="1"/>
  <c r="AG43" i="2"/>
  <c r="AK52" i="2"/>
  <c r="L52" i="2" s="1"/>
  <c r="AG52" i="2"/>
  <c r="AF44" i="2"/>
  <c r="AF26" i="2"/>
  <c r="AG36" i="2"/>
  <c r="AK36" i="2"/>
  <c r="L36" i="2" s="1"/>
  <c r="AF48" i="2"/>
  <c r="AK34" i="2"/>
  <c r="L34" i="2" s="1"/>
  <c r="AG34" i="2"/>
  <c r="AK58" i="2"/>
  <c r="L58" i="2" s="1"/>
  <c r="AG58" i="2"/>
  <c r="AF27" i="2"/>
  <c r="AF53" i="2"/>
  <c r="AA40" i="2"/>
  <c r="AC40" i="2"/>
  <c r="AC50" i="2"/>
  <c r="AA50" i="2"/>
  <c r="AD50" i="2" s="1"/>
  <c r="AE50" i="2" s="1"/>
  <c r="AF23" i="2"/>
  <c r="AF29" i="2"/>
  <c r="AC41" i="2"/>
  <c r="AA41" i="2"/>
  <c r="AD41" i="2" s="1"/>
  <c r="AE41" i="2" s="1"/>
  <c r="Z20" i="2"/>
  <c r="Y20" i="2"/>
  <c r="AL72" i="2"/>
  <c r="AM72" i="2" s="1"/>
  <c r="AN72" i="2" s="1"/>
  <c r="AO72" i="2" s="1"/>
  <c r="AP72" i="2" s="1"/>
  <c r="R72" i="2" s="1"/>
  <c r="AB11" i="2"/>
  <c r="F11" i="2" s="1"/>
  <c r="AU56" i="3"/>
  <c r="AV56" i="3" s="1"/>
  <c r="AW56" i="3" s="1"/>
  <c r="AX56" i="3" s="1"/>
  <c r="AE66" i="3"/>
  <c r="F60" i="3"/>
  <c r="AC54" i="3"/>
  <c r="AC55" i="3" s="1"/>
  <c r="E54" i="3" s="1"/>
  <c r="AU54" i="3"/>
  <c r="AV54" i="3" s="1"/>
  <c r="AW54" i="3" s="1"/>
  <c r="AX54" i="3" s="1"/>
  <c r="AU60" i="3"/>
  <c r="AV60" i="3" s="1"/>
  <c r="AW60" i="3" s="1"/>
  <c r="AU61" i="3"/>
  <c r="AC61" i="3"/>
  <c r="AC32" i="3"/>
  <c r="E31" i="3" s="1"/>
  <c r="AU37" i="3"/>
  <c r="AC37" i="3"/>
  <c r="AC38" i="3" s="1"/>
  <c r="E37" i="3" s="1"/>
  <c r="AT39" i="3"/>
  <c r="AU31" i="3"/>
  <c r="AU33" i="3"/>
  <c r="AC33" i="3"/>
  <c r="AC34" i="3" s="1"/>
  <c r="E33" i="3" s="1"/>
  <c r="AT10" i="3"/>
  <c r="S72" i="2"/>
  <c r="L86" i="2"/>
  <c r="I77" i="2"/>
  <c r="AL86" i="2"/>
  <c r="S86" i="2"/>
  <c r="AM81" i="2"/>
  <c r="AN81" i="2" s="1"/>
  <c r="AO81" i="2" s="1"/>
  <c r="AP81" i="2" s="1"/>
  <c r="R81" i="2" s="1"/>
  <c r="AL80" i="2"/>
  <c r="S80" i="2"/>
  <c r="AJ79" i="2"/>
  <c r="AJ78" i="2"/>
  <c r="AM77" i="2"/>
  <c r="AN77" i="2" s="1"/>
  <c r="AO77" i="2" s="1"/>
  <c r="AP77" i="2" s="1"/>
  <c r="R77" i="2" s="1"/>
  <c r="AJ76" i="2"/>
  <c r="AJ75" i="2"/>
  <c r="AL74" i="2"/>
  <c r="S74" i="2"/>
  <c r="AL73" i="2"/>
  <c r="S73" i="2"/>
  <c r="I73" i="2" s="1"/>
  <c r="AM69" i="2"/>
  <c r="AN69" i="2" s="1"/>
  <c r="AO69" i="2" s="1"/>
  <c r="AP69" i="2" s="1"/>
  <c r="R69" i="2" s="1"/>
  <c r="AJ68" i="2"/>
  <c r="AR119" i="1"/>
  <c r="AP119" i="1"/>
  <c r="AS119" i="1" s="1"/>
  <c r="AT119" i="1" s="1"/>
  <c r="AU119" i="1" s="1"/>
  <c r="AV119" i="1" s="1"/>
  <c r="AI12" i="1"/>
  <c r="AS10" i="1"/>
  <c r="AT10" i="1" s="1"/>
  <c r="AC10" i="1" s="1"/>
  <c r="Y7" i="2"/>
  <c r="X4" i="2"/>
  <c r="Z4" i="2" s="1"/>
  <c r="AA4" i="2" s="1"/>
  <c r="AB4" i="2" s="1"/>
  <c r="K4" i="2" s="1"/>
  <c r="AA12" i="2"/>
  <c r="AB12" i="2" s="1"/>
  <c r="AA5" i="2"/>
  <c r="AB5" i="2" s="1"/>
  <c r="X7" i="2"/>
  <c r="Y6" i="2"/>
  <c r="L6" i="2"/>
  <c r="L8" i="2"/>
  <c r="Y8" i="2"/>
  <c r="L4" i="2"/>
  <c r="Y10" i="2"/>
  <c r="L10" i="2"/>
  <c r="Y9" i="2"/>
  <c r="L9" i="2"/>
  <c r="BC55" i="10" l="1"/>
  <c r="AD55" i="10" s="1"/>
  <c r="AY55" i="10"/>
  <c r="BC48" i="10"/>
  <c r="AD48" i="10" s="1"/>
  <c r="AY48" i="10"/>
  <c r="AY58" i="10"/>
  <c r="BC58" i="10"/>
  <c r="AD58" i="10" s="1"/>
  <c r="BC50" i="10"/>
  <c r="AD50" i="10" s="1"/>
  <c r="AY50" i="10"/>
  <c r="AF120" i="10"/>
  <c r="P120" i="10"/>
  <c r="T120" i="10" s="1"/>
  <c r="AY68" i="10"/>
  <c r="AZ68" i="10" s="1"/>
  <c r="AK99" i="10"/>
  <c r="AI99" i="10"/>
  <c r="AJ99" i="10" s="1"/>
  <c r="N99" i="10"/>
  <c r="N106" i="10" s="1"/>
  <c r="I22" i="10"/>
  <c r="N89" i="10" s="1"/>
  <c r="AA89" i="10" s="1"/>
  <c r="AD89" i="10" s="1"/>
  <c r="AW28" i="10"/>
  <c r="AC113" i="10"/>
  <c r="AC112" i="10" s="1"/>
  <c r="AU113" i="10"/>
  <c r="AY24" i="10"/>
  <c r="AZ24" i="10" s="1"/>
  <c r="AY14" i="10"/>
  <c r="AZ14" i="10" s="1"/>
  <c r="AC82" i="10"/>
  <c r="K113" i="10"/>
  <c r="AY111" i="10"/>
  <c r="AZ111" i="10" s="1"/>
  <c r="BA111" i="10" s="1"/>
  <c r="BC111" i="10" s="1"/>
  <c r="AB111" i="10" s="1"/>
  <c r="U112" i="10" s="1"/>
  <c r="AY38" i="10"/>
  <c r="AZ38" i="10" s="1"/>
  <c r="BA38" i="10" s="1"/>
  <c r="BC38" i="10" s="1"/>
  <c r="AB38" i="10" s="1"/>
  <c r="N39" i="10" s="1"/>
  <c r="BB25" i="10"/>
  <c r="AC25" i="10" s="1"/>
  <c r="AX25" i="10"/>
  <c r="AX15" i="10"/>
  <c r="BB15" i="10"/>
  <c r="AC15" i="10" s="1"/>
  <c r="AY18" i="10"/>
  <c r="AZ18" i="10" s="1"/>
  <c r="BA18" i="10" s="1"/>
  <c r="AY33" i="10"/>
  <c r="AZ33" i="10" s="1"/>
  <c r="AX65" i="10"/>
  <c r="BB65" i="10"/>
  <c r="AC65" i="10" s="1"/>
  <c r="E64" i="10" s="1"/>
  <c r="AY29" i="10"/>
  <c r="AZ29" i="10" s="1"/>
  <c r="BA29" i="10" s="1"/>
  <c r="AL52" i="2"/>
  <c r="AC48" i="4"/>
  <c r="AD48" i="4"/>
  <c r="AD66" i="4" s="1"/>
  <c r="AC46" i="4"/>
  <c r="AE46" i="4" s="1"/>
  <c r="AE65" i="4" s="1"/>
  <c r="AD65" i="4"/>
  <c r="AI50" i="4"/>
  <c r="AF50" i="4"/>
  <c r="AF37" i="4"/>
  <c r="AG37" i="4"/>
  <c r="AH37" i="4"/>
  <c r="BA25" i="4"/>
  <c r="K25" i="4" s="1"/>
  <c r="E46" i="4" s="1"/>
  <c r="AB50" i="4" s="1"/>
  <c r="AU25" i="4"/>
  <c r="J25" i="4" s="1"/>
  <c r="D46" i="4" s="1"/>
  <c r="AK68" i="4" s="1"/>
  <c r="AI37" i="4"/>
  <c r="AO34" i="4"/>
  <c r="AO35" i="4"/>
  <c r="AD37" i="4"/>
  <c r="AI36" i="4"/>
  <c r="AW26" i="4"/>
  <c r="AT26" i="4"/>
  <c r="AZ26" i="4"/>
  <c r="AY26" i="4"/>
  <c r="AR26" i="4"/>
  <c r="AS26" i="4"/>
  <c r="AQ26" i="4"/>
  <c r="AN27" i="4"/>
  <c r="AO27" i="4" s="1"/>
  <c r="AW27" i="4" s="1"/>
  <c r="I26" i="4"/>
  <c r="C31" i="4"/>
  <c r="AB31" i="4" s="1"/>
  <c r="AG31" i="4" s="1"/>
  <c r="AM31" i="4" s="1"/>
  <c r="H31" i="4" s="1"/>
  <c r="AB30" i="4"/>
  <c r="AG30" i="4" s="1"/>
  <c r="AM30" i="4" s="1"/>
  <c r="H27" i="4"/>
  <c r="AW28" i="9"/>
  <c r="AW73" i="9"/>
  <c r="AW75" i="9"/>
  <c r="AW122" i="9"/>
  <c r="AT124" i="9"/>
  <c r="BB25" i="9"/>
  <c r="AC25" i="9" s="1"/>
  <c r="AX25" i="9"/>
  <c r="BB49" i="9"/>
  <c r="AC49" i="9" s="1"/>
  <c r="AX49" i="9"/>
  <c r="AW47" i="9"/>
  <c r="AY38" i="9"/>
  <c r="AZ38" i="9" s="1"/>
  <c r="BB29" i="9"/>
  <c r="AC29" i="9" s="1"/>
  <c r="I26" i="9" s="1"/>
  <c r="N108" i="9" s="1"/>
  <c r="AF110" i="9" s="1"/>
  <c r="AC110" i="9" s="1"/>
  <c r="AX29" i="9"/>
  <c r="AW66" i="9"/>
  <c r="AW82" i="9"/>
  <c r="AW18" i="9"/>
  <c r="BB14" i="9"/>
  <c r="AC14" i="9" s="1"/>
  <c r="I14" i="9" s="1"/>
  <c r="AX14" i="9"/>
  <c r="BB33" i="9"/>
  <c r="AC33" i="9" s="1"/>
  <c r="E34" i="9" s="1"/>
  <c r="AX33" i="9"/>
  <c r="AY57" i="9"/>
  <c r="AZ57" i="9" s="1"/>
  <c r="AC12" i="9"/>
  <c r="D11" i="9" s="1"/>
  <c r="AJ12" i="9"/>
  <c r="AK12" i="9" s="1"/>
  <c r="BB15" i="9"/>
  <c r="AC15" i="9" s="1"/>
  <c r="AX15" i="9"/>
  <c r="AX55" i="9"/>
  <c r="BB55" i="9"/>
  <c r="AC55" i="9" s="1"/>
  <c r="AX68" i="9"/>
  <c r="BB68" i="9"/>
  <c r="AC68" i="9" s="1"/>
  <c r="AX24" i="9"/>
  <c r="BB24" i="9"/>
  <c r="AC24" i="9" s="1"/>
  <c r="I22" i="9" s="1"/>
  <c r="N100" i="9" s="1"/>
  <c r="BB47" i="8"/>
  <c r="AC47" i="8" s="1"/>
  <c r="AW117" i="8"/>
  <c r="AW18" i="8"/>
  <c r="AW49" i="8"/>
  <c r="AW15" i="8"/>
  <c r="AW55" i="8"/>
  <c r="AW28" i="8"/>
  <c r="AW68" i="8"/>
  <c r="AY76" i="8"/>
  <c r="AZ76" i="8" s="1"/>
  <c r="BA76" i="8" s="1"/>
  <c r="AW29" i="8"/>
  <c r="H66" i="8"/>
  <c r="AF70" i="8" s="1"/>
  <c r="H74" i="8"/>
  <c r="H56" i="8"/>
  <c r="H48" i="8"/>
  <c r="AF51" i="8" s="1"/>
  <c r="BB25" i="8"/>
  <c r="AC25" i="8" s="1"/>
  <c r="AX25" i="8"/>
  <c r="AK12" i="8"/>
  <c r="AL12" i="8" s="1"/>
  <c r="AM12" i="8" s="1"/>
  <c r="AB12" i="8" s="1"/>
  <c r="F11" i="8" s="1"/>
  <c r="AY47" i="8"/>
  <c r="AZ47" i="8" s="1"/>
  <c r="BA47" i="8" s="1"/>
  <c r="BC47" i="8" s="1"/>
  <c r="AB47" i="8" s="1"/>
  <c r="T48" i="8" s="1"/>
  <c r="AX73" i="8"/>
  <c r="BB73" i="8"/>
  <c r="AC73" i="8" s="1"/>
  <c r="AE77" i="8" s="1"/>
  <c r="AA78" i="8" s="1"/>
  <c r="AD78" i="8" s="1"/>
  <c r="AW57" i="8"/>
  <c r="AW66" i="8"/>
  <c r="BB24" i="8"/>
  <c r="AC24" i="8" s="1"/>
  <c r="I22" i="8" s="1"/>
  <c r="N95" i="8" s="1"/>
  <c r="AX24" i="8"/>
  <c r="AY14" i="8"/>
  <c r="AZ14" i="8" s="1"/>
  <c r="BA14" i="8" s="1"/>
  <c r="BC14" i="8" s="1"/>
  <c r="AB14" i="8" s="1"/>
  <c r="O14" i="8" s="1"/>
  <c r="BB33" i="8"/>
  <c r="AC33" i="8" s="1"/>
  <c r="E34" i="8" s="1"/>
  <c r="AX33" i="8"/>
  <c r="AC119" i="8"/>
  <c r="AC118" i="8" s="1"/>
  <c r="AU119" i="8"/>
  <c r="AY38" i="8"/>
  <c r="AZ38" i="8" s="1"/>
  <c r="BA38" i="8" s="1"/>
  <c r="AX76" i="1"/>
  <c r="AY73" i="1"/>
  <c r="BC73" i="1"/>
  <c r="AD73" i="1" s="1"/>
  <c r="AY66" i="1"/>
  <c r="BC66" i="1"/>
  <c r="AD66" i="1" s="1"/>
  <c r="BC68" i="1"/>
  <c r="AD68" i="1" s="1"/>
  <c r="AY68" i="1"/>
  <c r="AW25" i="7"/>
  <c r="AW24" i="7"/>
  <c r="AW68" i="7"/>
  <c r="AW100" i="7"/>
  <c r="AW73" i="7"/>
  <c r="AW49" i="7"/>
  <c r="AY55" i="7"/>
  <c r="AZ55" i="7" s="1"/>
  <c r="AW14" i="7"/>
  <c r="AW90" i="7"/>
  <c r="AW28" i="7"/>
  <c r="AY29" i="7"/>
  <c r="AZ29" i="7" s="1"/>
  <c r="AX57" i="7"/>
  <c r="BB57" i="7"/>
  <c r="AC57" i="7" s="1"/>
  <c r="AT143" i="7"/>
  <c r="AW75" i="7"/>
  <c r="AW66" i="7"/>
  <c r="BB18" i="7"/>
  <c r="AC18" i="7" s="1"/>
  <c r="I18" i="7" s="1"/>
  <c r="N112" i="7" s="1"/>
  <c r="AX18" i="7"/>
  <c r="BB15" i="7"/>
  <c r="AC15" i="7" s="1"/>
  <c r="AX15" i="7"/>
  <c r="AW141" i="7"/>
  <c r="BA92" i="7"/>
  <c r="BC92" i="7" s="1"/>
  <c r="AB92" i="7" s="1"/>
  <c r="T92" i="7" s="1"/>
  <c r="AY92" i="7"/>
  <c r="AZ92" i="7" s="1"/>
  <c r="AM12" i="7"/>
  <c r="AB12" i="7" s="1"/>
  <c r="F11" i="7" s="1"/>
  <c r="BB47" i="7"/>
  <c r="AC47" i="7" s="1"/>
  <c r="AX47" i="7"/>
  <c r="AW38" i="7"/>
  <c r="H90" i="7"/>
  <c r="AF94" i="7" s="1"/>
  <c r="H98" i="7"/>
  <c r="H56" i="7"/>
  <c r="AE58" i="7" s="1"/>
  <c r="AC58" i="7" s="1"/>
  <c r="H74" i="7"/>
  <c r="H66" i="7"/>
  <c r="AF70" i="7" s="1"/>
  <c r="H48" i="7"/>
  <c r="AF51" i="7" s="1"/>
  <c r="AY97" i="7"/>
  <c r="AZ97" i="7" s="1"/>
  <c r="BC97" i="7" s="1"/>
  <c r="AB97" i="7" s="1"/>
  <c r="O100" i="7" s="1"/>
  <c r="BA97" i="7"/>
  <c r="BB82" i="7"/>
  <c r="AC82" i="7" s="1"/>
  <c r="E81" i="7" s="1"/>
  <c r="E79" i="7" s="1"/>
  <c r="AX82" i="7"/>
  <c r="BB33" i="7"/>
  <c r="AC33" i="7" s="1"/>
  <c r="E34" i="7" s="1"/>
  <c r="AX33" i="7"/>
  <c r="AX15" i="1"/>
  <c r="AY14" i="1"/>
  <c r="BC14" i="1"/>
  <c r="AD14" i="1" s="1"/>
  <c r="J14" i="1" s="1"/>
  <c r="J18" i="1"/>
  <c r="O88" i="1" s="1"/>
  <c r="Q138" i="1"/>
  <c r="L146" i="1" s="1"/>
  <c r="K146" i="1"/>
  <c r="AW80" i="3"/>
  <c r="BB80" i="3" s="1"/>
  <c r="AW79" i="3"/>
  <c r="O103" i="1"/>
  <c r="AF105" i="1" s="1"/>
  <c r="AD105" i="1" s="1"/>
  <c r="AJ105" i="1" s="1"/>
  <c r="AK105" i="1" s="1"/>
  <c r="AY29" i="1"/>
  <c r="AZ29" i="1" s="1"/>
  <c r="BA29" i="1" s="1"/>
  <c r="AU25" i="1"/>
  <c r="AS25" i="1"/>
  <c r="AV25" i="1" s="1"/>
  <c r="AW25" i="1" s="1"/>
  <c r="AX25" i="1" s="1"/>
  <c r="BC25" i="1" s="1"/>
  <c r="AD25" i="1" s="1"/>
  <c r="AL71" i="2"/>
  <c r="AM71" i="2" s="1"/>
  <c r="AN71" i="2" s="1"/>
  <c r="BC57" i="1"/>
  <c r="AD57" i="1" s="1"/>
  <c r="AZ57" i="1"/>
  <c r="BA57" i="1" s="1"/>
  <c r="AX49" i="1"/>
  <c r="AX28" i="1"/>
  <c r="BC24" i="1"/>
  <c r="AD24" i="1" s="1"/>
  <c r="J22" i="1" s="1"/>
  <c r="O95" i="1" s="1"/>
  <c r="AY24" i="1"/>
  <c r="BC117" i="1"/>
  <c r="AD117" i="1" s="1"/>
  <c r="AY117" i="1"/>
  <c r="BC55" i="1"/>
  <c r="AD55" i="1" s="1"/>
  <c r="AY55" i="1"/>
  <c r="BC47" i="1"/>
  <c r="AD47" i="1" s="1"/>
  <c r="AY47" i="1"/>
  <c r="BC38" i="1"/>
  <c r="AD38" i="1" s="1"/>
  <c r="F39" i="1" s="1"/>
  <c r="AY38" i="1"/>
  <c r="AZ33" i="1"/>
  <c r="BA33" i="1" s="1"/>
  <c r="BB33" i="1" s="1"/>
  <c r="BD33" i="1" s="1"/>
  <c r="AC33" i="1" s="1"/>
  <c r="O34" i="1" s="1"/>
  <c r="AZ18" i="1"/>
  <c r="BA18" i="1" s="1"/>
  <c r="AF33" i="2"/>
  <c r="AF50" i="2"/>
  <c r="AH45" i="2"/>
  <c r="AI45" i="2" s="1"/>
  <c r="AG55" i="2"/>
  <c r="AK55" i="2"/>
  <c r="L55" i="2" s="1"/>
  <c r="AH34" i="2"/>
  <c r="AI34" i="2" s="1"/>
  <c r="AJ34" i="2" s="1"/>
  <c r="AG23" i="2"/>
  <c r="AK23" i="2"/>
  <c r="L23" i="2" s="1"/>
  <c r="AK53" i="2"/>
  <c r="L53" i="2" s="1"/>
  <c r="AG53" i="2"/>
  <c r="AH32" i="2"/>
  <c r="AI32" i="2" s="1"/>
  <c r="AJ32" i="2"/>
  <c r="AL32" i="2" s="1"/>
  <c r="AK25" i="2"/>
  <c r="L25" i="2" s="1"/>
  <c r="AG25" i="2"/>
  <c r="AK28" i="2"/>
  <c r="L28" i="2" s="1"/>
  <c r="AG28" i="2"/>
  <c r="AK48" i="2"/>
  <c r="L48" i="2" s="1"/>
  <c r="AG48" i="2"/>
  <c r="AK44" i="2"/>
  <c r="L44" i="2" s="1"/>
  <c r="AG44" i="2"/>
  <c r="AK47" i="2"/>
  <c r="L47" i="2" s="1"/>
  <c r="AG47" i="2"/>
  <c r="AK24" i="2"/>
  <c r="L24" i="2" s="1"/>
  <c r="AG24" i="2"/>
  <c r="AD46" i="2"/>
  <c r="AE46" i="2" s="1"/>
  <c r="AF41" i="2"/>
  <c r="AH52" i="2"/>
  <c r="AI52" i="2" s="1"/>
  <c r="AJ52" i="2"/>
  <c r="AK29" i="2"/>
  <c r="L29" i="2" s="1"/>
  <c r="AG29" i="2"/>
  <c r="AH58" i="2"/>
  <c r="AI58" i="2" s="1"/>
  <c r="AH36" i="2"/>
  <c r="AI36" i="2" s="1"/>
  <c r="AJ36" i="2" s="1"/>
  <c r="AK51" i="2"/>
  <c r="L51" i="2" s="1"/>
  <c r="AG51" i="2"/>
  <c r="AK42" i="2"/>
  <c r="L42" i="2" s="1"/>
  <c r="AG42" i="2"/>
  <c r="AG27" i="2"/>
  <c r="AK27" i="2"/>
  <c r="L27" i="2" s="1"/>
  <c r="AF31" i="2"/>
  <c r="AD40" i="2"/>
  <c r="AE40" i="2" s="1"/>
  <c r="AG26" i="2"/>
  <c r="AK26" i="2"/>
  <c r="L26" i="2" s="1"/>
  <c r="AH43" i="2"/>
  <c r="AI43" i="2" s="1"/>
  <c r="AJ43" i="2" s="1"/>
  <c r="AH56" i="2"/>
  <c r="AI56" i="2" s="1"/>
  <c r="AK49" i="2"/>
  <c r="L49" i="2" s="1"/>
  <c r="AG49" i="2"/>
  <c r="AG54" i="2"/>
  <c r="AK54" i="2"/>
  <c r="L54" i="2" s="1"/>
  <c r="AK37" i="2"/>
  <c r="L37" i="2" s="1"/>
  <c r="AG37" i="2"/>
  <c r="AH38" i="2"/>
  <c r="AI38" i="2" s="1"/>
  <c r="AK39" i="2"/>
  <c r="L39" i="2" s="1"/>
  <c r="AG39" i="2"/>
  <c r="AK35" i="2"/>
  <c r="L35" i="2" s="1"/>
  <c r="AG35" i="2"/>
  <c r="AF22" i="2"/>
  <c r="AK21" i="2"/>
  <c r="L21" i="2" s="1"/>
  <c r="AG21" i="2"/>
  <c r="AK57" i="2"/>
  <c r="L57" i="2" s="1"/>
  <c r="AG57" i="2"/>
  <c r="AF30" i="2"/>
  <c r="AC20" i="2"/>
  <c r="AA20" i="2"/>
  <c r="AD20" i="2" s="1"/>
  <c r="AE20" i="2" s="1"/>
  <c r="K11" i="2"/>
  <c r="F12" i="2"/>
  <c r="K12" i="2"/>
  <c r="F5" i="2"/>
  <c r="K5" i="2"/>
  <c r="AG66" i="3"/>
  <c r="AA70" i="3" s="1"/>
  <c r="AE70" i="3" s="1"/>
  <c r="AE67" i="3"/>
  <c r="AE68" i="3" s="1"/>
  <c r="AX60" i="3"/>
  <c r="AY60" i="3" s="1"/>
  <c r="AB60" i="3" s="1"/>
  <c r="N60" i="3" s="1"/>
  <c r="AY55" i="3"/>
  <c r="AH55" i="3" s="1"/>
  <c r="AB55" i="3" s="1"/>
  <c r="N54" i="3" s="1"/>
  <c r="AY54" i="3"/>
  <c r="AB54" i="3" s="1"/>
  <c r="AG43" i="3"/>
  <c r="AG44" i="3" s="1"/>
  <c r="AE43" i="3"/>
  <c r="AY57" i="3"/>
  <c r="AH57" i="3" s="1"/>
  <c r="AB57" i="3" s="1"/>
  <c r="N56" i="3" s="1"/>
  <c r="AY56" i="3"/>
  <c r="AB56" i="3" s="1"/>
  <c r="AV61" i="3"/>
  <c r="AW61" i="3" s="1"/>
  <c r="AC39" i="3"/>
  <c r="AC40" i="3" s="1"/>
  <c r="E39" i="3" s="1"/>
  <c r="AG45" i="3" s="1"/>
  <c r="AU39" i="3"/>
  <c r="AV37" i="3"/>
  <c r="AW37" i="3" s="1"/>
  <c r="AV31" i="3"/>
  <c r="AW31" i="3" s="1"/>
  <c r="AV33" i="3"/>
  <c r="AW33" i="3" s="1"/>
  <c r="AU10" i="3"/>
  <c r="AC10" i="3"/>
  <c r="S9" i="3"/>
  <c r="Q88" i="2"/>
  <c r="S88" i="2" s="1"/>
  <c r="S90" i="2" s="1"/>
  <c r="Q90" i="2" s="1"/>
  <c r="I86" i="2" s="1"/>
  <c r="K86" i="2"/>
  <c r="AM86" i="2"/>
  <c r="AN86" i="2" s="1"/>
  <c r="AO86" i="2" s="1"/>
  <c r="AP86" i="2" s="1"/>
  <c r="R86" i="2" s="1"/>
  <c r="AM80" i="2"/>
  <c r="AN80" i="2" s="1"/>
  <c r="AO80" i="2" s="1"/>
  <c r="AL79" i="2"/>
  <c r="S79" i="2"/>
  <c r="AL78" i="2"/>
  <c r="S78" i="2"/>
  <c r="S76" i="2"/>
  <c r="AL76" i="2"/>
  <c r="S75" i="2"/>
  <c r="AL75" i="2"/>
  <c r="AM74" i="2"/>
  <c r="AN74" i="2" s="1"/>
  <c r="AO74" i="2" s="1"/>
  <c r="AP74" i="2" s="1"/>
  <c r="R74" i="2" s="1"/>
  <c r="AM73" i="2"/>
  <c r="AN73" i="2" s="1"/>
  <c r="AO73" i="2" s="1"/>
  <c r="AP73" i="2" s="1"/>
  <c r="R73" i="2" s="1"/>
  <c r="AL68" i="2"/>
  <c r="S68" i="2"/>
  <c r="AD119" i="1"/>
  <c r="AD118" i="1" s="1"/>
  <c r="Q126" i="1"/>
  <c r="AW119" i="1"/>
  <c r="AX119" i="1" s="1"/>
  <c r="Z9" i="2"/>
  <c r="Z6" i="2"/>
  <c r="AA6" i="2" s="1"/>
  <c r="AB6" i="2" s="1"/>
  <c r="Z10" i="2"/>
  <c r="Z7" i="2"/>
  <c r="AA7" i="2" s="1"/>
  <c r="AB7" i="2" s="1"/>
  <c r="Z8" i="2"/>
  <c r="AA8" i="2" s="1"/>
  <c r="AB8" i="2" s="1"/>
  <c r="AZ50" i="10" l="1"/>
  <c r="BA50" i="10" s="1"/>
  <c r="BB50" i="10" s="1"/>
  <c r="AF52" i="10"/>
  <c r="AH52" i="10" s="1"/>
  <c r="AD52" i="10" s="1"/>
  <c r="AB53" i="10" s="1"/>
  <c r="AE53" i="10" s="1"/>
  <c r="AZ58" i="10"/>
  <c r="BA58" i="10" s="1"/>
  <c r="AZ48" i="10"/>
  <c r="BA48" i="10" s="1"/>
  <c r="AZ55" i="10"/>
  <c r="BA55" i="10" s="1"/>
  <c r="BB55" i="10" s="1"/>
  <c r="BD55" i="10" s="1"/>
  <c r="AC55" i="10" s="1"/>
  <c r="P58" i="10" s="1"/>
  <c r="AF59" i="10"/>
  <c r="AB60" i="10" s="1"/>
  <c r="AE60" i="10" s="1"/>
  <c r="BA68" i="10"/>
  <c r="BC68" i="10" s="1"/>
  <c r="AB68" i="10" s="1"/>
  <c r="L67" i="10" s="1"/>
  <c r="BC18" i="10"/>
  <c r="AB18" i="10" s="1"/>
  <c r="O18" i="10" s="1"/>
  <c r="BA33" i="10"/>
  <c r="BC33" i="10" s="1"/>
  <c r="AB33" i="10" s="1"/>
  <c r="N34" i="10" s="1"/>
  <c r="AL99" i="10"/>
  <c r="AM99" i="10" s="1"/>
  <c r="AN99" i="10" s="1"/>
  <c r="AB99" i="10" s="1"/>
  <c r="T99" i="10" s="1"/>
  <c r="AY15" i="10"/>
  <c r="AZ15" i="10" s="1"/>
  <c r="AI82" i="10"/>
  <c r="AJ82" i="10" s="1"/>
  <c r="AK82" i="10"/>
  <c r="AY25" i="10"/>
  <c r="AZ25" i="10" s="1"/>
  <c r="BA14" i="10"/>
  <c r="BC14" i="10" s="1"/>
  <c r="AB14" i="10" s="1"/>
  <c r="O14" i="10" s="1"/>
  <c r="AV113" i="10"/>
  <c r="AW113" i="10" s="1"/>
  <c r="AX113" i="10" s="1"/>
  <c r="AY65" i="10"/>
  <c r="AZ65" i="10" s="1"/>
  <c r="BC29" i="10"/>
  <c r="AB29" i="10" s="1"/>
  <c r="O29" i="10" s="1"/>
  <c r="BA24" i="10"/>
  <c r="BC24" i="10" s="1"/>
  <c r="AB24" i="10" s="1"/>
  <c r="R24" i="10" s="1"/>
  <c r="AX28" i="10"/>
  <c r="BB28" i="10"/>
  <c r="AC28" i="10" s="1"/>
  <c r="L16" i="10"/>
  <c r="AA16" i="10" s="1"/>
  <c r="I15" i="10"/>
  <c r="AF89" i="10"/>
  <c r="AE89" i="10"/>
  <c r="N110" i="9"/>
  <c r="N117" i="9" s="1"/>
  <c r="AI110" i="9"/>
  <c r="AJ110" i="9" s="1"/>
  <c r="AK110" i="9"/>
  <c r="AL110" i="9" s="1"/>
  <c r="AM110" i="9" s="1"/>
  <c r="AC65" i="4"/>
  <c r="AJ38" i="2"/>
  <c r="AL38" i="2" s="1"/>
  <c r="AL34" i="2"/>
  <c r="AL36" i="2"/>
  <c r="BC38" i="8"/>
  <c r="AB38" i="8" s="1"/>
  <c r="N39" i="8" s="1"/>
  <c r="AG20" i="2"/>
  <c r="AF20" i="2"/>
  <c r="AK20" i="2" s="1"/>
  <c r="L20" i="2" s="1"/>
  <c r="BA38" i="9"/>
  <c r="BC38" i="9" s="1"/>
  <c r="AB38" i="9" s="1"/>
  <c r="N39" i="9" s="1"/>
  <c r="AL39" i="2"/>
  <c r="AL43" i="2"/>
  <c r="AG46" i="4"/>
  <c r="AH46" i="4" s="1"/>
  <c r="AJ46" i="4" s="1"/>
  <c r="AC50" i="4"/>
  <c r="AD50" i="4"/>
  <c r="AD67" i="4" s="1"/>
  <c r="AE48" i="4"/>
  <c r="AG48" i="4" s="1"/>
  <c r="AH48" i="4" s="1"/>
  <c r="AJ48" i="4" s="1"/>
  <c r="AC66" i="4"/>
  <c r="AI52" i="4"/>
  <c r="AF52" i="4"/>
  <c r="AU34" i="4"/>
  <c r="AU36" i="4" s="1"/>
  <c r="AK37" i="4"/>
  <c r="AU26" i="4"/>
  <c r="J26" i="4" s="1"/>
  <c r="D48" i="4" s="1"/>
  <c r="AK69" i="4" s="1"/>
  <c r="BA26" i="4"/>
  <c r="K26" i="4" s="1"/>
  <c r="E48" i="4" s="1"/>
  <c r="AB52" i="4" s="1"/>
  <c r="AL37" i="4"/>
  <c r="AU35" i="4"/>
  <c r="AN37" i="4"/>
  <c r="AJ37" i="4"/>
  <c r="AM37" i="4"/>
  <c r="AO37" i="4"/>
  <c r="AO36" i="4"/>
  <c r="AJ36" i="4"/>
  <c r="AK36" i="4" s="1"/>
  <c r="AL36" i="4" s="1"/>
  <c r="AM36" i="4" s="1"/>
  <c r="AN36" i="4" s="1"/>
  <c r="AX27" i="4"/>
  <c r="AZ27" i="4"/>
  <c r="AY27" i="4"/>
  <c r="AS27" i="4"/>
  <c r="AT27" i="4"/>
  <c r="AR27" i="4"/>
  <c r="AQ27" i="4"/>
  <c r="AN28" i="4"/>
  <c r="AO28" i="4" s="1"/>
  <c r="I27" i="4"/>
  <c r="H28" i="4"/>
  <c r="AY68" i="9"/>
  <c r="AZ68" i="9" s="1"/>
  <c r="BA68" i="9" s="1"/>
  <c r="H56" i="9"/>
  <c r="AE58" i="9" s="1"/>
  <c r="AC58" i="9" s="1"/>
  <c r="H74" i="9"/>
  <c r="H66" i="9"/>
  <c r="AF70" i="9" s="1"/>
  <c r="H48" i="9"/>
  <c r="AF51" i="9" s="1"/>
  <c r="BB18" i="9"/>
  <c r="AC18" i="9" s="1"/>
  <c r="I18" i="9" s="1"/>
  <c r="N93" i="9" s="1"/>
  <c r="AX18" i="9"/>
  <c r="BB66" i="9"/>
  <c r="AC66" i="9" s="1"/>
  <c r="AX66" i="9"/>
  <c r="BB47" i="9"/>
  <c r="AC47" i="9" s="1"/>
  <c r="AX47" i="9"/>
  <c r="AC124" i="9"/>
  <c r="AC123" i="9" s="1"/>
  <c r="AU124" i="9"/>
  <c r="BA57" i="9"/>
  <c r="BC57" i="9" s="1"/>
  <c r="AB57" i="9" s="1"/>
  <c r="T58" i="9" s="1"/>
  <c r="AY49" i="9"/>
  <c r="AZ49" i="9" s="1"/>
  <c r="BB73" i="9"/>
  <c r="AC73" i="9" s="1"/>
  <c r="AX73" i="9"/>
  <c r="AY55" i="9"/>
  <c r="AZ55" i="9" s="1"/>
  <c r="BA55" i="9" s="1"/>
  <c r="BB122" i="9"/>
  <c r="AC122" i="9" s="1"/>
  <c r="AX122" i="9"/>
  <c r="AA100" i="9"/>
  <c r="AD100" i="9" s="1"/>
  <c r="AL12" i="9"/>
  <c r="AM12" i="9" s="1"/>
  <c r="AB12" i="9" s="1"/>
  <c r="F11" i="9" s="1"/>
  <c r="AY29" i="9"/>
  <c r="AZ29" i="9" s="1"/>
  <c r="BA29" i="9" s="1"/>
  <c r="BC29" i="9" s="1"/>
  <c r="AB29" i="9" s="1"/>
  <c r="O29" i="9" s="1"/>
  <c r="AY33" i="9"/>
  <c r="AZ33" i="9" s="1"/>
  <c r="BA33" i="9" s="1"/>
  <c r="BC33" i="9" s="1"/>
  <c r="AB33" i="9" s="1"/>
  <c r="N34" i="9" s="1"/>
  <c r="AY25" i="9"/>
  <c r="AZ25" i="9" s="1"/>
  <c r="BA25" i="9" s="1"/>
  <c r="BC25" i="9" s="1"/>
  <c r="AB25" i="9" s="1"/>
  <c r="O25" i="9" s="1"/>
  <c r="AY15" i="9"/>
  <c r="AZ15" i="9" s="1"/>
  <c r="BA15" i="9" s="1"/>
  <c r="BC15" i="9" s="1"/>
  <c r="AB15" i="9" s="1"/>
  <c r="O15" i="9" s="1"/>
  <c r="P143" i="9"/>
  <c r="P131" i="9"/>
  <c r="J151" i="9"/>
  <c r="AY24" i="9"/>
  <c r="AZ24" i="9" s="1"/>
  <c r="BA24" i="9" s="1"/>
  <c r="AA69" i="9"/>
  <c r="AE70" i="9"/>
  <c r="L16" i="9"/>
  <c r="AA16" i="9" s="1"/>
  <c r="I15" i="9"/>
  <c r="AY14" i="9"/>
  <c r="AZ14" i="9" s="1"/>
  <c r="AX82" i="9"/>
  <c r="BB82" i="9"/>
  <c r="AC82" i="9" s="1"/>
  <c r="E81" i="9" s="1"/>
  <c r="E79" i="9" s="1"/>
  <c r="BB75" i="9"/>
  <c r="AC75" i="9" s="1"/>
  <c r="AX75" i="9"/>
  <c r="BB28" i="9"/>
  <c r="AC28" i="9" s="1"/>
  <c r="AX28" i="9"/>
  <c r="BC76" i="8"/>
  <c r="AB76" i="8" s="1"/>
  <c r="T76" i="8" s="1"/>
  <c r="AX57" i="8"/>
  <c r="BB57" i="8"/>
  <c r="AC57" i="8" s="1"/>
  <c r="AY33" i="8"/>
  <c r="AZ33" i="8" s="1"/>
  <c r="AF78" i="8"/>
  <c r="AE78" i="8"/>
  <c r="BB15" i="8"/>
  <c r="AC15" i="8" s="1"/>
  <c r="AX15" i="8"/>
  <c r="P138" i="8"/>
  <c r="P126" i="8"/>
  <c r="J146" i="8"/>
  <c r="BB66" i="8"/>
  <c r="AC66" i="8" s="1"/>
  <c r="AX66" i="8"/>
  <c r="AY73" i="8"/>
  <c r="AZ73" i="8" s="1"/>
  <c r="BB28" i="8"/>
  <c r="AC28" i="8" s="1"/>
  <c r="AX28" i="8"/>
  <c r="AY25" i="8"/>
  <c r="AZ25" i="8" s="1"/>
  <c r="BA25" i="8" s="1"/>
  <c r="BC25" i="8" s="1"/>
  <c r="AB25" i="8" s="1"/>
  <c r="O25" i="8" s="1"/>
  <c r="BB18" i="8"/>
  <c r="AC18" i="8" s="1"/>
  <c r="I18" i="8" s="1"/>
  <c r="N88" i="8" s="1"/>
  <c r="AX18" i="8"/>
  <c r="AX55" i="8"/>
  <c r="BB55" i="8"/>
  <c r="AC55" i="8" s="1"/>
  <c r="AY24" i="8"/>
  <c r="AZ24" i="8" s="1"/>
  <c r="AX29" i="8"/>
  <c r="BB29" i="8"/>
  <c r="AC29" i="8" s="1"/>
  <c r="I26" i="8" s="1"/>
  <c r="N103" i="8" s="1"/>
  <c r="BB117" i="8"/>
  <c r="AC117" i="8" s="1"/>
  <c r="AX117" i="8"/>
  <c r="AV119" i="8"/>
  <c r="AW119" i="8" s="1"/>
  <c r="AX119" i="8" s="1"/>
  <c r="AA95" i="8"/>
  <c r="AD95" i="8" s="1"/>
  <c r="AX68" i="8"/>
  <c r="BB68" i="8"/>
  <c r="AC68" i="8" s="1"/>
  <c r="AX49" i="8"/>
  <c r="BB49" i="8"/>
  <c r="AC49" i="8" s="1"/>
  <c r="AE51" i="8" s="1"/>
  <c r="AG51" i="8" s="1"/>
  <c r="AC51" i="8" s="1"/>
  <c r="AA52" i="8" s="1"/>
  <c r="AD52" i="8" s="1"/>
  <c r="AZ68" i="1"/>
  <c r="BA68" i="1" s="1"/>
  <c r="AY76" i="1"/>
  <c r="BC76" i="1"/>
  <c r="AD76" i="1" s="1"/>
  <c r="AF77" i="1" s="1"/>
  <c r="AB78" i="1" s="1"/>
  <c r="AE78" i="1" s="1"/>
  <c r="AF70" i="1"/>
  <c r="AH70" i="1" s="1"/>
  <c r="AD70" i="1" s="1"/>
  <c r="AB71" i="1" s="1"/>
  <c r="AE71" i="1" s="1"/>
  <c r="AZ73" i="1"/>
  <c r="BA73" i="1" s="1"/>
  <c r="AZ66" i="1"/>
  <c r="BA66" i="1" s="1"/>
  <c r="BB66" i="1" s="1"/>
  <c r="BD66" i="1" s="1"/>
  <c r="AC66" i="1" s="1"/>
  <c r="U66" i="1" s="1"/>
  <c r="AA59" i="7"/>
  <c r="AD59" i="7" s="1"/>
  <c r="E56" i="7"/>
  <c r="E43" i="7" s="1"/>
  <c r="AG51" i="7"/>
  <c r="AC51" i="7" s="1"/>
  <c r="AA52" i="7" s="1"/>
  <c r="AD52" i="7" s="1"/>
  <c r="AY57" i="7"/>
  <c r="AZ57" i="7" s="1"/>
  <c r="AY15" i="7"/>
  <c r="AZ15" i="7" s="1"/>
  <c r="I15" i="7"/>
  <c r="BB75" i="7"/>
  <c r="AC75" i="7" s="1"/>
  <c r="AX75" i="7"/>
  <c r="BA29" i="7"/>
  <c r="BC29" i="7" s="1"/>
  <c r="AB29" i="7" s="1"/>
  <c r="O29" i="7" s="1"/>
  <c r="AX14" i="7"/>
  <c r="BB14" i="7"/>
  <c r="AC14" i="7" s="1"/>
  <c r="I14" i="7" s="1"/>
  <c r="AX68" i="7"/>
  <c r="BB68" i="7"/>
  <c r="AC68" i="7" s="1"/>
  <c r="P162" i="7"/>
  <c r="P150" i="7"/>
  <c r="J170" i="7"/>
  <c r="AY18" i="7"/>
  <c r="AZ18" i="7" s="1"/>
  <c r="BA18" i="7" s="1"/>
  <c r="BB73" i="7"/>
  <c r="AC73" i="7" s="1"/>
  <c r="AE76" i="7" s="1"/>
  <c r="AC76" i="7" s="1"/>
  <c r="AA77" i="7" s="1"/>
  <c r="AD77" i="7" s="1"/>
  <c r="AX73" i="7"/>
  <c r="AC112" i="7"/>
  <c r="K143" i="7"/>
  <c r="BB28" i="7"/>
  <c r="AC28" i="7" s="1"/>
  <c r="AX28" i="7"/>
  <c r="BA55" i="7"/>
  <c r="BC55" i="7" s="1"/>
  <c r="AB55" i="7" s="1"/>
  <c r="O58" i="7" s="1"/>
  <c r="AY33" i="7"/>
  <c r="AZ33" i="7" s="1"/>
  <c r="BA33" i="7" s="1"/>
  <c r="BB38" i="7"/>
  <c r="AC38" i="7" s="1"/>
  <c r="E39" i="7" s="1"/>
  <c r="AX38" i="7"/>
  <c r="BB141" i="7"/>
  <c r="AC141" i="7" s="1"/>
  <c r="AX141" i="7"/>
  <c r="AC143" i="7"/>
  <c r="AC142" i="7" s="1"/>
  <c r="AU143" i="7"/>
  <c r="BB100" i="7"/>
  <c r="AC100" i="7" s="1"/>
  <c r="AE101" i="7" s="1"/>
  <c r="AA102" i="7" s="1"/>
  <c r="AD102" i="7" s="1"/>
  <c r="AX100" i="7"/>
  <c r="AX24" i="7"/>
  <c r="BB24" i="7"/>
  <c r="AC24" i="7" s="1"/>
  <c r="I22" i="7" s="1"/>
  <c r="N119" i="7" s="1"/>
  <c r="AY47" i="7"/>
  <c r="AZ47" i="7" s="1"/>
  <c r="BA47" i="7" s="1"/>
  <c r="BB66" i="7"/>
  <c r="AC66" i="7" s="1"/>
  <c r="AX66" i="7"/>
  <c r="BB25" i="7"/>
  <c r="AC25" i="7" s="1"/>
  <c r="AX25" i="7"/>
  <c r="BB49" i="7"/>
  <c r="AC49" i="7" s="1"/>
  <c r="AE51" i="7" s="1"/>
  <c r="AX49" i="7"/>
  <c r="AY82" i="7"/>
  <c r="AZ82" i="7" s="1"/>
  <c r="BA82" i="7"/>
  <c r="BB90" i="7"/>
  <c r="AC90" i="7" s="1"/>
  <c r="AX90" i="7"/>
  <c r="BC15" i="1"/>
  <c r="AD15" i="1" s="1"/>
  <c r="AY15" i="1"/>
  <c r="AZ14" i="1"/>
  <c r="BA14" i="1" s="1"/>
  <c r="AD88" i="1"/>
  <c r="AJ88" i="1" s="1"/>
  <c r="AK88" i="1" s="1"/>
  <c r="L119" i="1"/>
  <c r="U138" i="1"/>
  <c r="O105" i="1"/>
  <c r="O112" i="1" s="1"/>
  <c r="AC80" i="3"/>
  <c r="I80" i="3" s="1"/>
  <c r="AX80" i="3"/>
  <c r="BB79" i="3"/>
  <c r="AC79" i="3" s="1"/>
  <c r="I79" i="3" s="1"/>
  <c r="AX79" i="3"/>
  <c r="AL105" i="1"/>
  <c r="AM105" i="1" s="1"/>
  <c r="AN105" i="1" s="1"/>
  <c r="AB95" i="1"/>
  <c r="AE95" i="1" s="1"/>
  <c r="AF95" i="1" s="1"/>
  <c r="AY25" i="1"/>
  <c r="AZ25" i="1" s="1"/>
  <c r="BA25" i="1" s="1"/>
  <c r="BB25" i="1" s="1"/>
  <c r="AO71" i="2"/>
  <c r="AP71" i="2" s="1"/>
  <c r="R71" i="2" s="1"/>
  <c r="BB57" i="1"/>
  <c r="BD57" i="1" s="1"/>
  <c r="AC57" i="1" s="1"/>
  <c r="U58" i="1" s="1"/>
  <c r="BC49" i="1"/>
  <c r="AD49" i="1" s="1"/>
  <c r="AF51" i="1" s="1"/>
  <c r="AY49" i="1"/>
  <c r="BB29" i="1"/>
  <c r="BD29" i="1" s="1"/>
  <c r="AC29" i="1" s="1"/>
  <c r="P29" i="1" s="1"/>
  <c r="AY28" i="1"/>
  <c r="BC28" i="1"/>
  <c r="AD28" i="1" s="1"/>
  <c r="AZ24" i="1"/>
  <c r="BA24" i="1" s="1"/>
  <c r="BB24" i="1" s="1"/>
  <c r="BD24" i="1" s="1"/>
  <c r="AC24" i="1" s="1"/>
  <c r="S24" i="1" s="1"/>
  <c r="AZ117" i="1"/>
  <c r="BA117" i="1" s="1"/>
  <c r="BB117" i="1" s="1"/>
  <c r="BD117" i="1" s="1"/>
  <c r="AC117" i="1" s="1"/>
  <c r="V118" i="1" s="1"/>
  <c r="AZ55" i="1"/>
  <c r="BA55" i="1" s="1"/>
  <c r="BB55" i="1" s="1"/>
  <c r="AZ47" i="1"/>
  <c r="BA47" i="1" s="1"/>
  <c r="AZ38" i="1"/>
  <c r="BA38" i="1" s="1"/>
  <c r="BB18" i="1"/>
  <c r="BD18" i="1" s="1"/>
  <c r="AC18" i="1" s="1"/>
  <c r="P18" i="1" s="1"/>
  <c r="AH39" i="2"/>
  <c r="AI39" i="2" s="1"/>
  <c r="AJ39" i="2"/>
  <c r="AG22" i="2"/>
  <c r="AK22" i="2"/>
  <c r="L22" i="2" s="1"/>
  <c r="AF40" i="2"/>
  <c r="AH51" i="2"/>
  <c r="AI51" i="2" s="1"/>
  <c r="AL51" i="2" s="1"/>
  <c r="AJ51" i="2"/>
  <c r="AH29" i="2"/>
  <c r="AI29" i="2" s="1"/>
  <c r="AH55" i="2"/>
  <c r="AI55" i="2" s="1"/>
  <c r="AG30" i="2"/>
  <c r="AK30" i="2"/>
  <c r="L30" i="2" s="1"/>
  <c r="AJ28" i="2"/>
  <c r="AH28" i="2"/>
  <c r="AI28" i="2" s="1"/>
  <c r="AL28" i="2" s="1"/>
  <c r="AH37" i="2"/>
  <c r="AI37" i="2" s="1"/>
  <c r="AG31" i="2"/>
  <c r="AK31" i="2"/>
  <c r="L31" i="2" s="1"/>
  <c r="AJ45" i="2"/>
  <c r="AL45" i="2" s="1"/>
  <c r="AH35" i="2"/>
  <c r="AI35" i="2" s="1"/>
  <c r="AJ35" i="2" s="1"/>
  <c r="AH47" i="2"/>
  <c r="AI47" i="2" s="1"/>
  <c r="AJ47" i="2" s="1"/>
  <c r="AH25" i="2"/>
  <c r="AI25" i="2" s="1"/>
  <c r="AL25" i="2" s="1"/>
  <c r="AJ25" i="2"/>
  <c r="AH23" i="2"/>
  <c r="AI23" i="2" s="1"/>
  <c r="AH54" i="2"/>
  <c r="AI54" i="2" s="1"/>
  <c r="AL54" i="2" s="1"/>
  <c r="AJ54" i="2"/>
  <c r="AF46" i="2"/>
  <c r="AH53" i="2"/>
  <c r="AI53" i="2" s="1"/>
  <c r="AJ56" i="2"/>
  <c r="AL56" i="2" s="1"/>
  <c r="AH24" i="2"/>
  <c r="AI24" i="2" s="1"/>
  <c r="AL24" i="2" s="1"/>
  <c r="AJ24" i="2"/>
  <c r="AG33" i="2"/>
  <c r="AK33" i="2"/>
  <c r="L33" i="2" s="1"/>
  <c r="AH57" i="2"/>
  <c r="AI57" i="2" s="1"/>
  <c r="AG50" i="2"/>
  <c r="AK50" i="2"/>
  <c r="L50" i="2" s="1"/>
  <c r="AH44" i="2"/>
  <c r="AI44" i="2" s="1"/>
  <c r="AJ44" i="2" s="1"/>
  <c r="AL44" i="2" s="1"/>
  <c r="AH27" i="2"/>
  <c r="AI27" i="2" s="1"/>
  <c r="AH21" i="2"/>
  <c r="AI21" i="2" s="1"/>
  <c r="AL21" i="2" s="1"/>
  <c r="AJ21" i="2"/>
  <c r="AH49" i="2"/>
  <c r="AI49" i="2" s="1"/>
  <c r="AH42" i="2"/>
  <c r="AI42" i="2" s="1"/>
  <c r="AJ58" i="2"/>
  <c r="AL58" i="2" s="1"/>
  <c r="AH26" i="2"/>
  <c r="AI26" i="2" s="1"/>
  <c r="AJ26" i="2" s="1"/>
  <c r="AG41" i="2"/>
  <c r="AK41" i="2"/>
  <c r="L41" i="2" s="1"/>
  <c r="AH48" i="2"/>
  <c r="AI48" i="2" s="1"/>
  <c r="AL48" i="2" s="1"/>
  <c r="AJ48" i="2"/>
  <c r="AH20" i="2"/>
  <c r="AI20" i="2" s="1"/>
  <c r="AJ20" i="2" s="1"/>
  <c r="F8" i="2"/>
  <c r="K8" i="2"/>
  <c r="F7" i="2"/>
  <c r="K7" i="2"/>
  <c r="F6" i="2"/>
  <c r="K6" i="2"/>
  <c r="AG67" i="3"/>
  <c r="AA71" i="3" s="1"/>
  <c r="AD70" i="3"/>
  <c r="AL43" i="3"/>
  <c r="AL44" i="3" s="1"/>
  <c r="AN44" i="3" s="1"/>
  <c r="AN45" i="3"/>
  <c r="AX61" i="3"/>
  <c r="AY61" i="3" s="1"/>
  <c r="AB61" i="3" s="1"/>
  <c r="AV39" i="3"/>
  <c r="AW39" i="3" s="1"/>
  <c r="AX37" i="3"/>
  <c r="AY37" i="3" s="1"/>
  <c r="AB37" i="3" s="1"/>
  <c r="AX31" i="3"/>
  <c r="AY31" i="3" s="1"/>
  <c r="AB31" i="3" s="1"/>
  <c r="AX33" i="3"/>
  <c r="AY34" i="3" s="1"/>
  <c r="AH34" i="3" s="1"/>
  <c r="AB34" i="3" s="1"/>
  <c r="N33" i="3" s="1"/>
  <c r="AV10" i="3"/>
  <c r="AW10" i="3" s="1"/>
  <c r="AX10" i="3" s="1"/>
  <c r="G87" i="2"/>
  <c r="Q87" i="2" s="1"/>
  <c r="U87" i="2" s="1"/>
  <c r="AP80" i="2"/>
  <c r="R80" i="2" s="1"/>
  <c r="AM79" i="2"/>
  <c r="AN79" i="2" s="1"/>
  <c r="AO79" i="2" s="1"/>
  <c r="AP79" i="2" s="1"/>
  <c r="R79" i="2" s="1"/>
  <c r="AM78" i="2"/>
  <c r="AN78" i="2" s="1"/>
  <c r="AM76" i="2"/>
  <c r="AN76" i="2" s="1"/>
  <c r="AM75" i="2"/>
  <c r="AN75" i="2" s="1"/>
  <c r="AO75" i="2" s="1"/>
  <c r="AP75" i="2" s="1"/>
  <c r="R75" i="2" s="1"/>
  <c r="AM68" i="2"/>
  <c r="AN68" i="2" s="1"/>
  <c r="U126" i="1"/>
  <c r="AY119" i="1"/>
  <c r="AA9" i="2"/>
  <c r="AB9" i="2" s="1"/>
  <c r="AA10" i="2"/>
  <c r="AB10" i="2" s="1"/>
  <c r="F4" i="2"/>
  <c r="AG53" i="10" l="1"/>
  <c r="AF53" i="10"/>
  <c r="BD48" i="10"/>
  <c r="AC48" i="10" s="1"/>
  <c r="U48" i="10" s="1"/>
  <c r="BB48" i="10"/>
  <c r="BD50" i="10"/>
  <c r="AC50" i="10" s="1"/>
  <c r="U50" i="10" s="1"/>
  <c r="AF60" i="10"/>
  <c r="AG60" i="10"/>
  <c r="BB58" i="10"/>
  <c r="BD58" i="10" s="1"/>
  <c r="AC58" i="10" s="1"/>
  <c r="U58" i="10" s="1"/>
  <c r="AY113" i="10"/>
  <c r="AB113" i="10" s="1"/>
  <c r="AY112" i="10"/>
  <c r="AB112" i="10" s="1"/>
  <c r="U113" i="10" s="1"/>
  <c r="BA65" i="10"/>
  <c r="BC65" i="10" s="1"/>
  <c r="AB65" i="10" s="1"/>
  <c r="L64" i="10" s="1"/>
  <c r="BA15" i="10"/>
  <c r="BC15" i="10" s="1"/>
  <c r="AB15" i="10" s="1"/>
  <c r="O15" i="10" s="1"/>
  <c r="AY28" i="10"/>
  <c r="AZ28" i="10" s="1"/>
  <c r="BA28" i="10" s="1"/>
  <c r="BC28" i="10" s="1"/>
  <c r="AB28" i="10" s="1"/>
  <c r="R28" i="10" s="1"/>
  <c r="BA25" i="10"/>
  <c r="BC25" i="10" s="1"/>
  <c r="AB25" i="10" s="1"/>
  <c r="O25" i="10" s="1"/>
  <c r="AI89" i="10"/>
  <c r="AS89" i="10" s="1"/>
  <c r="AH89" i="10"/>
  <c r="AG89" i="10"/>
  <c r="AA19" i="10"/>
  <c r="AD19" i="10" s="1"/>
  <c r="AD16" i="10"/>
  <c r="AL82" i="10"/>
  <c r="AN110" i="9"/>
  <c r="AB110" i="9" s="1"/>
  <c r="T110" i="9" s="1"/>
  <c r="AE76" i="9"/>
  <c r="AC76" i="9" s="1"/>
  <c r="AA77" i="9" s="1"/>
  <c r="AD77" i="9" s="1"/>
  <c r="AL53" i="2"/>
  <c r="AL27" i="2"/>
  <c r="AL26" i="2"/>
  <c r="BC55" i="9"/>
  <c r="AB55" i="9" s="1"/>
  <c r="O58" i="9" s="1"/>
  <c r="AL20" i="2"/>
  <c r="AJ29" i="2"/>
  <c r="AL29" i="2" s="1"/>
  <c r="BC82" i="7"/>
  <c r="AB82" i="7" s="1"/>
  <c r="L81" i="7" s="1"/>
  <c r="AL35" i="2"/>
  <c r="BC18" i="7"/>
  <c r="AB18" i="7" s="1"/>
  <c r="O18" i="7" s="1"/>
  <c r="AL47" i="2"/>
  <c r="F47" i="2" s="1"/>
  <c r="AA81" i="3"/>
  <c r="AD81" i="3" s="1"/>
  <c r="BC68" i="9"/>
  <c r="AB68" i="9" s="1"/>
  <c r="T68" i="9" s="1"/>
  <c r="AC52" i="4"/>
  <c r="AD52" i="4"/>
  <c r="AD68" i="4" s="1"/>
  <c r="D41" i="4"/>
  <c r="AE66" i="4"/>
  <c r="AE50" i="4"/>
  <c r="AG50" i="4" s="1"/>
  <c r="AH50" i="4" s="1"/>
  <c r="AJ50" i="4" s="1"/>
  <c r="AC67" i="4"/>
  <c r="AL65" i="4"/>
  <c r="AF65" i="4" s="1"/>
  <c r="AI54" i="4"/>
  <c r="D43" i="4"/>
  <c r="AF54" i="4"/>
  <c r="BA34" i="4"/>
  <c r="BA36" i="4" s="1"/>
  <c r="BA27" i="4"/>
  <c r="K27" i="4" s="1"/>
  <c r="E50" i="4" s="1"/>
  <c r="AB54" i="4" s="1"/>
  <c r="AU27" i="4"/>
  <c r="J27" i="4" s="1"/>
  <c r="D50" i="4" s="1"/>
  <c r="AK70" i="4" s="1"/>
  <c r="AU37" i="4"/>
  <c r="BA35" i="4"/>
  <c r="AT37" i="4"/>
  <c r="AR37" i="4"/>
  <c r="AS37" i="4"/>
  <c r="AQ37" i="4"/>
  <c r="AP37" i="4"/>
  <c r="AP36" i="4"/>
  <c r="AQ36" i="4" s="1"/>
  <c r="AR36" i="4" s="1"/>
  <c r="AS36" i="4" s="1"/>
  <c r="AT36" i="4" s="1"/>
  <c r="AT28" i="4"/>
  <c r="AZ28" i="4"/>
  <c r="AY28" i="4"/>
  <c r="AW28" i="4"/>
  <c r="AX28" i="4"/>
  <c r="AS28" i="4"/>
  <c r="AR28" i="4"/>
  <c r="AQ28" i="4"/>
  <c r="AN29" i="4"/>
  <c r="AO29" i="4" s="1"/>
  <c r="I28" i="4"/>
  <c r="H29" i="4"/>
  <c r="AA59" i="9"/>
  <c r="AD59" i="9" s="1"/>
  <c r="E56" i="9"/>
  <c r="E43" i="9" s="1"/>
  <c r="AE77" i="9"/>
  <c r="AF77" i="9"/>
  <c r="BA14" i="9"/>
  <c r="BC14" i="9" s="1"/>
  <c r="AB14" i="9" s="1"/>
  <c r="O14" i="9" s="1"/>
  <c r="BC24" i="9"/>
  <c r="AB24" i="9" s="1"/>
  <c r="R24" i="9" s="1"/>
  <c r="AE51" i="9"/>
  <c r="AG51" i="9" s="1"/>
  <c r="AC51" i="9" s="1"/>
  <c r="AA52" i="9" s="1"/>
  <c r="AD52" i="9" s="1"/>
  <c r="AY66" i="9"/>
  <c r="AZ66" i="9" s="1"/>
  <c r="BA66" i="9" s="1"/>
  <c r="AY122" i="9"/>
  <c r="AZ122" i="9" s="1"/>
  <c r="BA122" i="9" s="1"/>
  <c r="BC122" i="9" s="1"/>
  <c r="AB122" i="9" s="1"/>
  <c r="U123" i="9" s="1"/>
  <c r="BA49" i="9"/>
  <c r="BC49" i="9" s="1"/>
  <c r="AB49" i="9" s="1"/>
  <c r="T50" i="9" s="1"/>
  <c r="AG70" i="9"/>
  <c r="AC70" i="9" s="1"/>
  <c r="AA71" i="9" s="1"/>
  <c r="AD71" i="9" s="1"/>
  <c r="AY18" i="9"/>
  <c r="AZ18" i="9" s="1"/>
  <c r="BA18" i="9"/>
  <c r="BC18" i="9" s="1"/>
  <c r="AB18" i="9" s="1"/>
  <c r="O18" i="9" s="1"/>
  <c r="AC93" i="9"/>
  <c r="K124" i="9"/>
  <c r="T131" i="9"/>
  <c r="AV124" i="9"/>
  <c r="AW124" i="9" s="1"/>
  <c r="AX124" i="9" s="1"/>
  <c r="AD16" i="9"/>
  <c r="L19" i="9"/>
  <c r="AA19" i="9" s="1"/>
  <c r="AD19" i="9" s="1"/>
  <c r="T143" i="9"/>
  <c r="K151" i="9"/>
  <c r="AF100" i="9"/>
  <c r="AE100" i="9"/>
  <c r="AY28" i="9"/>
  <c r="AZ28" i="9" s="1"/>
  <c r="AY75" i="9"/>
  <c r="AZ75" i="9" s="1"/>
  <c r="AY82" i="9"/>
  <c r="AZ82" i="9" s="1"/>
  <c r="AY73" i="9"/>
  <c r="AZ73" i="9" s="1"/>
  <c r="BA73" i="9" s="1"/>
  <c r="BC73" i="9" s="1"/>
  <c r="AB73" i="9" s="1"/>
  <c r="O76" i="9" s="1"/>
  <c r="AY47" i="9"/>
  <c r="AZ47" i="9" s="1"/>
  <c r="BA47" i="9" s="1"/>
  <c r="BC47" i="9" s="1"/>
  <c r="AB47" i="9" s="1"/>
  <c r="T48" i="9" s="1"/>
  <c r="AE52" i="8"/>
  <c r="AF52" i="8"/>
  <c r="AY119" i="8"/>
  <c r="AB119" i="8" s="1"/>
  <c r="AY118" i="8"/>
  <c r="AB118" i="8" s="1"/>
  <c r="U119" i="8" s="1"/>
  <c r="T138" i="8"/>
  <c r="K146" i="8"/>
  <c r="AY29" i="8"/>
  <c r="AZ29" i="8" s="1"/>
  <c r="AE58" i="8"/>
  <c r="AC58" i="8" s="1"/>
  <c r="AY15" i="8"/>
  <c r="AZ15" i="8" s="1"/>
  <c r="AY57" i="8"/>
  <c r="AZ57" i="8" s="1"/>
  <c r="BA57" i="8" s="1"/>
  <c r="AY55" i="8"/>
  <c r="AZ55" i="8" s="1"/>
  <c r="BA55" i="8" s="1"/>
  <c r="BC55" i="8" s="1"/>
  <c r="AB55" i="8" s="1"/>
  <c r="O58" i="8" s="1"/>
  <c r="BA73" i="8"/>
  <c r="BC73" i="8" s="1"/>
  <c r="AB73" i="8" s="1"/>
  <c r="O76" i="8" s="1"/>
  <c r="L16" i="8"/>
  <c r="AA16" i="8" s="1"/>
  <c r="I15" i="8"/>
  <c r="AI78" i="8"/>
  <c r="AS78" i="8" s="1"/>
  <c r="AH78" i="8"/>
  <c r="AG78" i="8"/>
  <c r="AY49" i="8"/>
  <c r="AZ49" i="8" s="1"/>
  <c r="BA49" i="8" s="1"/>
  <c r="BC49" i="8" s="1"/>
  <c r="AB49" i="8" s="1"/>
  <c r="T50" i="8" s="1"/>
  <c r="BA24" i="8"/>
  <c r="BC24" i="8" s="1"/>
  <c r="AB24" i="8" s="1"/>
  <c r="R24" i="8" s="1"/>
  <c r="AY18" i="8"/>
  <c r="AZ18" i="8" s="1"/>
  <c r="BA18" i="8" s="1"/>
  <c r="BC18" i="8" s="1"/>
  <c r="AB18" i="8" s="1"/>
  <c r="O18" i="8" s="1"/>
  <c r="AC88" i="8"/>
  <c r="K119" i="8"/>
  <c r="AY66" i="8"/>
  <c r="AZ66" i="8" s="1"/>
  <c r="BA66" i="8" s="1"/>
  <c r="AE70" i="8"/>
  <c r="AG70" i="8" s="1"/>
  <c r="AC70" i="8" s="1"/>
  <c r="AA71" i="8" s="1"/>
  <c r="AD71" i="8" s="1"/>
  <c r="AY117" i="8"/>
  <c r="AZ117" i="8" s="1"/>
  <c r="BA33" i="8"/>
  <c r="BC33" i="8" s="1"/>
  <c r="AB33" i="8" s="1"/>
  <c r="N34" i="8" s="1"/>
  <c r="AY68" i="8"/>
  <c r="AZ68" i="8" s="1"/>
  <c r="BA68" i="8" s="1"/>
  <c r="BC68" i="8" s="1"/>
  <c r="AB68" i="8" s="1"/>
  <c r="T68" i="8" s="1"/>
  <c r="AY28" i="8"/>
  <c r="AZ28" i="8" s="1"/>
  <c r="BA28" i="8" s="1"/>
  <c r="T126" i="8"/>
  <c r="AF95" i="8"/>
  <c r="AE95" i="8"/>
  <c r="AZ76" i="1"/>
  <c r="BA76" i="1" s="1"/>
  <c r="AG71" i="1"/>
  <c r="AF71" i="1"/>
  <c r="BB73" i="1"/>
  <c r="BD73" i="1" s="1"/>
  <c r="AC73" i="1" s="1"/>
  <c r="P76" i="1" s="1"/>
  <c r="BB68" i="1"/>
  <c r="BD68" i="1" s="1"/>
  <c r="AC68" i="1" s="1"/>
  <c r="U68" i="1" s="1"/>
  <c r="AG78" i="1"/>
  <c r="AF78" i="1"/>
  <c r="J15" i="1"/>
  <c r="M16" i="1"/>
  <c r="AB16" i="1" s="1"/>
  <c r="AF102" i="7"/>
  <c r="AE102" i="7"/>
  <c r="BC57" i="7"/>
  <c r="AB57" i="7" s="1"/>
  <c r="T58" i="7" s="1"/>
  <c r="AY28" i="7"/>
  <c r="AZ28" i="7" s="1"/>
  <c r="AY49" i="7"/>
  <c r="AZ49" i="7" s="1"/>
  <c r="BA49" i="7" s="1"/>
  <c r="BC47" i="7"/>
  <c r="AB47" i="7" s="1"/>
  <c r="T48" i="7" s="1"/>
  <c r="AY75" i="7"/>
  <c r="AZ75" i="7" s="1"/>
  <c r="BA75" i="7" s="1"/>
  <c r="BC75" i="7" s="1"/>
  <c r="AB75" i="7" s="1"/>
  <c r="T76" i="7" s="1"/>
  <c r="BA57" i="7"/>
  <c r="BC33" i="7"/>
  <c r="AB33" i="7" s="1"/>
  <c r="N34" i="7" s="1"/>
  <c r="AY141" i="7"/>
  <c r="AZ141" i="7" s="1"/>
  <c r="BA141" i="7" s="1"/>
  <c r="AA119" i="7"/>
  <c r="AD119" i="7" s="1"/>
  <c r="AY38" i="7"/>
  <c r="AZ38" i="7" s="1"/>
  <c r="BA38" i="7" s="1"/>
  <c r="T150" i="7"/>
  <c r="AI112" i="7"/>
  <c r="AJ112" i="7" s="1"/>
  <c r="AK112" i="7"/>
  <c r="AF52" i="7"/>
  <c r="AE52" i="7"/>
  <c r="AY25" i="7"/>
  <c r="AZ25" i="7" s="1"/>
  <c r="BA25" i="7" s="1"/>
  <c r="BA24" i="7"/>
  <c r="AY24" i="7"/>
  <c r="AZ24" i="7" s="1"/>
  <c r="T162" i="7"/>
  <c r="K170" i="7"/>
  <c r="AY90" i="7"/>
  <c r="AZ90" i="7" s="1"/>
  <c r="BA90" i="7"/>
  <c r="AY100" i="7"/>
  <c r="AZ100" i="7" s="1"/>
  <c r="AY73" i="7"/>
  <c r="AZ73" i="7" s="1"/>
  <c r="BA73" i="7" s="1"/>
  <c r="AA69" i="7"/>
  <c r="AE70" i="7"/>
  <c r="AG70" i="7" s="1"/>
  <c r="AC70" i="7" s="1"/>
  <c r="AA71" i="7" s="1"/>
  <c r="AD71" i="7" s="1"/>
  <c r="L16" i="7"/>
  <c r="AA16" i="7" s="1"/>
  <c r="AE77" i="7"/>
  <c r="AF77" i="7"/>
  <c r="AY68" i="7"/>
  <c r="AZ68" i="7" s="1"/>
  <c r="BA68" i="7" s="1"/>
  <c r="BA15" i="7"/>
  <c r="BC15" i="7" s="1"/>
  <c r="AB15" i="7" s="1"/>
  <c r="O15" i="7" s="1"/>
  <c r="P149" i="7"/>
  <c r="T149" i="7" s="1"/>
  <c r="P161" i="7"/>
  <c r="T161" i="7" s="1"/>
  <c r="AV143" i="7"/>
  <c r="AW143" i="7" s="1"/>
  <c r="AX143" i="7" s="1"/>
  <c r="AF59" i="7"/>
  <c r="AE59" i="7"/>
  <c r="AE94" i="7"/>
  <c r="AG94" i="7" s="1"/>
  <c r="AC94" i="7" s="1"/>
  <c r="AA95" i="7" s="1"/>
  <c r="AD95" i="7" s="1"/>
  <c r="BC66" i="7"/>
  <c r="AB66" i="7" s="1"/>
  <c r="T66" i="7" s="1"/>
  <c r="BA66" i="7"/>
  <c r="AY66" i="7"/>
  <c r="AZ66" i="7" s="1"/>
  <c r="AY14" i="7"/>
  <c r="AZ14" i="7" s="1"/>
  <c r="AZ15" i="1"/>
  <c r="BA15" i="1" s="1"/>
  <c r="BB15" i="1" s="1"/>
  <c r="BB14" i="1"/>
  <c r="BD14" i="1" s="1"/>
  <c r="AC14" i="1" s="1"/>
  <c r="P14" i="1" s="1"/>
  <c r="AL88" i="1"/>
  <c r="AM88" i="1" s="1"/>
  <c r="AN88" i="1" s="1"/>
  <c r="AE81" i="3"/>
  <c r="AF81" i="3"/>
  <c r="AY79" i="3"/>
  <c r="AZ79" i="3" s="1"/>
  <c r="AY80" i="3"/>
  <c r="AO105" i="1"/>
  <c r="AC105" i="1" s="1"/>
  <c r="U105" i="1" s="1"/>
  <c r="AG95" i="1"/>
  <c r="AH95" i="1" s="1"/>
  <c r="AZ49" i="1"/>
  <c r="BA49" i="1" s="1"/>
  <c r="BB49" i="1" s="1"/>
  <c r="BD49" i="1" s="1"/>
  <c r="AC49" i="1" s="1"/>
  <c r="U50" i="1" s="1"/>
  <c r="AZ28" i="1"/>
  <c r="BA28" i="1" s="1"/>
  <c r="BD25" i="1"/>
  <c r="AC25" i="1" s="1"/>
  <c r="P25" i="1" s="1"/>
  <c r="BD55" i="1"/>
  <c r="AC55" i="1" s="1"/>
  <c r="P58" i="1" s="1"/>
  <c r="BB47" i="1"/>
  <c r="BD47" i="1" s="1"/>
  <c r="AC47" i="1" s="1"/>
  <c r="U48" i="1" s="1"/>
  <c r="BB38" i="1"/>
  <c r="BD38" i="1" s="1"/>
  <c r="AC38" i="1" s="1"/>
  <c r="O39" i="1" s="1"/>
  <c r="F25" i="2"/>
  <c r="K25" i="2"/>
  <c r="F51" i="2"/>
  <c r="K51" i="2"/>
  <c r="F56" i="2"/>
  <c r="K56" i="2"/>
  <c r="K21" i="2"/>
  <c r="F21" i="2"/>
  <c r="AH22" i="2"/>
  <c r="AI22" i="2" s="1"/>
  <c r="AH50" i="2"/>
  <c r="AI50" i="2" s="1"/>
  <c r="AH30" i="2"/>
  <c r="AI30" i="2" s="1"/>
  <c r="AJ30" i="2" s="1"/>
  <c r="AJ42" i="2"/>
  <c r="AL42" i="2" s="1"/>
  <c r="AH31" i="2"/>
  <c r="AI31" i="2" s="1"/>
  <c r="AJ31" i="2" s="1"/>
  <c r="AL31" i="2" s="1"/>
  <c r="AJ27" i="2"/>
  <c r="AJ57" i="2"/>
  <c r="AL57" i="2" s="1"/>
  <c r="F57" i="2" s="1"/>
  <c r="AH41" i="2"/>
  <c r="AI41" i="2" s="1"/>
  <c r="AJ41" i="2" s="1"/>
  <c r="AJ53" i="2"/>
  <c r="AJ37" i="2"/>
  <c r="AL37" i="2" s="1"/>
  <c r="AJ55" i="2"/>
  <c r="AJ49" i="2"/>
  <c r="AL49" i="2" s="1"/>
  <c r="AJ23" i="2"/>
  <c r="AL23" i="2" s="1"/>
  <c r="AK40" i="2"/>
  <c r="L40" i="2" s="1"/>
  <c r="AG40" i="2"/>
  <c r="AH33" i="2"/>
  <c r="AI33" i="2" s="1"/>
  <c r="AL33" i="2" s="1"/>
  <c r="F33" i="2" s="1"/>
  <c r="AJ33" i="2"/>
  <c r="AG46" i="2"/>
  <c r="AK46" i="2"/>
  <c r="L46" i="2" s="1"/>
  <c r="K20" i="2"/>
  <c r="K58" i="2"/>
  <c r="F58" i="2"/>
  <c r="F39" i="2"/>
  <c r="K39" i="2"/>
  <c r="F43" i="2"/>
  <c r="K43" i="2"/>
  <c r="F24" i="2"/>
  <c r="K24" i="2"/>
  <c r="F10" i="2"/>
  <c r="K10" i="2"/>
  <c r="F9" i="2"/>
  <c r="K9" i="2"/>
  <c r="V87" i="2"/>
  <c r="AF87" i="2" s="1"/>
  <c r="F26" i="2"/>
  <c r="K26" i="2"/>
  <c r="AY63" i="3"/>
  <c r="AY38" i="3"/>
  <c r="AH38" i="3" s="1"/>
  <c r="AB38" i="3" s="1"/>
  <c r="N37" i="3" s="1"/>
  <c r="AE71" i="3"/>
  <c r="AG71" i="3" s="1"/>
  <c r="AD71" i="3"/>
  <c r="AF70" i="3"/>
  <c r="AG70" i="3"/>
  <c r="AC46" i="3"/>
  <c r="S44" i="3" s="1"/>
  <c r="AT44" i="3"/>
  <c r="AY32" i="3"/>
  <c r="AH32" i="3" s="1"/>
  <c r="AB32" i="3" s="1"/>
  <c r="N31" i="3" s="1"/>
  <c r="AX39" i="3"/>
  <c r="AY40" i="3" s="1"/>
  <c r="AH40" i="3" s="1"/>
  <c r="AB40" i="3" s="1"/>
  <c r="N39" i="3" s="1"/>
  <c r="AY33" i="3"/>
  <c r="AB33" i="3" s="1"/>
  <c r="AY10" i="3"/>
  <c r="AB10" i="3" s="1"/>
  <c r="V9" i="3" s="1"/>
  <c r="T87" i="2"/>
  <c r="AO78" i="2"/>
  <c r="AP78" i="2" s="1"/>
  <c r="R78" i="2" s="1"/>
  <c r="AO76" i="2"/>
  <c r="AP76" i="2" s="1"/>
  <c r="R76" i="2" s="1"/>
  <c r="AO68" i="2"/>
  <c r="AP68" i="2" s="1"/>
  <c r="R68" i="2" s="1"/>
  <c r="AZ119" i="1"/>
  <c r="AC119" i="1" s="1"/>
  <c r="AZ118" i="1"/>
  <c r="AC118" i="1" s="1"/>
  <c r="V119" i="1" s="1"/>
  <c r="AJ53" i="10" l="1"/>
  <c r="AT53" i="10" s="1"/>
  <c r="AI53" i="10"/>
  <c r="AH53" i="10"/>
  <c r="AJ60" i="10"/>
  <c r="AT60" i="10" s="1"/>
  <c r="AI60" i="10"/>
  <c r="AH60" i="10"/>
  <c r="AM82" i="10"/>
  <c r="AN82" i="10" s="1"/>
  <c r="AB82" i="10" s="1"/>
  <c r="T82" i="10" s="1"/>
  <c r="AJ89" i="10"/>
  <c r="AO89" i="10"/>
  <c r="AF16" i="10"/>
  <c r="AE16" i="10"/>
  <c r="AF19" i="10"/>
  <c r="AE19" i="10"/>
  <c r="F29" i="2"/>
  <c r="K29" i="2"/>
  <c r="AY39" i="3"/>
  <c r="AB39" i="3" s="1"/>
  <c r="K47" i="2"/>
  <c r="AJ50" i="2"/>
  <c r="AL50" i="2" s="1"/>
  <c r="AL41" i="2"/>
  <c r="BC24" i="7"/>
  <c r="AB24" i="7" s="1"/>
  <c r="R24" i="7" s="1"/>
  <c r="AJ78" i="8"/>
  <c r="AL78" i="8" s="1"/>
  <c r="BA75" i="9"/>
  <c r="BC75" i="9" s="1"/>
  <c r="AB75" i="9" s="1"/>
  <c r="T76" i="9" s="1"/>
  <c r="AY124" i="9"/>
  <c r="AB124" i="9" s="1"/>
  <c r="AL30" i="2"/>
  <c r="BC49" i="7"/>
  <c r="AB49" i="7" s="1"/>
  <c r="T50" i="7" s="1"/>
  <c r="BC66" i="8"/>
  <c r="AB66" i="8" s="1"/>
  <c r="T66" i="8" s="1"/>
  <c r="BC90" i="7"/>
  <c r="AB90" i="7" s="1"/>
  <c r="T90" i="7" s="1"/>
  <c r="AL55" i="2"/>
  <c r="K55" i="2" s="1"/>
  <c r="AE67" i="4"/>
  <c r="AC54" i="4"/>
  <c r="AD54" i="4"/>
  <c r="AD69" i="4" s="1"/>
  <c r="AE52" i="4"/>
  <c r="AG52" i="4" s="1"/>
  <c r="AH52" i="4" s="1"/>
  <c r="AJ52" i="4" s="1"/>
  <c r="AC68" i="4"/>
  <c r="AG65" i="4"/>
  <c r="AH65" i="4" s="1"/>
  <c r="AJ65" i="4" s="1"/>
  <c r="AI56" i="4"/>
  <c r="D45" i="4"/>
  <c r="AF56" i="4"/>
  <c r="AV36" i="4"/>
  <c r="AW36" i="4" s="1"/>
  <c r="AX36" i="4" s="1"/>
  <c r="AY36" i="4" s="1"/>
  <c r="AZ36" i="4" s="1"/>
  <c r="BG34" i="4"/>
  <c r="AV37" i="4"/>
  <c r="BA28" i="4"/>
  <c r="K28" i="4" s="1"/>
  <c r="E52" i="4" s="1"/>
  <c r="AB56" i="4" s="1"/>
  <c r="AU28" i="4"/>
  <c r="J28" i="4" s="1"/>
  <c r="D52" i="4" s="1"/>
  <c r="AK71" i="4" s="1"/>
  <c r="AY37" i="4"/>
  <c r="BG35" i="4"/>
  <c r="AW37" i="4"/>
  <c r="AX37" i="4"/>
  <c r="BA37" i="4"/>
  <c r="AZ37" i="4"/>
  <c r="AT29" i="4"/>
  <c r="AZ29" i="4"/>
  <c r="AY29" i="4"/>
  <c r="AW29" i="4"/>
  <c r="AX29" i="4"/>
  <c r="AR29" i="4"/>
  <c r="AS29" i="4"/>
  <c r="AQ29" i="4"/>
  <c r="AN30" i="4"/>
  <c r="AO30" i="4" s="1"/>
  <c r="I29" i="4"/>
  <c r="H30" i="4"/>
  <c r="BA28" i="9"/>
  <c r="BC28" i="9" s="1"/>
  <c r="AB28" i="9" s="1"/>
  <c r="R28" i="9" s="1"/>
  <c r="BC66" i="9"/>
  <c r="AB66" i="9" s="1"/>
  <c r="T66" i="9" s="1"/>
  <c r="AE52" i="9"/>
  <c r="AF52" i="9"/>
  <c r="AE16" i="9"/>
  <c r="AF16" i="9"/>
  <c r="AE71" i="9"/>
  <c r="AF71" i="9"/>
  <c r="BA82" i="9"/>
  <c r="BC82" i="9" s="1"/>
  <c r="AB82" i="9" s="1"/>
  <c r="L81" i="9" s="1"/>
  <c r="AY123" i="9"/>
  <c r="AB123" i="9" s="1"/>
  <c r="U124" i="9" s="1"/>
  <c r="AI77" i="9"/>
  <c r="AS77" i="9" s="1"/>
  <c r="AH77" i="9"/>
  <c r="AG77" i="9"/>
  <c r="AI100" i="9"/>
  <c r="AS100" i="9" s="1"/>
  <c r="AH100" i="9"/>
  <c r="AG100" i="9"/>
  <c r="AI93" i="9"/>
  <c r="AJ93" i="9" s="1"/>
  <c r="AK93" i="9"/>
  <c r="AE19" i="9"/>
  <c r="AF19" i="9"/>
  <c r="P130" i="9"/>
  <c r="T130" i="9" s="1"/>
  <c r="P142" i="9"/>
  <c r="T142" i="9" s="1"/>
  <c r="AF59" i="9"/>
  <c r="AE59" i="9"/>
  <c r="BA117" i="8"/>
  <c r="BC117" i="8" s="1"/>
  <c r="AB117" i="8" s="1"/>
  <c r="U118" i="8" s="1"/>
  <c r="AO78" i="8"/>
  <c r="BA15" i="8"/>
  <c r="BC15" i="8" s="1"/>
  <c r="AB15" i="8" s="1"/>
  <c r="O15" i="8" s="1"/>
  <c r="BC28" i="8"/>
  <c r="AB28" i="8" s="1"/>
  <c r="R28" i="8" s="1"/>
  <c r="AE71" i="8"/>
  <c r="AF71" i="8"/>
  <c r="AI95" i="8"/>
  <c r="AS95" i="8" s="1"/>
  <c r="AH95" i="8"/>
  <c r="AG95" i="8"/>
  <c r="BC57" i="8"/>
  <c r="AB57" i="8" s="1"/>
  <c r="T58" i="8" s="1"/>
  <c r="AI88" i="8"/>
  <c r="AJ88" i="8" s="1"/>
  <c r="AK88" i="8"/>
  <c r="E56" i="8"/>
  <c r="E43" i="8" s="1"/>
  <c r="AA59" i="8"/>
  <c r="AD59" i="8" s="1"/>
  <c r="BA29" i="8"/>
  <c r="BC29" i="8" s="1"/>
  <c r="AB29" i="8" s="1"/>
  <c r="O29" i="8" s="1"/>
  <c r="AD16" i="8"/>
  <c r="L19" i="8"/>
  <c r="AA19" i="8" s="1"/>
  <c r="AD19" i="8" s="1"/>
  <c r="AH52" i="8"/>
  <c r="AI52" i="8"/>
  <c r="AS52" i="8" s="1"/>
  <c r="AG52" i="8"/>
  <c r="BB76" i="1"/>
  <c r="BD76" i="1" s="1"/>
  <c r="AC76" i="1" s="1"/>
  <c r="U76" i="1" s="1"/>
  <c r="AH78" i="1"/>
  <c r="AI78" i="1"/>
  <c r="AJ78" i="1"/>
  <c r="AT78" i="1" s="1"/>
  <c r="AH71" i="1"/>
  <c r="AI71" i="1"/>
  <c r="AJ71" i="1"/>
  <c r="AT71" i="1" s="1"/>
  <c r="AE16" i="1"/>
  <c r="BC14" i="7"/>
  <c r="AB14" i="7" s="1"/>
  <c r="O14" i="7" s="1"/>
  <c r="AY143" i="7"/>
  <c r="AB143" i="7" s="1"/>
  <c r="AY142" i="7"/>
  <c r="AB142" i="7" s="1"/>
  <c r="U143" i="7" s="1"/>
  <c r="AE71" i="7"/>
  <c r="AF71" i="7"/>
  <c r="BA14" i="7"/>
  <c r="BC25" i="7"/>
  <c r="AB25" i="7" s="1"/>
  <c r="O25" i="7" s="1"/>
  <c r="BC68" i="7"/>
  <c r="AB68" i="7" s="1"/>
  <c r="T68" i="7" s="1"/>
  <c r="BC73" i="7"/>
  <c r="AB73" i="7" s="1"/>
  <c r="O76" i="7" s="1"/>
  <c r="AH52" i="7"/>
  <c r="AO52" i="7" s="1"/>
  <c r="AG52" i="7"/>
  <c r="AI52" i="7"/>
  <c r="AS52" i="7" s="1"/>
  <c r="BC38" i="7"/>
  <c r="AB38" i="7" s="1"/>
  <c r="N39" i="7" s="1"/>
  <c r="BC141" i="7"/>
  <c r="AB141" i="7" s="1"/>
  <c r="U142" i="7" s="1"/>
  <c r="AG77" i="7"/>
  <c r="AH77" i="7"/>
  <c r="AI77" i="7"/>
  <c r="AS77" i="7" s="1"/>
  <c r="BA100" i="7"/>
  <c r="BC100" i="7" s="1"/>
  <c r="AB100" i="7" s="1"/>
  <c r="T100" i="7" s="1"/>
  <c r="AL112" i="7"/>
  <c r="AF119" i="7"/>
  <c r="AE119" i="7"/>
  <c r="BA28" i="7"/>
  <c r="BC28" i="7" s="1"/>
  <c r="AB28" i="7" s="1"/>
  <c r="R28" i="7" s="1"/>
  <c r="AE95" i="7"/>
  <c r="AF95" i="7"/>
  <c r="L19" i="7"/>
  <c r="AA19" i="7" s="1"/>
  <c r="AD19" i="7" s="1"/>
  <c r="AD16" i="7"/>
  <c r="AH59" i="7"/>
  <c r="AO59" i="7" s="1"/>
  <c r="AG59" i="7"/>
  <c r="AI59" i="7"/>
  <c r="AS59" i="7" s="1"/>
  <c r="AI102" i="7"/>
  <c r="AS102" i="7" s="1"/>
  <c r="AG102" i="7"/>
  <c r="AH102" i="7"/>
  <c r="AO102" i="7" s="1"/>
  <c r="BD15" i="1"/>
  <c r="AC15" i="1" s="1"/>
  <c r="P15" i="1" s="1"/>
  <c r="AG81" i="3"/>
  <c r="AH81" i="3"/>
  <c r="AO81" i="3" s="1"/>
  <c r="AI81" i="3"/>
  <c r="AS81" i="3" s="1"/>
  <c r="AZ80" i="3"/>
  <c r="BA80" i="3" s="1"/>
  <c r="BC80" i="3" s="1"/>
  <c r="AB80" i="3" s="1"/>
  <c r="O80" i="3" s="1"/>
  <c r="BC79" i="3"/>
  <c r="AB79" i="3" s="1"/>
  <c r="O79" i="3" s="1"/>
  <c r="BA79" i="3"/>
  <c r="AI95" i="1"/>
  <c r="AJ95" i="1"/>
  <c r="AT95" i="1" s="1"/>
  <c r="AO88" i="1"/>
  <c r="AC88" i="1" s="1"/>
  <c r="U88" i="1" s="1"/>
  <c r="BB28" i="1"/>
  <c r="BD28" i="1" s="1"/>
  <c r="AC28" i="1" s="1"/>
  <c r="S28" i="1" s="1"/>
  <c r="K33" i="2"/>
  <c r="K57" i="2"/>
  <c r="AH46" i="2"/>
  <c r="AI46" i="2" s="1"/>
  <c r="AJ46" i="2" s="1"/>
  <c r="AJ22" i="2"/>
  <c r="AL22" i="2" s="1"/>
  <c r="AH40" i="2"/>
  <c r="AI40" i="2" s="1"/>
  <c r="AJ40" i="2" s="1"/>
  <c r="K38" i="2"/>
  <c r="F54" i="2"/>
  <c r="K42" i="2"/>
  <c r="F42" i="2"/>
  <c r="F49" i="2"/>
  <c r="W87" i="2"/>
  <c r="Y87" i="2" s="1"/>
  <c r="K32" i="2"/>
  <c r="K48" i="2"/>
  <c r="AB87" i="2"/>
  <c r="F28" i="2"/>
  <c r="K28" i="2"/>
  <c r="F36" i="2"/>
  <c r="K36" i="2"/>
  <c r="F34" i="2"/>
  <c r="K34" i="2"/>
  <c r="AF71" i="3"/>
  <c r="AH71" i="3" s="1"/>
  <c r="AH70" i="3"/>
  <c r="AC44" i="3"/>
  <c r="I44" i="3" s="1"/>
  <c r="AS44" i="3"/>
  <c r="AU44" i="3" s="1"/>
  <c r="AV44" i="3" s="1"/>
  <c r="AW44" i="3" s="1"/>
  <c r="AK12" i="1"/>
  <c r="AL12" i="1" s="1"/>
  <c r="AP60" i="10" l="1"/>
  <c r="AK53" i="10"/>
  <c r="AM53" i="10" s="1"/>
  <c r="AK60" i="10"/>
  <c r="AP53" i="10"/>
  <c r="AL89" i="10"/>
  <c r="AM89" i="10"/>
  <c r="AN89" i="10" s="1"/>
  <c r="AK89" i="10"/>
  <c r="AH16" i="10"/>
  <c r="AG16" i="10"/>
  <c r="AI16" i="10"/>
  <c r="AS16" i="10" s="1"/>
  <c r="AH19" i="10"/>
  <c r="AG19" i="10"/>
  <c r="AI19" i="10"/>
  <c r="AS19" i="10" s="1"/>
  <c r="AO100" i="9"/>
  <c r="AO77" i="9"/>
  <c r="F50" i="2"/>
  <c r="K50" i="2"/>
  <c r="AM78" i="8"/>
  <c r="AN78" i="8" s="1"/>
  <c r="AQ78" i="8" s="1"/>
  <c r="AO77" i="7"/>
  <c r="AJ52" i="8"/>
  <c r="AM52" i="8" s="1"/>
  <c r="AN52" i="8" s="1"/>
  <c r="F55" i="2"/>
  <c r="AL40" i="2"/>
  <c r="K40" i="2" s="1"/>
  <c r="AJ59" i="7"/>
  <c r="AK78" i="8"/>
  <c r="AL46" i="2"/>
  <c r="AE68" i="4"/>
  <c r="AC56" i="4"/>
  <c r="AD56" i="4"/>
  <c r="AD70" i="4" s="1"/>
  <c r="AE54" i="4"/>
  <c r="AG54" i="4" s="1"/>
  <c r="AH54" i="4" s="1"/>
  <c r="AJ54" i="4" s="1"/>
  <c r="AC69" i="4"/>
  <c r="AS65" i="4"/>
  <c r="AT65" i="4" s="1"/>
  <c r="AI58" i="4"/>
  <c r="D47" i="4"/>
  <c r="AF58" i="4"/>
  <c r="BM35" i="4"/>
  <c r="BM34" i="4"/>
  <c r="BM36" i="4" s="1"/>
  <c r="BG36" i="4"/>
  <c r="BB36" i="4"/>
  <c r="BC36" i="4" s="1"/>
  <c r="BD36" i="4" s="1"/>
  <c r="BE36" i="4" s="1"/>
  <c r="BF36" i="4" s="1"/>
  <c r="BA29" i="4"/>
  <c r="K29" i="4" s="1"/>
  <c r="AU29" i="4"/>
  <c r="J29" i="4" s="1"/>
  <c r="BF37" i="4"/>
  <c r="BE37" i="4"/>
  <c r="BG37" i="4"/>
  <c r="BD37" i="4"/>
  <c r="BC37" i="4"/>
  <c r="BB37" i="4"/>
  <c r="AZ30" i="4"/>
  <c r="AY30" i="4"/>
  <c r="AX30" i="4"/>
  <c r="AW30" i="4"/>
  <c r="AS30" i="4"/>
  <c r="AT30" i="4"/>
  <c r="AR30" i="4"/>
  <c r="AQ30" i="4"/>
  <c r="AN31" i="4"/>
  <c r="AO31" i="4" s="1"/>
  <c r="I30" i="4"/>
  <c r="AI71" i="9"/>
  <c r="AS71" i="9" s="1"/>
  <c r="AH71" i="9"/>
  <c r="AG71" i="9"/>
  <c r="AJ100" i="9"/>
  <c r="AI19" i="9"/>
  <c r="AS19" i="9" s="1"/>
  <c r="AH19" i="9"/>
  <c r="AG19" i="9"/>
  <c r="AJ77" i="9"/>
  <c r="AI16" i="9"/>
  <c r="AS16" i="9" s="1"/>
  <c r="AH16" i="9"/>
  <c r="AG16" i="9"/>
  <c r="AL93" i="9"/>
  <c r="AM93" i="9" s="1"/>
  <c r="AN93" i="9" s="1"/>
  <c r="AB93" i="9" s="1"/>
  <c r="T93" i="9" s="1"/>
  <c r="AH52" i="9"/>
  <c r="AG52" i="9"/>
  <c r="AI52" i="9"/>
  <c r="AS52" i="9" s="1"/>
  <c r="AH59" i="9"/>
  <c r="AG59" i="9"/>
  <c r="AJ59" i="9" s="1"/>
  <c r="AI59" i="9"/>
  <c r="AS59" i="9" s="1"/>
  <c r="AO52" i="8"/>
  <c r="AJ95" i="8"/>
  <c r="AM95" i="8" s="1"/>
  <c r="AN95" i="8" s="1"/>
  <c r="AO95" i="8"/>
  <c r="AL52" i="8"/>
  <c r="AK52" i="8"/>
  <c r="AE16" i="8"/>
  <c r="AF16" i="8"/>
  <c r="AL88" i="8"/>
  <c r="AE59" i="8"/>
  <c r="AF59" i="8"/>
  <c r="P125" i="8"/>
  <c r="T125" i="8" s="1"/>
  <c r="P137" i="8"/>
  <c r="T137" i="8" s="1"/>
  <c r="AE19" i="8"/>
  <c r="AF19" i="8"/>
  <c r="AI71" i="8"/>
  <c r="AS71" i="8" s="1"/>
  <c r="AH71" i="8"/>
  <c r="AG71" i="8"/>
  <c r="AK78" i="1"/>
  <c r="AK71" i="1"/>
  <c r="AN71" i="1" s="1"/>
  <c r="AO71" i="1" s="1"/>
  <c r="AP71" i="1"/>
  <c r="AP78" i="1"/>
  <c r="AF16" i="1"/>
  <c r="AG16" i="1"/>
  <c r="AF19" i="7"/>
  <c r="AE19" i="7"/>
  <c r="AI119" i="7"/>
  <c r="AS119" i="7" s="1"/>
  <c r="AH119" i="7"/>
  <c r="AG119" i="7"/>
  <c r="AJ102" i="7"/>
  <c r="AJ77" i="7"/>
  <c r="AM112" i="7"/>
  <c r="AN112" i="7" s="1"/>
  <c r="AB112" i="7" s="1"/>
  <c r="T112" i="7" s="1"/>
  <c r="AI71" i="7"/>
  <c r="AS71" i="7" s="1"/>
  <c r="AH71" i="7"/>
  <c r="AO71" i="7" s="1"/>
  <c r="AG71" i="7"/>
  <c r="AJ71" i="7" s="1"/>
  <c r="AF16" i="7"/>
  <c r="AE16" i="7"/>
  <c r="AI95" i="7"/>
  <c r="AS95" i="7" s="1"/>
  <c r="AH95" i="7"/>
  <c r="AO95" i="7" s="1"/>
  <c r="AG95" i="7"/>
  <c r="AJ95" i="7" s="1"/>
  <c r="AJ52" i="7"/>
  <c r="AM59" i="7"/>
  <c r="AN59" i="7" s="1"/>
  <c r="AL59" i="7"/>
  <c r="AK59" i="7"/>
  <c r="AJ81" i="3"/>
  <c r="AM81" i="3"/>
  <c r="AN81" i="3" s="1"/>
  <c r="AK81" i="3"/>
  <c r="AL81" i="3"/>
  <c r="AK95" i="1"/>
  <c r="AM95" i="1" s="1"/>
  <c r="AP95" i="1"/>
  <c r="F40" i="2"/>
  <c r="K22" i="2"/>
  <c r="F22" i="2"/>
  <c r="F37" i="2"/>
  <c r="K37" i="2"/>
  <c r="F44" i="2"/>
  <c r="K54" i="2"/>
  <c r="F38" i="2"/>
  <c r="K49" i="2"/>
  <c r="X87" i="2"/>
  <c r="Z87" i="2"/>
  <c r="AA87" i="2" s="1"/>
  <c r="AD87" i="2" s="1"/>
  <c r="AE87" i="2" s="1"/>
  <c r="AH87" i="2" s="1"/>
  <c r="F32" i="2"/>
  <c r="F48" i="2"/>
  <c r="K52" i="2"/>
  <c r="F52" i="2"/>
  <c r="F30" i="2"/>
  <c r="K30" i="2"/>
  <c r="AI70" i="3"/>
  <c r="AJ70" i="3" s="1"/>
  <c r="AL70" i="3" s="1"/>
  <c r="AC70" i="3" s="1"/>
  <c r="P69" i="3" s="1"/>
  <c r="AK70" i="3"/>
  <c r="AB70" i="3" s="1"/>
  <c r="G69" i="3" s="1"/>
  <c r="AI71" i="3"/>
  <c r="AJ71" i="3" s="1"/>
  <c r="AL71" i="3" s="1"/>
  <c r="AC71" i="3" s="1"/>
  <c r="P71" i="3" s="1"/>
  <c r="AK71" i="3"/>
  <c r="AB71" i="3" s="1"/>
  <c r="G71" i="3" s="1"/>
  <c r="AX45" i="3"/>
  <c r="AB45" i="3" s="1"/>
  <c r="E44" i="3" s="1"/>
  <c r="AA49" i="3" s="1"/>
  <c r="AD49" i="3" s="1"/>
  <c r="AX44" i="3"/>
  <c r="AB44" i="3" s="1"/>
  <c r="L44" i="3" s="1"/>
  <c r="I48" i="1"/>
  <c r="AG51" i="1" s="1"/>
  <c r="AH51" i="1" s="1"/>
  <c r="AD51" i="1" s="1"/>
  <c r="AB52" i="1" s="1"/>
  <c r="AE52" i="1" s="1"/>
  <c r="AM12" i="1"/>
  <c r="AN12" i="1" s="1"/>
  <c r="AC12" i="1" s="1"/>
  <c r="G11" i="1" s="1"/>
  <c r="I56" i="1"/>
  <c r="AF58" i="1" s="1"/>
  <c r="AN53" i="10" l="1"/>
  <c r="AO53" i="10" s="1"/>
  <c r="AR53" i="10" s="1"/>
  <c r="AL53" i="10"/>
  <c r="AN60" i="10"/>
  <c r="AO60" i="10" s="1"/>
  <c r="AM60" i="10"/>
  <c r="AL60" i="10"/>
  <c r="AJ16" i="10"/>
  <c r="AM16" i="10" s="1"/>
  <c r="AN16" i="10" s="1"/>
  <c r="AO19" i="10"/>
  <c r="AJ19" i="10"/>
  <c r="AM19" i="10" s="1"/>
  <c r="AN19" i="10" s="1"/>
  <c r="AO16" i="10"/>
  <c r="AQ89" i="10"/>
  <c r="AP89" i="10"/>
  <c r="AP78" i="8"/>
  <c r="AL95" i="8"/>
  <c r="AO119" i="7"/>
  <c r="AJ71" i="8"/>
  <c r="AM71" i="8" s="1"/>
  <c r="AN71" i="8" s="1"/>
  <c r="AJ119" i="7"/>
  <c r="AE69" i="4"/>
  <c r="AL69" i="4"/>
  <c r="AE56" i="4"/>
  <c r="AE70" i="4" s="1"/>
  <c r="AC70" i="4"/>
  <c r="H41" i="4"/>
  <c r="AL66" i="4" s="1"/>
  <c r="AF66" i="4" s="1"/>
  <c r="G41" i="4"/>
  <c r="AL68" i="4"/>
  <c r="AF68" i="4" s="1"/>
  <c r="D49" i="4"/>
  <c r="BH36" i="4"/>
  <c r="BI36" i="4" s="1"/>
  <c r="BJ36" i="4" s="1"/>
  <c r="BK36" i="4" s="1"/>
  <c r="BL36" i="4" s="1"/>
  <c r="BS34" i="4"/>
  <c r="BN36" i="4" s="1"/>
  <c r="BO36" i="4" s="1"/>
  <c r="BP36" i="4" s="1"/>
  <c r="BQ36" i="4" s="1"/>
  <c r="BR36" i="4" s="1"/>
  <c r="D54" i="4"/>
  <c r="AK72" i="4" s="1"/>
  <c r="BS35" i="4"/>
  <c r="E54" i="4"/>
  <c r="BA30" i="4"/>
  <c r="K30" i="4" s="1"/>
  <c r="E56" i="4" s="1"/>
  <c r="AU30" i="4"/>
  <c r="J30" i="4" s="1"/>
  <c r="D56" i="4" s="1"/>
  <c r="BM37" i="4"/>
  <c r="BH37" i="4"/>
  <c r="BK37" i="4"/>
  <c r="BJ37" i="4"/>
  <c r="BI37" i="4"/>
  <c r="BL37" i="4"/>
  <c r="AT31" i="4"/>
  <c r="AZ31" i="4"/>
  <c r="AY31" i="4"/>
  <c r="AW31" i="4"/>
  <c r="AX31" i="4"/>
  <c r="AS31" i="4"/>
  <c r="AR31" i="4"/>
  <c r="AQ31" i="4"/>
  <c r="I31" i="4"/>
  <c r="AJ52" i="9"/>
  <c r="AM59" i="9"/>
  <c r="AN59" i="9" s="1"/>
  <c r="AL59" i="9"/>
  <c r="AK59" i="9"/>
  <c r="AO52" i="9"/>
  <c r="AJ16" i="9"/>
  <c r="AO59" i="9"/>
  <c r="AO16" i="9"/>
  <c r="AM77" i="9"/>
  <c r="AN77" i="9" s="1"/>
  <c r="AL77" i="9"/>
  <c r="AK77" i="9"/>
  <c r="AM100" i="9"/>
  <c r="AN100" i="9" s="1"/>
  <c r="AL100" i="9"/>
  <c r="AK100" i="9"/>
  <c r="AJ19" i="9"/>
  <c r="AJ71" i="9"/>
  <c r="AO19" i="9"/>
  <c r="AO71" i="9"/>
  <c r="AK95" i="8"/>
  <c r="AI59" i="8"/>
  <c r="AS59" i="8" s="1"/>
  <c r="AH59" i="8"/>
  <c r="AO59" i="8" s="1"/>
  <c r="AG59" i="8"/>
  <c r="AM88" i="8"/>
  <c r="AN88" i="8" s="1"/>
  <c r="AB88" i="8" s="1"/>
  <c r="T88" i="8" s="1"/>
  <c r="AP52" i="8"/>
  <c r="AQ52" i="8"/>
  <c r="AT78" i="8"/>
  <c r="AR78" i="8"/>
  <c r="AU78" i="8" s="1"/>
  <c r="AG19" i="8"/>
  <c r="AI19" i="8"/>
  <c r="AS19" i="8" s="1"/>
  <c r="AH19" i="8"/>
  <c r="AG16" i="8"/>
  <c r="AI16" i="8"/>
  <c r="AS16" i="8" s="1"/>
  <c r="AH16" i="8"/>
  <c r="AQ95" i="8"/>
  <c r="AP95" i="8"/>
  <c r="AO71" i="8"/>
  <c r="AL78" i="1"/>
  <c r="AN78" i="1"/>
  <c r="AO78" i="1" s="1"/>
  <c r="AQ78" i="1" s="1"/>
  <c r="AL71" i="1"/>
  <c r="AQ71" i="1"/>
  <c r="AR71" i="1"/>
  <c r="AH16" i="1"/>
  <c r="AJ16" i="1"/>
  <c r="AT16" i="1" s="1"/>
  <c r="AI16" i="1"/>
  <c r="AP59" i="7"/>
  <c r="AQ59" i="7"/>
  <c r="AM52" i="7"/>
  <c r="AN52" i="7" s="1"/>
  <c r="AL52" i="7"/>
  <c r="AK52" i="7"/>
  <c r="AG19" i="7"/>
  <c r="AJ19" i="7" s="1"/>
  <c r="AI19" i="7"/>
  <c r="AS19" i="7" s="1"/>
  <c r="AH19" i="7"/>
  <c r="AO19" i="7" s="1"/>
  <c r="AM77" i="7"/>
  <c r="AN77" i="7" s="1"/>
  <c r="AL77" i="7"/>
  <c r="AK77" i="7"/>
  <c r="AM95" i="7"/>
  <c r="AN95" i="7" s="1"/>
  <c r="AL95" i="7"/>
  <c r="AK95" i="7"/>
  <c r="AM102" i="7"/>
  <c r="AN102" i="7" s="1"/>
  <c r="AL102" i="7"/>
  <c r="AK102" i="7"/>
  <c r="AM119" i="7"/>
  <c r="AN119" i="7" s="1"/>
  <c r="AK119" i="7"/>
  <c r="AL119" i="7"/>
  <c r="AG16" i="7"/>
  <c r="AI16" i="7"/>
  <c r="AS16" i="7" s="1"/>
  <c r="AH16" i="7"/>
  <c r="AL71" i="7"/>
  <c r="AK71" i="7"/>
  <c r="AM71" i="7"/>
  <c r="AN71" i="7" s="1"/>
  <c r="AP81" i="3"/>
  <c r="AQ81" i="3"/>
  <c r="AN95" i="1"/>
  <c r="AO95" i="1" s="1"/>
  <c r="AR95" i="1" s="1"/>
  <c r="AS95" i="1" s="1"/>
  <c r="AV95" i="1" s="1"/>
  <c r="AL95" i="1"/>
  <c r="AF52" i="1"/>
  <c r="AG52" i="1"/>
  <c r="K46" i="2"/>
  <c r="F46" i="2"/>
  <c r="F41" i="2"/>
  <c r="F45" i="2"/>
  <c r="K45" i="2"/>
  <c r="F53" i="2"/>
  <c r="K53" i="2"/>
  <c r="K44" i="2"/>
  <c r="AG87" i="2"/>
  <c r="AC87" i="2"/>
  <c r="AI87" i="2" s="1"/>
  <c r="AJ87" i="2" s="1"/>
  <c r="F35" i="2"/>
  <c r="K35" i="2"/>
  <c r="F31" i="2"/>
  <c r="K31" i="2"/>
  <c r="F23" i="2"/>
  <c r="K23" i="2"/>
  <c r="F27" i="2"/>
  <c r="K27" i="2"/>
  <c r="AE49" i="3"/>
  <c r="AF49" i="3"/>
  <c r="AP49" i="3" s="1"/>
  <c r="AD58" i="1"/>
  <c r="AQ53" i="10" l="1"/>
  <c r="AR60" i="10"/>
  <c r="AQ60" i="10"/>
  <c r="AU53" i="10"/>
  <c r="AS53" i="10"/>
  <c r="AV53" i="10" s="1"/>
  <c r="AW53" i="10" s="1"/>
  <c r="AK16" i="10"/>
  <c r="AL16" i="10"/>
  <c r="AK19" i="10"/>
  <c r="AL19" i="10"/>
  <c r="AP19" i="10"/>
  <c r="AQ19" i="10"/>
  <c r="AR89" i="10"/>
  <c r="AU89" i="10" s="1"/>
  <c r="AV89" i="10" s="1"/>
  <c r="AT89" i="10"/>
  <c r="AP16" i="10"/>
  <c r="AQ16" i="10"/>
  <c r="AV78" i="8"/>
  <c r="AJ16" i="7"/>
  <c r="AK71" i="8"/>
  <c r="AL71" i="8"/>
  <c r="AJ16" i="8"/>
  <c r="AM16" i="8" s="1"/>
  <c r="AN16" i="8" s="1"/>
  <c r="AG56" i="4"/>
  <c r="AH56" i="4" s="1"/>
  <c r="AJ56" i="4" s="1"/>
  <c r="D51" i="4" s="1"/>
  <c r="AO16" i="7"/>
  <c r="AB60" i="4"/>
  <c r="AB58" i="4"/>
  <c r="AS66" i="4"/>
  <c r="AT66" i="4" s="1"/>
  <c r="AG66" i="4"/>
  <c r="AH66" i="4" s="1"/>
  <c r="AJ66" i="4" s="1"/>
  <c r="AS68" i="4"/>
  <c r="AT68" i="4" s="1"/>
  <c r="AG68" i="4"/>
  <c r="AH68" i="4" s="1"/>
  <c r="AJ68" i="4" s="1"/>
  <c r="AF69" i="4"/>
  <c r="AI62" i="4"/>
  <c r="AI60" i="4"/>
  <c r="AF62" i="4"/>
  <c r="AF60" i="4"/>
  <c r="BS36" i="4"/>
  <c r="BY35" i="4"/>
  <c r="BY34" i="4"/>
  <c r="BA31" i="4"/>
  <c r="K31" i="4" s="1"/>
  <c r="AU31" i="4"/>
  <c r="J31" i="4" s="1"/>
  <c r="BS37" i="4"/>
  <c r="BR37" i="4"/>
  <c r="BO37" i="4"/>
  <c r="BP37" i="4"/>
  <c r="BQ37" i="4"/>
  <c r="BN37" i="4"/>
  <c r="AQ100" i="9"/>
  <c r="AP100" i="9"/>
  <c r="AL71" i="9"/>
  <c r="AK71" i="9"/>
  <c r="AM71" i="9"/>
  <c r="AN71" i="9" s="1"/>
  <c r="AM16" i="9"/>
  <c r="AN16" i="9" s="1"/>
  <c r="AL16" i="9"/>
  <c r="AK16" i="9"/>
  <c r="AQ77" i="9"/>
  <c r="AP77" i="9"/>
  <c r="AL19" i="9"/>
  <c r="AM19" i="9"/>
  <c r="AN19" i="9" s="1"/>
  <c r="AK19" i="9"/>
  <c r="AP59" i="9"/>
  <c r="AQ59" i="9"/>
  <c r="AM52" i="9"/>
  <c r="AN52" i="9" s="1"/>
  <c r="AL52" i="9"/>
  <c r="AK52" i="9"/>
  <c r="AO19" i="8"/>
  <c r="AJ19" i="8"/>
  <c r="AL19" i="8" s="1"/>
  <c r="AQ71" i="8"/>
  <c r="AP71" i="8"/>
  <c r="AT52" i="8"/>
  <c r="AR52" i="8"/>
  <c r="AU52" i="8" s="1"/>
  <c r="AV52" i="8" s="1"/>
  <c r="AJ59" i="8"/>
  <c r="AR95" i="8"/>
  <c r="AU95" i="8" s="1"/>
  <c r="AV95" i="8" s="1"/>
  <c r="AT95" i="8"/>
  <c r="AW78" i="8"/>
  <c r="AO16" i="8"/>
  <c r="AP16" i="1"/>
  <c r="AR78" i="1"/>
  <c r="AS78" i="1" s="1"/>
  <c r="AV78" i="1" s="1"/>
  <c r="AW78" i="1" s="1"/>
  <c r="AK16" i="1"/>
  <c r="AN16" i="1" s="1"/>
  <c r="AO16" i="1" s="1"/>
  <c r="AS71" i="1"/>
  <c r="AV71" i="1" s="1"/>
  <c r="AW71" i="1" s="1"/>
  <c r="AU71" i="1"/>
  <c r="AM19" i="7"/>
  <c r="AN19" i="7" s="1"/>
  <c r="AL19" i="7"/>
  <c r="AK19" i="7"/>
  <c r="AM16" i="7"/>
  <c r="AN16" i="7" s="1"/>
  <c r="AL16" i="7"/>
  <c r="AK16" i="7"/>
  <c r="AQ95" i="7"/>
  <c r="AP95" i="7"/>
  <c r="AQ71" i="7"/>
  <c r="AP71" i="7"/>
  <c r="AQ119" i="7"/>
  <c r="AP119" i="7"/>
  <c r="AP52" i="7"/>
  <c r="AQ52" i="7"/>
  <c r="AQ77" i="7"/>
  <c r="AP77" i="7"/>
  <c r="AT59" i="7"/>
  <c r="AR59" i="7"/>
  <c r="AU59" i="7" s="1"/>
  <c r="AV59" i="7" s="1"/>
  <c r="AQ102" i="7"/>
  <c r="AP102" i="7"/>
  <c r="AT81" i="3"/>
  <c r="AR81" i="3"/>
  <c r="AU81" i="3" s="1"/>
  <c r="AV81" i="3" s="1"/>
  <c r="AU95" i="1"/>
  <c r="AQ95" i="1"/>
  <c r="AW95" i="1" s="1"/>
  <c r="AX95" i="1" s="1"/>
  <c r="AH52" i="1"/>
  <c r="AJ52" i="1"/>
  <c r="AT52" i="1" s="1"/>
  <c r="AI52" i="1"/>
  <c r="F56" i="1"/>
  <c r="AB59" i="1"/>
  <c r="AE59" i="1" s="1"/>
  <c r="K41" i="2"/>
  <c r="AG49" i="3"/>
  <c r="AI49" i="3" s="1"/>
  <c r="AL49" i="3"/>
  <c r="AL87" i="2"/>
  <c r="S87" i="2"/>
  <c r="F48" i="1"/>
  <c r="AX53" i="10" l="1"/>
  <c r="AU60" i="10"/>
  <c r="AS60" i="10"/>
  <c r="AV60" i="10" s="1"/>
  <c r="AW60" i="10" s="1"/>
  <c r="AW89" i="10"/>
  <c r="AT16" i="10"/>
  <c r="AR16" i="10"/>
  <c r="AU16" i="10" s="1"/>
  <c r="AV16" i="10" s="1"/>
  <c r="AT19" i="10"/>
  <c r="AR19" i="10"/>
  <c r="AU19" i="10" s="1"/>
  <c r="AV19" i="10" s="1"/>
  <c r="AM19" i="8"/>
  <c r="AN19" i="8" s="1"/>
  <c r="AP19" i="8" s="1"/>
  <c r="AK16" i="8"/>
  <c r="AL16" i="8"/>
  <c r="G43" i="4"/>
  <c r="AJ60" i="4"/>
  <c r="AC58" i="4"/>
  <c r="AE58" i="4" s="1"/>
  <c r="AG58" i="4" s="1"/>
  <c r="AH58" i="4" s="1"/>
  <c r="AD58" i="4"/>
  <c r="AD71" i="4" s="1"/>
  <c r="AC60" i="4"/>
  <c r="AC72" i="4" s="1"/>
  <c r="AD60" i="4"/>
  <c r="AD72" i="4" s="1"/>
  <c r="H43" i="4"/>
  <c r="AL67" i="4" s="1"/>
  <c r="AF67" i="4" s="1"/>
  <c r="AG67" i="4" s="1"/>
  <c r="AH67" i="4" s="1"/>
  <c r="AJ67" i="4" s="1"/>
  <c r="H47" i="4"/>
  <c r="G47" i="4"/>
  <c r="AS69" i="4"/>
  <c r="AT69" i="4" s="1"/>
  <c r="AG69" i="4"/>
  <c r="AH69" i="4" s="1"/>
  <c r="AJ69" i="4" s="1"/>
  <c r="AL70" i="4"/>
  <c r="AF70" i="4" s="1"/>
  <c r="CE34" i="4"/>
  <c r="CE36" i="4" s="1"/>
  <c r="AM39" i="4" s="1"/>
  <c r="AD41" i="4" s="1"/>
  <c r="D58" i="4"/>
  <c r="CE35" i="4"/>
  <c r="CE37" i="4" s="1"/>
  <c r="E58" i="4"/>
  <c r="AB62" i="4" s="1"/>
  <c r="BY36" i="4"/>
  <c r="BT36" i="4"/>
  <c r="BU36" i="4" s="1"/>
  <c r="BV36" i="4" s="1"/>
  <c r="BW36" i="4" s="1"/>
  <c r="BX36" i="4" s="1"/>
  <c r="BU37" i="4"/>
  <c r="BT37" i="4"/>
  <c r="BX37" i="4"/>
  <c r="BV37" i="4"/>
  <c r="BW37" i="4"/>
  <c r="BY37" i="4"/>
  <c r="AR100" i="9"/>
  <c r="AU100" i="9" s="1"/>
  <c r="AV100" i="9" s="1"/>
  <c r="AT100" i="9"/>
  <c r="AT77" i="9"/>
  <c r="AR77" i="9"/>
  <c r="AU77" i="9" s="1"/>
  <c r="AV77" i="9" s="1"/>
  <c r="AQ16" i="9"/>
  <c r="AP16" i="9"/>
  <c r="AP52" i="9"/>
  <c r="AQ52" i="9"/>
  <c r="AT59" i="9"/>
  <c r="AR59" i="9"/>
  <c r="AU59" i="9" s="1"/>
  <c r="AV59" i="9" s="1"/>
  <c r="AQ71" i="9"/>
  <c r="AP71" i="9"/>
  <c r="AP19" i="9"/>
  <c r="AQ19" i="9"/>
  <c r="AK19" i="8"/>
  <c r="AW95" i="8"/>
  <c r="AM59" i="8"/>
  <c r="AN59" i="8" s="1"/>
  <c r="AL59" i="8"/>
  <c r="AK59" i="8"/>
  <c r="BB78" i="8"/>
  <c r="AC78" i="8" s="1"/>
  <c r="E74" i="8" s="1"/>
  <c r="E61" i="8" s="1"/>
  <c r="AD82" i="8" s="1"/>
  <c r="AX78" i="8"/>
  <c r="AQ16" i="8"/>
  <c r="AP16" i="8"/>
  <c r="AW52" i="8"/>
  <c r="AT71" i="8"/>
  <c r="AR71" i="8"/>
  <c r="AU71" i="8" s="1"/>
  <c r="AV71" i="8" s="1"/>
  <c r="AQ19" i="8"/>
  <c r="AL16" i="1"/>
  <c r="AU78" i="1"/>
  <c r="AX78" i="1"/>
  <c r="AX71" i="1"/>
  <c r="AR16" i="1"/>
  <c r="AQ16" i="1"/>
  <c r="AW59" i="7"/>
  <c r="AT102" i="7"/>
  <c r="AR102" i="7"/>
  <c r="AU102" i="7" s="1"/>
  <c r="AV102" i="7" s="1"/>
  <c r="AQ19" i="7"/>
  <c r="AP19" i="7"/>
  <c r="AT77" i="7"/>
  <c r="AR77" i="7"/>
  <c r="AU77" i="7" s="1"/>
  <c r="AV77" i="7" s="1"/>
  <c r="AR119" i="7"/>
  <c r="AU119" i="7" s="1"/>
  <c r="AV119" i="7" s="1"/>
  <c r="AT119" i="7"/>
  <c r="AQ16" i="7"/>
  <c r="AP16" i="7"/>
  <c r="AT71" i="7"/>
  <c r="AR71" i="7"/>
  <c r="AU71" i="7" s="1"/>
  <c r="AV71" i="7" s="1"/>
  <c r="AT52" i="7"/>
  <c r="AR52" i="7"/>
  <c r="AU52" i="7" s="1"/>
  <c r="AV52" i="7" s="1"/>
  <c r="AT95" i="7"/>
  <c r="AR95" i="7"/>
  <c r="AU95" i="7" s="1"/>
  <c r="AV95" i="7" s="1"/>
  <c r="F43" i="1"/>
  <c r="Q125" i="1" s="1"/>
  <c r="U125" i="1" s="1"/>
  <c r="AW81" i="3"/>
  <c r="AK52" i="1"/>
  <c r="AN52" i="1" s="1"/>
  <c r="AO52" i="1" s="1"/>
  <c r="AP52" i="1"/>
  <c r="AY95" i="1"/>
  <c r="BC95" i="1"/>
  <c r="AD95" i="1" s="1"/>
  <c r="AF59" i="1"/>
  <c r="AG59" i="1"/>
  <c r="AH49" i="3"/>
  <c r="AJ49" i="3"/>
  <c r="AK49" i="3" s="1"/>
  <c r="AM49" i="3" s="1"/>
  <c r="AM87" i="2"/>
  <c r="AN87" i="2" s="1"/>
  <c r="AO87" i="2" s="1"/>
  <c r="AX60" i="10" l="1"/>
  <c r="BC53" i="10"/>
  <c r="AD53" i="10" s="1"/>
  <c r="F48" i="10" s="1"/>
  <c r="AY53" i="10"/>
  <c r="AW19" i="10"/>
  <c r="AW16" i="10"/>
  <c r="AX89" i="10"/>
  <c r="BB89" i="10"/>
  <c r="AC89" i="10" s="1"/>
  <c r="AD39" i="4"/>
  <c r="AE39" i="4" s="1"/>
  <c r="AF39" i="4" s="1"/>
  <c r="AG39" i="4" s="1"/>
  <c r="AH39" i="4" s="1"/>
  <c r="AI39" i="4" s="1"/>
  <c r="AE60" i="4"/>
  <c r="AE72" i="4" s="1"/>
  <c r="AJ62" i="4"/>
  <c r="AD62" i="4"/>
  <c r="AD73" i="4" s="1"/>
  <c r="AC62" i="4"/>
  <c r="AJ58" i="4"/>
  <c r="AC71" i="4"/>
  <c r="AS67" i="4"/>
  <c r="AT67" i="4" s="1"/>
  <c r="AE71" i="4"/>
  <c r="H49" i="4"/>
  <c r="G49" i="4"/>
  <c r="AS70" i="4"/>
  <c r="AT70" i="4" s="1"/>
  <c r="AG70" i="4"/>
  <c r="AH70" i="4" s="1"/>
  <c r="AJ70" i="4" s="1"/>
  <c r="BZ36" i="4"/>
  <c r="CA36" i="4" s="1"/>
  <c r="CB36" i="4" s="1"/>
  <c r="CC36" i="4" s="1"/>
  <c r="CD36" i="4" s="1"/>
  <c r="CA37" i="4"/>
  <c r="CC37" i="4"/>
  <c r="CB37" i="4"/>
  <c r="BZ37" i="4"/>
  <c r="CD37" i="4"/>
  <c r="AW77" i="9"/>
  <c r="AW59" i="9"/>
  <c r="AT52" i="9"/>
  <c r="AR52" i="9"/>
  <c r="AU52" i="9" s="1"/>
  <c r="AV52" i="9" s="1"/>
  <c r="AT71" i="9"/>
  <c r="AR71" i="9"/>
  <c r="AU71" i="9" s="1"/>
  <c r="AV71" i="9" s="1"/>
  <c r="AT16" i="9"/>
  <c r="AR16" i="9"/>
  <c r="AU16" i="9" s="1"/>
  <c r="AV16" i="9" s="1"/>
  <c r="AW100" i="9"/>
  <c r="AT19" i="9"/>
  <c r="AR19" i="9"/>
  <c r="AU19" i="9" s="1"/>
  <c r="AV19" i="9" s="1"/>
  <c r="AW71" i="8"/>
  <c r="AT19" i="8"/>
  <c r="AR19" i="8"/>
  <c r="AU19" i="8" s="1"/>
  <c r="AV19" i="8" s="1"/>
  <c r="AT16" i="8"/>
  <c r="AR16" i="8"/>
  <c r="AU16" i="8" s="1"/>
  <c r="AV16" i="8" s="1"/>
  <c r="AQ59" i="8"/>
  <c r="AP59" i="8"/>
  <c r="BB52" i="8"/>
  <c r="AC52" i="8" s="1"/>
  <c r="AX52" i="8"/>
  <c r="AY78" i="8"/>
  <c r="AZ78" i="8" s="1"/>
  <c r="AF82" i="8"/>
  <c r="AE82" i="8"/>
  <c r="M81" i="8"/>
  <c r="AX95" i="8"/>
  <c r="BB95" i="8"/>
  <c r="AC95" i="8" s="1"/>
  <c r="AY78" i="1"/>
  <c r="BC78" i="1"/>
  <c r="AD78" i="1" s="1"/>
  <c r="F74" i="1" s="1"/>
  <c r="F61" i="1" s="1"/>
  <c r="AY71" i="1"/>
  <c r="BC71" i="1"/>
  <c r="AD71" i="1" s="1"/>
  <c r="AU16" i="1"/>
  <c r="AS16" i="1"/>
  <c r="AV16" i="1" s="1"/>
  <c r="AW16" i="1" s="1"/>
  <c r="AW95" i="7"/>
  <c r="AW119" i="7"/>
  <c r="AW52" i="7"/>
  <c r="AW71" i="7"/>
  <c r="AW77" i="7"/>
  <c r="AT19" i="7"/>
  <c r="AR19" i="7"/>
  <c r="AU19" i="7" s="1"/>
  <c r="AV19" i="7" s="1"/>
  <c r="AX59" i="7"/>
  <c r="BB59" i="7"/>
  <c r="AC59" i="7" s="1"/>
  <c r="AT16" i="7"/>
  <c r="AR16" i="7"/>
  <c r="AU16" i="7" s="1"/>
  <c r="AV16" i="7" s="1"/>
  <c r="AW102" i="7"/>
  <c r="Q137" i="1"/>
  <c r="U137" i="1" s="1"/>
  <c r="BB81" i="3"/>
  <c r="AC81" i="3" s="1"/>
  <c r="I81" i="3" s="1"/>
  <c r="L85" i="3" s="1"/>
  <c r="L86" i="3" s="1"/>
  <c r="AX81" i="3"/>
  <c r="AL52" i="1"/>
  <c r="AZ95" i="1"/>
  <c r="BA95" i="1" s="1"/>
  <c r="BB95" i="1" s="1"/>
  <c r="BD95" i="1" s="1"/>
  <c r="AC95" i="1" s="1"/>
  <c r="U95" i="1" s="1"/>
  <c r="AR52" i="1"/>
  <c r="AQ52" i="1"/>
  <c r="AJ59" i="1"/>
  <c r="AT59" i="1" s="1"/>
  <c r="AH59" i="1"/>
  <c r="AI59" i="1"/>
  <c r="AP87" i="2"/>
  <c r="R87" i="2" s="1"/>
  <c r="AN49" i="3"/>
  <c r="AO49" i="3" s="1"/>
  <c r="AR49" i="3" s="1"/>
  <c r="AS49" i="3" s="1"/>
  <c r="AZ53" i="10" l="1"/>
  <c r="BA53" i="10" s="1"/>
  <c r="BB53" i="10" s="1"/>
  <c r="BD53" i="10" s="1"/>
  <c r="AC53" i="10" s="1"/>
  <c r="F52" i="10" s="1"/>
  <c r="BC60" i="10"/>
  <c r="AD60" i="10" s="1"/>
  <c r="F56" i="10" s="1"/>
  <c r="F43" i="10" s="1"/>
  <c r="AY60" i="10"/>
  <c r="AY89" i="10"/>
  <c r="AZ89" i="10" s="1"/>
  <c r="BA89" i="10" s="1"/>
  <c r="AX16" i="10"/>
  <c r="BB16" i="10"/>
  <c r="AC16" i="10" s="1"/>
  <c r="I16" i="10" s="1"/>
  <c r="AX19" i="10"/>
  <c r="BB19" i="10"/>
  <c r="AC19" i="10" s="1"/>
  <c r="I19" i="10" s="1"/>
  <c r="N81" i="10" s="1"/>
  <c r="AE85" i="10" s="1"/>
  <c r="AE82" i="1"/>
  <c r="N81" i="1" s="1"/>
  <c r="L61" i="1"/>
  <c r="AG60" i="4"/>
  <c r="AH60" i="4" s="1"/>
  <c r="AJ39" i="4"/>
  <c r="AK39" i="4" s="1"/>
  <c r="AL39" i="4" s="1"/>
  <c r="D53" i="4"/>
  <c r="G45" i="4"/>
  <c r="H45" i="4"/>
  <c r="AF73" i="4"/>
  <c r="AG73" i="4" s="1"/>
  <c r="AE62" i="4"/>
  <c r="AE73" i="4" s="1"/>
  <c r="AC73" i="4"/>
  <c r="H51" i="4"/>
  <c r="G51" i="4"/>
  <c r="AL71" i="4"/>
  <c r="AF71" i="4" s="1"/>
  <c r="D55" i="4"/>
  <c r="AX100" i="9"/>
  <c r="BB100" i="9"/>
  <c r="AC100" i="9" s="1"/>
  <c r="AW19" i="9"/>
  <c r="AW16" i="9"/>
  <c r="AX59" i="9"/>
  <c r="BB59" i="9"/>
  <c r="AC59" i="9" s="1"/>
  <c r="AD87" i="9"/>
  <c r="AW52" i="9"/>
  <c r="AX77" i="9"/>
  <c r="BB77" i="9"/>
  <c r="AC77" i="9" s="1"/>
  <c r="AW71" i="9"/>
  <c r="AW16" i="8"/>
  <c r="AT59" i="8"/>
  <c r="AR59" i="8"/>
  <c r="AU59" i="8" s="1"/>
  <c r="AV59" i="8" s="1"/>
  <c r="AW19" i="8"/>
  <c r="BB71" i="8"/>
  <c r="AC71" i="8" s="1"/>
  <c r="AX71" i="8"/>
  <c r="AY95" i="8"/>
  <c r="AZ95" i="8" s="1"/>
  <c r="BA95" i="8" s="1"/>
  <c r="BA78" i="8"/>
  <c r="BC78" i="8" s="1"/>
  <c r="AB78" i="8" s="1"/>
  <c r="E76" i="8" s="1"/>
  <c r="AG82" i="8"/>
  <c r="AY52" i="8"/>
  <c r="AZ52" i="8" s="1"/>
  <c r="BA52" i="8" s="1"/>
  <c r="AZ78" i="1"/>
  <c r="BA78" i="1" s="1"/>
  <c r="AZ71" i="1"/>
  <c r="BA71" i="1" s="1"/>
  <c r="BB71" i="1" s="1"/>
  <c r="BD71" i="1" s="1"/>
  <c r="AC71" i="1" s="1"/>
  <c r="F70" i="1" s="1"/>
  <c r="AX16" i="1"/>
  <c r="BB77" i="7"/>
  <c r="AC77" i="7" s="1"/>
  <c r="AX77" i="7"/>
  <c r="AX52" i="7"/>
  <c r="BB52" i="7"/>
  <c r="AC52" i="7" s="1"/>
  <c r="AW16" i="7"/>
  <c r="AW19" i="7"/>
  <c r="AX119" i="7"/>
  <c r="BB119" i="7"/>
  <c r="AC119" i="7" s="1"/>
  <c r="BB71" i="7"/>
  <c r="AC71" i="7" s="1"/>
  <c r="E66" i="7" s="1"/>
  <c r="E61" i="7" s="1"/>
  <c r="AX71" i="7"/>
  <c r="AY59" i="7"/>
  <c r="AZ59" i="7" s="1"/>
  <c r="BA59" i="7" s="1"/>
  <c r="BC59" i="7" s="1"/>
  <c r="AB59" i="7" s="1"/>
  <c r="E58" i="7" s="1"/>
  <c r="BB95" i="7"/>
  <c r="AC95" i="7" s="1"/>
  <c r="AX95" i="7"/>
  <c r="BB102" i="7"/>
  <c r="AC102" i="7" s="1"/>
  <c r="E98" i="7" s="1"/>
  <c r="E85" i="7" s="1"/>
  <c r="AD106" i="7" s="1"/>
  <c r="AX102" i="7"/>
  <c r="AY81" i="3"/>
  <c r="AZ81" i="3" s="1"/>
  <c r="BA81" i="3" s="1"/>
  <c r="BC81" i="3" s="1"/>
  <c r="AB81" i="3" s="1"/>
  <c r="O81" i="3" s="1"/>
  <c r="AK59" i="1"/>
  <c r="AP59" i="1"/>
  <c r="AU52" i="1"/>
  <c r="AS52" i="1"/>
  <c r="AV52" i="1" s="1"/>
  <c r="AW52" i="1" s="1"/>
  <c r="H87" i="2"/>
  <c r="AQ49" i="3"/>
  <c r="AT49" i="3"/>
  <c r="L43" i="10" l="1"/>
  <c r="AD74" i="10"/>
  <c r="M73" i="10" s="1"/>
  <c r="AZ60" i="10"/>
  <c r="BA60" i="10" s="1"/>
  <c r="BC89" i="10"/>
  <c r="AB89" i="10" s="1"/>
  <c r="T89" i="10" s="1"/>
  <c r="N115" i="10"/>
  <c r="AC85" i="10"/>
  <c r="N85" i="10" s="1"/>
  <c r="AC81" i="10"/>
  <c r="I113" i="10"/>
  <c r="AY16" i="10"/>
  <c r="AZ16" i="10" s="1"/>
  <c r="AY19" i="10"/>
  <c r="AZ19" i="10" s="1"/>
  <c r="BA19" i="10" s="1"/>
  <c r="BC19" i="10" s="1"/>
  <c r="AB19" i="10" s="1"/>
  <c r="O19" i="10" s="1"/>
  <c r="AG62" i="4"/>
  <c r="AH62" i="4" s="1"/>
  <c r="AH73" i="4"/>
  <c r="AJ73" i="4" s="1"/>
  <c r="AS71" i="4"/>
  <c r="AT71" i="4" s="1"/>
  <c r="AL72" i="4"/>
  <c r="AF72" i="4" s="1"/>
  <c r="D57" i="4"/>
  <c r="BB16" i="9"/>
  <c r="AC16" i="9" s="1"/>
  <c r="I16" i="9" s="1"/>
  <c r="AX16" i="9"/>
  <c r="AX52" i="9"/>
  <c r="BB52" i="9"/>
  <c r="AC52" i="9" s="1"/>
  <c r="BB71" i="9"/>
  <c r="AC71" i="9" s="1"/>
  <c r="E66" i="9" s="1"/>
  <c r="E61" i="9" s="1"/>
  <c r="K61" i="9" s="1"/>
  <c r="AX71" i="9"/>
  <c r="BB19" i="9"/>
  <c r="AC19" i="9" s="1"/>
  <c r="I19" i="9" s="1"/>
  <c r="N92" i="9" s="1"/>
  <c r="AX19" i="9"/>
  <c r="AF87" i="9"/>
  <c r="AE87" i="9"/>
  <c r="M86" i="9"/>
  <c r="AY77" i="9"/>
  <c r="AZ77" i="9" s="1"/>
  <c r="AY59" i="9"/>
  <c r="AZ59" i="9" s="1"/>
  <c r="AY100" i="9"/>
  <c r="AZ100" i="9" s="1"/>
  <c r="BA100" i="9" s="1"/>
  <c r="BC100" i="9" s="1"/>
  <c r="AB100" i="9" s="1"/>
  <c r="T100" i="9" s="1"/>
  <c r="BC95" i="8"/>
  <c r="AB95" i="8" s="1"/>
  <c r="T95" i="8" s="1"/>
  <c r="BC52" i="8"/>
  <c r="AB52" i="8" s="1"/>
  <c r="E52" i="8" s="1"/>
  <c r="H81" i="8"/>
  <c r="E80" i="8" s="1"/>
  <c r="AA83" i="8"/>
  <c r="AD83" i="8" s="1"/>
  <c r="BB19" i="8"/>
  <c r="AC19" i="8" s="1"/>
  <c r="I19" i="8" s="1"/>
  <c r="N87" i="8" s="1"/>
  <c r="AX19" i="8"/>
  <c r="AW59" i="8"/>
  <c r="AY71" i="8"/>
  <c r="AZ71" i="8" s="1"/>
  <c r="BB16" i="8"/>
  <c r="AC16" i="8" s="1"/>
  <c r="I16" i="8" s="1"/>
  <c r="AX16" i="8"/>
  <c r="BB78" i="1"/>
  <c r="BD78" i="1" s="1"/>
  <c r="AC78" i="1" s="1"/>
  <c r="F76" i="1" s="1"/>
  <c r="BC16" i="1"/>
  <c r="AD16" i="1" s="1"/>
  <c r="J16" i="1" s="1"/>
  <c r="M19" i="1" s="1"/>
  <c r="AY16" i="1"/>
  <c r="AZ16" i="1" s="1"/>
  <c r="BA16" i="1" s="1"/>
  <c r="BB16" i="1" s="1"/>
  <c r="BD16" i="1" s="1"/>
  <c r="AC16" i="1" s="1"/>
  <c r="P16" i="1" s="1"/>
  <c r="AY95" i="7"/>
  <c r="AZ95" i="7" s="1"/>
  <c r="BB19" i="7"/>
  <c r="AC19" i="7" s="1"/>
  <c r="I19" i="7" s="1"/>
  <c r="N111" i="7" s="1"/>
  <c r="AX19" i="7"/>
  <c r="BA71" i="7"/>
  <c r="AY71" i="7"/>
  <c r="AZ71" i="7" s="1"/>
  <c r="AY102" i="7"/>
  <c r="AZ102" i="7" s="1"/>
  <c r="BB16" i="7"/>
  <c r="AC16" i="7" s="1"/>
  <c r="I16" i="7" s="1"/>
  <c r="AX16" i="7"/>
  <c r="AF106" i="7"/>
  <c r="AE106" i="7"/>
  <c r="AG106" i="7" s="1"/>
  <c r="M105" i="7"/>
  <c r="AY52" i="7"/>
  <c r="AZ52" i="7" s="1"/>
  <c r="AY77" i="7"/>
  <c r="AZ77" i="7" s="1"/>
  <c r="BA77" i="7" s="1"/>
  <c r="AY119" i="7"/>
  <c r="AZ119" i="7" s="1"/>
  <c r="BA119" i="7" s="1"/>
  <c r="BC119" i="7" s="1"/>
  <c r="AB119" i="7" s="1"/>
  <c r="T119" i="7" s="1"/>
  <c r="AN59" i="1"/>
  <c r="AO59" i="1" s="1"/>
  <c r="AQ59" i="1" s="1"/>
  <c r="AL59" i="1"/>
  <c r="AX52" i="1"/>
  <c r="AC49" i="3"/>
  <c r="AU49" i="3"/>
  <c r="AV49" i="3" s="1"/>
  <c r="AW49" i="3" s="1"/>
  <c r="AX49" i="3" s="1"/>
  <c r="AY49" i="3" s="1"/>
  <c r="AB49" i="3" s="1"/>
  <c r="T20" i="2"/>
  <c r="AE74" i="10" l="1"/>
  <c r="AF74" i="10"/>
  <c r="BB60" i="10"/>
  <c r="BD60" i="10" s="1"/>
  <c r="AC60" i="10" s="1"/>
  <c r="F58" i="10" s="1"/>
  <c r="BA16" i="10"/>
  <c r="BC16" i="10" s="1"/>
  <c r="AB16" i="10" s="1"/>
  <c r="O16" i="10" s="1"/>
  <c r="AI85" i="10"/>
  <c r="AJ85" i="10" s="1"/>
  <c r="AK85" i="10"/>
  <c r="AK81" i="10"/>
  <c r="AI81" i="10"/>
  <c r="AJ81" i="10" s="1"/>
  <c r="AG87" i="9"/>
  <c r="H86" i="9" s="1"/>
  <c r="E85" i="9" s="1"/>
  <c r="BC77" i="7"/>
  <c r="AB77" i="7" s="1"/>
  <c r="E76" i="7" s="1"/>
  <c r="BA52" i="7"/>
  <c r="BC52" i="7" s="1"/>
  <c r="AB52" i="7" s="1"/>
  <c r="E52" i="7" s="1"/>
  <c r="BC71" i="7"/>
  <c r="AB71" i="7" s="1"/>
  <c r="E70" i="7" s="1"/>
  <c r="AG71" i="4"/>
  <c r="H53" i="4"/>
  <c r="AS72" i="4"/>
  <c r="AT72" i="4" s="1"/>
  <c r="AG72" i="4"/>
  <c r="AH72" i="4" s="1"/>
  <c r="AJ72" i="4" s="1"/>
  <c r="BA59" i="9"/>
  <c r="BC59" i="9" s="1"/>
  <c r="AB59" i="9" s="1"/>
  <c r="E58" i="9" s="1"/>
  <c r="AY19" i="9"/>
  <c r="AZ19" i="9" s="1"/>
  <c r="BA19" i="9" s="1"/>
  <c r="AY71" i="9"/>
  <c r="AZ71" i="9" s="1"/>
  <c r="BA71" i="9" s="1"/>
  <c r="N126" i="9"/>
  <c r="AE96" i="9"/>
  <c r="AC96" i="9" s="1"/>
  <c r="AC92" i="9"/>
  <c r="I124" i="9"/>
  <c r="BA77" i="9"/>
  <c r="BC77" i="9" s="1"/>
  <c r="AB77" i="9" s="1"/>
  <c r="E76" i="9" s="1"/>
  <c r="AY52" i="9"/>
  <c r="AZ52" i="9" s="1"/>
  <c r="BA52" i="9" s="1"/>
  <c r="BC52" i="9" s="1"/>
  <c r="AB52" i="9" s="1"/>
  <c r="E52" i="9" s="1"/>
  <c r="AY16" i="9"/>
  <c r="AZ16" i="9" s="1"/>
  <c r="BA16" i="9" s="1"/>
  <c r="BC16" i="9" s="1"/>
  <c r="AB16" i="9" s="1"/>
  <c r="O16" i="9" s="1"/>
  <c r="AY19" i="8"/>
  <c r="AZ19" i="8" s="1"/>
  <c r="AF83" i="8"/>
  <c r="AE83" i="8"/>
  <c r="BA71" i="8"/>
  <c r="BC71" i="8" s="1"/>
  <c r="AB71" i="8" s="1"/>
  <c r="E70" i="8" s="1"/>
  <c r="P139" i="8"/>
  <c r="P127" i="8"/>
  <c r="N121" i="8"/>
  <c r="AE91" i="8"/>
  <c r="AC91" i="8" s="1"/>
  <c r="AC87" i="8"/>
  <c r="I119" i="8"/>
  <c r="AY16" i="8"/>
  <c r="AZ16" i="8" s="1"/>
  <c r="BB59" i="8"/>
  <c r="AC59" i="8" s="1"/>
  <c r="AX59" i="8"/>
  <c r="L70" i="2"/>
  <c r="Q70" i="2" s="1"/>
  <c r="AB19" i="1"/>
  <c r="AE19" i="1" s="1"/>
  <c r="AY16" i="7"/>
  <c r="AZ16" i="7" s="1"/>
  <c r="AY19" i="7"/>
  <c r="AZ19" i="7" s="1"/>
  <c r="N145" i="7"/>
  <c r="AE115" i="7"/>
  <c r="AC115" i="7" s="1"/>
  <c r="AC111" i="7"/>
  <c r="I143" i="7"/>
  <c r="AA107" i="7"/>
  <c r="AD107" i="7" s="1"/>
  <c r="H105" i="7"/>
  <c r="E104" i="7" s="1"/>
  <c r="BA102" i="7"/>
  <c r="BC102" i="7" s="1"/>
  <c r="AB102" i="7" s="1"/>
  <c r="E100" i="7" s="1"/>
  <c r="BA95" i="7"/>
  <c r="BC95" i="7" s="1"/>
  <c r="AB95" i="7" s="1"/>
  <c r="E94" i="7" s="1"/>
  <c r="AR59" i="1"/>
  <c r="AS59" i="1" s="1"/>
  <c r="AV59" i="1" s="1"/>
  <c r="AW59" i="1" s="1"/>
  <c r="AY52" i="1"/>
  <c r="BC52" i="1"/>
  <c r="AD52" i="1" s="1"/>
  <c r="F20" i="2"/>
  <c r="AG74" i="10" l="1"/>
  <c r="H73" i="10" s="1"/>
  <c r="E72" i="10" s="1"/>
  <c r="AB93" i="10"/>
  <c r="AC93" i="10" s="1"/>
  <c r="AE93" i="10" s="1"/>
  <c r="AE95" i="10" s="1"/>
  <c r="AC95" i="10" s="1"/>
  <c r="Q85" i="10"/>
  <c r="AE90" i="10" s="1"/>
  <c r="AC90" i="10" s="1"/>
  <c r="AL81" i="10"/>
  <c r="AL85" i="10"/>
  <c r="AC120" i="10"/>
  <c r="H119" i="10" s="1"/>
  <c r="AA88" i="9"/>
  <c r="AD88" i="9" s="1"/>
  <c r="AF88" i="9" s="1"/>
  <c r="AU65" i="4"/>
  <c r="AU66" i="4" s="1"/>
  <c r="BC19" i="9"/>
  <c r="AB19" i="9" s="1"/>
  <c r="O19" i="9" s="1"/>
  <c r="BC71" i="9"/>
  <c r="AB71" i="9" s="1"/>
  <c r="E70" i="9" s="1"/>
  <c r="AH71" i="4"/>
  <c r="AJ71" i="4" s="1"/>
  <c r="G53" i="4" s="1"/>
  <c r="H55" i="4"/>
  <c r="G55" i="4"/>
  <c r="AK92" i="9"/>
  <c r="AI92" i="9"/>
  <c r="AJ92" i="9" s="1"/>
  <c r="AI96" i="9"/>
  <c r="AJ96" i="9" s="1"/>
  <c r="AK96" i="9"/>
  <c r="N96" i="9"/>
  <c r="P144" i="9"/>
  <c r="P132" i="9"/>
  <c r="BA16" i="8"/>
  <c r="BC16" i="8" s="1"/>
  <c r="AB16" i="8" s="1"/>
  <c r="O16" i="8" s="1"/>
  <c r="AY59" i="8"/>
  <c r="AZ59" i="8" s="1"/>
  <c r="AI91" i="8"/>
  <c r="AJ91" i="8" s="1"/>
  <c r="AK91" i="8"/>
  <c r="N91" i="8"/>
  <c r="AK87" i="8"/>
  <c r="AI87" i="8"/>
  <c r="AJ87" i="8" s="1"/>
  <c r="BA19" i="8"/>
  <c r="BC19" i="8" s="1"/>
  <c r="AB19" i="8" s="1"/>
  <c r="O19" i="8" s="1"/>
  <c r="T127" i="8"/>
  <c r="AE125" i="8" s="1"/>
  <c r="AE126" i="8" s="1"/>
  <c r="AH83" i="8"/>
  <c r="AG83" i="8"/>
  <c r="AI83" i="8"/>
  <c r="AS83" i="8" s="1"/>
  <c r="K147" i="8"/>
  <c r="J147" i="8"/>
  <c r="K148" i="8" s="1"/>
  <c r="T139" i="8"/>
  <c r="AG19" i="1"/>
  <c r="AF19" i="1"/>
  <c r="V70" i="2"/>
  <c r="AF70" i="2" s="1"/>
  <c r="U70" i="2"/>
  <c r="T70" i="2"/>
  <c r="BA19" i="7"/>
  <c r="BC19" i="7" s="1"/>
  <c r="AB19" i="7" s="1"/>
  <c r="O19" i="7" s="1"/>
  <c r="P151" i="7"/>
  <c r="P163" i="7"/>
  <c r="AF107" i="7"/>
  <c r="AE107" i="7"/>
  <c r="BA16" i="7"/>
  <c r="BC16" i="7" s="1"/>
  <c r="AB16" i="7" s="1"/>
  <c r="O16" i="7" s="1"/>
  <c r="AK111" i="7"/>
  <c r="AI111" i="7"/>
  <c r="AJ111" i="7" s="1"/>
  <c r="AI115" i="7"/>
  <c r="AJ115" i="7" s="1"/>
  <c r="AK115" i="7"/>
  <c r="N115" i="7"/>
  <c r="AU59" i="1"/>
  <c r="AZ52" i="1"/>
  <c r="BA52" i="1" s="1"/>
  <c r="BB52" i="1" s="1"/>
  <c r="BD52" i="1" s="1"/>
  <c r="AC52" i="1" s="1"/>
  <c r="F52" i="1" s="1"/>
  <c r="AX59" i="1"/>
  <c r="AA75" i="10" l="1"/>
  <c r="AD75" i="10" s="1"/>
  <c r="AF75" i="10" s="1"/>
  <c r="P124" i="10"/>
  <c r="T124" i="10" s="1"/>
  <c r="P132" i="10"/>
  <c r="T132" i="10" s="1"/>
  <c r="AF124" i="10"/>
  <c r="AC124" i="10" s="1"/>
  <c r="AA121" i="10"/>
  <c r="AD121" i="10" s="1"/>
  <c r="AE121" i="10" s="1"/>
  <c r="AM81" i="10"/>
  <c r="AN81" i="10" s="1"/>
  <c r="AB81" i="10" s="1"/>
  <c r="T81" i="10" s="1"/>
  <c r="N90" i="10"/>
  <c r="AK90" i="10"/>
  <c r="AI90" i="10"/>
  <c r="AJ90" i="10" s="1"/>
  <c r="N95" i="10"/>
  <c r="AK95" i="10"/>
  <c r="AI95" i="10"/>
  <c r="AJ95" i="10" s="1"/>
  <c r="AM85" i="10"/>
  <c r="AN85" i="10" s="1"/>
  <c r="AB85" i="10" s="1"/>
  <c r="T85" i="10" s="1"/>
  <c r="AB70" i="2"/>
  <c r="AE88" i="9"/>
  <c r="AV65" i="4"/>
  <c r="AX65" i="4" s="1"/>
  <c r="AY65" i="4" s="1"/>
  <c r="AC42" i="4" s="1"/>
  <c r="AV66" i="4"/>
  <c r="AU67" i="4"/>
  <c r="AU68" i="4" s="1"/>
  <c r="AH88" i="9"/>
  <c r="AG88" i="9"/>
  <c r="AI88" i="9"/>
  <c r="AS88" i="9" s="1"/>
  <c r="K152" i="9"/>
  <c r="J152" i="9"/>
  <c r="K153" i="9" s="1"/>
  <c r="T144" i="9"/>
  <c r="AB104" i="9"/>
  <c r="AC104" i="9" s="1"/>
  <c r="AE104" i="9" s="1"/>
  <c r="AE106" i="9" s="1"/>
  <c r="AC106" i="9" s="1"/>
  <c r="Q96" i="9"/>
  <c r="AE101" i="9" s="1"/>
  <c r="AC101" i="9" s="1"/>
  <c r="AL96" i="9"/>
  <c r="AM96" i="9" s="1"/>
  <c r="AN92" i="9"/>
  <c r="AB92" i="9" s="1"/>
  <c r="T92" i="9" s="1"/>
  <c r="T132" i="9"/>
  <c r="AE130" i="9" s="1"/>
  <c r="AE131" i="9" s="1"/>
  <c r="AL92" i="9"/>
  <c r="AM92" i="9"/>
  <c r="AO83" i="8"/>
  <c r="AL91" i="8"/>
  <c r="AM91" i="8" s="1"/>
  <c r="AN91" i="8" s="1"/>
  <c r="AB91" i="8" s="1"/>
  <c r="T91" i="8" s="1"/>
  <c r="AJ83" i="8"/>
  <c r="AB99" i="8"/>
  <c r="AC99" i="8" s="1"/>
  <c r="AE99" i="8" s="1"/>
  <c r="AE101" i="8" s="1"/>
  <c r="AC101" i="8" s="1"/>
  <c r="Q91" i="8"/>
  <c r="AE96" i="8" s="1"/>
  <c r="AC96" i="8" s="1"/>
  <c r="AF126" i="8"/>
  <c r="AC126" i="8" s="1"/>
  <c r="H125" i="8" s="1"/>
  <c r="AA129" i="8" s="1"/>
  <c r="AD129" i="8" s="1"/>
  <c r="AE135" i="8"/>
  <c r="AE136" i="8" s="1"/>
  <c r="AF136" i="8" s="1"/>
  <c r="AC136" i="8" s="1"/>
  <c r="H137" i="8" s="1"/>
  <c r="BA59" i="8"/>
  <c r="BC59" i="8" s="1"/>
  <c r="AB59" i="8" s="1"/>
  <c r="E58" i="8" s="1"/>
  <c r="AL87" i="8"/>
  <c r="AM87" i="8" s="1"/>
  <c r="W70" i="2"/>
  <c r="X70" i="2" s="1"/>
  <c r="AH19" i="1"/>
  <c r="AJ19" i="1"/>
  <c r="AT19" i="1" s="1"/>
  <c r="AI19" i="1"/>
  <c r="AH107" i="7"/>
  <c r="AG107" i="7"/>
  <c r="AJ107" i="7" s="1"/>
  <c r="AI107" i="7"/>
  <c r="AS107" i="7" s="1"/>
  <c r="AB123" i="7"/>
  <c r="AC123" i="7" s="1"/>
  <c r="AE123" i="7" s="1"/>
  <c r="AE125" i="7" s="1"/>
  <c r="AC125" i="7" s="1"/>
  <c r="Q115" i="7"/>
  <c r="AE120" i="7" s="1"/>
  <c r="AC120" i="7" s="1"/>
  <c r="K171" i="7"/>
  <c r="J171" i="7"/>
  <c r="K172" i="7" s="1"/>
  <c r="T163" i="7"/>
  <c r="AL115" i="7"/>
  <c r="AM115" i="7" s="1"/>
  <c r="AN115" i="7" s="1"/>
  <c r="AB115" i="7" s="1"/>
  <c r="T115" i="7" s="1"/>
  <c r="T151" i="7"/>
  <c r="AE149" i="7" s="1"/>
  <c r="AE150" i="7" s="1"/>
  <c r="AL111" i="7"/>
  <c r="BC59" i="1"/>
  <c r="AD59" i="1" s="1"/>
  <c r="AY59" i="1"/>
  <c r="AZ59" i="1" s="1"/>
  <c r="BA59" i="1" s="1"/>
  <c r="BB59" i="1" s="1"/>
  <c r="BD59" i="1" s="1"/>
  <c r="AC59" i="1" s="1"/>
  <c r="F58" i="1" s="1"/>
  <c r="AF82" i="1"/>
  <c r="AG82" i="1"/>
  <c r="AE75" i="10" l="1"/>
  <c r="H123" i="10"/>
  <c r="AA125" i="10"/>
  <c r="AD125" i="10" s="1"/>
  <c r="AG75" i="10"/>
  <c r="AH75" i="10"/>
  <c r="AI75" i="10"/>
  <c r="AS75" i="10" s="1"/>
  <c r="AF121" i="10"/>
  <c r="AH121" i="10" s="1"/>
  <c r="AL95" i="10"/>
  <c r="R78" i="10"/>
  <c r="AC78" i="10" s="1"/>
  <c r="AE108" i="10"/>
  <c r="AC108" i="10" s="1"/>
  <c r="AL90" i="10"/>
  <c r="N104" i="10"/>
  <c r="N102" i="10"/>
  <c r="AN96" i="9"/>
  <c r="AB96" i="9" s="1"/>
  <c r="T96" i="9" s="1"/>
  <c r="AW65" i="4"/>
  <c r="AC43" i="4" s="1"/>
  <c r="AX66" i="4"/>
  <c r="AY66" i="4" s="1"/>
  <c r="AD42" i="4" s="1"/>
  <c r="AV67" i="4"/>
  <c r="AM111" i="7"/>
  <c r="AN111" i="7" s="1"/>
  <c r="AB111" i="7" s="1"/>
  <c r="T111" i="7" s="1"/>
  <c r="AJ88" i="9"/>
  <c r="AL88" i="9" s="1"/>
  <c r="AV68" i="4"/>
  <c r="AF131" i="9"/>
  <c r="AC131" i="9" s="1"/>
  <c r="H130" i="9" s="1"/>
  <c r="AA134" i="9" s="1"/>
  <c r="AD134" i="9" s="1"/>
  <c r="AE140" i="9"/>
  <c r="AE141" i="9" s="1"/>
  <c r="AF141" i="9" s="1"/>
  <c r="AC141" i="9" s="1"/>
  <c r="H142" i="9" s="1"/>
  <c r="N101" i="9"/>
  <c r="AK101" i="9"/>
  <c r="AI101" i="9"/>
  <c r="AJ101" i="9" s="1"/>
  <c r="AO88" i="9"/>
  <c r="N106" i="9"/>
  <c r="AK106" i="9"/>
  <c r="AI106" i="9"/>
  <c r="AJ106" i="9" s="1"/>
  <c r="AN87" i="8"/>
  <c r="AB87" i="8" s="1"/>
  <c r="T87" i="8" s="1"/>
  <c r="N101" i="8"/>
  <c r="AK101" i="8"/>
  <c r="AI101" i="8"/>
  <c r="AJ101" i="8" s="1"/>
  <c r="AM83" i="8"/>
  <c r="AN83" i="8" s="1"/>
  <c r="AL83" i="8"/>
  <c r="AK83" i="8"/>
  <c r="AA140" i="8"/>
  <c r="AD140" i="8" s="1"/>
  <c r="S147" i="8"/>
  <c r="AA141" i="8" s="1"/>
  <c r="AE129" i="8"/>
  <c r="AF129" i="8"/>
  <c r="N96" i="8"/>
  <c r="AK96" i="8"/>
  <c r="AI96" i="8"/>
  <c r="AJ96" i="8" s="1"/>
  <c r="Y70" i="2"/>
  <c r="Z70" i="2"/>
  <c r="AA70" i="2" s="1"/>
  <c r="AC70" i="2" s="1"/>
  <c r="I70" i="2" s="1"/>
  <c r="AK19" i="1"/>
  <c r="AP19" i="1"/>
  <c r="N120" i="7"/>
  <c r="AK120" i="7"/>
  <c r="AI120" i="7"/>
  <c r="AJ120" i="7" s="1"/>
  <c r="N125" i="7"/>
  <c r="AK125" i="7"/>
  <c r="AI125" i="7"/>
  <c r="AJ125" i="7" s="1"/>
  <c r="AF150" i="7"/>
  <c r="AC150" i="7" s="1"/>
  <c r="H149" i="7" s="1"/>
  <c r="AA153" i="7" s="1"/>
  <c r="AD153" i="7" s="1"/>
  <c r="AE159" i="7"/>
  <c r="AE160" i="7" s="1"/>
  <c r="AF160" i="7" s="1"/>
  <c r="AC160" i="7" s="1"/>
  <c r="H161" i="7" s="1"/>
  <c r="AM107" i="7"/>
  <c r="AN107" i="7" s="1"/>
  <c r="AL107" i="7"/>
  <c r="AK107" i="7"/>
  <c r="AO107" i="7"/>
  <c r="AH82" i="1"/>
  <c r="I81" i="1" s="1"/>
  <c r="F80" i="1" s="1"/>
  <c r="AE125" i="10" l="1"/>
  <c r="AF125" i="10"/>
  <c r="AO75" i="10"/>
  <c r="AJ75" i="10"/>
  <c r="AM75" i="10" s="1"/>
  <c r="AN75" i="10" s="1"/>
  <c r="AI121" i="10"/>
  <c r="AS121" i="10" s="1"/>
  <c r="AG121" i="10"/>
  <c r="AJ121" i="10" s="1"/>
  <c r="AM90" i="10"/>
  <c r="AN90" i="10" s="1"/>
  <c r="AB90" i="10" s="1"/>
  <c r="T90" i="10" s="1"/>
  <c r="AM95" i="10"/>
  <c r="AN95" i="10" s="1"/>
  <c r="AB95" i="10" s="1"/>
  <c r="T95" i="10" s="1"/>
  <c r="AA109" i="10"/>
  <c r="AD109" i="10" s="1"/>
  <c r="N108" i="10"/>
  <c r="AK108" i="10"/>
  <c r="AI108" i="10"/>
  <c r="AJ108" i="10" s="1"/>
  <c r="AK78" i="10"/>
  <c r="AI78" i="10"/>
  <c r="AJ78" i="10" s="1"/>
  <c r="AD70" i="2"/>
  <c r="AE70" i="2" s="1"/>
  <c r="AH70" i="2" s="1"/>
  <c r="AI70" i="2" s="1"/>
  <c r="AL19" i="1"/>
  <c r="AM88" i="9"/>
  <c r="AN88" i="9" s="1"/>
  <c r="AK88" i="9"/>
  <c r="AX67" i="4"/>
  <c r="AY67" i="4" s="1"/>
  <c r="AE42" i="4" s="1"/>
  <c r="AW66" i="4"/>
  <c r="AW67" i="4" s="1"/>
  <c r="AW68" i="4" s="1"/>
  <c r="AN19" i="1"/>
  <c r="AO19" i="1" s="1"/>
  <c r="AR19" i="1" s="1"/>
  <c r="AL101" i="9"/>
  <c r="N115" i="9"/>
  <c r="N113" i="9"/>
  <c r="AL106" i="9"/>
  <c r="AM106" i="9" s="1"/>
  <c r="AN106" i="9" s="1"/>
  <c r="AB106" i="9" s="1"/>
  <c r="T106" i="9" s="1"/>
  <c r="AP88" i="9"/>
  <c r="AQ88" i="9"/>
  <c r="R89" i="9"/>
  <c r="AC89" i="9" s="1"/>
  <c r="AE119" i="9"/>
  <c r="AC119" i="9" s="1"/>
  <c r="AA145" i="9"/>
  <c r="AD145" i="9" s="1"/>
  <c r="S152" i="9"/>
  <c r="AA146" i="9" s="1"/>
  <c r="AE134" i="9"/>
  <c r="AF134" i="9"/>
  <c r="AE140" i="8"/>
  <c r="AF140" i="8"/>
  <c r="AL96" i="8"/>
  <c r="AM96" i="8" s="1"/>
  <c r="AN96" i="8" s="1"/>
  <c r="AB96" i="8" s="1"/>
  <c r="T96" i="8" s="1"/>
  <c r="AP83" i="8"/>
  <c r="AQ83" i="8"/>
  <c r="AI129" i="8"/>
  <c r="AS129" i="8" s="1"/>
  <c r="AH129" i="8"/>
  <c r="AG129" i="8"/>
  <c r="AL101" i="8"/>
  <c r="AM101" i="8" s="1"/>
  <c r="AN101" i="8" s="1"/>
  <c r="AB101" i="8" s="1"/>
  <c r="T101" i="8" s="1"/>
  <c r="AF141" i="8"/>
  <c r="AP141" i="8" s="1"/>
  <c r="AE141" i="8"/>
  <c r="AD141" i="8"/>
  <c r="N110" i="8"/>
  <c r="N108" i="8"/>
  <c r="R84" i="8"/>
  <c r="AC84" i="8" s="1"/>
  <c r="AE114" i="8"/>
  <c r="AC114" i="8" s="1"/>
  <c r="AA164" i="7"/>
  <c r="AD164" i="7" s="1"/>
  <c r="S171" i="7"/>
  <c r="AA165" i="7" s="1"/>
  <c r="AE153" i="7"/>
  <c r="AF153" i="7"/>
  <c r="AL125" i="7"/>
  <c r="R108" i="7"/>
  <c r="AC108" i="7" s="1"/>
  <c r="AE138" i="7"/>
  <c r="AC138" i="7" s="1"/>
  <c r="AL120" i="7"/>
  <c r="AP107" i="7"/>
  <c r="AQ107" i="7"/>
  <c r="N132" i="7"/>
  <c r="N134" i="7"/>
  <c r="AB83" i="1"/>
  <c r="AE83" i="1" s="1"/>
  <c r="AH125" i="10" l="1"/>
  <c r="AG125" i="10"/>
  <c r="AI125" i="10"/>
  <c r="AS125" i="10" s="1"/>
  <c r="AL75" i="10"/>
  <c r="AK75" i="10"/>
  <c r="AQ75" i="10"/>
  <c r="AP75" i="10"/>
  <c r="AO121" i="10"/>
  <c r="AL108" i="10"/>
  <c r="I80" i="10"/>
  <c r="E78" i="10"/>
  <c r="P128" i="10" s="1"/>
  <c r="AF109" i="10"/>
  <c r="AE109" i="10"/>
  <c r="AM121" i="10"/>
  <c r="AN121" i="10" s="1"/>
  <c r="AL121" i="10"/>
  <c r="AK121" i="10"/>
  <c r="AL78" i="10"/>
  <c r="AM78" i="10" s="1"/>
  <c r="AQ19" i="1"/>
  <c r="AG70" i="2"/>
  <c r="AO129" i="8"/>
  <c r="AX68" i="4"/>
  <c r="AY68" i="4" s="1"/>
  <c r="AF42" i="4" s="1"/>
  <c r="AE43" i="4"/>
  <c r="AD43" i="4"/>
  <c r="AF43" i="4"/>
  <c r="AF146" i="9"/>
  <c r="AP146" i="9" s="1"/>
  <c r="AE146" i="9"/>
  <c r="AD146" i="9"/>
  <c r="AA120" i="9"/>
  <c r="AD120" i="9" s="1"/>
  <c r="N119" i="9"/>
  <c r="AK119" i="9"/>
  <c r="AI119" i="9"/>
  <c r="AJ119" i="9" s="1"/>
  <c r="AE145" i="9"/>
  <c r="AF145" i="9"/>
  <c r="AK89" i="9"/>
  <c r="AI89" i="9"/>
  <c r="AJ89" i="9" s="1"/>
  <c r="AT88" i="9"/>
  <c r="AR88" i="9"/>
  <c r="AU88" i="9" s="1"/>
  <c r="AV88" i="9" s="1"/>
  <c r="AM101" i="9"/>
  <c r="AN101" i="9" s="1"/>
  <c r="AB101" i="9" s="1"/>
  <c r="T101" i="9" s="1"/>
  <c r="AI134" i="9"/>
  <c r="AS134" i="9" s="1"/>
  <c r="AH134" i="9"/>
  <c r="AG134" i="9"/>
  <c r="AG141" i="8"/>
  <c r="AH141" i="8" s="1"/>
  <c r="AL141" i="8"/>
  <c r="AT83" i="8"/>
  <c r="AR83" i="8"/>
  <c r="AU83" i="8" s="1"/>
  <c r="AV83" i="8" s="1"/>
  <c r="AK84" i="8"/>
  <c r="AI84" i="8"/>
  <c r="AJ84" i="8" s="1"/>
  <c r="AA115" i="8"/>
  <c r="AD115" i="8" s="1"/>
  <c r="N114" i="8"/>
  <c r="AK114" i="8"/>
  <c r="AI114" i="8"/>
  <c r="AJ114" i="8" s="1"/>
  <c r="AJ129" i="8"/>
  <c r="AI140" i="8"/>
  <c r="AS140" i="8" s="1"/>
  <c r="AH140" i="8"/>
  <c r="AG140" i="8"/>
  <c r="AJ70" i="2"/>
  <c r="AU19" i="1"/>
  <c r="AS19" i="1"/>
  <c r="AV19" i="1" s="1"/>
  <c r="AW19" i="1" s="1"/>
  <c r="AK108" i="7"/>
  <c r="AI108" i="7"/>
  <c r="AJ108" i="7" s="1"/>
  <c r="AT107" i="7"/>
  <c r="AR107" i="7"/>
  <c r="AU107" i="7" s="1"/>
  <c r="AV107" i="7" s="1"/>
  <c r="AM125" i="7"/>
  <c r="AN125" i="7" s="1"/>
  <c r="AB125" i="7" s="1"/>
  <c r="T125" i="7" s="1"/>
  <c r="AM120" i="7"/>
  <c r="AN120" i="7" s="1"/>
  <c r="AB120" i="7" s="1"/>
  <c r="T120" i="7" s="1"/>
  <c r="AI153" i="7"/>
  <c r="AS153" i="7" s="1"/>
  <c r="AH153" i="7"/>
  <c r="AG153" i="7"/>
  <c r="AF165" i="7"/>
  <c r="AP165" i="7" s="1"/>
  <c r="AE165" i="7"/>
  <c r="AD165" i="7"/>
  <c r="AG165" i="7" s="1"/>
  <c r="AA139" i="7"/>
  <c r="AD139" i="7" s="1"/>
  <c r="N138" i="7"/>
  <c r="AK138" i="7"/>
  <c r="AI138" i="7"/>
  <c r="AJ138" i="7" s="1"/>
  <c r="AE164" i="7"/>
  <c r="AF164" i="7"/>
  <c r="Q127" i="1"/>
  <c r="Q139" i="1"/>
  <c r="L147" i="1" s="1"/>
  <c r="AG83" i="1"/>
  <c r="AF83" i="1"/>
  <c r="AJ125" i="10" l="1"/>
  <c r="AL125" i="10" s="1"/>
  <c r="AO125" i="10"/>
  <c r="AK125" i="10"/>
  <c r="AM125" i="10"/>
  <c r="AN125" i="10" s="1"/>
  <c r="AR75" i="10"/>
  <c r="AU75" i="10" s="1"/>
  <c r="AV75" i="10" s="1"/>
  <c r="AW75" i="10" s="1"/>
  <c r="AT75" i="10"/>
  <c r="T128" i="10"/>
  <c r="H127" i="10"/>
  <c r="AE132" i="10" s="1"/>
  <c r="AD132" i="10" s="1"/>
  <c r="H131" i="10" s="1"/>
  <c r="AQ121" i="10"/>
  <c r="AP121" i="10"/>
  <c r="AN78" i="10"/>
  <c r="U78" i="10" s="1"/>
  <c r="AI109" i="10"/>
  <c r="AS109" i="10" s="1"/>
  <c r="AH109" i="10"/>
  <c r="AG109" i="10"/>
  <c r="AO153" i="7"/>
  <c r="AL146" i="9"/>
  <c r="AM108" i="10"/>
  <c r="AN108" i="10" s="1"/>
  <c r="AB108" i="10" s="1"/>
  <c r="AO140" i="8"/>
  <c r="AG146" i="9"/>
  <c r="AJ134" i="9"/>
  <c r="AM134" i="9" s="1"/>
  <c r="AN134" i="9" s="1"/>
  <c r="AO134" i="9"/>
  <c r="AL119" i="9"/>
  <c r="AM119" i="9" s="1"/>
  <c r="AN119" i="9" s="1"/>
  <c r="AB119" i="9" s="1"/>
  <c r="AW88" i="9"/>
  <c r="I91" i="9"/>
  <c r="E89" i="9"/>
  <c r="H134" i="9" s="1"/>
  <c r="AF120" i="9"/>
  <c r="AE120" i="9"/>
  <c r="AL89" i="9"/>
  <c r="AM89" i="9" s="1"/>
  <c r="AN89" i="9" s="1"/>
  <c r="U89" i="9" s="1"/>
  <c r="AH146" i="9"/>
  <c r="AJ146" i="9"/>
  <c r="AK146" i="9" s="1"/>
  <c r="AI146" i="9"/>
  <c r="AI145" i="9"/>
  <c r="AS145" i="9" s="1"/>
  <c r="AH145" i="9"/>
  <c r="AG145" i="9"/>
  <c r="AI141" i="8"/>
  <c r="AJ141" i="8"/>
  <c r="AK141" i="8" s="1"/>
  <c r="AN141" i="8" s="1"/>
  <c r="AL165" i="7"/>
  <c r="AL114" i="8"/>
  <c r="I86" i="8"/>
  <c r="E84" i="8"/>
  <c r="H129" i="8" s="1"/>
  <c r="AM129" i="8"/>
  <c r="AN129" i="8" s="1"/>
  <c r="AL129" i="8"/>
  <c r="AK129" i="8"/>
  <c r="AF115" i="8"/>
  <c r="AE115" i="8"/>
  <c r="AJ140" i="8"/>
  <c r="AL84" i="8"/>
  <c r="AM84" i="8" s="1"/>
  <c r="AN84" i="8" s="1"/>
  <c r="U84" i="8" s="1"/>
  <c r="AW83" i="8"/>
  <c r="AX19" i="1"/>
  <c r="AL70" i="2"/>
  <c r="S70" i="2"/>
  <c r="AF139" i="7"/>
  <c r="AE139" i="7"/>
  <c r="AW107" i="7"/>
  <c r="AH165" i="7"/>
  <c r="AI165" i="7"/>
  <c r="AJ165" i="7"/>
  <c r="AK165" i="7" s="1"/>
  <c r="AI164" i="7"/>
  <c r="AS164" i="7" s="1"/>
  <c r="AH164" i="7"/>
  <c r="AG164" i="7"/>
  <c r="AJ153" i="7"/>
  <c r="AL108" i="7"/>
  <c r="AM108" i="7" s="1"/>
  <c r="AN108" i="7" s="1"/>
  <c r="U108" i="7" s="1"/>
  <c r="AL138" i="7"/>
  <c r="AM138" i="7" s="1"/>
  <c r="I110" i="7"/>
  <c r="E108" i="7"/>
  <c r="H153" i="7" s="1"/>
  <c r="U139" i="1"/>
  <c r="K147" i="1"/>
  <c r="L148" i="1" s="1"/>
  <c r="U127" i="1"/>
  <c r="AF125" i="1" s="1"/>
  <c r="AF126" i="1" s="1"/>
  <c r="AF135" i="1" s="1"/>
  <c r="AF136" i="1" s="1"/>
  <c r="AG136" i="1" s="1"/>
  <c r="AD136" i="1" s="1"/>
  <c r="I137" i="1" s="1"/>
  <c r="AJ83" i="1"/>
  <c r="AT83" i="1" s="1"/>
  <c r="AI83" i="1"/>
  <c r="AH83" i="1"/>
  <c r="AP125" i="10" l="1"/>
  <c r="AQ125" i="10"/>
  <c r="AC128" i="10"/>
  <c r="AX75" i="10"/>
  <c r="AY75" i="10" s="1"/>
  <c r="AZ75" i="10" s="1"/>
  <c r="BB75" i="10"/>
  <c r="AC75" i="10" s="1"/>
  <c r="AA128" i="10"/>
  <c r="AE128" i="10" s="1"/>
  <c r="AA133" i="10"/>
  <c r="AD133" i="10" s="1"/>
  <c r="P133" i="10"/>
  <c r="T133" i="10" s="1"/>
  <c r="AJ109" i="10"/>
  <c r="AM109" i="10" s="1"/>
  <c r="AN109" i="10" s="1"/>
  <c r="AT121" i="10"/>
  <c r="AR121" i="10"/>
  <c r="AU121" i="10" s="1"/>
  <c r="AV121" i="10" s="1"/>
  <c r="AO109" i="10"/>
  <c r="AK134" i="9"/>
  <c r="AL134" i="9"/>
  <c r="AM141" i="8"/>
  <c r="AJ145" i="9"/>
  <c r="AL145" i="9" s="1"/>
  <c r="AO145" i="9"/>
  <c r="AI120" i="9"/>
  <c r="AS120" i="9" s="1"/>
  <c r="AH120" i="9"/>
  <c r="AO120" i="9" s="1"/>
  <c r="AG120" i="9"/>
  <c r="AJ120" i="9" s="1"/>
  <c r="AQ134" i="9"/>
  <c r="AP134" i="9"/>
  <c r="AC135" i="9"/>
  <c r="AA135" i="9"/>
  <c r="S135" i="9"/>
  <c r="AN146" i="9"/>
  <c r="AM146" i="9"/>
  <c r="AX88" i="9"/>
  <c r="BB88" i="9"/>
  <c r="AC88" i="9" s="1"/>
  <c r="AO164" i="7"/>
  <c r="AC130" i="8"/>
  <c r="AA130" i="8"/>
  <c r="S130" i="8"/>
  <c r="AQ129" i="8"/>
  <c r="AP129" i="8"/>
  <c r="AO141" i="8"/>
  <c r="AR141" i="8" s="1"/>
  <c r="AS141" i="8" s="1"/>
  <c r="AQ141" i="8"/>
  <c r="AM140" i="8"/>
  <c r="AN140" i="8" s="1"/>
  <c r="AL140" i="8"/>
  <c r="AK140" i="8"/>
  <c r="AX83" i="8"/>
  <c r="BB83" i="8"/>
  <c r="AC83" i="8" s="1"/>
  <c r="AI115" i="8"/>
  <c r="AS115" i="8" s="1"/>
  <c r="AH115" i="8"/>
  <c r="AO115" i="8" s="1"/>
  <c r="AG115" i="8"/>
  <c r="AM114" i="8"/>
  <c r="AN114" i="8" s="1"/>
  <c r="AB114" i="8" s="1"/>
  <c r="AJ164" i="7"/>
  <c r="AM164" i="7" s="1"/>
  <c r="AN164" i="7" s="1"/>
  <c r="AM70" i="2"/>
  <c r="AN70" i="2" s="1"/>
  <c r="AO70" i="2" s="1"/>
  <c r="BC19" i="1"/>
  <c r="AD19" i="1" s="1"/>
  <c r="J19" i="1" s="1"/>
  <c r="O87" i="1" s="1"/>
  <c r="J119" i="1" s="1"/>
  <c r="AY19" i="1"/>
  <c r="AZ19" i="1" s="1"/>
  <c r="BA19" i="1" s="1"/>
  <c r="BB19" i="1" s="1"/>
  <c r="BD19" i="1" s="1"/>
  <c r="AC19" i="1" s="1"/>
  <c r="P19" i="1" s="1"/>
  <c r="AN165" i="7"/>
  <c r="AM165" i="7"/>
  <c r="AC154" i="7"/>
  <c r="AA154" i="7"/>
  <c r="S154" i="7"/>
  <c r="AM153" i="7"/>
  <c r="AN153" i="7" s="1"/>
  <c r="AL153" i="7"/>
  <c r="AK153" i="7"/>
  <c r="AN138" i="7"/>
  <c r="AB138" i="7" s="1"/>
  <c r="AX107" i="7"/>
  <c r="BB107" i="7"/>
  <c r="AC107" i="7" s="1"/>
  <c r="AI139" i="7"/>
  <c r="AS139" i="7" s="1"/>
  <c r="AH139" i="7"/>
  <c r="AG139" i="7"/>
  <c r="T147" i="1"/>
  <c r="AB141" i="1" s="1"/>
  <c r="AB140" i="1"/>
  <c r="AE140" i="1" s="1"/>
  <c r="AG126" i="1"/>
  <c r="AD126" i="1" s="1"/>
  <c r="I125" i="1" s="1"/>
  <c r="AB129" i="1" s="1"/>
  <c r="AE129" i="1" s="1"/>
  <c r="AG129" i="1" s="1"/>
  <c r="AK83" i="1"/>
  <c r="AN83" i="1" s="1"/>
  <c r="AO83" i="1" s="1"/>
  <c r="AP83" i="1"/>
  <c r="AT125" i="10" l="1"/>
  <c r="AR125" i="10"/>
  <c r="AU125" i="10" s="1"/>
  <c r="AV125" i="10" s="1"/>
  <c r="AE133" i="10"/>
  <c r="AF133" i="10"/>
  <c r="BA75" i="10"/>
  <c r="BC75" i="10" s="1"/>
  <c r="AB75" i="10" s="1"/>
  <c r="H74" i="10" s="1"/>
  <c r="AF128" i="10"/>
  <c r="AP128" i="10" s="1"/>
  <c r="AD128" i="10"/>
  <c r="AK109" i="10"/>
  <c r="AL109" i="10"/>
  <c r="AQ109" i="10"/>
  <c r="AP109" i="10"/>
  <c r="AW121" i="10"/>
  <c r="AM145" i="9"/>
  <c r="AN145" i="9" s="1"/>
  <c r="AQ145" i="9" s="1"/>
  <c r="AK145" i="9"/>
  <c r="AJ139" i="7"/>
  <c r="AM139" i="7" s="1"/>
  <c r="AN139" i="7" s="1"/>
  <c r="AO139" i="7"/>
  <c r="AP70" i="2"/>
  <c r="R70" i="2" s="1"/>
  <c r="AK164" i="7"/>
  <c r="AL164" i="7"/>
  <c r="AY88" i="9"/>
  <c r="AZ88" i="9" s="1"/>
  <c r="X135" i="9"/>
  <c r="U135" i="9"/>
  <c r="AE135" i="9"/>
  <c r="AD135" i="9"/>
  <c r="AF135" i="9"/>
  <c r="AP135" i="9" s="1"/>
  <c r="AP145" i="9"/>
  <c r="AT134" i="9"/>
  <c r="AR134" i="9"/>
  <c r="AU134" i="9" s="1"/>
  <c r="AV134" i="9" s="1"/>
  <c r="AO146" i="9"/>
  <c r="AR146" i="9" s="1"/>
  <c r="AS146" i="9" s="1"/>
  <c r="AQ146" i="9"/>
  <c r="AM120" i="9"/>
  <c r="AN120" i="9" s="1"/>
  <c r="AL120" i="9"/>
  <c r="AK120" i="9"/>
  <c r="AT141" i="8"/>
  <c r="AU141" i="8" s="1"/>
  <c r="AT129" i="8"/>
  <c r="AR129" i="8"/>
  <c r="AU129" i="8" s="1"/>
  <c r="AV129" i="8" s="1"/>
  <c r="AY83" i="8"/>
  <c r="AZ83" i="8" s="1"/>
  <c r="BA83" i="8" s="1"/>
  <c r="X130" i="8"/>
  <c r="U130" i="8"/>
  <c r="AE130" i="8"/>
  <c r="AD130" i="8"/>
  <c r="AF130" i="8"/>
  <c r="AP130" i="8" s="1"/>
  <c r="AQ140" i="8"/>
  <c r="AP140" i="8"/>
  <c r="AJ115" i="8"/>
  <c r="O121" i="1"/>
  <c r="J116" i="1" s="1"/>
  <c r="AD87" i="1"/>
  <c r="AF91" i="1"/>
  <c r="AD91" i="1" s="1"/>
  <c r="AQ153" i="7"/>
  <c r="AP153" i="7"/>
  <c r="AY107" i="7"/>
  <c r="AZ107" i="7" s="1"/>
  <c r="X154" i="7"/>
  <c r="U154" i="7"/>
  <c r="AE154" i="7"/>
  <c r="AD154" i="7"/>
  <c r="AF154" i="7"/>
  <c r="AP154" i="7" s="1"/>
  <c r="AL139" i="7"/>
  <c r="AQ164" i="7"/>
  <c r="AP164" i="7"/>
  <c r="AO165" i="7"/>
  <c r="AR165" i="7" s="1"/>
  <c r="AS165" i="7" s="1"/>
  <c r="AQ165" i="7"/>
  <c r="AG140" i="1"/>
  <c r="AF140" i="1"/>
  <c r="AE141" i="1"/>
  <c r="AF141" i="1"/>
  <c r="AG141" i="1"/>
  <c r="AQ141" i="1" s="1"/>
  <c r="AF129" i="1"/>
  <c r="AJ129" i="1"/>
  <c r="AT129" i="1" s="1"/>
  <c r="AH129" i="1"/>
  <c r="AI129" i="1"/>
  <c r="AL83" i="1"/>
  <c r="AR83" i="1"/>
  <c r="AQ83" i="1"/>
  <c r="AW125" i="10" l="1"/>
  <c r="AI133" i="10"/>
  <c r="AS133" i="10" s="1"/>
  <c r="AH133" i="10"/>
  <c r="AG133" i="10"/>
  <c r="AL128" i="10"/>
  <c r="AG128" i="10"/>
  <c r="AH128" i="10" s="1"/>
  <c r="AR109" i="10"/>
  <c r="AU109" i="10" s="1"/>
  <c r="AV109" i="10" s="1"/>
  <c r="AT109" i="10"/>
  <c r="BB121" i="10"/>
  <c r="AC121" i="10" s="1"/>
  <c r="AX121" i="10"/>
  <c r="AL135" i="9"/>
  <c r="AK139" i="7"/>
  <c r="AG154" i="7"/>
  <c r="AT146" i="9"/>
  <c r="AU146" i="9" s="1"/>
  <c r="AW134" i="9"/>
  <c r="AT145" i="9"/>
  <c r="AR145" i="9"/>
  <c r="AU145" i="9" s="1"/>
  <c r="AV145" i="9" s="1"/>
  <c r="BA88" i="9"/>
  <c r="BC88" i="9" s="1"/>
  <c r="AB88" i="9" s="1"/>
  <c r="H87" i="9" s="1"/>
  <c r="AQ120" i="9"/>
  <c r="AP120" i="9"/>
  <c r="AG135" i="9"/>
  <c r="AW129" i="8"/>
  <c r="AT140" i="8"/>
  <c r="AR140" i="8"/>
  <c r="AU140" i="8" s="1"/>
  <c r="AV140" i="8" s="1"/>
  <c r="AL130" i="8"/>
  <c r="AV141" i="8"/>
  <c r="AW141" i="8" s="1"/>
  <c r="AG130" i="8"/>
  <c r="AM115" i="8"/>
  <c r="AN115" i="8" s="1"/>
  <c r="AL115" i="8"/>
  <c r="AK115" i="8"/>
  <c r="BC83" i="8"/>
  <c r="AB83" i="8" s="1"/>
  <c r="H82" i="8" s="1"/>
  <c r="O91" i="1"/>
  <c r="AL91" i="1"/>
  <c r="AJ91" i="1"/>
  <c r="AK91" i="1" s="1"/>
  <c r="AJ87" i="1"/>
  <c r="AK87" i="1" s="1"/>
  <c r="AL87" i="1"/>
  <c r="AM87" i="1" s="1"/>
  <c r="AN87" i="1" s="1"/>
  <c r="AT164" i="7"/>
  <c r="AR164" i="7"/>
  <c r="AU164" i="7" s="1"/>
  <c r="AV164" i="7" s="1"/>
  <c r="AQ139" i="7"/>
  <c r="AP139" i="7"/>
  <c r="BA107" i="7"/>
  <c r="BC107" i="7" s="1"/>
  <c r="AB107" i="7" s="1"/>
  <c r="H106" i="7" s="1"/>
  <c r="AT165" i="7"/>
  <c r="AU165" i="7" s="1"/>
  <c r="AJ154" i="7"/>
  <c r="AK154" i="7" s="1"/>
  <c r="AI154" i="7"/>
  <c r="AH154" i="7"/>
  <c r="AT153" i="7"/>
  <c r="AR153" i="7"/>
  <c r="AU153" i="7" s="1"/>
  <c r="AV153" i="7" s="1"/>
  <c r="AL154" i="7"/>
  <c r="AM141" i="1"/>
  <c r="AH141" i="1"/>
  <c r="AJ140" i="1"/>
  <c r="AT140" i="1" s="1"/>
  <c r="AI140" i="1"/>
  <c r="AH140" i="1"/>
  <c r="AP129" i="1"/>
  <c r="AK129" i="1"/>
  <c r="AM129" i="1" s="1"/>
  <c r="AU83" i="1"/>
  <c r="AS83" i="1"/>
  <c r="AV83" i="1" s="1"/>
  <c r="AW83" i="1" s="1"/>
  <c r="AJ133" i="10" l="1"/>
  <c r="AO133" i="10"/>
  <c r="BB125" i="10"/>
  <c r="AC125" i="10" s="1"/>
  <c r="AX125" i="10"/>
  <c r="AL133" i="10"/>
  <c r="AM133" i="10"/>
  <c r="AN133" i="10" s="1"/>
  <c r="AK133" i="10"/>
  <c r="AI128" i="10"/>
  <c r="AJ128" i="10"/>
  <c r="AK128" i="10" s="1"/>
  <c r="AM128" i="10" s="1"/>
  <c r="AW109" i="10"/>
  <c r="AY121" i="10"/>
  <c r="AZ121" i="10" s="1"/>
  <c r="BA121" i="10" s="1"/>
  <c r="BC121" i="10" s="1"/>
  <c r="AB121" i="10" s="1"/>
  <c r="H121" i="10" s="1"/>
  <c r="AW145" i="9"/>
  <c r="BB134" i="9"/>
  <c r="AC134" i="9" s="1"/>
  <c r="AX134" i="9"/>
  <c r="AR120" i="9"/>
  <c r="AU120" i="9" s="1"/>
  <c r="AV120" i="9" s="1"/>
  <c r="AT120" i="9"/>
  <c r="AV146" i="9"/>
  <c r="AW146" i="9" s="1"/>
  <c r="AX146" i="9" s="1"/>
  <c r="AJ135" i="9"/>
  <c r="AK135" i="9" s="1"/>
  <c r="AI135" i="9"/>
  <c r="AH135" i="9"/>
  <c r="AW140" i="8"/>
  <c r="AX141" i="8"/>
  <c r="AY141" i="8" s="1"/>
  <c r="AB141" i="8" s="1"/>
  <c r="S148" i="8" s="1"/>
  <c r="BB129" i="8"/>
  <c r="AC129" i="8" s="1"/>
  <c r="AX129" i="8"/>
  <c r="AQ115" i="8"/>
  <c r="AP115" i="8"/>
  <c r="AJ130" i="8"/>
  <c r="AK130" i="8" s="1"/>
  <c r="AI130" i="8"/>
  <c r="AH130" i="8"/>
  <c r="AO87" i="1"/>
  <c r="AC87" i="1" s="1"/>
  <c r="U87" i="1" s="1"/>
  <c r="AM91" i="1"/>
  <c r="AN91" i="1" s="1"/>
  <c r="R91" i="1"/>
  <c r="AF96" i="1" s="1"/>
  <c r="AD96" i="1" s="1"/>
  <c r="AC99" i="1"/>
  <c r="AD99" i="1" s="1"/>
  <c r="AF99" i="1" s="1"/>
  <c r="AF101" i="1" s="1"/>
  <c r="AD101" i="1" s="1"/>
  <c r="AW164" i="7"/>
  <c r="AM154" i="7"/>
  <c r="AN154" i="7"/>
  <c r="AR139" i="7"/>
  <c r="AU139" i="7" s="1"/>
  <c r="AV139" i="7" s="1"/>
  <c r="AT139" i="7"/>
  <c r="AV165" i="7"/>
  <c r="AW165" i="7" s="1"/>
  <c r="AX165" i="7" s="1"/>
  <c r="AW153" i="7"/>
  <c r="AK140" i="1"/>
  <c r="AM140" i="1" s="1"/>
  <c r="AP140" i="1"/>
  <c r="AJ141" i="1"/>
  <c r="AI141" i="1"/>
  <c r="AK141" i="1"/>
  <c r="AL141" i="1" s="1"/>
  <c r="AN129" i="1"/>
  <c r="AO129" i="1" s="1"/>
  <c r="AL129" i="1"/>
  <c r="AX83" i="1"/>
  <c r="AY125" i="10" l="1"/>
  <c r="AZ125" i="10" s="1"/>
  <c r="BA125" i="10" s="1"/>
  <c r="BC125" i="10" s="1"/>
  <c r="AB125" i="10" s="1"/>
  <c r="H125" i="10" s="1"/>
  <c r="AQ133" i="10"/>
  <c r="AP133" i="10"/>
  <c r="AN128" i="10"/>
  <c r="AO128" i="10" s="1"/>
  <c r="AR128" i="10" s="1"/>
  <c r="AS128" i="10" s="1"/>
  <c r="AX109" i="10"/>
  <c r="BB109" i="10"/>
  <c r="AC109" i="10" s="1"/>
  <c r="AY165" i="7"/>
  <c r="AB165" i="7" s="1"/>
  <c r="S172" i="7" s="1"/>
  <c r="AY146" i="9"/>
  <c r="AB146" i="9" s="1"/>
  <c r="S153" i="9" s="1"/>
  <c r="AW120" i="9"/>
  <c r="AM135" i="9"/>
  <c r="AN135" i="9"/>
  <c r="BB145" i="9"/>
  <c r="AC145" i="9" s="1"/>
  <c r="AX145" i="9"/>
  <c r="AY134" i="9"/>
  <c r="AZ134" i="9" s="1"/>
  <c r="AY129" i="8"/>
  <c r="AZ129" i="8" s="1"/>
  <c r="AM130" i="8"/>
  <c r="AN130" i="8"/>
  <c r="BB140" i="8"/>
  <c r="AC140" i="8" s="1"/>
  <c r="AX140" i="8"/>
  <c r="AR115" i="8"/>
  <c r="AU115" i="8" s="1"/>
  <c r="AV115" i="8" s="1"/>
  <c r="AT115" i="8"/>
  <c r="AO91" i="1"/>
  <c r="AC91" i="1" s="1"/>
  <c r="U91" i="1" s="1"/>
  <c r="AJ101" i="1"/>
  <c r="AK101" i="1" s="1"/>
  <c r="O101" i="1"/>
  <c r="AL101" i="1"/>
  <c r="AM101" i="1" s="1"/>
  <c r="AN101" i="1" s="1"/>
  <c r="AJ96" i="1"/>
  <c r="AK96" i="1" s="1"/>
  <c r="AL96" i="1"/>
  <c r="O96" i="1"/>
  <c r="AW139" i="7"/>
  <c r="AQ154" i="7"/>
  <c r="AO154" i="7"/>
  <c r="AR154" i="7" s="1"/>
  <c r="AS154" i="7" s="1"/>
  <c r="BB164" i="7"/>
  <c r="AC164" i="7" s="1"/>
  <c r="AX164" i="7"/>
  <c r="BB153" i="7"/>
  <c r="AC153" i="7" s="1"/>
  <c r="AX153" i="7"/>
  <c r="AN140" i="1"/>
  <c r="AO140" i="1" s="1"/>
  <c r="AQ140" i="1" s="1"/>
  <c r="AL140" i="1"/>
  <c r="AO141" i="1"/>
  <c r="AN141" i="1"/>
  <c r="AR129" i="1"/>
  <c r="AQ129" i="1"/>
  <c r="AY83" i="1"/>
  <c r="BC83" i="1"/>
  <c r="AD83" i="1" s="1"/>
  <c r="AT133" i="10" l="1"/>
  <c r="AR133" i="10"/>
  <c r="AU133" i="10" s="1"/>
  <c r="AV133" i="10" s="1"/>
  <c r="AQ128" i="10"/>
  <c r="AT128" i="10"/>
  <c r="AU128" i="10" s="1"/>
  <c r="AY109" i="10"/>
  <c r="AZ109" i="10" s="1"/>
  <c r="BA134" i="9"/>
  <c r="BC134" i="9" s="1"/>
  <c r="AB134" i="9" s="1"/>
  <c r="H132" i="9" s="1"/>
  <c r="AY145" i="9"/>
  <c r="AZ145" i="9" s="1"/>
  <c r="AQ135" i="9"/>
  <c r="AO135" i="9"/>
  <c r="AR135" i="9" s="1"/>
  <c r="AS135" i="9" s="1"/>
  <c r="AX120" i="9"/>
  <c r="BB120" i="9"/>
  <c r="AC120" i="9" s="1"/>
  <c r="AY140" i="8"/>
  <c r="AZ140" i="8" s="1"/>
  <c r="BA140" i="8" s="1"/>
  <c r="BC140" i="8" s="1"/>
  <c r="AB140" i="8" s="1"/>
  <c r="H139" i="8" s="1"/>
  <c r="BA129" i="8"/>
  <c r="BC129" i="8" s="1"/>
  <c r="AB129" i="8" s="1"/>
  <c r="H127" i="8" s="1"/>
  <c r="AQ130" i="8"/>
  <c r="AO130" i="8"/>
  <c r="AR130" i="8" s="1"/>
  <c r="AS130" i="8" s="1"/>
  <c r="AW115" i="8"/>
  <c r="AM96" i="1"/>
  <c r="AN96" i="1" s="1"/>
  <c r="AO96" i="1" s="1"/>
  <c r="AC96" i="1" s="1"/>
  <c r="U96" i="1" s="1"/>
  <c r="O108" i="1"/>
  <c r="O110" i="1"/>
  <c r="S84" i="1"/>
  <c r="AD84" i="1" s="1"/>
  <c r="AF114" i="1"/>
  <c r="AD114" i="1" s="1"/>
  <c r="O114" i="1" s="1"/>
  <c r="F84" i="1" s="1"/>
  <c r="AO101" i="1"/>
  <c r="AC101" i="1" s="1"/>
  <c r="U101" i="1" s="1"/>
  <c r="AT154" i="7"/>
  <c r="AU154" i="7" s="1"/>
  <c r="AV154" i="7"/>
  <c r="AW154" i="7" s="1"/>
  <c r="AX154" i="7" s="1"/>
  <c r="AY164" i="7"/>
  <c r="AZ164" i="7" s="1"/>
  <c r="BA164" i="7" s="1"/>
  <c r="AX139" i="7"/>
  <c r="BB139" i="7"/>
  <c r="AC139" i="7" s="1"/>
  <c r="AY153" i="7"/>
  <c r="AZ153" i="7" s="1"/>
  <c r="AR140" i="1"/>
  <c r="AU140" i="1" s="1"/>
  <c r="AP141" i="1"/>
  <c r="AS141" i="1" s="1"/>
  <c r="AT141" i="1" s="1"/>
  <c r="AR141" i="1"/>
  <c r="AU129" i="1"/>
  <c r="AS129" i="1"/>
  <c r="AV129" i="1" s="1"/>
  <c r="AW129" i="1" s="1"/>
  <c r="AX129" i="1" s="1"/>
  <c r="AZ83" i="1"/>
  <c r="BA83" i="1" s="1"/>
  <c r="BB83" i="1" s="1"/>
  <c r="BD83" i="1" s="1"/>
  <c r="AC83" i="1" s="1"/>
  <c r="I82" i="1" s="1"/>
  <c r="AW133" i="10" l="1"/>
  <c r="BA109" i="10"/>
  <c r="BC109" i="10" s="1"/>
  <c r="AB109" i="10" s="1"/>
  <c r="T108" i="10" s="1"/>
  <c r="AV128" i="10"/>
  <c r="AW128" i="10" s="1"/>
  <c r="AX128" i="10" s="1"/>
  <c r="AT135" i="9"/>
  <c r="AU135" i="9" s="1"/>
  <c r="AY120" i="9"/>
  <c r="AZ120" i="9" s="1"/>
  <c r="BA145" i="9"/>
  <c r="BC145" i="9" s="1"/>
  <c r="AB145" i="9" s="1"/>
  <c r="H144" i="9" s="1"/>
  <c r="AT130" i="8"/>
  <c r="AU130" i="8" s="1"/>
  <c r="AX115" i="8"/>
  <c r="BB115" i="8"/>
  <c r="AC115" i="8" s="1"/>
  <c r="AL84" i="1"/>
  <c r="AM84" i="1" s="1"/>
  <c r="AN84" i="1" s="1"/>
  <c r="AJ84" i="1"/>
  <c r="AK84" i="1" s="1"/>
  <c r="AB115" i="1"/>
  <c r="AE115" i="1" s="1"/>
  <c r="AJ114" i="1"/>
  <c r="AK114" i="1" s="1"/>
  <c r="AL114" i="1"/>
  <c r="AM114" i="1" s="1"/>
  <c r="AN114" i="1" s="1"/>
  <c r="AY139" i="7"/>
  <c r="AZ139" i="7" s="1"/>
  <c r="BA139" i="7" s="1"/>
  <c r="BC164" i="7"/>
  <c r="AB164" i="7" s="1"/>
  <c r="H163" i="7" s="1"/>
  <c r="BA153" i="7"/>
  <c r="BC153" i="7" s="1"/>
  <c r="AB153" i="7" s="1"/>
  <c r="H151" i="7" s="1"/>
  <c r="AY154" i="7"/>
  <c r="AB154" i="7" s="1"/>
  <c r="H155" i="7" s="1"/>
  <c r="AS140" i="1"/>
  <c r="AV140" i="1" s="1"/>
  <c r="AW140" i="1" s="1"/>
  <c r="AX140" i="1" s="1"/>
  <c r="AU141" i="1"/>
  <c r="AV141" i="1" s="1"/>
  <c r="AW141" i="1" s="1"/>
  <c r="AX141" i="1" s="1"/>
  <c r="AY141" i="1" s="1"/>
  <c r="AY129" i="1"/>
  <c r="AZ129" i="1" s="1"/>
  <c r="BA129" i="1" s="1"/>
  <c r="BB129" i="1" s="1"/>
  <c r="BD129" i="1" s="1"/>
  <c r="AC129" i="1" s="1"/>
  <c r="I127" i="1" s="1"/>
  <c r="BC129" i="1"/>
  <c r="AD129" i="1" s="1"/>
  <c r="BB133" i="10" l="1"/>
  <c r="AX133" i="10"/>
  <c r="AY128" i="10"/>
  <c r="AB128" i="10" s="1"/>
  <c r="H129" i="10" s="1"/>
  <c r="AO84" i="1"/>
  <c r="V84" i="1" s="1"/>
  <c r="BC139" i="7"/>
  <c r="AB139" i="7" s="1"/>
  <c r="T138" i="7" s="1"/>
  <c r="BA120" i="9"/>
  <c r="BC120" i="9" s="1"/>
  <c r="AB120" i="9" s="1"/>
  <c r="T119" i="9" s="1"/>
  <c r="AV135" i="9"/>
  <c r="AW135" i="9" s="1"/>
  <c r="AX135" i="9" s="1"/>
  <c r="AY115" i="8"/>
  <c r="AZ115" i="8" s="1"/>
  <c r="AV130" i="8"/>
  <c r="AW130" i="8" s="1"/>
  <c r="AO114" i="1"/>
  <c r="AC114" i="1" s="1"/>
  <c r="AG115" i="1"/>
  <c r="AF115" i="1"/>
  <c r="J86" i="1"/>
  <c r="I129" i="1"/>
  <c r="BC140" i="1"/>
  <c r="AD140" i="1" s="1"/>
  <c r="AY140" i="1"/>
  <c r="AZ141" i="1"/>
  <c r="AC141" i="1" s="1"/>
  <c r="T148" i="1" s="1"/>
  <c r="AY133" i="10" l="1"/>
  <c r="AY135" i="9"/>
  <c r="AB135" i="9" s="1"/>
  <c r="H136" i="9" s="1"/>
  <c r="AX130" i="8"/>
  <c r="AY130" i="8" s="1"/>
  <c r="AB130" i="8" s="1"/>
  <c r="H131" i="8" s="1"/>
  <c r="BA115" i="8"/>
  <c r="BC115" i="8" s="1"/>
  <c r="AB115" i="8" s="1"/>
  <c r="T114" i="8" s="1"/>
  <c r="AD130" i="1"/>
  <c r="T130" i="1"/>
  <c r="AB130" i="1"/>
  <c r="AH115" i="1"/>
  <c r="AJ115" i="1"/>
  <c r="AT115" i="1" s="1"/>
  <c r="AI115" i="1"/>
  <c r="AZ140" i="1"/>
  <c r="BA140" i="1" s="1"/>
  <c r="BB140" i="1" s="1"/>
  <c r="AZ133" i="10" l="1"/>
  <c r="BA133" i="10" s="1"/>
  <c r="BC133" i="10" s="1"/>
  <c r="H133" i="10" s="1"/>
  <c r="AB133" i="10"/>
  <c r="AP115" i="1"/>
  <c r="AK115" i="1"/>
  <c r="AN115" i="1"/>
  <c r="AO115" i="1" s="1"/>
  <c r="AL115" i="1"/>
  <c r="AM115" i="1"/>
  <c r="AF130" i="1"/>
  <c r="AE130" i="1"/>
  <c r="AG130" i="1"/>
  <c r="AQ130" i="1" s="1"/>
  <c r="V130" i="1"/>
  <c r="Y130" i="1"/>
  <c r="BD140" i="1"/>
  <c r="AC140" i="1" s="1"/>
  <c r="I139" i="1" s="1"/>
  <c r="AH130" i="1" l="1"/>
  <c r="AM130" i="1"/>
  <c r="AR115" i="1"/>
  <c r="AQ115" i="1"/>
  <c r="AU115" i="1" l="1"/>
  <c r="AS115" i="1"/>
  <c r="AV115" i="1" s="1"/>
  <c r="AW115" i="1" s="1"/>
  <c r="AI130" i="1"/>
  <c r="AJ130" i="1"/>
  <c r="AK130" i="1"/>
  <c r="AL130" i="1" s="1"/>
  <c r="AO130" i="1" l="1"/>
  <c r="AN130" i="1"/>
  <c r="AX115" i="1"/>
  <c r="BC115" i="1" l="1"/>
  <c r="AD115" i="1" s="1"/>
  <c r="AY115" i="1"/>
  <c r="AZ115" i="1" s="1"/>
  <c r="BA115" i="1" s="1"/>
  <c r="BB115" i="1" s="1"/>
  <c r="BD115" i="1" s="1"/>
  <c r="AC115" i="1" s="1"/>
  <c r="U114" i="1" s="1"/>
  <c r="AR130" i="1"/>
  <c r="AP130" i="1"/>
  <c r="AS130" i="1" s="1"/>
  <c r="AT130" i="1" s="1"/>
  <c r="AU130" i="1" s="1"/>
  <c r="AV130" i="1" s="1"/>
  <c r="AW130" i="1" s="1"/>
  <c r="AX130" i="1" s="1"/>
  <c r="AY130" i="1" s="1"/>
  <c r="AZ130" i="1" s="1"/>
  <c r="AC130" i="1" s="1"/>
  <c r="I131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FAGES Pierre</author>
  </authors>
  <commentList>
    <comment ref="D9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FAGES Pierre:</t>
        </r>
        <r>
          <rPr>
            <sz val="9"/>
            <color indexed="81"/>
            <rFont val="Tahoma"/>
            <family val="2"/>
          </rPr>
          <t xml:space="preserve">
Zone d'INPUT</t>
        </r>
      </text>
    </comment>
    <comment ref="G9" authorId="0" shapeId="0" xr:uid="{00000000-0006-0000-0400-000002000000}">
      <text>
        <r>
          <rPr>
            <b/>
            <sz val="9"/>
            <color indexed="81"/>
            <rFont val="Tahoma"/>
            <family val="2"/>
          </rPr>
          <t>FAGES Pierre:</t>
        </r>
        <r>
          <rPr>
            <sz val="9"/>
            <color indexed="81"/>
            <rFont val="Tahoma"/>
            <family val="2"/>
          </rPr>
          <t xml:space="preserve">
zone d'affichage de valeur</t>
        </r>
      </text>
    </comment>
    <comment ref="J9" authorId="0" shapeId="0" xr:uid="{00000000-0006-0000-0400-000003000000}">
      <text>
        <r>
          <rPr>
            <b/>
            <sz val="9"/>
            <color indexed="81"/>
            <rFont val="Tahoma"/>
            <family val="2"/>
          </rPr>
          <t>FAGES Pierre:</t>
        </r>
        <r>
          <rPr>
            <sz val="9"/>
            <color indexed="81"/>
            <rFont val="Tahoma"/>
            <family val="2"/>
          </rPr>
          <t xml:space="preserve">
zone de DEBUG</t>
        </r>
      </text>
    </comment>
  </commentList>
</comments>
</file>

<file path=xl/sharedStrings.xml><?xml version="1.0" encoding="utf-8"?>
<sst xmlns="http://schemas.openxmlformats.org/spreadsheetml/2006/main" count="3766" uniqueCount="490">
  <si>
    <t>convertisseur</t>
  </si>
  <si>
    <t>Horaires</t>
  </si>
  <si>
    <t>Jour</t>
  </si>
  <si>
    <t>UTC</t>
  </si>
  <si>
    <t>N</t>
  </si>
  <si>
    <t>S</t>
  </si>
  <si>
    <t>E</t>
  </si>
  <si>
    <t>W</t>
  </si>
  <si>
    <t>Latitude estimée</t>
  </si>
  <si>
    <t>Longitude estimée</t>
  </si>
  <si>
    <t>Declinaison</t>
  </si>
  <si>
    <t>Par interval</t>
  </si>
  <si>
    <t>Heure</t>
  </si>
  <si>
    <t>Heure Meusure</t>
  </si>
  <si>
    <t>Heure decimale 
almanach</t>
  </si>
  <si>
    <t>heure deci</t>
  </si>
  <si>
    <t>Heure hexa (txt)</t>
  </si>
  <si>
    <t>Par vitesse</t>
  </si>
  <si>
    <t>En Degre hexadecimaux
almanah : 45°59.999'</t>
  </si>
  <si>
    <t>Vitesse
almanah : 15°0.002'</t>
  </si>
  <si>
    <t>Position INITIALE
almanah : 45°59.999'</t>
  </si>
  <si>
    <t>12°</t>
  </si>
  <si>
    <t>13°</t>
  </si>
  <si>
    <t>Position</t>
  </si>
  <si>
    <t>Info</t>
  </si>
  <si>
    <t>Hauteur œil (en m)</t>
  </si>
  <si>
    <t>Colimation en dd°mm.mm'</t>
  </si>
  <si>
    <t>GHA + Longitude estinmee</t>
  </si>
  <si>
    <t>Hauteur calculee</t>
  </si>
  <si>
    <t>6°35.9</t>
  </si>
  <si>
    <t>Erreurs</t>
  </si>
  <si>
    <t>collimation</t>
  </si>
  <si>
    <t>convertisseur horaire</t>
  </si>
  <si>
    <t>convertisseur angle</t>
  </si>
  <si>
    <t>Angle almach (txt)</t>
  </si>
  <si>
    <t>Angle deci</t>
  </si>
  <si>
    <t>Hauteur vraie</t>
  </si>
  <si>
    <t>Hauteur instrumentale</t>
  </si>
  <si>
    <t>Intercept</t>
  </si>
  <si>
    <t>°</t>
  </si>
  <si>
    <t>int(mn)</t>
  </si>
  <si>
    <t>Check</t>
  </si>
  <si>
    <t>Montre</t>
  </si>
  <si>
    <t>decalage UTC</t>
  </si>
  <si>
    <t>decalage montre</t>
  </si>
  <si>
    <t>Chrono</t>
  </si>
  <si>
    <t>Heure UTC en s</t>
  </si>
  <si>
    <t>Heure decimale</t>
  </si>
  <si>
    <t>Heure txt</t>
  </si>
  <si>
    <t>int(h)</t>
  </si>
  <si>
    <t>int(s)</t>
  </si>
  <si>
    <t>Astre</t>
  </si>
  <si>
    <t>Soleil</t>
  </si>
  <si>
    <t>Etoile</t>
  </si>
  <si>
    <t>Lune</t>
  </si>
  <si>
    <t>astresconnus --&gt;</t>
  </si>
  <si>
    <t>Memo Sens …</t>
  </si>
  <si>
    <t>signe</t>
  </si>
  <si>
    <t>Type de calcul</t>
  </si>
  <si>
    <t>types calculs --&gt;</t>
  </si>
  <si>
    <t>resultat</t>
  </si>
  <si>
    <t>gradiant angulaire</t>
  </si>
  <si>
    <t>gradient temps</t>
  </si>
  <si>
    <t>deltaT</t>
  </si>
  <si>
    <t>0°10</t>
  </si>
  <si>
    <t>2°12.999</t>
  </si>
  <si>
    <t>pwd</t>
  </si>
  <si>
    <t>toto</t>
  </si>
  <si>
    <t>Lat</t>
  </si>
  <si>
    <t>Long</t>
  </si>
  <si>
    <t>GHA Aries - Etoile</t>
  </si>
  <si>
    <t>LHA</t>
  </si>
  <si>
    <t>SHA - Etoile</t>
  </si>
  <si>
    <t>Calculs de position</t>
  </si>
  <si>
    <t>←</t>
  </si>
  <si>
    <t>valeur absolue</t>
  </si>
  <si>
    <t>nb 360 ds val</t>
  </si>
  <si>
    <t>modulo 360</t>
  </si>
  <si>
    <t>Hauteur œil</t>
  </si>
  <si>
    <t>hauteur instrumentale (Hi)</t>
  </si>
  <si>
    <t>hauteur astro ou observee (Ha ou Ho)</t>
  </si>
  <si>
    <t>Hi -collimation + Dip</t>
  </si>
  <si>
    <t>Refraction</t>
  </si>
  <si>
    <t>Par abaque</t>
  </si>
  <si>
    <t>Par calcul</t>
  </si>
  <si>
    <t>refraction</t>
  </si>
  <si>
    <t>Ha</t>
  </si>
  <si>
    <t>parallaxe</t>
  </si>
  <si>
    <t>Parallaxe horizontale (HP ou Pi)</t>
  </si>
  <si>
    <t>12'56</t>
  </si>
  <si>
    <t>2°56'56"</t>
  </si>
  <si>
    <t>2°56'56.99"</t>
  </si>
  <si>
    <t>2°56.999'</t>
  </si>
  <si>
    <t>2.9999°</t>
  </si>
  <si>
    <t>56'56"</t>
  </si>
  <si>
    <t>56'56.99"</t>
  </si>
  <si>
    <t>56.999'</t>
  </si>
  <si>
    <t>56"</t>
  </si>
  <si>
    <t>56.26"</t>
  </si>
  <si>
    <t>2°56.999</t>
  </si>
  <si>
    <t>2</t>
  </si>
  <si>
    <t>txt sans °</t>
  </si>
  <si>
    <t>2.99</t>
  </si>
  <si>
    <t>has degre
(pas d'unite ou '°')</t>
  </si>
  <si>
    <t>Deg</t>
  </si>
  <si>
    <t>Global
has min sign</t>
  </si>
  <si>
    <t>Global
has sec sign</t>
  </si>
  <si>
    <t>Global
has deg sign</t>
  </si>
  <si>
    <t>Global
sans unite ?</t>
  </si>
  <si>
    <t>txt sans deg
sans unite ?
( ' ou ")</t>
  </si>
  <si>
    <t>txt valide ?</t>
  </si>
  <si>
    <t>txt sans deg:min
sans unite ?
( ' ou ")</t>
  </si>
  <si>
    <t>sec</t>
  </si>
  <si>
    <t>2°56'26</t>
  </si>
  <si>
    <t>2°56'26.99</t>
  </si>
  <si>
    <t>2°56'26.999"</t>
  </si>
  <si>
    <t>2°56'26"999</t>
  </si>
  <si>
    <t>decimal sec</t>
  </si>
  <si>
    <t>Min</t>
  </si>
  <si>
    <t>Min decimale</t>
  </si>
  <si>
    <t>has °</t>
  </si>
  <si>
    <t>has '</t>
  </si>
  <si>
    <t>has "</t>
  </si>
  <si>
    <t>has unit</t>
  </si>
  <si>
    <t>is decimal deg</t>
  </si>
  <si>
    <t>deg</t>
  </si>
  <si>
    <t>minutes</t>
  </si>
  <si>
    <t>txt sans ° '</t>
  </si>
  <si>
    <t>without unit ?</t>
  </si>
  <si>
    <t>txt valid ?</t>
  </si>
  <si>
    <t>is decimal sec</t>
  </si>
  <si>
    <t>decimal min</t>
  </si>
  <si>
    <t>has :</t>
  </si>
  <si>
    <t>txt sans H</t>
  </si>
  <si>
    <t>10</t>
  </si>
  <si>
    <t>10:20</t>
  </si>
  <si>
    <t>10.99</t>
  </si>
  <si>
    <t>min</t>
  </si>
  <si>
    <t>txt sans H:min</t>
  </si>
  <si>
    <t>10:20.99</t>
  </si>
  <si>
    <t>10:20:20</t>
  </si>
  <si>
    <t>10:20:20.9999</t>
  </si>
  <si>
    <t>deg decimale</t>
  </si>
  <si>
    <t>decimal deg</t>
  </si>
  <si>
    <t>decimal heure</t>
  </si>
  <si>
    <t>10:20.59</t>
  </si>
  <si>
    <t>11:59</t>
  </si>
  <si>
    <t>Signe:</t>
  </si>
  <si>
    <t>Sec decimale</t>
  </si>
  <si>
    <t>int deg</t>
  </si>
  <si>
    <t>int min</t>
  </si>
  <si>
    <t>txt</t>
  </si>
  <si>
    <t>int heure</t>
  </si>
  <si>
    <t>2°56</t>
  </si>
  <si>
    <t>Calcul -&gt;</t>
  </si>
  <si>
    <t>15°0.002</t>
  </si>
  <si>
    <t>Txt:</t>
  </si>
  <si>
    <t>memo point sur =&gt;</t>
  </si>
  <si>
    <t>Visée</t>
  </si>
  <si>
    <t>BordInf</t>
  </si>
  <si>
    <t>BorSup</t>
  </si>
  <si>
    <t>Milieu</t>
  </si>
  <si>
    <t>GHA Soleil/Lune</t>
  </si>
  <si>
    <t>Collimation</t>
  </si>
  <si>
    <t>Hi</t>
  </si>
  <si>
    <t>Lune: 54'&lt; . &lt; 60'</t>
  </si>
  <si>
    <t>soleil: 0.157'</t>
  </si>
  <si>
    <t xml:space="preserve">Parallaxe  </t>
  </si>
  <si>
    <t>Calcul</t>
  </si>
  <si>
    <t>Abaque / manuel</t>
  </si>
  <si>
    <t>rad</t>
  </si>
  <si>
    <t>Temp (°C)</t>
  </si>
  <si>
    <t>Pression (HectoPascal)</t>
  </si>
  <si>
    <t>=&gt; dip = 0.0293 sqrt(h)</t>
  </si>
  <si>
    <t xml:space="preserve">Dip  </t>
  </si>
  <si>
    <t>HP (Pi) 0.173' soleil (54-60 lune / 0)</t>
  </si>
  <si>
    <t>Hv - Ho</t>
  </si>
  <si>
    <t xml:space="preserve"> </t>
  </si>
  <si>
    <t>Hv = Ha - R + P +/- SD</t>
  </si>
  <si>
    <t>Visee</t>
  </si>
  <si>
    <t>SD</t>
  </si>
  <si>
    <t>Hv</t>
  </si>
  <si>
    <t>Signe</t>
  </si>
  <si>
    <t>is bordinf</t>
  </si>
  <si>
    <t>is bord Sup</t>
  </si>
  <si>
    <t>Is Milieu</t>
  </si>
  <si>
    <t>=</t>
  </si>
  <si>
    <t>32'</t>
  </si>
  <si>
    <t>0.173'</t>
  </si>
  <si>
    <t>-</t>
  </si>
  <si>
    <t>+ 1ier correction</t>
  </si>
  <si>
    <t>+</t>
  </si>
  <si>
    <t>-16'</t>
  </si>
  <si>
    <t>-32'</t>
  </si>
  <si>
    <t>etoile</t>
  </si>
  <si>
    <t>bord sup soleil</t>
  </si>
  <si>
    <t xml:space="preserve">Pi </t>
  </si>
  <si>
    <t>is negative ?</t>
  </si>
  <si>
    <t>asin( sin(Dec) * sin (Lat estimee) + cos(Dec) * sin (Lat estimee) * cos(LHA))</t>
  </si>
  <si>
    <t>Dec</t>
  </si>
  <si>
    <t>Lat estime</t>
  </si>
  <si>
    <t>s * s + c * c * c</t>
  </si>
  <si>
    <t>asin</t>
  </si>
  <si>
    <t>acos[ {sin(Dec) - sin (Lat estimee) * sin(Hc)}    /  {cos(Lat estimee) * cos(Hc)}  ]</t>
  </si>
  <si>
    <t xml:space="preserve">(s - s * s) /  c * c </t>
  </si>
  <si>
    <t>acos</t>
  </si>
  <si>
    <t>si (Lat estime = N)</t>
  </si>
  <si>
    <t xml:space="preserve">sinon </t>
  </si>
  <si>
    <t>Zn = 360 - Z</t>
  </si>
  <si>
    <t>si (Lat estime = S)</t>
  </si>
  <si>
    <t>Zn = 180 +  Z</t>
  </si>
  <si>
    <t>-&gt;</t>
  </si>
  <si>
    <t>Rad</t>
  </si>
  <si>
    <t xml:space="preserve">Rad </t>
  </si>
  <si>
    <t>Z</t>
  </si>
  <si>
    <t>Zn</t>
  </si>
  <si>
    <t>Vitesse
almanah : 15°0.12' - soleil</t>
  </si>
  <si>
    <t>Corrections</t>
  </si>
  <si>
    <t>R0</t>
  </si>
  <si>
    <t>f</t>
  </si>
  <si>
    <t>0°11.4</t>
  </si>
  <si>
    <t>Proposition</t>
  </si>
  <si>
    <t xml:space="preserve">visee --&gt; </t>
  </si>
  <si>
    <t xml:space="preserve">HP --&gt; </t>
  </si>
  <si>
    <t>0.0'</t>
  </si>
  <si>
    <t>54'</t>
  </si>
  <si>
    <t>Diametre</t>
  </si>
  <si>
    <t xml:space="preserve">Diametre --&gt; </t>
  </si>
  <si>
    <t>10'</t>
  </si>
  <si>
    <t>Correctoion des hauteur observee du soleil</t>
  </si>
  <si>
    <t>-Refraction +Depression +parallaxe +1/2 Diametre</t>
  </si>
  <si>
    <t>Ho</t>
  </si>
  <si>
    <t>Memo deg - rad conv</t>
  </si>
  <si>
    <t>Depression</t>
  </si>
  <si>
    <t>1/2Diam</t>
  </si>
  <si>
    <t>Correction</t>
  </si>
  <si>
    <t>07°</t>
  </si>
  <si>
    <t>23°08.5'</t>
  </si>
  <si>
    <t>23°08.3'</t>
  </si>
  <si>
    <t>329°03.9'</t>
  </si>
  <si>
    <t>344°03.8'</t>
  </si>
  <si>
    <t>Nav Pt &lt;-&gt; Pt de ref</t>
  </si>
  <si>
    <t>Distance</t>
  </si>
  <si>
    <t>Conversion</t>
  </si>
  <si>
    <t>Pt
REF</t>
  </si>
  <si>
    <t>CAP</t>
  </si>
  <si>
    <t>Distance (Mn)</t>
  </si>
  <si>
    <t>Pt depart -&gt; Arrivee</t>
  </si>
  <si>
    <t>Lat Moyenne</t>
  </si>
  <si>
    <t>Lat Var</t>
  </si>
  <si>
    <t>Long Var</t>
  </si>
  <si>
    <t>delta long * cos(Lat loyenne) / delta Lat</t>
  </si>
  <si>
    <t>Rfq (route fond par quart)</t>
  </si>
  <si>
    <t>Rf</t>
  </si>
  <si>
    <t>Mn</t>
  </si>
  <si>
    <t>40°05.2'</t>
  </si>
  <si>
    <t>5°26.3'</t>
  </si>
  <si>
    <t>8°02.5'</t>
  </si>
  <si>
    <t>Vitesse</t>
  </si>
  <si>
    <t>Cap</t>
  </si>
  <si>
    <t>Arrivée</t>
  </si>
  <si>
    <t>isLatVarValid</t>
  </si>
  <si>
    <t>41°</t>
  </si>
  <si>
    <t>49°0.7'</t>
  </si>
  <si>
    <t>3°10.5'</t>
  </si>
  <si>
    <t>3:36</t>
  </si>
  <si>
    <t>Duree</t>
  </si>
  <si>
    <t>Lat moyenne</t>
  </si>
  <si>
    <t>Long var</t>
  </si>
  <si>
    <t>300°</t>
  </si>
  <si>
    <t>D</t>
  </si>
  <si>
    <t>d</t>
  </si>
  <si>
    <t>deviation</t>
  </si>
  <si>
    <t>Cv = Cc + W</t>
  </si>
  <si>
    <t>Zv = Zc + W</t>
  </si>
  <si>
    <t>Variation</t>
  </si>
  <si>
    <t>W  = D + d</t>
  </si>
  <si>
    <t>Derive (angle)</t>
  </si>
  <si>
    <t>Rs = Cv + der</t>
  </si>
  <si>
    <t>der</t>
  </si>
  <si>
    <t>Rf = Rs + courant</t>
  </si>
  <si>
    <t>G</t>
  </si>
  <si>
    <t>Gisement</t>
  </si>
  <si>
    <t>pôle nord (latitude= +90°) ou sud (latitude = -90°).</t>
  </si>
  <si>
    <t>-2</t>
  </si>
  <si>
    <t>-2.99</t>
  </si>
  <si>
    <t>-2°56'56"</t>
  </si>
  <si>
    <t>-2°56'56.99"</t>
  </si>
  <si>
    <t>-2°56.999'</t>
  </si>
  <si>
    <t>-2°56.999</t>
  </si>
  <si>
    <t>-2.9999°</t>
  </si>
  <si>
    <t>-56'56"</t>
  </si>
  <si>
    <t>-56'56.99"</t>
  </si>
  <si>
    <t>-56.999'</t>
  </si>
  <si>
    <t>-56"</t>
  </si>
  <si>
    <t>-56.26"</t>
  </si>
  <si>
    <t>-2°56'26</t>
  </si>
  <si>
    <t>-2°56'26.99</t>
  </si>
  <si>
    <t>-2°56'26.999"</t>
  </si>
  <si>
    <t>-2°56'26"999</t>
  </si>
  <si>
    <t>-12'56</t>
  </si>
  <si>
    <t>-15°0.002</t>
  </si>
  <si>
    <t>Global
has sign</t>
  </si>
  <si>
    <t>Global sans signe</t>
  </si>
  <si>
    <t>clean signe</t>
  </si>
  <si>
    <t>+2</t>
  </si>
  <si>
    <t>+12'56</t>
  </si>
  <si>
    <t>+15°0.002</t>
  </si>
  <si>
    <t>val decimale</t>
  </si>
  <si>
    <t>x</t>
  </si>
  <si>
    <t xml:space="preserve">x </t>
  </si>
  <si>
    <t>Resumé</t>
  </si>
  <si>
    <t>'</t>
  </si>
  <si>
    <t>-3'</t>
  </si>
  <si>
    <t>22°59'</t>
  </si>
  <si>
    <t>0°0.96'</t>
  </si>
  <si>
    <t>15.002°</t>
  </si>
  <si>
    <t>Premiere correction sur Hi [ATTENTION]</t>
  </si>
  <si>
    <t>Premiere correction sur Ha [ATTENTION]</t>
  </si>
  <si>
    <t>( -R +P + 1/2 D)</t>
  </si>
  <si>
    <t>Hi -collimation - Dip</t>
  </si>
  <si>
    <t>(-Dip - R + P +1/2 D)</t>
  </si>
  <si>
    <t>Hauteur sextan</t>
  </si>
  <si>
    <t>Hauteur vrai</t>
  </si>
  <si>
    <t>Hauteur objet (en m)</t>
  </si>
  <si>
    <t>Distance (m)</t>
  </si>
  <si>
    <t>0.49'</t>
  </si>
  <si>
    <t>pour Nav astro</t>
  </si>
  <si>
    <t>&lt;==</t>
  </si>
  <si>
    <t>si (LHA &gt; 180)</t>
  </si>
  <si>
    <t>Zn = Z</t>
  </si>
  <si>
    <t>Zn = 180 - Z</t>
  </si>
  <si>
    <t>Methodo</t>
  </si>
  <si>
    <t>4/03/1998</t>
  </si>
  <si>
    <t>0</t>
  </si>
  <si>
    <t>Chrono 
(en min txt mm:ss)</t>
  </si>
  <si>
    <t>Montre (en txt)
'hh:mm:ss</t>
  </si>
  <si>
    <t>Decalage UTC (en h)
Heure UTC = decalage + montre</t>
  </si>
  <si>
    <t>Decalage montre (en s)
Heure vrai = decalage + montre</t>
  </si>
  <si>
    <t>Almanach SHA Etoile</t>
  </si>
  <si>
    <t>Proposition (std)</t>
  </si>
  <si>
    <t>Coef</t>
  </si>
  <si>
    <t>Hauteur</t>
  </si>
  <si>
    <t>10:00</t>
  </si>
  <si>
    <t>16:12</t>
  </si>
  <si>
    <t>m</t>
  </si>
  <si>
    <t>Port de ref</t>
  </si>
  <si>
    <t>Brest</t>
  </si>
  <si>
    <t>Port</t>
  </si>
  <si>
    <t>VE</t>
  </si>
  <si>
    <t>PM</t>
  </si>
  <si>
    <t>BM</t>
  </si>
  <si>
    <t>ME</t>
  </si>
  <si>
    <t>h (en m)</t>
  </si>
  <si>
    <t>H (hh:mm)</t>
  </si>
  <si>
    <t>-0:01</t>
  </si>
  <si>
    <t>00:12</t>
  </si>
  <si>
    <t>is PM</t>
  </si>
  <si>
    <t>is VE</t>
  </si>
  <si>
    <t>hasCoef</t>
  </si>
  <si>
    <t>is Valid PM</t>
  </si>
  <si>
    <t>is Valid BM</t>
  </si>
  <si>
    <t>-0:04</t>
  </si>
  <si>
    <t>Is Valid</t>
  </si>
  <si>
    <t>Infos Maree</t>
  </si>
  <si>
    <t>StQuay</t>
  </si>
  <si>
    <t>Has Hauteur</t>
  </si>
  <si>
    <t>Test</t>
  </si>
  <si>
    <t>from Maree</t>
  </si>
  <si>
    <t>isPM</t>
  </si>
  <si>
    <t>17:08:23</t>
  </si>
  <si>
    <t>48°52'</t>
  </si>
  <si>
    <t>2°05'</t>
  </si>
  <si>
    <t>12.24°</t>
  </si>
  <si>
    <t>176.49°</t>
  </si>
  <si>
    <t>Horizon artificiel - Hauteur instrumentale</t>
  </si>
  <si>
    <t>Horizon artificiel - Colimation en dd°mm.mm'</t>
  </si>
  <si>
    <t>50'</t>
  </si>
  <si>
    <t>18°46'</t>
  </si>
  <si>
    <t>Marly</t>
  </si>
  <si>
    <t>48°52.53N</t>
  </si>
  <si>
    <t>Vitesse
almanah : 0°0.96'</t>
  </si>
  <si>
    <t>MEMO</t>
  </si>
  <si>
    <t>Penser a mettre " ' " devant les heures / les degres sinon EXL les interprete</t>
  </si>
  <si>
    <t>GHA Soleil</t>
  </si>
  <si>
    <t>Horizon artificiel - Hauteur instrumentale 1/2 hauteur</t>
  </si>
  <si>
    <t>Entrée a saisir</t>
  </si>
  <si>
    <t>Resultat de calcul</t>
  </si>
  <si>
    <t>2°05.67E</t>
  </si>
  <si>
    <t>soleil: 0.157' / 0.002883°</t>
  </si>
  <si>
    <t>Parallaxe  (HP * cos (Ho))</t>
  </si>
  <si>
    <t>Refraction (f(T,P) * R0(Ho))</t>
  </si>
  <si>
    <t>Hv (Ho - R + P +/- SD)</t>
  </si>
  <si>
    <t>si (Lat estime = Nord)</t>
  </si>
  <si>
    <t>si (Lat estime = Sud)</t>
  </si>
  <si>
    <t>Hv (Hi - colli + 1ier correction + 1/2 SD)</t>
  </si>
  <si>
    <t>0°10.3</t>
  </si>
  <si>
    <t>GHA Lune</t>
  </si>
  <si>
    <t>Binic</t>
  </si>
  <si>
    <t>Paimpol</t>
  </si>
  <si>
    <t>StMalo</t>
  </si>
  <si>
    <t>Type</t>
  </si>
  <si>
    <t>J-1</t>
  </si>
  <si>
    <t>J+1</t>
  </si>
  <si>
    <t>Is Valide ?</t>
  </si>
  <si>
    <t>Is PM</t>
  </si>
  <si>
    <t>HasJour</t>
  </si>
  <si>
    <t>HasHeure</t>
  </si>
  <si>
    <t>HasCoef</t>
  </si>
  <si>
    <t>HasHauteur</t>
  </si>
  <si>
    <t>Is JourValide</t>
  </si>
  <si>
    <t>Today</t>
  </si>
  <si>
    <t>IsHeure valide</t>
  </si>
  <si>
    <t>Is Hauteur valide</t>
  </si>
  <si>
    <t>Is Valide</t>
  </si>
  <si>
    <t>Is VM</t>
  </si>
  <si>
    <t>2024/12/20</t>
  </si>
  <si>
    <t>2024/12/21</t>
  </si>
  <si>
    <t>Has signe</t>
  </si>
  <si>
    <t>H</t>
  </si>
  <si>
    <t>-1:01</t>
  </si>
  <si>
    <t>VEPM</t>
  </si>
  <si>
    <t>VEBM</t>
  </si>
  <si>
    <t>MEPM</t>
  </si>
  <si>
    <t>MEBM</t>
  </si>
  <si>
    <t>Tableau</t>
  </si>
  <si>
    <t xml:space="preserve"> + 1h</t>
  </si>
  <si>
    <t>delta heure</t>
  </si>
  <si>
    <t>00:12:00</t>
  </si>
  <si>
    <t>06:12</t>
  </si>
  <si>
    <t>Marnage</t>
  </si>
  <si>
    <t>Heure Maree</t>
  </si>
  <si>
    <t>H var</t>
  </si>
  <si>
    <t>nb 1/12 ieme</t>
  </si>
  <si>
    <t>1/12 ieme</t>
  </si>
  <si>
    <t>nbHeure Maree</t>
  </si>
  <si>
    <t>Par Hauteur</t>
  </si>
  <si>
    <t>Heure Debut</t>
  </si>
  <si>
    <t>Date TXT</t>
  </si>
  <si>
    <t>Date</t>
  </si>
  <si>
    <t>is valid</t>
  </si>
  <si>
    <t>Has value</t>
  </si>
  <si>
    <t>Index Value</t>
  </si>
  <si>
    <t>Trouve ?</t>
  </si>
  <si>
    <t>08:00</t>
  </si>
  <si>
    <t>Delta Heure Maree</t>
  </si>
  <si>
    <t>Hauteur (m)</t>
  </si>
  <si>
    <t>Resultat / Recherche</t>
  </si>
  <si>
    <t>Par Heure</t>
  </si>
  <si>
    <t>Maree</t>
  </si>
  <si>
    <t>Heure passage</t>
  </si>
  <si>
    <t>Hauteur a heure de passage</t>
  </si>
  <si>
    <t>(m)</t>
  </si>
  <si>
    <t>IsValid</t>
  </si>
  <si>
    <t>Pas par defaut</t>
  </si>
  <si>
    <t>PortRef</t>
  </si>
  <si>
    <t>0:0</t>
  </si>
  <si>
    <t>Rad :</t>
  </si>
  <si>
    <t>Deg :</t>
  </si>
  <si>
    <t>Verifications + application des corrections de port</t>
  </si>
  <si>
    <t>12:24</t>
  </si>
  <si>
    <t>HP (Pi)</t>
  </si>
  <si>
    <t>0.173' soleil 
54'-60' lune 
0 pour les etoiles</t>
  </si>
  <si>
    <t>Rad:</t>
  </si>
  <si>
    <t>Deg:</t>
  </si>
  <si>
    <t>Polaire</t>
  </si>
  <si>
    <t>GHA Aries</t>
  </si>
  <si>
    <t>SHA / Dec - Polaire</t>
  </si>
  <si>
    <t>Almanach Dec Polaire</t>
  </si>
  <si>
    <t>Almanach SHA Polaire</t>
  </si>
  <si>
    <t>LHA Polaire</t>
  </si>
  <si>
    <t>PD
(Polar distance)</t>
  </si>
  <si>
    <t>90 - Dec (Polaire)</t>
  </si>
  <si>
    <t>Q</t>
  </si>
  <si>
    <t>Lat par la polaire</t>
  </si>
  <si>
    <t>Z polaire</t>
  </si>
  <si>
    <t>-PD x cos(LHA (Polaire))</t>
  </si>
  <si>
    <t>-PD x sin(LHA (Polaire)) / cos (Lat par la polaire)</t>
  </si>
  <si>
    <t>Ho + Q</t>
  </si>
  <si>
    <t>25/10/2008</t>
  </si>
  <si>
    <t>78°52.7</t>
  </si>
  <si>
    <t>93°55.2</t>
  </si>
  <si>
    <t>89°18.2</t>
  </si>
  <si>
    <t>8:58</t>
  </si>
  <si>
    <t>2.2'</t>
  </si>
  <si>
    <t>46°30.4</t>
  </si>
  <si>
    <t>46°30</t>
  </si>
  <si>
    <t>46°15</t>
  </si>
  <si>
    <t>338°53.7</t>
  </si>
  <si>
    <t>320°06.7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</si>
</sst>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(&quot;$&quot;* #,##0.00_);_(&quot;$&quot;* \(#,##0.00\);_(&quot;$&quot;* &quot;-&quot;??_);_(@_)"/>
    <numFmt numFmtId="164" formatCode="0.000000"/>
    <numFmt numFmtId="165" formatCode="[$-F400]h:mm:ss\ AM/PM"/>
    <numFmt numFmtId="166" formatCode="0.0000"/>
    <numFmt numFmtId="167" formatCode="0.000"/>
    <numFmt numFmtId="168" formatCode="0.0"/>
    <numFmt numFmtId="169" formatCode="[$-F800]dddd\,\ mmmm\ dd\,\ yyyy"/>
    <numFmt numFmtId="170" formatCode="d/m/yy\ h:mm;@"/>
  </numFmts>
  <fonts count="47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1"/>
      <name val="Roboto"/>
    </font>
    <font>
      <sz val="11"/>
      <color rgb="FF3F3F76"/>
      <name val="Calibri"/>
      <family val="2"/>
      <scheme val="minor"/>
    </font>
    <font>
      <sz val="11"/>
      <color rgb="FF3F3F76"/>
      <name val="Roboto"/>
    </font>
    <font>
      <b/>
      <sz val="11"/>
      <color rgb="FFFA7D00"/>
      <name val="Roboto"/>
    </font>
    <font>
      <sz val="11"/>
      <color rgb="FF0061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onsolas"/>
      <family val="3"/>
    </font>
    <font>
      <b/>
      <sz val="11"/>
      <color rgb="FF0061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</font>
    <font>
      <sz val="11"/>
      <color rgb="FF9C57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9"/>
      <color theme="0"/>
      <name val="Calibri"/>
      <family val="2"/>
      <scheme val="minor"/>
    </font>
    <font>
      <sz val="11"/>
      <name val="Roboto"/>
    </font>
    <font>
      <i/>
      <sz val="11"/>
      <color theme="1"/>
      <name val="Calibri"/>
      <family val="2"/>
      <scheme val="minor"/>
    </font>
    <font>
      <i/>
      <sz val="11"/>
      <color theme="1"/>
      <name val="Roboto"/>
    </font>
    <font>
      <sz val="12"/>
      <color rgb="FFC00000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006100"/>
      <name val="Roboto"/>
    </font>
    <font>
      <b/>
      <sz val="11"/>
      <color rgb="FF006100"/>
      <name val="Roboto"/>
    </font>
    <font>
      <b/>
      <sz val="12"/>
      <color rgb="FF006100"/>
      <name val="Roboto"/>
    </font>
    <font>
      <b/>
      <sz val="12"/>
      <color theme="1"/>
      <name val="Roboto"/>
    </font>
    <font>
      <b/>
      <sz val="11"/>
      <color rgb="FF3F3F3F"/>
      <name val="Roboto"/>
    </font>
    <font>
      <b/>
      <sz val="11"/>
      <color theme="0"/>
      <name val="Roboto"/>
    </font>
    <font>
      <sz val="11"/>
      <color rgb="FF9C5700"/>
      <name val="Roboto"/>
    </font>
    <font>
      <sz val="11"/>
      <color rgb="FF202122"/>
      <name val="Arial"/>
      <family val="2"/>
    </font>
    <font>
      <b/>
      <sz val="12"/>
      <color rgb="FF006100"/>
      <name val="Calibri"/>
      <family val="2"/>
      <scheme val="minor"/>
    </font>
    <font>
      <b/>
      <sz val="12"/>
      <color rgb="FFC00000"/>
      <name val="Calibri"/>
      <family val="2"/>
      <scheme val="minor"/>
    </font>
    <font>
      <sz val="10"/>
      <color theme="1"/>
      <name val="Roboto"/>
    </font>
    <font>
      <sz val="11"/>
      <color rgb="FF9C0006"/>
      <name val="Calibri"/>
      <family val="2"/>
      <scheme val="minor"/>
    </font>
    <font>
      <b/>
      <sz val="11"/>
      <color rgb="FF9C5700"/>
      <name val="Calibri"/>
      <family val="2"/>
      <scheme val="minor"/>
    </font>
    <font>
      <b/>
      <sz val="12"/>
      <color rgb="FF9C5700"/>
      <name val="Calibri"/>
      <family val="2"/>
      <scheme val="minor"/>
    </font>
    <font>
      <b/>
      <sz val="14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C00000"/>
      <name val="Roboto"/>
    </font>
    <font>
      <sz val="11"/>
      <color theme="2"/>
      <name val="Roboto"/>
    </font>
    <font>
      <b/>
      <sz val="11"/>
      <color theme="2"/>
      <name val="Roboto"/>
    </font>
    <font>
      <b/>
      <sz val="9"/>
      <color rgb="FFFA7D00"/>
      <name val="Calibri"/>
      <family val="2"/>
      <scheme val="minor"/>
    </font>
    <font>
      <b/>
      <sz val="10"/>
      <color theme="1"/>
      <name val="Roboto"/>
    </font>
    <font>
      <b/>
      <sz val="10"/>
      <color rgb="FF006100"/>
      <name val="Roboto"/>
    </font>
    <font>
      <b/>
      <sz val="11"/>
      <color rgb="FFFF0000"/>
      <name val="Roboto"/>
    </font>
    <font>
      <b/>
      <sz val="8"/>
      <color rgb="FFFA7D00"/>
      <name val="Calibri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00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6EFCE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EB9C"/>
      </patternFill>
    </fill>
    <fill>
      <patternFill patternType="solid">
        <fgColor rgb="FFFDA1E9"/>
        <bgColor indexed="64"/>
      </patternFill>
    </fill>
    <fill>
      <patternFill patternType="lightUp">
        <fgColor theme="5" tint="0.39994506668294322"/>
        <bgColor rgb="FFFFCC99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39997558519241921"/>
        <bgColor indexed="65"/>
      </patternFill>
    </fill>
    <fill>
      <patternFill patternType="solid">
        <fgColor rgb="FFFFC7CE"/>
      </patternFill>
    </fill>
    <fill>
      <patternFill patternType="lightUp">
        <fgColor rgb="FFFFFF00"/>
        <bgColor theme="8" tint="0.39994506668294322"/>
      </patternFill>
    </fill>
    <fill>
      <patternFill patternType="solid">
        <fgColor rgb="FFC00000"/>
        <bgColor indexed="64"/>
      </patternFill>
    </fill>
    <fill>
      <patternFill patternType="lightDown">
        <fgColor theme="5" tint="0.39994506668294322"/>
        <bgColor rgb="FFF2F2F2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gradientFill>
        <stop position="0">
          <color theme="0"/>
        </stop>
        <stop position="1">
          <color rgb="FF00FF00"/>
        </stop>
      </gradientFill>
    </fill>
    <fill>
      <patternFill patternType="solid">
        <fgColor rgb="FF00B0F0"/>
        <bgColor indexed="64"/>
      </patternFill>
    </fill>
    <fill>
      <patternFill patternType="solid">
        <fgColor theme="2" tint="-0.249977111117893"/>
        <bgColor indexed="64"/>
      </patternFill>
    </fill>
  </fills>
  <borders count="13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7F7F7F"/>
      </left>
      <right/>
      <top/>
      <bottom style="thin">
        <color rgb="FF7F7F7F"/>
      </bottom>
      <diagonal/>
    </border>
    <border>
      <left/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/>
      <diagonal/>
    </border>
    <border>
      <left/>
      <right/>
      <top style="thin">
        <color rgb="FF7F7F7F"/>
      </top>
      <bottom/>
      <diagonal/>
    </border>
    <border>
      <left/>
      <right style="thin">
        <color rgb="FF7F7F7F"/>
      </right>
      <top style="thin">
        <color rgb="FF7F7F7F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double">
        <color rgb="FF3F3F3F"/>
      </right>
      <top style="thin">
        <color indexed="64"/>
      </top>
      <bottom style="thin">
        <color indexed="64"/>
      </bottom>
      <diagonal/>
    </border>
    <border>
      <left/>
      <right style="double">
        <color rgb="FF3F3F3F"/>
      </right>
      <top style="thin">
        <color indexed="64"/>
      </top>
      <bottom/>
      <diagonal/>
    </border>
    <border>
      <left/>
      <right style="double">
        <color rgb="FF3F3F3F"/>
      </right>
      <top/>
      <bottom style="thin">
        <color indexed="64"/>
      </bottom>
      <diagonal/>
    </border>
    <border>
      <left/>
      <right style="thin">
        <color rgb="FFB2B2B2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rgb="FF7F7F7F"/>
      </top>
      <bottom style="thin">
        <color rgb="FF7F7F7F"/>
      </bottom>
      <diagonal/>
    </border>
    <border>
      <left/>
      <right/>
      <top/>
      <bottom style="thin">
        <color rgb="FF7F7F7F"/>
      </bottom>
      <diagonal/>
    </border>
    <border>
      <left style="thin">
        <color indexed="64"/>
      </left>
      <right/>
      <top/>
      <bottom style="thin">
        <color rgb="FF7F7F7F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rgb="FF7F7F7F"/>
      </bottom>
      <diagonal/>
    </border>
    <border>
      <left style="thin">
        <color indexed="64"/>
      </left>
      <right/>
      <top style="thin">
        <color rgb="FF7F7F7F"/>
      </top>
      <bottom/>
      <diagonal/>
    </border>
    <border>
      <left/>
      <right style="thin">
        <color indexed="64"/>
      </right>
      <top style="thin">
        <color rgb="FF7F7F7F"/>
      </top>
      <bottom/>
      <diagonal/>
    </border>
    <border>
      <left style="double">
        <color rgb="FF3F3F3F"/>
      </left>
      <right style="double">
        <color rgb="FF3F3F3F"/>
      </right>
      <top/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/>
      <bottom/>
      <diagonal/>
    </border>
    <border>
      <left/>
      <right/>
      <top/>
      <bottom style="double">
        <color rgb="FFFF8001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medium">
        <color indexed="64"/>
      </top>
      <bottom/>
      <diagonal/>
    </border>
    <border>
      <left style="thin">
        <color rgb="FF7F7F7F"/>
      </left>
      <right/>
      <top style="medium">
        <color indexed="64"/>
      </top>
      <bottom/>
      <diagonal/>
    </border>
    <border>
      <left/>
      <right style="thin">
        <color rgb="FF7F7F7F"/>
      </right>
      <top style="medium">
        <color indexed="64"/>
      </top>
      <bottom/>
      <diagonal/>
    </border>
    <border>
      <left/>
      <right/>
      <top style="double">
        <color rgb="FF3F3F3F"/>
      </top>
      <bottom/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 style="double">
        <color rgb="FF3F3F3F"/>
      </left>
      <right/>
      <top/>
      <bottom style="double">
        <color rgb="FF3F3F3F"/>
      </bottom>
      <diagonal/>
    </border>
    <border>
      <left/>
      <right/>
      <top/>
      <bottom style="double">
        <color rgb="FF3F3F3F"/>
      </bottom>
      <diagonal/>
    </border>
    <border>
      <left/>
      <right style="double">
        <color rgb="FF3F3F3F"/>
      </right>
      <top/>
      <bottom style="double">
        <color rgb="FF3F3F3F"/>
      </bottom>
      <diagonal/>
    </border>
    <border>
      <left style="medium">
        <color indexed="64"/>
      </left>
      <right style="thin">
        <color rgb="FF7F7F7F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rgb="FF7F7F7F"/>
      </right>
      <top/>
      <bottom style="thin">
        <color rgb="FF7F7F7F"/>
      </bottom>
      <diagonal/>
    </border>
    <border>
      <left/>
      <right style="medium">
        <color indexed="64"/>
      </right>
      <top/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/>
      <diagonal/>
    </border>
    <border>
      <left/>
      <right style="medium">
        <color indexed="64"/>
      </right>
      <top style="thin">
        <color rgb="FF7F7F7F"/>
      </top>
      <bottom/>
      <diagonal/>
    </border>
    <border>
      <left style="medium">
        <color indexed="64"/>
      </left>
      <right style="thin">
        <color rgb="FF7F7F7F"/>
      </right>
      <top/>
      <bottom style="medium">
        <color indexed="64"/>
      </bottom>
      <diagonal/>
    </border>
    <border>
      <left style="thin">
        <color rgb="FF7F7F7F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rgb="FF7F7F7F"/>
      </right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rgb="FF7F7F7F"/>
      </bottom>
      <diagonal/>
    </border>
    <border>
      <left style="medium">
        <color indexed="64"/>
      </left>
      <right/>
      <top style="thin">
        <color rgb="FF7F7F7F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 style="thin">
        <color rgb="FF7F7F7F"/>
      </left>
      <right/>
      <top/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/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 style="thin">
        <color rgb="FFB2B2B2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rgb="FFB2B2B2"/>
      </bottom>
      <diagonal/>
    </border>
    <border>
      <left/>
      <right/>
      <top style="thin">
        <color indexed="64"/>
      </top>
      <bottom style="thin">
        <color rgb="FFB2B2B2"/>
      </bottom>
      <diagonal/>
    </border>
    <border>
      <left/>
      <right style="thin">
        <color indexed="64"/>
      </right>
      <top style="thin">
        <color indexed="64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 style="thin">
        <color indexed="64"/>
      </bottom>
      <diagonal/>
    </border>
    <border>
      <left/>
      <right style="thin">
        <color indexed="64"/>
      </right>
      <top style="thin">
        <color rgb="FFB2B2B2"/>
      </top>
      <bottom style="thin">
        <color indexed="64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 style="thin">
        <color indexed="64"/>
      </right>
      <top style="thin">
        <color rgb="FFB2B2B2"/>
      </top>
      <bottom style="thin">
        <color rgb="FFB2B2B2"/>
      </bottom>
      <diagonal/>
    </border>
    <border>
      <left/>
      <right/>
      <top style="thin">
        <color rgb="FFB2B2B2"/>
      </top>
      <bottom style="thin">
        <color indexed="64"/>
      </bottom>
      <diagonal/>
    </border>
    <border>
      <left/>
      <right style="thin">
        <color rgb="FFB2B2B2"/>
      </right>
      <top style="thin">
        <color rgb="FFB2B2B2"/>
      </top>
      <bottom style="thin">
        <color indexed="64"/>
      </bottom>
      <diagonal/>
    </border>
    <border>
      <left/>
      <right/>
      <top style="thin">
        <color rgb="FFB2B2B2"/>
      </top>
      <bottom style="thin">
        <color rgb="FFB2B2B2"/>
      </bottom>
      <diagonal/>
    </border>
    <border>
      <left/>
      <right style="thin">
        <color rgb="FF7F7F7F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theme="4" tint="0.39997558519241921"/>
      </bottom>
      <diagonal/>
    </border>
    <border>
      <left/>
      <right/>
      <top style="thin">
        <color indexed="64"/>
      </top>
      <bottom style="medium">
        <color theme="4" tint="0.39997558519241921"/>
      </bottom>
      <diagonal/>
    </border>
    <border>
      <left/>
      <right style="thin">
        <color indexed="64"/>
      </right>
      <top style="thin">
        <color indexed="64"/>
      </top>
      <bottom style="medium">
        <color theme="4" tint="0.39997558519241921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/>
      <top style="thin">
        <color indexed="64"/>
      </top>
      <bottom/>
      <diagonal/>
    </border>
    <border>
      <left/>
      <right style="thin">
        <color rgb="FF7F7F7F"/>
      </right>
      <top style="thin">
        <color indexed="64"/>
      </top>
      <bottom/>
      <diagonal/>
    </border>
    <border>
      <left style="thin">
        <color rgb="FF7F7F7F"/>
      </left>
      <right/>
      <top/>
      <bottom style="double">
        <color rgb="FF3F3F3F"/>
      </bottom>
      <diagonal/>
    </border>
    <border>
      <left/>
      <right style="thin">
        <color rgb="FF7F7F7F"/>
      </right>
      <top/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/>
      <bottom style="double">
        <color rgb="FF3F3F3F"/>
      </bottom>
      <diagonal/>
    </border>
    <border>
      <left style="thin">
        <color rgb="FF7F7F7F"/>
      </left>
      <right/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/>
      <right style="double">
        <color rgb="FF3F3F3F"/>
      </right>
      <top style="thin">
        <color rgb="FF7F7F7F"/>
      </top>
      <bottom/>
      <diagonal/>
    </border>
    <border>
      <left/>
      <right style="double">
        <color rgb="FF3F3F3F"/>
      </right>
      <top/>
      <bottom style="thin">
        <color rgb="FF7F7F7F"/>
      </bottom>
      <diagonal/>
    </border>
    <border>
      <left/>
      <right style="thin">
        <color rgb="FF7F7F7F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B2B2B2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11">
    <xf numFmtId="0" fontId="0" fillId="0" borderId="0"/>
    <xf numFmtId="0" fontId="1" fillId="2" borderId="1" applyNumberFormat="0" applyAlignment="0" applyProtection="0"/>
    <xf numFmtId="0" fontId="3" fillId="15" borderId="1" applyNumberFormat="0" applyAlignment="0" applyProtection="0"/>
    <xf numFmtId="0" fontId="6" fillId="6" borderId="0" applyNumberFormat="0" applyBorder="0" applyAlignment="0" applyProtection="0"/>
    <xf numFmtId="0" fontId="8" fillId="7" borderId="24" applyNumberFormat="0" applyAlignment="0" applyProtection="0"/>
    <xf numFmtId="0" fontId="7" fillId="8" borderId="25" applyNumberFormat="0" applyFont="0" applyAlignment="0" applyProtection="0"/>
    <xf numFmtId="0" fontId="14" fillId="13" borderId="0" applyNumberFormat="0" applyBorder="0" applyAlignment="0" applyProtection="0"/>
    <xf numFmtId="0" fontId="15" fillId="2" borderId="41" applyNumberFormat="0" applyAlignment="0" applyProtection="0"/>
    <xf numFmtId="0" fontId="22" fillId="0" borderId="54" applyNumberFormat="0" applyFill="0" applyAlignment="0" applyProtection="0"/>
    <xf numFmtId="0" fontId="2" fillId="18" borderId="0" applyNumberFormat="0" applyBorder="0" applyAlignment="0" applyProtection="0"/>
    <xf numFmtId="0" fontId="34" fillId="19" borderId="0" applyNumberFormat="0" applyBorder="0" applyAlignment="0" applyProtection="0"/>
  </cellStyleXfs>
  <cellXfs count="791">
    <xf numFmtId="0" fontId="0" fillId="0" borderId="0" xfId="0"/>
    <xf numFmtId="164" fontId="2" fillId="0" borderId="0" xfId="0" applyNumberFormat="1" applyFont="1" applyProtection="1"/>
    <xf numFmtId="0" fontId="2" fillId="0" borderId="0" xfId="0" applyFont="1" applyAlignment="1">
      <alignment horizontal="center" vertical="center"/>
    </xf>
    <xf numFmtId="0" fontId="2" fillId="8" borderId="25" xfId="5" applyFont="1" applyAlignment="1">
      <alignment horizontal="center" vertical="center"/>
    </xf>
    <xf numFmtId="0" fontId="3" fillId="15" borderId="1" xfId="2"/>
    <xf numFmtId="0" fontId="14" fillId="13" borderId="0" xfId="6"/>
    <xf numFmtId="0" fontId="6" fillId="6" borderId="0" xfId="3"/>
    <xf numFmtId="0" fontId="15" fillId="2" borderId="41" xfId="7"/>
    <xf numFmtId="20" fontId="3" fillId="15" borderId="1" xfId="2" applyNumberFormat="1"/>
    <xf numFmtId="0" fontId="15" fillId="2" borderId="41" xfId="7" applyAlignment="1">
      <alignment horizontal="center" vertical="center"/>
    </xf>
    <xf numFmtId="0" fontId="8" fillId="7" borderId="24" xfId="4" applyAlignment="1">
      <alignment horizontal="center" vertical="center" wrapText="1"/>
    </xf>
    <xf numFmtId="0" fontId="8" fillId="7" borderId="24" xfId="4" applyAlignment="1">
      <alignment horizontal="center" vertical="center"/>
    </xf>
    <xf numFmtId="0" fontId="6" fillId="6" borderId="0" xfId="3" applyAlignment="1">
      <alignment horizontal="center" vertical="center"/>
    </xf>
    <xf numFmtId="0" fontId="14" fillId="13" borderId="0" xfId="6" applyAlignment="1">
      <alignment horizontal="center" vertical="center"/>
    </xf>
    <xf numFmtId="0" fontId="1" fillId="2" borderId="1" xfId="1"/>
    <xf numFmtId="0" fontId="1" fillId="2" borderId="1" xfId="1" applyAlignment="1">
      <alignment horizontal="center" vertical="center"/>
    </xf>
    <xf numFmtId="164" fontId="3" fillId="15" borderId="1" xfId="2" applyNumberFormat="1" applyAlignment="1" applyProtection="1">
      <alignment vertical="center"/>
      <protection locked="0"/>
    </xf>
    <xf numFmtId="0" fontId="0" fillId="0" borderId="0" xfId="0" applyProtection="1"/>
    <xf numFmtId="164" fontId="9" fillId="9" borderId="0" xfId="0" applyNumberFormat="1" applyFont="1" applyFill="1" applyProtection="1"/>
    <xf numFmtId="0" fontId="1" fillId="2" borderId="1" xfId="1" applyProtection="1"/>
    <xf numFmtId="0" fontId="15" fillId="2" borderId="41" xfId="7" applyProtection="1"/>
    <xf numFmtId="0" fontId="2" fillId="8" borderId="25" xfId="5" applyFont="1" applyAlignment="1" applyProtection="1">
      <alignment horizontal="center" vertical="center"/>
    </xf>
    <xf numFmtId="164" fontId="9" fillId="0" borderId="0" xfId="0" applyNumberFormat="1" applyFont="1" applyProtection="1"/>
    <xf numFmtId="0" fontId="15" fillId="2" borderId="41" xfId="7" applyAlignment="1" applyProtection="1">
      <alignment horizontal="center" vertical="center"/>
    </xf>
    <xf numFmtId="0" fontId="14" fillId="13" borderId="0" xfId="6" applyAlignment="1" applyProtection="1">
      <alignment horizontal="center" vertical="center"/>
    </xf>
    <xf numFmtId="0" fontId="6" fillId="6" borderId="0" xfId="3" applyAlignment="1" applyProtection="1">
      <alignment horizontal="center" vertical="center"/>
    </xf>
    <xf numFmtId="0" fontId="6" fillId="6" borderId="0" xfId="3" applyProtection="1"/>
    <xf numFmtId="0" fontId="14" fillId="13" borderId="0" xfId="6" applyProtection="1"/>
    <xf numFmtId="164" fontId="1" fillId="2" borderId="1" xfId="1" applyNumberFormat="1" applyProtection="1"/>
    <xf numFmtId="164" fontId="9" fillId="0" borderId="0" xfId="0" applyNumberFormat="1" applyFont="1" applyAlignment="1" applyProtection="1">
      <alignment horizontal="right"/>
    </xf>
    <xf numFmtId="0" fontId="2" fillId="0" borderId="0" xfId="0" applyFont="1" applyAlignment="1" applyProtection="1">
      <alignment horizontal="center" vertical="center"/>
    </xf>
    <xf numFmtId="164" fontId="9" fillId="8" borderId="25" xfId="5" applyNumberFormat="1" applyFont="1" applyProtection="1"/>
    <xf numFmtId="164" fontId="9" fillId="8" borderId="29" xfId="5" applyNumberFormat="1" applyFont="1" applyBorder="1" applyProtection="1"/>
    <xf numFmtId="164" fontId="2" fillId="0" borderId="0" xfId="0" applyNumberFormat="1" applyFont="1" applyBorder="1" applyAlignment="1" applyProtection="1">
      <alignment horizontal="center" vertical="center"/>
    </xf>
    <xf numFmtId="164" fontId="15" fillId="2" borderId="41" xfId="7" applyNumberFormat="1" applyAlignment="1" applyProtection="1">
      <alignment horizontal="center" vertical="center"/>
    </xf>
    <xf numFmtId="164" fontId="9" fillId="14" borderId="0" xfId="0" applyNumberFormat="1" applyFont="1" applyFill="1" applyProtection="1"/>
    <xf numFmtId="0" fontId="0" fillId="0" borderId="0" xfId="0" applyAlignment="1" applyProtection="1"/>
    <xf numFmtId="164" fontId="15" fillId="2" borderId="41" xfId="7" applyNumberFormat="1" applyProtection="1"/>
    <xf numFmtId="164" fontId="9" fillId="0" borderId="0" xfId="0" applyNumberFormat="1" applyFont="1" applyAlignment="1" applyProtection="1">
      <alignment wrapText="1"/>
    </xf>
    <xf numFmtId="0" fontId="9" fillId="0" borderId="0" xfId="0" applyFont="1" applyProtection="1"/>
    <xf numFmtId="164" fontId="9" fillId="11" borderId="33" xfId="0" applyNumberFormat="1" applyFont="1" applyFill="1" applyBorder="1" applyAlignment="1" applyProtection="1">
      <alignment horizontal="center" vertical="center"/>
    </xf>
    <xf numFmtId="164" fontId="9" fillId="11" borderId="32" xfId="0" applyNumberFormat="1" applyFont="1" applyFill="1" applyBorder="1" applyAlignment="1" applyProtection="1">
      <alignment horizontal="center" vertical="center"/>
    </xf>
    <xf numFmtId="1" fontId="9" fillId="11" borderId="34" xfId="0" applyNumberFormat="1" applyFont="1" applyFill="1" applyBorder="1" applyAlignment="1" applyProtection="1">
      <alignment horizontal="center" vertical="center"/>
    </xf>
    <xf numFmtId="164" fontId="9" fillId="11" borderId="35" xfId="0" applyNumberFormat="1" applyFont="1" applyFill="1" applyBorder="1" applyAlignment="1" applyProtection="1">
      <alignment horizontal="center" vertical="center"/>
    </xf>
    <xf numFmtId="164" fontId="9" fillId="11" borderId="36" xfId="0" applyNumberFormat="1" applyFont="1" applyFill="1" applyBorder="1" applyAlignment="1" applyProtection="1">
      <alignment horizontal="center" vertical="center"/>
    </xf>
    <xf numFmtId="1" fontId="9" fillId="11" borderId="37" xfId="0" applyNumberFormat="1" applyFont="1" applyFill="1" applyBorder="1" applyAlignment="1" applyProtection="1">
      <alignment horizontal="center" vertical="center"/>
    </xf>
    <xf numFmtId="0" fontId="0" fillId="0" borderId="0" xfId="0" applyBorder="1" applyAlignment="1" applyProtection="1"/>
    <xf numFmtId="164" fontId="2" fillId="10" borderId="14" xfId="0" applyNumberFormat="1" applyFont="1" applyFill="1" applyBorder="1" applyAlignment="1" applyProtection="1"/>
    <xf numFmtId="164" fontId="2" fillId="10" borderId="15" xfId="0" applyNumberFormat="1" applyFont="1" applyFill="1" applyBorder="1" applyAlignment="1" applyProtection="1"/>
    <xf numFmtId="164" fontId="2" fillId="10" borderId="16" xfId="0" applyNumberFormat="1" applyFont="1" applyFill="1" applyBorder="1" applyAlignment="1" applyProtection="1"/>
    <xf numFmtId="0" fontId="0" fillId="0" borderId="0" xfId="0" applyAlignment="1" applyProtection="1">
      <alignment horizontal="right" vertical="center"/>
    </xf>
    <xf numFmtId="164" fontId="9" fillId="9" borderId="0" xfId="0" applyNumberFormat="1" applyFont="1" applyFill="1" applyAlignment="1" applyProtection="1">
      <alignment horizontal="right" vertical="center"/>
    </xf>
    <xf numFmtId="164" fontId="1" fillId="2" borderId="1" xfId="1" applyNumberFormat="1" applyAlignment="1" applyProtection="1">
      <alignment horizontal="right" vertical="center"/>
    </xf>
    <xf numFmtId="164" fontId="9" fillId="8" borderId="25" xfId="5" applyNumberFormat="1" applyFont="1" applyAlignment="1" applyProtection="1">
      <alignment horizontal="right" vertical="center"/>
    </xf>
    <xf numFmtId="164" fontId="6" fillId="14" borderId="0" xfId="3" applyNumberFormat="1" applyFill="1" applyAlignment="1" applyProtection="1">
      <alignment horizontal="center" vertical="center"/>
    </xf>
    <xf numFmtId="164" fontId="9" fillId="0" borderId="0" xfId="0" applyNumberFormat="1" applyFont="1" applyAlignment="1" applyProtection="1">
      <alignment horizontal="right" vertical="center"/>
    </xf>
    <xf numFmtId="164" fontId="2" fillId="5" borderId="0" xfId="0" applyNumberFormat="1" applyFont="1" applyFill="1" applyAlignment="1" applyProtection="1">
      <alignment horizontal="left"/>
    </xf>
    <xf numFmtId="164" fontId="2" fillId="5" borderId="0" xfId="0" applyNumberFormat="1" applyFont="1" applyFill="1" applyAlignment="1" applyProtection="1">
      <alignment horizontal="center"/>
    </xf>
    <xf numFmtId="164" fontId="6" fillId="14" borderId="0" xfId="3" applyNumberFormat="1" applyFill="1" applyAlignment="1" applyProtection="1">
      <alignment horizontal="center"/>
    </xf>
    <xf numFmtId="164" fontId="2" fillId="0" borderId="0" xfId="0" applyNumberFormat="1" applyFont="1" applyAlignment="1" applyProtection="1"/>
    <xf numFmtId="164" fontId="9" fillId="8" borderId="0" xfId="5" quotePrefix="1" applyNumberFormat="1" applyFont="1" applyBorder="1" applyProtection="1"/>
    <xf numFmtId="0" fontId="9" fillId="8" borderId="25" xfId="5" applyFont="1" applyProtection="1"/>
    <xf numFmtId="164" fontId="0" fillId="0" borderId="0" xfId="0" applyNumberFormat="1" applyProtection="1"/>
    <xf numFmtId="164" fontId="9" fillId="8" borderId="25" xfId="5" applyNumberFormat="1" applyFont="1" applyAlignment="1" applyProtection="1">
      <alignment horizontal="right"/>
    </xf>
    <xf numFmtId="164" fontId="13" fillId="0" borderId="0" xfId="0" applyNumberFormat="1" applyFont="1" applyAlignment="1" applyProtection="1">
      <alignment horizontal="center" vertical="center"/>
    </xf>
    <xf numFmtId="0" fontId="9" fillId="9" borderId="0" xfId="0" applyFont="1" applyFill="1" applyProtection="1"/>
    <xf numFmtId="164" fontId="9" fillId="14" borderId="0" xfId="0" applyNumberFormat="1" applyFont="1" applyFill="1" applyAlignment="1" applyProtection="1">
      <alignment horizontal="center" vertical="center"/>
    </xf>
    <xf numFmtId="164" fontId="9" fillId="14" borderId="0" xfId="0" applyNumberFormat="1" applyFont="1" applyFill="1" applyAlignment="1" applyProtection="1">
      <alignment horizontal="center"/>
    </xf>
    <xf numFmtId="0" fontId="0" fillId="8" borderId="25" xfId="5" applyFont="1" applyProtection="1"/>
    <xf numFmtId="0" fontId="0" fillId="8" borderId="25" xfId="5" quotePrefix="1" applyFont="1" applyAlignment="1" applyProtection="1">
      <alignment horizontal="right"/>
    </xf>
    <xf numFmtId="0" fontId="0" fillId="0" borderId="0" xfId="0" applyBorder="1" applyAlignment="1" applyProtection="1">
      <alignment horizontal="right" vertical="center"/>
    </xf>
    <xf numFmtId="164" fontId="2" fillId="0" borderId="0" xfId="0" quotePrefix="1" applyNumberFormat="1" applyFont="1" applyProtection="1"/>
    <xf numFmtId="164" fontId="2" fillId="0" borderId="48" xfId="0" applyNumberFormat="1" applyFont="1" applyBorder="1" applyProtection="1"/>
    <xf numFmtId="164" fontId="2" fillId="0" borderId="48" xfId="0" quotePrefix="1" applyNumberFormat="1" applyFont="1" applyBorder="1" applyProtection="1"/>
    <xf numFmtId="164" fontId="2" fillId="0" borderId="47" xfId="0" quotePrefix="1" applyNumberFormat="1" applyFont="1" applyBorder="1" applyProtection="1"/>
    <xf numFmtId="164" fontId="2" fillId="0" borderId="46" xfId="0" quotePrefix="1" applyNumberFormat="1" applyFont="1" applyBorder="1" applyProtection="1"/>
    <xf numFmtId="2" fontId="2" fillId="0" borderId="0" xfId="0" applyNumberFormat="1" applyFont="1" applyProtection="1"/>
    <xf numFmtId="2" fontId="14" fillId="13" borderId="0" xfId="6" applyNumberFormat="1" applyProtection="1"/>
    <xf numFmtId="2" fontId="14" fillId="13" borderId="0" xfId="6" quotePrefix="1" applyNumberFormat="1" applyProtection="1"/>
    <xf numFmtId="164" fontId="2" fillId="8" borderId="25" xfId="5" applyNumberFormat="1" applyFont="1" applyProtection="1"/>
    <xf numFmtId="164" fontId="9" fillId="11" borderId="32" xfId="0" quotePrefix="1" applyNumberFormat="1" applyFont="1" applyFill="1" applyBorder="1" applyAlignment="1" applyProtection="1">
      <alignment horizontal="center" vertical="center"/>
    </xf>
    <xf numFmtId="0" fontId="0" fillId="0" borderId="0" xfId="0"/>
    <xf numFmtId="0" fontId="1" fillId="2" borderId="1" xfId="1" applyAlignment="1" applyProtection="1">
      <alignment horizontal="center" vertical="center"/>
    </xf>
    <xf numFmtId="164" fontId="2" fillId="0" borderId="0" xfId="0" applyNumberFormat="1" applyFont="1" applyAlignment="1" applyProtection="1">
      <alignment horizontal="center"/>
    </xf>
    <xf numFmtId="164" fontId="19" fillId="8" borderId="25" xfId="5" applyNumberFormat="1" applyFont="1" applyProtection="1"/>
    <xf numFmtId="0" fontId="0" fillId="0" borderId="0" xfId="0"/>
    <xf numFmtId="167" fontId="3" fillId="15" borderId="1" xfId="2" quotePrefix="1" applyNumberFormat="1" applyProtection="1">
      <protection locked="0"/>
    </xf>
    <xf numFmtId="164" fontId="9" fillId="14" borderId="0" xfId="0" quotePrefix="1" applyNumberFormat="1" applyFont="1" applyFill="1" applyProtection="1"/>
    <xf numFmtId="0" fontId="0" fillId="0" borderId="0" xfId="0"/>
    <xf numFmtId="164" fontId="2" fillId="0" borderId="0" xfId="0" applyNumberFormat="1" applyFont="1" applyAlignment="1" applyProtection="1">
      <alignment horizontal="center"/>
    </xf>
    <xf numFmtId="0" fontId="1" fillId="2" borderId="1" xfId="1" applyAlignment="1" applyProtection="1">
      <alignment horizontal="center" vertical="center"/>
    </xf>
    <xf numFmtId="0" fontId="2" fillId="0" borderId="0" xfId="0" quotePrefix="1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top"/>
    </xf>
    <xf numFmtId="0" fontId="2" fillId="0" borderId="0" xfId="0" quotePrefix="1" applyFont="1" applyAlignment="1">
      <alignment horizontal="left" vertical="top"/>
    </xf>
    <xf numFmtId="164" fontId="2" fillId="0" borderId="0" xfId="0" applyNumberFormat="1" applyFont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164" fontId="2" fillId="0" borderId="0" xfId="0" quotePrefix="1" applyNumberFormat="1" applyFont="1" applyAlignment="1">
      <alignment horizontal="center" vertical="center"/>
    </xf>
    <xf numFmtId="164" fontId="3" fillId="15" borderId="1" xfId="2" applyNumberFormat="1"/>
    <xf numFmtId="0" fontId="0" fillId="0" borderId="0" xfId="0"/>
    <xf numFmtId="164" fontId="2" fillId="9" borderId="15" xfId="0" applyNumberFormat="1" applyFont="1" applyFill="1" applyBorder="1" applyAlignment="1" applyProtection="1"/>
    <xf numFmtId="0" fontId="0" fillId="9" borderId="0" xfId="0" applyFill="1"/>
    <xf numFmtId="164" fontId="2" fillId="9" borderId="0" xfId="0" applyNumberFormat="1" applyFont="1" applyFill="1" applyProtection="1"/>
    <xf numFmtId="164" fontId="2" fillId="8" borderId="25" xfId="5" applyNumberFormat="1" applyFont="1" applyAlignment="1" applyProtection="1"/>
    <xf numFmtId="0" fontId="2" fillId="0" borderId="0" xfId="0" applyFont="1"/>
    <xf numFmtId="0" fontId="26" fillId="0" borderId="0" xfId="0" applyFont="1"/>
    <xf numFmtId="0" fontId="2" fillId="0" borderId="0" xfId="0" applyFont="1" applyProtection="1"/>
    <xf numFmtId="0" fontId="27" fillId="2" borderId="41" xfId="7" applyFont="1" applyProtection="1"/>
    <xf numFmtId="0" fontId="29" fillId="13" borderId="0" xfId="6" applyFont="1" applyAlignment="1" applyProtection="1">
      <alignment horizontal="center" vertical="center"/>
    </xf>
    <xf numFmtId="0" fontId="23" fillId="6" borderId="0" xfId="3" applyFont="1" applyAlignment="1" applyProtection="1">
      <alignment horizontal="center" vertical="center"/>
    </xf>
    <xf numFmtId="0" fontId="23" fillId="6" borderId="0" xfId="3" applyFont="1" applyProtection="1"/>
    <xf numFmtId="0" fontId="29" fillId="13" borderId="0" xfId="6" applyFont="1" applyProtection="1"/>
    <xf numFmtId="0" fontId="2" fillId="0" borderId="0" xfId="0" quotePrefix="1" applyFont="1"/>
    <xf numFmtId="164" fontId="2" fillId="11" borderId="33" xfId="0" applyNumberFormat="1" applyFont="1" applyFill="1" applyBorder="1" applyAlignment="1" applyProtection="1">
      <alignment horizontal="center" vertical="center"/>
    </xf>
    <xf numFmtId="164" fontId="2" fillId="11" borderId="32" xfId="0" applyNumberFormat="1" applyFont="1" applyFill="1" applyBorder="1" applyAlignment="1" applyProtection="1">
      <alignment horizontal="center" vertical="center"/>
    </xf>
    <xf numFmtId="1" fontId="2" fillId="11" borderId="34" xfId="0" applyNumberFormat="1" applyFont="1" applyFill="1" applyBorder="1" applyAlignment="1" applyProtection="1">
      <alignment horizontal="center" vertical="center"/>
    </xf>
    <xf numFmtId="164" fontId="2" fillId="11" borderId="58" xfId="0" applyNumberFormat="1" applyFont="1" applyFill="1" applyBorder="1" applyAlignment="1" applyProtection="1">
      <alignment horizontal="center" vertical="center"/>
    </xf>
    <xf numFmtId="164" fontId="2" fillId="11" borderId="59" xfId="0" applyNumberFormat="1" applyFont="1" applyFill="1" applyBorder="1" applyAlignment="1" applyProtection="1">
      <alignment horizontal="center" vertical="center"/>
    </xf>
    <xf numFmtId="2" fontId="2" fillId="11" borderId="60" xfId="0" applyNumberFormat="1" applyFont="1" applyFill="1" applyBorder="1" applyAlignment="1" applyProtection="1">
      <alignment horizontal="center" vertical="center"/>
    </xf>
    <xf numFmtId="164" fontId="2" fillId="11" borderId="55" xfId="0" applyNumberFormat="1" applyFont="1" applyFill="1" applyBorder="1" applyAlignment="1" applyProtection="1">
      <alignment horizontal="center" vertical="center"/>
    </xf>
    <xf numFmtId="164" fontId="2" fillId="11" borderId="56" xfId="0" applyNumberFormat="1" applyFont="1" applyFill="1" applyBorder="1" applyAlignment="1" applyProtection="1">
      <alignment horizontal="center" vertical="center"/>
    </xf>
    <xf numFmtId="2" fontId="2" fillId="11" borderId="57" xfId="0" applyNumberFormat="1" applyFont="1" applyFill="1" applyBorder="1" applyAlignment="1" applyProtection="1">
      <alignment horizontal="center" vertical="center"/>
    </xf>
    <xf numFmtId="164" fontId="2" fillId="11" borderId="35" xfId="0" applyNumberFormat="1" applyFont="1" applyFill="1" applyBorder="1" applyAlignment="1" applyProtection="1">
      <alignment horizontal="center" vertical="center"/>
    </xf>
    <xf numFmtId="164" fontId="2" fillId="11" borderId="36" xfId="0" applyNumberFormat="1" applyFont="1" applyFill="1" applyBorder="1" applyAlignment="1" applyProtection="1">
      <alignment horizontal="center" vertical="center"/>
    </xf>
    <xf numFmtId="1" fontId="2" fillId="11" borderId="37" xfId="0" applyNumberFormat="1" applyFont="1" applyFill="1" applyBorder="1" applyAlignment="1" applyProtection="1">
      <alignment horizontal="center" vertical="center"/>
    </xf>
    <xf numFmtId="164" fontId="2" fillId="0" borderId="0" xfId="0" applyNumberFormat="1" applyFont="1" applyAlignment="1" applyProtection="1">
      <alignment horizontal="right"/>
    </xf>
    <xf numFmtId="164" fontId="2" fillId="0" borderId="0" xfId="0" applyNumberFormat="1" applyFont="1" applyAlignment="1" applyProtection="1">
      <alignment wrapText="1"/>
    </xf>
    <xf numFmtId="0" fontId="2" fillId="0" borderId="0" xfId="0" applyFont="1" applyAlignment="1" applyProtection="1"/>
    <xf numFmtId="0" fontId="2" fillId="9" borderId="0" xfId="0" applyFont="1" applyFill="1"/>
    <xf numFmtId="0" fontId="29" fillId="13" borderId="0" xfId="6" applyFont="1"/>
    <xf numFmtId="164" fontId="29" fillId="13" borderId="0" xfId="6" applyNumberFormat="1" applyFont="1" applyProtection="1"/>
    <xf numFmtId="164" fontId="29" fillId="13" borderId="25" xfId="6" applyNumberFormat="1" applyFont="1" applyBorder="1" applyAlignment="1" applyProtection="1"/>
    <xf numFmtId="164" fontId="0" fillId="9" borderId="0" xfId="0" applyNumberFormat="1" applyFill="1"/>
    <xf numFmtId="164" fontId="2" fillId="9" borderId="0" xfId="0" applyNumberFormat="1" applyFont="1" applyFill="1"/>
    <xf numFmtId="0" fontId="10" fillId="6" borderId="2" xfId="3" applyFont="1" applyBorder="1"/>
    <xf numFmtId="0" fontId="10" fillId="6" borderId="31" xfId="3" applyFont="1" applyBorder="1"/>
    <xf numFmtId="0" fontId="10" fillId="6" borderId="7" xfId="3" applyFont="1" applyBorder="1"/>
    <xf numFmtId="0" fontId="10" fillId="6" borderId="9" xfId="3" applyFont="1" applyBorder="1"/>
    <xf numFmtId="0" fontId="10" fillId="6" borderId="10" xfId="3" applyFont="1" applyBorder="1"/>
    <xf numFmtId="0" fontId="10" fillId="6" borderId="12" xfId="3" applyFont="1" applyBorder="1"/>
    <xf numFmtId="0" fontId="10" fillId="6" borderId="85" xfId="3" applyFont="1" applyBorder="1"/>
    <xf numFmtId="0" fontId="30" fillId="17" borderId="0" xfId="0" applyFont="1" applyFill="1"/>
    <xf numFmtId="0" fontId="0" fillId="17" borderId="0" xfId="0" applyFill="1"/>
    <xf numFmtId="0" fontId="2" fillId="17" borderId="0" xfId="0" applyFont="1" applyFill="1"/>
    <xf numFmtId="164" fontId="1" fillId="2" borderId="1" xfId="1" applyNumberFormat="1" applyAlignment="1" applyProtection="1"/>
    <xf numFmtId="164" fontId="1" fillId="2" borderId="1" xfId="1" applyNumberFormat="1"/>
    <xf numFmtId="0" fontId="22" fillId="15" borderId="54" xfId="8" applyFill="1"/>
    <xf numFmtId="0" fontId="22" fillId="15" borderId="54" xfId="8" quotePrefix="1" applyFill="1"/>
    <xf numFmtId="0" fontId="1" fillId="2" borderId="6" xfId="1" quotePrefix="1" applyBorder="1"/>
    <xf numFmtId="164" fontId="2" fillId="0" borderId="0" xfId="0" quotePrefix="1" applyNumberFormat="1" applyFont="1" applyAlignment="1" applyProtection="1">
      <alignment horizontal="center"/>
    </xf>
    <xf numFmtId="167" fontId="1" fillId="2" borderId="5" xfId="1" applyNumberFormat="1" applyBorder="1" applyAlignment="1" applyProtection="1"/>
    <xf numFmtId="164" fontId="1" fillId="2" borderId="6" xfId="1" applyNumberFormat="1" applyBorder="1" applyAlignment="1" applyProtection="1"/>
    <xf numFmtId="164" fontId="2" fillId="8" borderId="95" xfId="5" applyNumberFormat="1" applyFont="1" applyBorder="1" applyProtection="1"/>
    <xf numFmtId="164" fontId="2" fillId="8" borderId="96" xfId="5" applyNumberFormat="1" applyFont="1" applyBorder="1" applyProtection="1"/>
    <xf numFmtId="167" fontId="14" fillId="13" borderId="5" xfId="6" applyNumberFormat="1" applyBorder="1" applyAlignment="1" applyProtection="1"/>
    <xf numFmtId="1" fontId="9" fillId="11" borderId="108" xfId="0" applyNumberFormat="1" applyFont="1" applyFill="1" applyBorder="1" applyAlignment="1" applyProtection="1">
      <alignment horizontal="center" vertical="center"/>
    </xf>
    <xf numFmtId="0" fontId="0" fillId="0" borderId="0" xfId="0"/>
    <xf numFmtId="164" fontId="2" fillId="10" borderId="22" xfId="0" applyNumberFormat="1" applyFont="1" applyFill="1" applyBorder="1" applyAlignment="1" applyProtection="1"/>
    <xf numFmtId="164" fontId="2" fillId="18" borderId="2" xfId="9" applyNumberFormat="1" applyBorder="1" applyProtection="1"/>
    <xf numFmtId="164" fontId="2" fillId="10" borderId="0" xfId="0" applyNumberFormat="1" applyFont="1" applyFill="1" applyBorder="1" applyAlignment="1" applyProtection="1"/>
    <xf numFmtId="164" fontId="31" fillId="6" borderId="7" xfId="3" applyNumberFormat="1" applyFont="1" applyBorder="1" applyAlignment="1" applyProtection="1">
      <alignment horizontal="center" vertical="center"/>
    </xf>
    <xf numFmtId="164" fontId="31" fillId="6" borderId="8" xfId="3" applyNumberFormat="1" applyFont="1" applyBorder="1" applyAlignment="1" applyProtection="1">
      <alignment horizontal="center" vertical="center"/>
    </xf>
    <xf numFmtId="164" fontId="31" fillId="6" borderId="9" xfId="3" applyNumberFormat="1" applyFont="1" applyBorder="1" applyAlignment="1" applyProtection="1">
      <alignment horizontal="center" vertical="center"/>
    </xf>
    <xf numFmtId="164" fontId="31" fillId="6" borderId="48" xfId="3" applyNumberFormat="1" applyFont="1" applyBorder="1" applyAlignment="1" applyProtection="1">
      <alignment horizontal="center" vertical="center"/>
    </xf>
    <xf numFmtId="164" fontId="31" fillId="6" borderId="0" xfId="3" applyNumberFormat="1" applyFont="1" applyBorder="1" applyAlignment="1" applyProtection="1">
      <alignment horizontal="center" vertical="center"/>
    </xf>
    <xf numFmtId="164" fontId="31" fillId="6" borderId="4" xfId="3" applyNumberFormat="1" applyFont="1" applyBorder="1" applyAlignment="1" applyProtection="1">
      <alignment horizontal="center" vertical="center"/>
    </xf>
    <xf numFmtId="164" fontId="31" fillId="6" borderId="10" xfId="3" applyNumberFormat="1" applyFont="1" applyBorder="1" applyAlignment="1" applyProtection="1">
      <alignment horizontal="center" vertical="center"/>
    </xf>
    <xf numFmtId="164" fontId="31" fillId="6" borderId="11" xfId="3" applyNumberFormat="1" applyFont="1" applyBorder="1" applyAlignment="1" applyProtection="1">
      <alignment horizontal="center" vertical="center"/>
    </xf>
    <xf numFmtId="164" fontId="31" fillId="6" borderId="12" xfId="3" applyNumberFormat="1" applyFont="1" applyBorder="1" applyAlignment="1" applyProtection="1">
      <alignment horizontal="center" vertical="center"/>
    </xf>
    <xf numFmtId="164" fontId="31" fillId="6" borderId="2" xfId="3" applyNumberFormat="1" applyFont="1" applyBorder="1" applyAlignment="1" applyProtection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/>
    <xf numFmtId="2" fontId="2" fillId="0" borderId="0" xfId="0" applyNumberFormat="1" applyFont="1"/>
    <xf numFmtId="0" fontId="0" fillId="0" borderId="0" xfId="0"/>
    <xf numFmtId="0" fontId="35" fillId="13" borderId="2" xfId="6" applyFont="1" applyBorder="1" applyAlignment="1">
      <alignment horizontal="center" vertical="center"/>
    </xf>
    <xf numFmtId="49" fontId="0" fillId="0" borderId="0" xfId="0" applyNumberFormat="1"/>
    <xf numFmtId="0" fontId="6" fillId="6" borderId="2" xfId="3" applyBorder="1" applyAlignment="1">
      <alignment horizontal="center"/>
    </xf>
    <xf numFmtId="0" fontId="0" fillId="0" borderId="0" xfId="0"/>
    <xf numFmtId="164" fontId="2" fillId="0" borderId="0" xfId="0" applyNumberFormat="1" applyFont="1" applyAlignment="1" applyProtection="1">
      <alignment horizontal="center"/>
    </xf>
    <xf numFmtId="0" fontId="1" fillId="2" borderId="1" xfId="1" applyAlignment="1" applyProtection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69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69" fontId="34" fillId="19" borderId="2" xfId="10" applyNumberFormat="1" applyBorder="1" applyAlignment="1">
      <alignment horizontal="center"/>
    </xf>
    <xf numFmtId="49" fontId="34" fillId="19" borderId="2" xfId="10" applyNumberFormat="1" applyBorder="1" applyAlignment="1">
      <alignment horizontal="center"/>
    </xf>
    <xf numFmtId="2" fontId="34" fillId="19" borderId="2" xfId="10" applyNumberFormat="1" applyBorder="1" applyAlignment="1">
      <alignment horizontal="center"/>
    </xf>
    <xf numFmtId="0" fontId="34" fillId="19" borderId="25" xfId="10" applyBorder="1" applyAlignment="1">
      <alignment horizontal="center" vertical="center"/>
    </xf>
    <xf numFmtId="0" fontId="33" fillId="8" borderId="25" xfId="5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4" fillId="19" borderId="0" xfId="10" applyAlignment="1">
      <alignment horizontal="center" vertical="center"/>
    </xf>
    <xf numFmtId="0" fontId="6" fillId="6" borderId="2" xfId="3" applyBorder="1" applyAlignment="1">
      <alignment horizontal="center"/>
    </xf>
    <xf numFmtId="0" fontId="0" fillId="0" borderId="0" xfId="0"/>
    <xf numFmtId="164" fontId="2" fillId="0" borderId="0" xfId="0" applyNumberFormat="1" applyFont="1" applyAlignment="1" applyProtection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37" fillId="13" borderId="5" xfId="6" applyFont="1" applyBorder="1" applyAlignment="1">
      <alignment horizontal="center"/>
    </xf>
    <xf numFmtId="0" fontId="3" fillId="15" borderId="1" xfId="2" applyAlignment="1">
      <alignment horizontal="center"/>
    </xf>
    <xf numFmtId="0" fontId="36" fillId="13" borderId="2" xfId="6" applyFont="1" applyBorder="1" applyAlignment="1">
      <alignment horizontal="center"/>
    </xf>
    <xf numFmtId="49" fontId="9" fillId="9" borderId="0" xfId="0" applyNumberFormat="1" applyFont="1" applyFill="1" applyProtection="1"/>
    <xf numFmtId="168" fontId="1" fillId="2" borderId="5" xfId="1" applyNumberFormat="1" applyBorder="1" applyAlignment="1" applyProtection="1"/>
    <xf numFmtId="165" fontId="9" fillId="9" borderId="0" xfId="0" applyNumberFormat="1" applyFont="1" applyFill="1" applyProtection="1"/>
    <xf numFmtId="164" fontId="9" fillId="11" borderId="2" xfId="0" quotePrefix="1" applyNumberFormat="1" applyFont="1" applyFill="1" applyBorder="1" applyAlignment="1" applyProtection="1">
      <alignment horizontal="center" vertical="center"/>
    </xf>
    <xf numFmtId="1" fontId="9" fillId="11" borderId="2" xfId="0" applyNumberFormat="1" applyFont="1" applyFill="1" applyBorder="1" applyAlignment="1" applyProtection="1">
      <alignment horizontal="center" vertical="center"/>
    </xf>
    <xf numFmtId="164" fontId="9" fillId="11" borderId="124" xfId="0" applyNumberFormat="1" applyFont="1" applyFill="1" applyBorder="1" applyAlignment="1" applyProtection="1">
      <alignment horizontal="center" vertical="center"/>
    </xf>
    <xf numFmtId="164" fontId="9" fillId="11" borderId="36" xfId="0" quotePrefix="1" applyNumberFormat="1" applyFont="1" applyFill="1" applyBorder="1" applyAlignment="1" applyProtection="1">
      <alignment horizontal="center" vertical="center"/>
    </xf>
    <xf numFmtId="1" fontId="9" fillId="11" borderId="36" xfId="0" applyNumberFormat="1" applyFont="1" applyFill="1" applyBorder="1" applyAlignment="1" applyProtection="1">
      <alignment horizontal="center" vertical="center"/>
    </xf>
    <xf numFmtId="164" fontId="2" fillId="10" borderId="77" xfId="0" applyNumberFormat="1" applyFont="1" applyFill="1" applyBorder="1" applyAlignment="1" applyProtection="1"/>
    <xf numFmtId="164" fontId="2" fillId="0" borderId="77" xfId="0" applyNumberFormat="1" applyFont="1" applyBorder="1" applyAlignment="1" applyProtection="1">
      <alignment horizontal="center"/>
    </xf>
    <xf numFmtId="0" fontId="0" fillId="0" borderId="0" xfId="0" applyAlignment="1"/>
    <xf numFmtId="0" fontId="0" fillId="0" borderId="0" xfId="0" quotePrefix="1"/>
    <xf numFmtId="0" fontId="3" fillId="8" borderId="2" xfId="5" applyFont="1" applyBorder="1" applyAlignment="1">
      <alignment horizontal="center" vertical="center"/>
    </xf>
    <xf numFmtId="20" fontId="3" fillId="8" borderId="2" xfId="5" quotePrefix="1" applyNumberFormat="1" applyFont="1" applyBorder="1" applyAlignment="1">
      <alignment horizontal="center" vertical="center"/>
    </xf>
    <xf numFmtId="0" fontId="3" fillId="8" borderId="2" xfId="5" quotePrefix="1" applyFont="1" applyBorder="1" applyAlignment="1">
      <alignment horizontal="center" vertical="center"/>
    </xf>
    <xf numFmtId="0" fontId="0" fillId="8" borderId="25" xfId="5" applyFont="1" applyAlignment="1">
      <alignment horizontal="center"/>
    </xf>
    <xf numFmtId="0" fontId="2" fillId="0" borderId="0" xfId="0" applyFont="1"/>
    <xf numFmtId="0" fontId="3" fillId="15" borderId="1" xfId="2" applyAlignment="1"/>
    <xf numFmtId="0" fontId="37" fillId="13" borderId="5" xfId="6" applyFont="1" applyBorder="1" applyAlignment="1"/>
    <xf numFmtId="0" fontId="3" fillId="8" borderId="2" xfId="5" applyFont="1" applyBorder="1" applyAlignment="1"/>
    <xf numFmtId="0" fontId="6" fillId="6" borderId="2" xfId="3" applyBorder="1" applyAlignment="1">
      <alignment horizontal="center" vertical="center"/>
    </xf>
    <xf numFmtId="14" fontId="2" fillId="0" borderId="0" xfId="0" applyNumberFormat="1" applyFont="1"/>
    <xf numFmtId="170" fontId="2" fillId="0" borderId="0" xfId="0" applyNumberFormat="1" applyFont="1"/>
    <xf numFmtId="0" fontId="2" fillId="3" borderId="0" xfId="0" applyFont="1" applyFill="1"/>
    <xf numFmtId="20" fontId="2" fillId="0" borderId="0" xfId="0" quotePrefix="1" applyNumberFormat="1" applyFont="1"/>
    <xf numFmtId="0" fontId="2" fillId="23" borderId="0" xfId="0" applyFont="1" applyFill="1"/>
    <xf numFmtId="170" fontId="2" fillId="23" borderId="0" xfId="0" applyNumberFormat="1" applyFont="1" applyFill="1"/>
    <xf numFmtId="0" fontId="2" fillId="24" borderId="0" xfId="0" applyFont="1" applyFill="1"/>
    <xf numFmtId="2" fontId="2" fillId="24" borderId="0" xfId="0" applyNumberFormat="1" applyFont="1" applyFill="1"/>
    <xf numFmtId="170" fontId="0" fillId="8" borderId="25" xfId="5" applyNumberFormat="1" applyFont="1" applyAlignment="1">
      <alignment horizontal="center"/>
    </xf>
    <xf numFmtId="0" fontId="38" fillId="8" borderId="25" xfId="5" applyFont="1" applyAlignment="1">
      <alignment horizontal="center" vertical="center"/>
    </xf>
    <xf numFmtId="0" fontId="42" fillId="2" borderId="1" xfId="1" applyFont="1"/>
    <xf numFmtId="0" fontId="0" fillId="8" borderId="102" xfId="5" applyFont="1" applyBorder="1" applyAlignment="1">
      <alignment horizontal="center"/>
    </xf>
    <xf numFmtId="0" fontId="6" fillId="6" borderId="2" xfId="3" applyBorder="1"/>
    <xf numFmtId="0" fontId="44" fillId="6" borderId="0" xfId="3" applyFont="1"/>
    <xf numFmtId="170" fontId="44" fillId="6" borderId="0" xfId="3" applyNumberFormat="1" applyFont="1"/>
    <xf numFmtId="0" fontId="0" fillId="0" borderId="0" xfId="0"/>
    <xf numFmtId="0" fontId="10" fillId="6" borderId="2" xfId="3" applyFont="1" applyBorder="1" applyAlignment="1">
      <alignment horizontal="center" vertical="center"/>
    </xf>
    <xf numFmtId="0" fontId="6" fillId="6" borderId="5" xfId="3" applyBorder="1"/>
    <xf numFmtId="0" fontId="0" fillId="0" borderId="0" xfId="0"/>
    <xf numFmtId="0" fontId="2" fillId="0" borderId="0" xfId="0" applyFont="1"/>
    <xf numFmtId="2" fontId="39" fillId="11" borderId="125" xfId="0" applyNumberFormat="1" applyFont="1" applyFill="1" applyBorder="1" applyAlignment="1" applyProtection="1">
      <alignment horizontal="center"/>
    </xf>
    <xf numFmtId="2" fontId="39" fillId="11" borderId="37" xfId="0" applyNumberFormat="1" applyFont="1" applyFill="1" applyBorder="1" applyAlignment="1" applyProtection="1">
      <alignment horizontal="center"/>
    </xf>
    <xf numFmtId="164" fontId="9" fillId="11" borderId="2" xfId="0" applyNumberFormat="1" applyFont="1" applyFill="1" applyBorder="1" applyAlignment="1" applyProtection="1">
      <alignment horizontal="center" vertical="center"/>
    </xf>
    <xf numFmtId="2" fontId="45" fillId="11" borderId="2" xfId="0" applyNumberFormat="1" applyFont="1" applyFill="1" applyBorder="1" applyAlignment="1" applyProtection="1">
      <alignment horizontal="center"/>
    </xf>
    <xf numFmtId="0" fontId="38" fillId="8" borderId="102" xfId="5" applyFont="1" applyBorder="1" applyAlignment="1">
      <alignment horizontal="center" vertical="center"/>
    </xf>
    <xf numFmtId="0" fontId="38" fillId="7" borderId="24" xfId="4" applyFont="1" applyAlignment="1">
      <alignment horizontal="center"/>
    </xf>
    <xf numFmtId="0" fontId="38" fillId="26" borderId="24" xfId="4" applyFont="1" applyFill="1" applyAlignment="1">
      <alignment horizontal="center"/>
    </xf>
    <xf numFmtId="170" fontId="38" fillId="2" borderId="1" xfId="1" applyNumberFormat="1" applyFont="1" applyAlignment="1">
      <alignment horizontal="center"/>
    </xf>
    <xf numFmtId="0" fontId="38" fillId="2" borderId="1" xfId="1" applyFont="1" applyAlignment="1">
      <alignment horizontal="center"/>
    </xf>
    <xf numFmtId="0" fontId="36" fillId="13" borderId="5" xfId="6" applyFont="1" applyBorder="1" applyAlignment="1"/>
    <xf numFmtId="0" fontId="38" fillId="7" borderId="43" xfId="4" applyFont="1" applyBorder="1" applyAlignment="1">
      <alignment horizontal="center"/>
    </xf>
    <xf numFmtId="17" fontId="3" fillId="15" borderId="2" xfId="2" quotePrefix="1" applyNumberFormat="1" applyBorder="1" applyAlignment="1">
      <alignment horizontal="center" vertical="center"/>
    </xf>
    <xf numFmtId="0" fontId="3" fillId="15" borderId="2" xfId="2" quotePrefix="1" applyBorder="1" applyAlignment="1">
      <alignment horizontal="center" vertical="center"/>
    </xf>
    <xf numFmtId="0" fontId="3" fillId="15" borderId="2" xfId="2" applyBorder="1" applyAlignment="1">
      <alignment horizontal="center" vertical="center"/>
    </xf>
    <xf numFmtId="20" fontId="3" fillId="15" borderId="2" xfId="2" quotePrefix="1" applyNumberFormat="1" applyBorder="1" applyAlignment="1">
      <alignment horizontal="center" vertical="center"/>
    </xf>
    <xf numFmtId="0" fontId="46" fillId="2" borderId="1" xfId="1" applyFont="1" applyAlignment="1">
      <alignment horizontal="center"/>
    </xf>
    <xf numFmtId="0" fontId="2" fillId="18" borderId="8" xfId="9" applyBorder="1" applyAlignment="1" applyProtection="1">
      <alignment vertical="center"/>
    </xf>
    <xf numFmtId="0" fontId="2" fillId="18" borderId="9" xfId="9" applyBorder="1" applyAlignment="1" applyProtection="1">
      <alignment vertical="center"/>
    </xf>
    <xf numFmtId="0" fontId="2" fillId="18" borderId="48" xfId="9" applyBorder="1" applyAlignment="1" applyProtection="1">
      <alignment vertical="center"/>
    </xf>
    <xf numFmtId="0" fontId="2" fillId="18" borderId="10" xfId="9" applyBorder="1" applyAlignment="1" applyProtection="1">
      <alignment vertical="center"/>
    </xf>
    <xf numFmtId="164" fontId="9" fillId="11" borderId="55" xfId="0" applyNumberFormat="1" applyFont="1" applyFill="1" applyBorder="1" applyAlignment="1" applyProtection="1">
      <alignment horizontal="center" vertical="center"/>
    </xf>
    <xf numFmtId="164" fontId="9" fillId="11" borderId="56" xfId="0" quotePrefix="1" applyNumberFormat="1" applyFont="1" applyFill="1" applyBorder="1" applyAlignment="1" applyProtection="1">
      <alignment horizontal="center" vertical="center"/>
    </xf>
    <xf numFmtId="1" fontId="9" fillId="11" borderId="10" xfId="0" applyNumberFormat="1" applyFont="1" applyFill="1" applyBorder="1" applyAlignment="1" applyProtection="1">
      <alignment horizontal="center" vertical="center"/>
    </xf>
    <xf numFmtId="1" fontId="9" fillId="11" borderId="127" xfId="0" applyNumberFormat="1" applyFont="1" applyFill="1" applyBorder="1" applyAlignment="1" applyProtection="1">
      <alignment horizontal="center" vertical="center"/>
    </xf>
    <xf numFmtId="2" fontId="45" fillId="11" borderId="128" xfId="0" applyNumberFormat="1" applyFont="1" applyFill="1" applyBorder="1" applyAlignment="1" applyProtection="1">
      <alignment vertical="center"/>
    </xf>
    <xf numFmtId="2" fontId="45" fillId="11" borderId="129" xfId="0" applyNumberFormat="1" applyFont="1" applyFill="1" applyBorder="1" applyAlignment="1" applyProtection="1">
      <alignment vertical="center"/>
    </xf>
    <xf numFmtId="0" fontId="0" fillId="0" borderId="0" xfId="0"/>
    <xf numFmtId="164" fontId="2" fillId="0" borderId="0" xfId="0" applyNumberFormat="1" applyFont="1" applyAlignment="1" applyProtection="1">
      <alignment horizontal="center"/>
    </xf>
    <xf numFmtId="0" fontId="1" fillId="2" borderId="1" xfId="1" applyAlignment="1" applyProtection="1">
      <alignment horizontal="center" vertical="center"/>
    </xf>
    <xf numFmtId="164" fontId="2" fillId="10" borderId="15" xfId="0" applyNumberFormat="1" applyFont="1" applyFill="1" applyBorder="1" applyAlignment="1" applyProtection="1">
      <alignment horizontal="center"/>
    </xf>
    <xf numFmtId="164" fontId="2" fillId="10" borderId="123" xfId="0" applyNumberFormat="1" applyFont="1" applyFill="1" applyBorder="1" applyAlignment="1" applyProtection="1">
      <alignment horizontal="center"/>
    </xf>
    <xf numFmtId="164" fontId="2" fillId="8" borderId="126" xfId="5" applyNumberFormat="1" applyFont="1" applyBorder="1" applyAlignment="1" applyProtection="1">
      <alignment horizontal="center"/>
    </xf>
    <xf numFmtId="164" fontId="2" fillId="8" borderId="32" xfId="5" applyNumberFormat="1" applyFont="1" applyBorder="1" applyAlignment="1" applyProtection="1">
      <alignment horizontal="center"/>
    </xf>
    <xf numFmtId="0" fontId="20" fillId="6" borderId="5" xfId="3" applyFont="1" applyBorder="1" applyAlignment="1" applyProtection="1">
      <alignment horizontal="center" vertical="center"/>
    </xf>
    <xf numFmtId="0" fontId="20" fillId="6" borderId="23" xfId="3" applyFont="1" applyBorder="1" applyAlignment="1" applyProtection="1">
      <alignment horizontal="center" vertical="center"/>
    </xf>
    <xf numFmtId="0" fontId="20" fillId="6" borderId="6" xfId="3" applyFont="1" applyBorder="1" applyAlignment="1" applyProtection="1">
      <alignment horizontal="center" vertical="center"/>
    </xf>
    <xf numFmtId="164" fontId="8" fillId="7" borderId="24" xfId="4" applyNumberFormat="1" applyAlignment="1" applyProtection="1">
      <alignment horizontal="center"/>
    </xf>
    <xf numFmtId="164" fontId="1" fillId="2" borderId="2" xfId="1" applyNumberFormat="1" applyBorder="1" applyAlignment="1" applyProtection="1">
      <alignment horizontal="center"/>
    </xf>
    <xf numFmtId="164" fontId="14" fillId="13" borderId="2" xfId="6" applyNumberFormat="1" applyBorder="1" applyAlignment="1" applyProtection="1">
      <alignment horizontal="center"/>
    </xf>
    <xf numFmtId="164" fontId="2" fillId="18" borderId="0" xfId="9" applyNumberFormat="1" applyAlignment="1" applyProtection="1">
      <alignment horizontal="center"/>
    </xf>
    <xf numFmtId="164" fontId="2" fillId="18" borderId="40" xfId="9" applyNumberFormat="1" applyBorder="1" applyAlignment="1" applyProtection="1">
      <alignment horizontal="center"/>
    </xf>
    <xf numFmtId="164" fontId="1" fillId="2" borderId="8" xfId="1" applyNumberFormat="1" applyBorder="1" applyAlignment="1">
      <alignment horizontal="right" vertical="center"/>
    </xf>
    <xf numFmtId="164" fontId="1" fillId="2" borderId="11" xfId="1" applyNumberFormat="1" applyBorder="1" applyAlignment="1">
      <alignment horizontal="right" vertical="center"/>
    </xf>
    <xf numFmtId="0" fontId="18" fillId="8" borderId="90" xfId="5" applyFont="1" applyBorder="1" applyAlignment="1" applyProtection="1">
      <alignment horizontal="center"/>
    </xf>
    <xf numFmtId="0" fontId="8" fillId="7" borderId="24" xfId="4" applyAlignment="1" applyProtection="1">
      <alignment horizontal="center"/>
    </xf>
    <xf numFmtId="164" fontId="16" fillId="7" borderId="112" xfId="4" applyNumberFormat="1" applyFont="1" applyBorder="1" applyAlignment="1" applyProtection="1">
      <alignment horizontal="center"/>
    </xf>
    <xf numFmtId="164" fontId="16" fillId="7" borderId="42" xfId="4" applyNumberFormat="1" applyFont="1" applyBorder="1" applyAlignment="1" applyProtection="1">
      <alignment horizontal="center"/>
    </xf>
    <xf numFmtId="164" fontId="16" fillId="7" borderId="43" xfId="4" applyNumberFormat="1" applyFont="1" applyBorder="1" applyAlignment="1" applyProtection="1">
      <alignment horizontal="center"/>
    </xf>
    <xf numFmtId="164" fontId="1" fillId="2" borderId="30" xfId="1" applyNumberFormat="1" applyBorder="1" applyAlignment="1" applyProtection="1">
      <alignment horizontal="center"/>
    </xf>
    <xf numFmtId="164" fontId="1" fillId="2" borderId="38" xfId="1" applyNumberFormat="1" applyBorder="1" applyAlignment="1" applyProtection="1">
      <alignment horizontal="center"/>
    </xf>
    <xf numFmtId="164" fontId="1" fillId="2" borderId="39" xfId="1" applyNumberFormat="1" applyBorder="1" applyAlignment="1" applyProtection="1">
      <alignment horizontal="center"/>
    </xf>
    <xf numFmtId="164" fontId="1" fillId="2" borderId="3" xfId="1" applyNumberFormat="1" applyBorder="1" applyAlignment="1" applyProtection="1">
      <alignment horizontal="center"/>
    </xf>
    <xf numFmtId="164" fontId="8" fillId="7" borderId="24" xfId="4" applyNumberFormat="1" applyAlignment="1" applyProtection="1">
      <alignment horizontal="left"/>
    </xf>
    <xf numFmtId="164" fontId="2" fillId="18" borderId="7" xfId="9" applyNumberFormat="1" applyBorder="1" applyAlignment="1" applyProtection="1">
      <alignment horizontal="center" vertical="center"/>
    </xf>
    <xf numFmtId="164" fontId="2" fillId="18" borderId="8" xfId="9" applyNumberFormat="1" applyBorder="1" applyAlignment="1" applyProtection="1">
      <alignment horizontal="center" vertical="center"/>
    </xf>
    <xf numFmtId="164" fontId="2" fillId="18" borderId="9" xfId="9" applyNumberFormat="1" applyBorder="1" applyAlignment="1" applyProtection="1">
      <alignment horizontal="center" vertical="center"/>
    </xf>
    <xf numFmtId="164" fontId="2" fillId="18" borderId="10" xfId="9" applyNumberFormat="1" applyBorder="1" applyAlignment="1" applyProtection="1">
      <alignment horizontal="center" vertical="center"/>
    </xf>
    <xf numFmtId="164" fontId="2" fillId="18" borderId="11" xfId="9" applyNumberFormat="1" applyBorder="1" applyAlignment="1" applyProtection="1">
      <alignment horizontal="center" vertical="center"/>
    </xf>
    <xf numFmtId="164" fontId="2" fillId="18" borderId="12" xfId="9" applyNumberFormat="1" applyBorder="1" applyAlignment="1" applyProtection="1">
      <alignment horizontal="center" vertical="center"/>
    </xf>
    <xf numFmtId="164" fontId="3" fillId="15" borderId="19" xfId="2" applyNumberFormat="1" applyBorder="1" applyAlignment="1" applyProtection="1">
      <alignment horizontal="center" vertical="center"/>
      <protection locked="0"/>
    </xf>
    <xf numFmtId="164" fontId="3" fillId="15" borderId="20" xfId="2" applyNumberFormat="1" applyBorder="1" applyAlignment="1" applyProtection="1">
      <alignment horizontal="center" vertical="center"/>
      <protection locked="0"/>
    </xf>
    <xf numFmtId="164" fontId="3" fillId="15" borderId="21" xfId="2" applyNumberFormat="1" applyBorder="1" applyAlignment="1" applyProtection="1">
      <alignment horizontal="center" vertical="center"/>
      <protection locked="0"/>
    </xf>
    <xf numFmtId="164" fontId="3" fillId="15" borderId="17" xfId="2" applyNumberFormat="1" applyBorder="1" applyAlignment="1" applyProtection="1">
      <alignment horizontal="center" vertical="center"/>
      <protection locked="0"/>
    </xf>
    <xf numFmtId="164" fontId="3" fillId="15" borderId="46" xfId="2" applyNumberFormat="1" applyBorder="1" applyAlignment="1" applyProtection="1">
      <alignment horizontal="center" vertical="center"/>
      <protection locked="0"/>
    </xf>
    <xf numFmtId="164" fontId="3" fillId="15" borderId="18" xfId="2" applyNumberFormat="1" applyBorder="1" applyAlignment="1" applyProtection="1">
      <alignment horizontal="center" vertical="center"/>
      <protection locked="0"/>
    </xf>
    <xf numFmtId="164" fontId="3" fillId="15" borderId="113" xfId="2" applyNumberFormat="1" applyBorder="1" applyAlignment="1" applyProtection="1">
      <alignment horizontal="center" vertical="center"/>
      <protection locked="0"/>
    </xf>
    <xf numFmtId="164" fontId="3" fillId="15" borderId="8" xfId="2" applyNumberFormat="1" applyBorder="1" applyAlignment="1" applyProtection="1">
      <alignment horizontal="center" vertical="center"/>
      <protection locked="0"/>
    </xf>
    <xf numFmtId="164" fontId="3" fillId="15" borderId="114" xfId="2" applyNumberFormat="1" applyBorder="1" applyAlignment="1" applyProtection="1">
      <alignment horizontal="center" vertical="center"/>
      <protection locked="0"/>
    </xf>
    <xf numFmtId="0" fontId="3" fillId="15" borderId="17" xfId="2" applyBorder="1" applyAlignment="1" applyProtection="1">
      <alignment horizontal="center" vertical="center"/>
      <protection locked="0"/>
    </xf>
    <xf numFmtId="0" fontId="3" fillId="15" borderId="46" xfId="2" applyBorder="1" applyAlignment="1" applyProtection="1">
      <alignment horizontal="center" vertical="center"/>
      <protection locked="0"/>
    </xf>
    <xf numFmtId="0" fontId="3" fillId="15" borderId="18" xfId="2" applyBorder="1" applyAlignment="1" applyProtection="1">
      <alignment horizontal="center" vertical="center"/>
      <protection locked="0"/>
    </xf>
    <xf numFmtId="164" fontId="2" fillId="18" borderId="7" xfId="9" applyNumberFormat="1" applyBorder="1" applyAlignment="1" applyProtection="1">
      <alignment horizontal="center" wrapText="1"/>
    </xf>
    <xf numFmtId="164" fontId="2" fillId="18" borderId="8" xfId="9" applyNumberFormat="1" applyBorder="1" applyAlignment="1" applyProtection="1">
      <alignment horizontal="center" wrapText="1"/>
    </xf>
    <xf numFmtId="164" fontId="2" fillId="18" borderId="9" xfId="9" applyNumberFormat="1" applyBorder="1" applyAlignment="1" applyProtection="1">
      <alignment horizontal="center" wrapText="1"/>
    </xf>
    <xf numFmtId="164" fontId="2" fillId="18" borderId="10" xfId="9" applyNumberFormat="1" applyBorder="1" applyAlignment="1" applyProtection="1">
      <alignment horizontal="center" wrapText="1"/>
    </xf>
    <xf numFmtId="164" fontId="2" fillId="18" borderId="11" xfId="9" applyNumberFormat="1" applyBorder="1" applyAlignment="1" applyProtection="1">
      <alignment horizontal="center" wrapText="1"/>
    </xf>
    <xf numFmtId="164" fontId="2" fillId="18" borderId="12" xfId="9" applyNumberFormat="1" applyBorder="1" applyAlignment="1" applyProtection="1">
      <alignment horizontal="center" wrapText="1"/>
    </xf>
    <xf numFmtId="164" fontId="3" fillId="15" borderId="117" xfId="2" applyNumberFormat="1" applyBorder="1" applyAlignment="1" applyProtection="1">
      <alignment horizontal="center" vertical="center"/>
      <protection locked="0"/>
    </xf>
    <xf numFmtId="164" fontId="3" fillId="15" borderId="13" xfId="2" applyNumberFormat="1" applyBorder="1" applyAlignment="1" applyProtection="1">
      <alignment horizontal="center" vertical="center"/>
      <protection locked="0"/>
    </xf>
    <xf numFmtId="164" fontId="3" fillId="15" borderId="113" xfId="2" quotePrefix="1" applyNumberFormat="1" applyBorder="1" applyAlignment="1" applyProtection="1">
      <alignment horizontal="center" vertical="center"/>
      <protection locked="0"/>
    </xf>
    <xf numFmtId="164" fontId="3" fillId="15" borderId="8" xfId="2" quotePrefix="1" applyNumberFormat="1" applyBorder="1" applyAlignment="1" applyProtection="1">
      <alignment horizontal="center" vertical="center"/>
      <protection locked="0"/>
    </xf>
    <xf numFmtId="164" fontId="3" fillId="15" borderId="27" xfId="2" quotePrefix="1" applyNumberFormat="1" applyBorder="1" applyAlignment="1" applyProtection="1">
      <alignment horizontal="center" vertical="center"/>
      <protection locked="0"/>
    </xf>
    <xf numFmtId="164" fontId="3" fillId="15" borderId="17" xfId="2" quotePrefix="1" applyNumberFormat="1" applyBorder="1" applyAlignment="1" applyProtection="1">
      <alignment horizontal="center" vertical="center"/>
      <protection locked="0"/>
    </xf>
    <xf numFmtId="164" fontId="3" fillId="15" borderId="46" xfId="2" quotePrefix="1" applyNumberFormat="1" applyBorder="1" applyAlignment="1" applyProtection="1">
      <alignment horizontal="center" vertical="center"/>
      <protection locked="0"/>
    </xf>
    <xf numFmtId="164" fontId="3" fillId="15" borderId="122" xfId="2" quotePrefix="1" applyNumberFormat="1" applyBorder="1" applyAlignment="1" applyProtection="1">
      <alignment horizontal="center" vertical="center"/>
      <protection locked="0"/>
    </xf>
    <xf numFmtId="164" fontId="3" fillId="15" borderId="30" xfId="2" applyNumberFormat="1" applyBorder="1" applyAlignment="1" applyProtection="1">
      <alignment horizontal="center" vertical="center"/>
      <protection locked="0"/>
    </xf>
    <xf numFmtId="164" fontId="3" fillId="15" borderId="19" xfId="2" quotePrefix="1" applyNumberFormat="1" applyBorder="1" applyAlignment="1" applyProtection="1">
      <alignment horizontal="center" vertical="center"/>
      <protection locked="0"/>
    </xf>
    <xf numFmtId="164" fontId="3" fillId="15" borderId="20" xfId="2" quotePrefix="1" applyNumberFormat="1" applyBorder="1" applyAlignment="1" applyProtection="1">
      <alignment horizontal="center" vertical="center"/>
      <protection locked="0"/>
    </xf>
    <xf numFmtId="164" fontId="3" fillId="15" borderId="121" xfId="2" quotePrefix="1" applyNumberFormat="1" applyBorder="1" applyAlignment="1" applyProtection="1">
      <alignment horizontal="center" vertical="center"/>
      <protection locked="0"/>
    </xf>
    <xf numFmtId="164" fontId="6" fillId="6" borderId="15" xfId="3" applyNumberFormat="1" applyBorder="1" applyAlignment="1" applyProtection="1">
      <alignment horizontal="center"/>
    </xf>
    <xf numFmtId="0" fontId="3" fillId="15" borderId="30" xfId="2" applyBorder="1" applyAlignment="1" applyProtection="1">
      <alignment horizontal="center" vertical="center"/>
      <protection locked="0"/>
    </xf>
    <xf numFmtId="0" fontId="0" fillId="14" borderId="2" xfId="0" applyFill="1" applyBorder="1" applyAlignment="1" applyProtection="1">
      <alignment horizontal="left" vertical="center"/>
    </xf>
    <xf numFmtId="0" fontId="0" fillId="14" borderId="31" xfId="0" applyFill="1" applyBorder="1" applyAlignment="1" applyProtection="1">
      <alignment horizontal="left" vertical="center"/>
    </xf>
    <xf numFmtId="164" fontId="8" fillId="7" borderId="112" xfId="4" applyNumberFormat="1" applyBorder="1" applyAlignment="1" applyProtection="1">
      <alignment horizontal="center"/>
    </xf>
    <xf numFmtId="164" fontId="8" fillId="7" borderId="42" xfId="4" applyNumberFormat="1" applyBorder="1" applyAlignment="1" applyProtection="1">
      <alignment horizontal="center"/>
    </xf>
    <xf numFmtId="164" fontId="8" fillId="7" borderId="43" xfId="4" applyNumberFormat="1" applyBorder="1" applyAlignment="1" applyProtection="1">
      <alignment horizontal="center"/>
    </xf>
    <xf numFmtId="164" fontId="1" fillId="2" borderId="113" xfId="1" applyNumberFormat="1" applyBorder="1" applyAlignment="1" applyProtection="1">
      <alignment horizontal="center" vertical="center"/>
    </xf>
    <xf numFmtId="164" fontId="1" fillId="2" borderId="8" xfId="1" applyNumberFormat="1" applyBorder="1" applyAlignment="1" applyProtection="1">
      <alignment horizontal="center" vertical="center"/>
    </xf>
    <xf numFmtId="164" fontId="1" fillId="2" borderId="114" xfId="1" applyNumberFormat="1" applyBorder="1" applyAlignment="1" applyProtection="1">
      <alignment horizontal="center" vertical="center"/>
    </xf>
    <xf numFmtId="164" fontId="1" fillId="2" borderId="119" xfId="1" applyNumberFormat="1" applyBorder="1" applyAlignment="1" applyProtection="1">
      <alignment horizontal="center" vertical="center"/>
    </xf>
    <xf numFmtId="164" fontId="1" fillId="2" borderId="0" xfId="1" applyNumberFormat="1" applyBorder="1" applyAlignment="1" applyProtection="1">
      <alignment horizontal="center" vertical="center"/>
    </xf>
    <xf numFmtId="164" fontId="1" fillId="2" borderId="40" xfId="1" applyNumberFormat="1" applyBorder="1" applyAlignment="1" applyProtection="1">
      <alignment horizontal="center" vertical="center"/>
    </xf>
    <xf numFmtId="164" fontId="1" fillId="2" borderId="115" xfId="1" applyNumberFormat="1" applyBorder="1" applyAlignment="1" applyProtection="1">
      <alignment horizontal="center" vertical="center"/>
    </xf>
    <xf numFmtId="164" fontId="1" fillId="2" borderId="67" xfId="1" applyNumberFormat="1" applyBorder="1" applyAlignment="1" applyProtection="1">
      <alignment horizontal="center" vertical="center"/>
    </xf>
    <xf numFmtId="164" fontId="1" fillId="2" borderId="116" xfId="1" applyNumberFormat="1" applyBorder="1" applyAlignment="1" applyProtection="1">
      <alignment horizontal="center" vertical="center"/>
    </xf>
    <xf numFmtId="164" fontId="8" fillId="7" borderId="120" xfId="4" applyNumberFormat="1" applyBorder="1" applyAlignment="1" applyProtection="1">
      <alignment horizontal="center" vertical="center"/>
    </xf>
    <xf numFmtId="164" fontId="8" fillId="7" borderId="64" xfId="4" applyNumberFormat="1" applyBorder="1" applyAlignment="1" applyProtection="1">
      <alignment horizontal="center" vertical="center"/>
    </xf>
    <xf numFmtId="164" fontId="8" fillId="7" borderId="65" xfId="4" applyNumberFormat="1" applyBorder="1" applyAlignment="1" applyProtection="1">
      <alignment horizontal="center" vertical="center"/>
    </xf>
    <xf numFmtId="164" fontId="8" fillId="7" borderId="66" xfId="4" applyNumberFormat="1" applyBorder="1" applyAlignment="1" applyProtection="1">
      <alignment horizontal="center" vertical="center"/>
    </xf>
    <xf numFmtId="164" fontId="8" fillId="7" borderId="67" xfId="4" applyNumberFormat="1" applyBorder="1" applyAlignment="1" applyProtection="1">
      <alignment horizontal="center" vertical="center"/>
    </xf>
    <xf numFmtId="164" fontId="8" fillId="7" borderId="68" xfId="4" applyNumberFormat="1" applyBorder="1" applyAlignment="1" applyProtection="1">
      <alignment horizontal="center" vertical="center"/>
    </xf>
    <xf numFmtId="164" fontId="3" fillId="15" borderId="18" xfId="2" quotePrefix="1" applyNumberFormat="1" applyBorder="1" applyAlignment="1" applyProtection="1">
      <alignment horizontal="center"/>
    </xf>
    <xf numFmtId="164" fontId="3" fillId="15" borderId="13" xfId="2" applyNumberFormat="1" applyBorder="1" applyAlignment="1" applyProtection="1">
      <alignment horizontal="center"/>
    </xf>
    <xf numFmtId="166" fontId="1" fillId="2" borderId="2" xfId="1" applyNumberFormat="1" applyBorder="1" applyAlignment="1" applyProtection="1">
      <alignment horizontal="center" vertical="center"/>
    </xf>
    <xf numFmtId="164" fontId="8" fillId="7" borderId="24" xfId="4" applyNumberFormat="1" applyAlignment="1" applyProtection="1">
      <alignment horizontal="center" vertical="center"/>
    </xf>
    <xf numFmtId="0" fontId="8" fillId="7" borderId="24" xfId="4" applyAlignment="1" applyProtection="1">
      <alignment horizontal="center" vertical="center"/>
    </xf>
    <xf numFmtId="0" fontId="3" fillId="15" borderId="5" xfId="2" applyBorder="1" applyAlignment="1" applyProtection="1">
      <alignment horizontal="center"/>
      <protection locked="0"/>
    </xf>
    <xf numFmtId="0" fontId="3" fillId="15" borderId="23" xfId="2" applyBorder="1" applyAlignment="1" applyProtection="1">
      <alignment horizontal="center"/>
      <protection locked="0"/>
    </xf>
    <xf numFmtId="0" fontId="3" fillId="15" borderId="6" xfId="2" applyBorder="1" applyAlignment="1" applyProtection="1">
      <alignment horizontal="center"/>
      <protection locked="0"/>
    </xf>
    <xf numFmtId="164" fontId="1" fillId="2" borderId="1" xfId="1" applyNumberFormat="1" applyAlignment="1" applyProtection="1">
      <alignment horizontal="center"/>
    </xf>
    <xf numFmtId="164" fontId="3" fillId="15" borderId="1" xfId="2" applyNumberFormat="1" applyAlignment="1" applyProtection="1">
      <alignment horizontal="center" vertical="center"/>
      <protection locked="0"/>
    </xf>
    <xf numFmtId="0" fontId="2" fillId="18" borderId="7" xfId="9" applyBorder="1" applyAlignment="1" applyProtection="1">
      <alignment horizontal="right" vertical="center"/>
    </xf>
    <xf numFmtId="0" fontId="2" fillId="18" borderId="8" xfId="9" applyBorder="1" applyAlignment="1" applyProtection="1">
      <alignment horizontal="right" vertical="center"/>
    </xf>
    <xf numFmtId="0" fontId="2" fillId="18" borderId="9" xfId="9" applyBorder="1" applyAlignment="1" applyProtection="1">
      <alignment horizontal="right" vertical="center"/>
    </xf>
    <xf numFmtId="0" fontId="2" fillId="18" borderId="48" xfId="9" applyBorder="1" applyAlignment="1" applyProtection="1">
      <alignment horizontal="right" vertical="center"/>
    </xf>
    <xf numFmtId="0" fontId="2" fillId="18" borderId="0" xfId="9" applyBorder="1" applyAlignment="1" applyProtection="1">
      <alignment horizontal="right" vertical="center"/>
    </xf>
    <xf numFmtId="0" fontId="2" fillId="18" borderId="4" xfId="9" applyBorder="1" applyAlignment="1" applyProtection="1">
      <alignment horizontal="right" vertical="center"/>
    </xf>
    <xf numFmtId="0" fontId="2" fillId="18" borderId="10" xfId="9" applyBorder="1" applyAlignment="1" applyProtection="1">
      <alignment horizontal="right" vertical="center"/>
    </xf>
    <xf numFmtId="0" fontId="2" fillId="18" borderId="11" xfId="9" applyBorder="1" applyAlignment="1" applyProtection="1">
      <alignment horizontal="right" vertical="center"/>
    </xf>
    <xf numFmtId="0" fontId="2" fillId="18" borderId="12" xfId="9" applyBorder="1" applyAlignment="1" applyProtection="1">
      <alignment horizontal="right" vertical="center"/>
    </xf>
    <xf numFmtId="164" fontId="1" fillId="2" borderId="7" xfId="1" applyNumberFormat="1" applyBorder="1" applyAlignment="1" applyProtection="1">
      <alignment horizontal="center" vertical="center"/>
    </xf>
    <xf numFmtId="164" fontId="1" fillId="2" borderId="9" xfId="1" applyNumberFormat="1" applyBorder="1" applyAlignment="1" applyProtection="1">
      <alignment horizontal="center" vertical="center"/>
    </xf>
    <xf numFmtId="164" fontId="1" fillId="2" borderId="48" xfId="1" applyNumberFormat="1" applyBorder="1" applyAlignment="1" applyProtection="1">
      <alignment horizontal="center" vertical="center"/>
    </xf>
    <xf numFmtId="164" fontId="1" fillId="2" borderId="4" xfId="1" applyNumberFormat="1" applyBorder="1" applyAlignment="1" applyProtection="1">
      <alignment horizontal="center" vertical="center"/>
    </xf>
    <xf numFmtId="164" fontId="1" fillId="2" borderId="47" xfId="1" applyNumberFormat="1" applyBorder="1" applyAlignment="1" applyProtection="1">
      <alignment horizontal="center" vertical="center"/>
    </xf>
    <xf numFmtId="164" fontId="1" fillId="2" borderId="46" xfId="1" applyNumberFormat="1" applyBorder="1" applyAlignment="1" applyProtection="1">
      <alignment horizontal="center" vertical="center"/>
    </xf>
    <xf numFmtId="164" fontId="1" fillId="2" borderId="49" xfId="1" applyNumberFormat="1" applyBorder="1" applyAlignment="1" applyProtection="1">
      <alignment horizontal="center" vertical="center"/>
    </xf>
    <xf numFmtId="0" fontId="3" fillId="15" borderId="7" xfId="2" quotePrefix="1" applyBorder="1" applyAlignment="1" applyProtection="1">
      <alignment horizontal="center" vertical="center"/>
      <protection locked="0"/>
    </xf>
    <xf numFmtId="0" fontId="3" fillId="15" borderId="8" xfId="2" quotePrefix="1" applyBorder="1" applyAlignment="1" applyProtection="1">
      <alignment horizontal="center" vertical="center"/>
      <protection locked="0"/>
    </xf>
    <xf numFmtId="0" fontId="3" fillId="15" borderId="48" xfId="2" quotePrefix="1" applyBorder="1" applyAlignment="1" applyProtection="1">
      <alignment horizontal="center" vertical="center"/>
      <protection locked="0"/>
    </xf>
    <xf numFmtId="0" fontId="3" fillId="15" borderId="0" xfId="2" quotePrefix="1" applyBorder="1" applyAlignment="1" applyProtection="1">
      <alignment horizontal="center" vertical="center"/>
      <protection locked="0"/>
    </xf>
    <xf numFmtId="0" fontId="3" fillId="15" borderId="10" xfId="2" quotePrefix="1" applyBorder="1" applyAlignment="1" applyProtection="1">
      <alignment horizontal="center" vertical="center"/>
      <protection locked="0"/>
    </xf>
    <xf numFmtId="0" fontId="3" fillId="15" borderId="11" xfId="2" quotePrefix="1" applyBorder="1" applyAlignment="1" applyProtection="1">
      <alignment horizontal="center" vertical="center"/>
      <protection locked="0"/>
    </xf>
    <xf numFmtId="0" fontId="32" fillId="6" borderId="2" xfId="3" applyFont="1" applyBorder="1" applyAlignment="1" applyProtection="1">
      <alignment horizontal="center" vertical="center"/>
    </xf>
    <xf numFmtId="164" fontId="1" fillId="2" borderId="50" xfId="1" applyNumberFormat="1" applyBorder="1" applyAlignment="1" applyProtection="1">
      <alignment horizontal="center" vertical="center"/>
    </xf>
    <xf numFmtId="164" fontId="1" fillId="2" borderId="20" xfId="1" applyNumberFormat="1" applyBorder="1" applyAlignment="1" applyProtection="1">
      <alignment horizontal="center" vertical="center"/>
    </xf>
    <xf numFmtId="164" fontId="1" fillId="2" borderId="51" xfId="1" applyNumberFormat="1" applyBorder="1" applyAlignment="1" applyProtection="1">
      <alignment horizontal="center" vertical="center"/>
    </xf>
    <xf numFmtId="0" fontId="32" fillId="6" borderId="2" xfId="3" applyFont="1" applyBorder="1" applyAlignment="1">
      <alignment horizontal="center" vertical="center"/>
    </xf>
    <xf numFmtId="164" fontId="1" fillId="2" borderId="2" xfId="1" applyNumberFormat="1" applyBorder="1" applyAlignment="1" applyProtection="1">
      <alignment horizontal="center" vertical="center"/>
    </xf>
    <xf numFmtId="49" fontId="3" fillId="15" borderId="32" xfId="2" quotePrefix="1" applyNumberFormat="1" applyBorder="1" applyAlignment="1" applyProtection="1">
      <alignment horizontal="center" vertical="center"/>
      <protection locked="0"/>
    </xf>
    <xf numFmtId="1" fontId="3" fillId="15" borderId="13" xfId="2" applyNumberFormat="1" applyBorder="1" applyAlignment="1" applyProtection="1">
      <alignment horizontal="center" vertical="center"/>
      <protection locked="0"/>
    </xf>
    <xf numFmtId="1" fontId="3" fillId="15" borderId="17" xfId="2" applyNumberFormat="1" applyBorder="1" applyAlignment="1" applyProtection="1">
      <alignment horizontal="center" vertical="center"/>
      <protection locked="0"/>
    </xf>
    <xf numFmtId="0" fontId="1" fillId="2" borderId="1" xfId="1" applyAlignment="1" applyProtection="1">
      <alignment horizontal="center"/>
    </xf>
    <xf numFmtId="0" fontId="1" fillId="2" borderId="3" xfId="1" applyBorder="1" applyAlignment="1" applyProtection="1">
      <alignment horizontal="center"/>
    </xf>
    <xf numFmtId="164" fontId="1" fillId="2" borderId="13" xfId="1" applyNumberFormat="1" applyBorder="1" applyAlignment="1" applyProtection="1">
      <alignment horizontal="center" vertical="center"/>
    </xf>
    <xf numFmtId="164" fontId="1" fillId="2" borderId="1" xfId="1" applyNumberFormat="1" applyAlignment="1" applyProtection="1">
      <alignment horizontal="center" vertical="center"/>
    </xf>
    <xf numFmtId="44" fontId="2" fillId="18" borderId="2" xfId="9" applyNumberFormat="1" applyBorder="1" applyAlignment="1" applyProtection="1">
      <alignment horizontal="center" vertical="center" wrapText="1"/>
    </xf>
    <xf numFmtId="164" fontId="3" fillId="15" borderId="3" xfId="2" applyNumberFormat="1" applyBorder="1" applyAlignment="1" applyProtection="1">
      <alignment horizontal="center" vertical="center"/>
      <protection locked="0"/>
    </xf>
    <xf numFmtId="164" fontId="2" fillId="18" borderId="2" xfId="9" applyNumberFormat="1" applyBorder="1" applyAlignment="1" applyProtection="1">
      <alignment horizontal="center" vertical="center"/>
    </xf>
    <xf numFmtId="164" fontId="2" fillId="18" borderId="2" xfId="9" applyNumberFormat="1" applyBorder="1" applyAlignment="1" applyProtection="1">
      <alignment horizontal="center" vertical="center" wrapText="1"/>
    </xf>
    <xf numFmtId="0" fontId="2" fillId="18" borderId="10" xfId="9" applyBorder="1" applyAlignment="1" applyProtection="1">
      <alignment horizontal="right"/>
    </xf>
    <xf numFmtId="0" fontId="2" fillId="18" borderId="11" xfId="9" applyBorder="1" applyAlignment="1" applyProtection="1">
      <alignment horizontal="right"/>
    </xf>
    <xf numFmtId="0" fontId="2" fillId="18" borderId="12" xfId="9" applyBorder="1" applyAlignment="1" applyProtection="1">
      <alignment horizontal="right"/>
    </xf>
    <xf numFmtId="0" fontId="2" fillId="18" borderId="2" xfId="9" applyBorder="1" applyAlignment="1" applyProtection="1">
      <alignment horizontal="right"/>
    </xf>
    <xf numFmtId="164" fontId="1" fillId="2" borderId="5" xfId="1" applyNumberFormat="1" applyBorder="1" applyAlignment="1" applyProtection="1">
      <alignment horizontal="center"/>
    </xf>
    <xf numFmtId="164" fontId="1" fillId="2" borderId="23" xfId="1" applyNumberFormat="1" applyBorder="1" applyAlignment="1" applyProtection="1">
      <alignment horizontal="center"/>
    </xf>
    <xf numFmtId="164" fontId="1" fillId="2" borderId="6" xfId="1" applyNumberFormat="1" applyBorder="1" applyAlignment="1" applyProtection="1">
      <alignment horizontal="center"/>
    </xf>
    <xf numFmtId="164" fontId="10" fillId="6" borderId="14" xfId="3" applyNumberFormat="1" applyFont="1" applyBorder="1" applyAlignment="1" applyProtection="1">
      <alignment horizontal="center" vertical="center"/>
    </xf>
    <xf numFmtId="164" fontId="10" fillId="6" borderId="15" xfId="3" applyNumberFormat="1" applyFont="1" applyBorder="1" applyAlignment="1" applyProtection="1">
      <alignment horizontal="center" vertical="center"/>
    </xf>
    <xf numFmtId="164" fontId="10" fillId="6" borderId="16" xfId="3" applyNumberFormat="1" applyFont="1" applyBorder="1" applyAlignment="1" applyProtection="1">
      <alignment horizontal="center" vertical="center"/>
    </xf>
    <xf numFmtId="0" fontId="2" fillId="18" borderId="31" xfId="9" applyBorder="1" applyAlignment="1" applyProtection="1">
      <alignment horizontal="right"/>
    </xf>
    <xf numFmtId="164" fontId="3" fillId="15" borderId="1" xfId="2" quotePrefix="1" applyNumberFormat="1" applyAlignment="1" applyProtection="1">
      <alignment horizontal="center" vertical="center"/>
      <protection locked="0"/>
    </xf>
    <xf numFmtId="164" fontId="2" fillId="18" borderId="2" xfId="9" applyNumberFormat="1" applyBorder="1" applyAlignment="1" applyProtection="1">
      <alignment horizontal="center" wrapText="1"/>
    </xf>
    <xf numFmtId="164" fontId="3" fillId="15" borderId="13" xfId="2" quotePrefix="1" applyNumberFormat="1" applyBorder="1" applyAlignment="1" applyProtection="1">
      <alignment horizontal="center" vertical="center"/>
      <protection locked="0"/>
    </xf>
    <xf numFmtId="44" fontId="2" fillId="18" borderId="109" xfId="9" applyNumberFormat="1" applyBorder="1" applyAlignment="1" applyProtection="1">
      <alignment horizontal="center" vertical="center" wrapText="1"/>
    </xf>
    <xf numFmtId="44" fontId="2" fillId="18" borderId="110" xfId="9" applyNumberFormat="1" applyBorder="1" applyAlignment="1" applyProtection="1">
      <alignment horizontal="center" vertical="center" wrapText="1"/>
    </xf>
    <xf numFmtId="44" fontId="2" fillId="18" borderId="111" xfId="9" applyNumberFormat="1" applyBorder="1" applyAlignment="1" applyProtection="1">
      <alignment horizontal="center" vertical="center" wrapText="1"/>
    </xf>
    <xf numFmtId="44" fontId="2" fillId="18" borderId="10" xfId="9" applyNumberFormat="1" applyBorder="1" applyAlignment="1" applyProtection="1">
      <alignment horizontal="center" vertical="center" wrapText="1"/>
    </xf>
    <xf numFmtId="44" fontId="2" fillId="18" borderId="11" xfId="9" applyNumberFormat="1" applyBorder="1" applyAlignment="1" applyProtection="1">
      <alignment horizontal="center" vertical="center" wrapText="1"/>
    </xf>
    <xf numFmtId="44" fontId="2" fillId="18" borderId="12" xfId="9" applyNumberFormat="1" applyBorder="1" applyAlignment="1" applyProtection="1">
      <alignment horizontal="center" vertical="center" wrapText="1"/>
    </xf>
    <xf numFmtId="0" fontId="3" fillId="15" borderId="2" xfId="2" applyBorder="1" applyAlignment="1" applyProtection="1">
      <alignment horizontal="center"/>
      <protection locked="0"/>
    </xf>
    <xf numFmtId="0" fontId="1" fillId="2" borderId="1" xfId="1" applyAlignment="1" applyProtection="1">
      <alignment horizontal="center" vertical="center"/>
    </xf>
    <xf numFmtId="0" fontId="2" fillId="18" borderId="1" xfId="9" applyBorder="1" applyAlignment="1" applyProtection="1">
      <alignment horizontal="center" vertical="center"/>
    </xf>
    <xf numFmtId="164" fontId="8" fillId="7" borderId="52" xfId="4" applyNumberFormat="1" applyBorder="1" applyAlignment="1" applyProtection="1">
      <alignment horizontal="center"/>
    </xf>
    <xf numFmtId="164" fontId="3" fillId="15" borderId="19" xfId="2" quotePrefix="1" applyNumberFormat="1" applyBorder="1" applyAlignment="1" applyProtection="1">
      <alignment horizontal="center"/>
      <protection locked="0"/>
    </xf>
    <xf numFmtId="0" fontId="3" fillId="15" borderId="20" xfId="2" applyBorder="1" applyAlignment="1" applyProtection="1">
      <alignment horizontal="center"/>
      <protection locked="0"/>
    </xf>
    <xf numFmtId="0" fontId="3" fillId="15" borderId="21" xfId="2" applyBorder="1" applyAlignment="1" applyProtection="1">
      <alignment horizontal="center"/>
      <protection locked="0"/>
    </xf>
    <xf numFmtId="164" fontId="21" fillId="16" borderId="42" xfId="4" applyNumberFormat="1" applyFont="1" applyFill="1" applyBorder="1" applyAlignment="1" applyProtection="1">
      <alignment horizontal="center"/>
    </xf>
    <xf numFmtId="164" fontId="21" fillId="16" borderId="43" xfId="4" applyNumberFormat="1" applyFont="1" applyFill="1" applyBorder="1" applyAlignment="1" applyProtection="1">
      <alignment horizontal="center"/>
    </xf>
    <xf numFmtId="0" fontId="6" fillId="6" borderId="2" xfId="3" applyBorder="1" applyAlignment="1">
      <alignment horizontal="center"/>
    </xf>
    <xf numFmtId="165" fontId="3" fillId="15" borderId="13" xfId="2" quotePrefix="1" applyNumberFormat="1" applyBorder="1" applyAlignment="1" applyProtection="1">
      <alignment horizontal="center" vertical="center"/>
      <protection locked="0"/>
    </xf>
    <xf numFmtId="0" fontId="2" fillId="18" borderId="22" xfId="9" applyBorder="1" applyAlignment="1" applyProtection="1">
      <alignment horizontal="right" vertical="center"/>
    </xf>
    <xf numFmtId="0" fontId="3" fillId="15" borderId="1" xfId="2" applyAlignment="1" applyProtection="1">
      <alignment horizontal="center" vertical="center"/>
      <protection locked="0"/>
    </xf>
    <xf numFmtId="0" fontId="2" fillId="20" borderId="31" xfId="9" applyFill="1" applyBorder="1" applyAlignment="1" applyProtection="1">
      <alignment horizontal="right"/>
    </xf>
    <xf numFmtId="164" fontId="1" fillId="22" borderId="21" xfId="1" applyNumberFormat="1" applyFill="1" applyBorder="1" applyAlignment="1" applyProtection="1">
      <alignment horizontal="center"/>
    </xf>
    <xf numFmtId="0" fontId="1" fillId="22" borderId="30" xfId="1" applyFill="1" applyBorder="1" applyAlignment="1" applyProtection="1">
      <alignment horizontal="center"/>
    </xf>
    <xf numFmtId="0" fontId="3" fillId="15" borderId="19" xfId="2" quotePrefix="1" applyBorder="1" applyAlignment="1" applyProtection="1">
      <alignment horizontal="center"/>
      <protection locked="0"/>
    </xf>
    <xf numFmtId="0" fontId="2" fillId="20" borderId="10" xfId="9" applyFill="1" applyBorder="1" applyAlignment="1" applyProtection="1">
      <alignment horizontal="right"/>
    </xf>
    <xf numFmtId="0" fontId="2" fillId="20" borderId="11" xfId="9" applyFill="1" applyBorder="1" applyAlignment="1" applyProtection="1">
      <alignment horizontal="right"/>
    </xf>
    <xf numFmtId="0" fontId="2" fillId="20" borderId="12" xfId="9" applyFill="1" applyBorder="1" applyAlignment="1" applyProtection="1">
      <alignment horizontal="right"/>
    </xf>
    <xf numFmtId="0" fontId="3" fillId="15" borderId="1" xfId="2" quotePrefix="1" applyAlignment="1" applyProtection="1">
      <alignment horizontal="center"/>
      <protection locked="0"/>
    </xf>
    <xf numFmtId="0" fontId="3" fillId="15" borderId="1" xfId="2" applyAlignment="1" applyProtection="1">
      <alignment horizontal="center"/>
      <protection locked="0"/>
    </xf>
    <xf numFmtId="164" fontId="1" fillId="2" borderId="21" xfId="1" applyNumberFormat="1" applyBorder="1" applyAlignment="1" applyProtection="1">
      <alignment horizontal="center"/>
    </xf>
    <xf numFmtId="0" fontId="1" fillId="2" borderId="30" xfId="1" applyBorder="1" applyAlignment="1" applyProtection="1">
      <alignment horizontal="center"/>
    </xf>
    <xf numFmtId="164" fontId="8" fillId="7" borderId="53" xfId="4" applyNumberFormat="1" applyBorder="1" applyAlignment="1" applyProtection="1">
      <alignment horizontal="center"/>
    </xf>
    <xf numFmtId="164" fontId="2" fillId="18" borderId="1" xfId="9" applyNumberFormat="1" applyBorder="1" applyAlignment="1" applyProtection="1">
      <alignment horizontal="center" vertical="center"/>
    </xf>
    <xf numFmtId="0" fontId="0" fillId="0" borderId="0" xfId="0"/>
    <xf numFmtId="164" fontId="1" fillId="2" borderId="45" xfId="1" applyNumberFormat="1" applyBorder="1" applyAlignment="1" applyProtection="1">
      <alignment horizontal="center"/>
    </xf>
    <xf numFmtId="0" fontId="1" fillId="2" borderId="9" xfId="1" quotePrefix="1" applyBorder="1" applyAlignment="1">
      <alignment horizontal="left" vertical="center"/>
    </xf>
    <xf numFmtId="0" fontId="1" fillId="2" borderId="12" xfId="1" quotePrefix="1" applyBorder="1" applyAlignment="1">
      <alignment horizontal="left" vertical="center"/>
    </xf>
    <xf numFmtId="0" fontId="6" fillId="6" borderId="10" xfId="3" applyBorder="1" applyAlignment="1">
      <alignment horizontal="center"/>
    </xf>
    <xf numFmtId="0" fontId="6" fillId="6" borderId="11" xfId="3" applyBorder="1" applyAlignment="1">
      <alignment horizontal="center"/>
    </xf>
    <xf numFmtId="0" fontId="6" fillId="6" borderId="12" xfId="3" applyBorder="1" applyAlignment="1">
      <alignment horizontal="center"/>
    </xf>
    <xf numFmtId="164" fontId="14" fillId="13" borderId="7" xfId="6" applyNumberFormat="1" applyBorder="1" applyAlignment="1" applyProtection="1">
      <alignment horizontal="center" vertical="center"/>
    </xf>
    <xf numFmtId="164" fontId="14" fillId="13" borderId="9" xfId="6" applyNumberFormat="1" applyBorder="1" applyAlignment="1" applyProtection="1">
      <alignment horizontal="center" vertical="center"/>
    </xf>
    <xf numFmtId="164" fontId="14" fillId="13" borderId="10" xfId="6" applyNumberFormat="1" applyBorder="1" applyAlignment="1" applyProtection="1">
      <alignment horizontal="center" vertical="center"/>
    </xf>
    <xf numFmtId="164" fontId="14" fillId="13" borderId="12" xfId="6" applyNumberFormat="1" applyBorder="1" applyAlignment="1" applyProtection="1">
      <alignment horizontal="center" vertical="center"/>
    </xf>
    <xf numFmtId="164" fontId="14" fillId="13" borderId="15" xfId="6" applyNumberFormat="1" applyBorder="1" applyAlignment="1" applyProtection="1">
      <alignment horizontal="center"/>
    </xf>
    <xf numFmtId="164" fontId="6" fillId="6" borderId="2" xfId="3" applyNumberFormat="1" applyBorder="1" applyAlignment="1" applyProtection="1">
      <alignment horizontal="center"/>
    </xf>
    <xf numFmtId="164" fontId="14" fillId="13" borderId="2" xfId="6" quotePrefix="1" applyNumberFormat="1" applyBorder="1" applyAlignment="1" applyProtection="1">
      <alignment horizontal="center"/>
    </xf>
    <xf numFmtId="164" fontId="3" fillId="15" borderId="119" xfId="2" applyNumberFormat="1" applyBorder="1" applyAlignment="1" applyProtection="1">
      <alignment horizontal="center" vertical="center"/>
      <protection locked="0"/>
    </xf>
    <xf numFmtId="164" fontId="3" fillId="15" borderId="0" xfId="2" applyNumberFormat="1" applyBorder="1" applyAlignment="1" applyProtection="1">
      <alignment horizontal="center" vertical="center"/>
      <protection locked="0"/>
    </xf>
    <xf numFmtId="164" fontId="3" fillId="15" borderId="40" xfId="2" applyNumberFormat="1" applyBorder="1" applyAlignment="1" applyProtection="1">
      <alignment horizontal="center" vertical="center"/>
      <protection locked="0"/>
    </xf>
    <xf numFmtId="164" fontId="3" fillId="15" borderId="114" xfId="2" quotePrefix="1" applyNumberFormat="1" applyBorder="1" applyAlignment="1" applyProtection="1">
      <alignment horizontal="center" vertical="center"/>
      <protection locked="0"/>
    </xf>
    <xf numFmtId="164" fontId="3" fillId="15" borderId="115" xfId="2" quotePrefix="1" applyNumberFormat="1" applyBorder="1" applyAlignment="1" applyProtection="1">
      <alignment horizontal="center" vertical="center"/>
      <protection locked="0"/>
    </xf>
    <xf numFmtId="164" fontId="3" fillId="15" borderId="67" xfId="2" quotePrefix="1" applyNumberFormat="1" applyBorder="1" applyAlignment="1" applyProtection="1">
      <alignment horizontal="center" vertical="center"/>
      <protection locked="0"/>
    </xf>
    <xf numFmtId="164" fontId="3" fillId="15" borderId="116" xfId="2" quotePrefix="1" applyNumberFormat="1" applyBorder="1" applyAlignment="1" applyProtection="1">
      <alignment horizontal="center" vertical="center"/>
      <protection locked="0"/>
    </xf>
    <xf numFmtId="164" fontId="2" fillId="18" borderId="7" xfId="9" applyNumberFormat="1" applyBorder="1" applyAlignment="1" applyProtection="1">
      <alignment horizontal="center" vertical="center" wrapText="1"/>
    </xf>
    <xf numFmtId="164" fontId="2" fillId="18" borderId="8" xfId="9" applyNumberFormat="1" applyBorder="1" applyAlignment="1" applyProtection="1">
      <alignment horizontal="center" vertical="center" wrapText="1"/>
    </xf>
    <xf numFmtId="164" fontId="2" fillId="18" borderId="9" xfId="9" applyNumberFormat="1" applyBorder="1" applyAlignment="1" applyProtection="1">
      <alignment horizontal="center" vertical="center" wrapText="1"/>
    </xf>
    <xf numFmtId="164" fontId="2" fillId="18" borderId="10" xfId="9" applyNumberFormat="1" applyBorder="1" applyAlignment="1" applyProtection="1">
      <alignment horizontal="center" vertical="center" wrapText="1"/>
    </xf>
    <xf numFmtId="164" fontId="2" fillId="18" borderId="11" xfId="9" applyNumberFormat="1" applyBorder="1" applyAlignment="1" applyProtection="1">
      <alignment horizontal="center" vertical="center" wrapText="1"/>
    </xf>
    <xf numFmtId="164" fontId="2" fillId="18" borderId="12" xfId="9" applyNumberFormat="1" applyBorder="1" applyAlignment="1" applyProtection="1">
      <alignment horizontal="center" vertical="center" wrapText="1"/>
    </xf>
    <xf numFmtId="164" fontId="19" fillId="8" borderId="22" xfId="5" applyNumberFormat="1" applyFont="1" applyBorder="1" applyAlignment="1" applyProtection="1">
      <alignment horizontal="center"/>
    </xf>
    <xf numFmtId="0" fontId="14" fillId="13" borderId="5" xfId="6" applyBorder="1" applyAlignment="1">
      <alignment horizontal="left"/>
    </xf>
    <xf numFmtId="0" fontId="14" fillId="13" borderId="23" xfId="6" applyBorder="1" applyAlignment="1">
      <alignment horizontal="left"/>
    </xf>
    <xf numFmtId="0" fontId="14" fillId="13" borderId="6" xfId="6" applyBorder="1" applyAlignment="1">
      <alignment horizontal="left"/>
    </xf>
    <xf numFmtId="164" fontId="6" fillId="6" borderId="32" xfId="3" applyNumberFormat="1" applyBorder="1" applyAlignment="1" applyProtection="1">
      <alignment horizontal="center"/>
    </xf>
    <xf numFmtId="0" fontId="18" fillId="8" borderId="25" xfId="5" applyFont="1" applyAlignment="1" applyProtection="1">
      <alignment horizontal="center"/>
    </xf>
    <xf numFmtId="0" fontId="18" fillId="8" borderId="92" xfId="5" applyFont="1" applyBorder="1" applyAlignment="1" applyProtection="1">
      <alignment horizontal="center"/>
    </xf>
    <xf numFmtId="164" fontId="14" fillId="13" borderId="1" xfId="6" quotePrefix="1" applyNumberFormat="1" applyBorder="1" applyAlignment="1" applyProtection="1">
      <alignment horizontal="center"/>
    </xf>
    <xf numFmtId="164" fontId="14" fillId="13" borderId="1" xfId="6" applyNumberFormat="1" applyBorder="1" applyAlignment="1" applyProtection="1">
      <alignment horizontal="center"/>
    </xf>
    <xf numFmtId="0" fontId="18" fillId="8" borderId="25" xfId="5" applyFont="1"/>
    <xf numFmtId="0" fontId="6" fillId="6" borderId="7" xfId="3" applyBorder="1" applyAlignment="1">
      <alignment horizontal="center"/>
    </xf>
    <xf numFmtId="0" fontId="6" fillId="6" borderId="8" xfId="3" applyBorder="1" applyAlignment="1">
      <alignment horizontal="center"/>
    </xf>
    <xf numFmtId="0" fontId="6" fillId="6" borderId="9" xfId="3" applyBorder="1" applyAlignment="1">
      <alignment horizontal="center"/>
    </xf>
    <xf numFmtId="0" fontId="6" fillId="6" borderId="48" xfId="3" applyBorder="1" applyAlignment="1">
      <alignment horizontal="center"/>
    </xf>
    <xf numFmtId="0" fontId="6" fillId="6" borderId="0" xfId="3" applyBorder="1" applyAlignment="1">
      <alignment horizontal="center"/>
    </xf>
    <xf numFmtId="0" fontId="6" fillId="6" borderId="4" xfId="3" applyBorder="1" applyAlignment="1">
      <alignment horizontal="center"/>
    </xf>
    <xf numFmtId="0" fontId="32" fillId="6" borderId="5" xfId="3" applyFont="1" applyBorder="1" applyAlignment="1" applyProtection="1">
      <alignment horizontal="center" vertical="center"/>
    </xf>
    <xf numFmtId="0" fontId="32" fillId="6" borderId="23" xfId="3" applyFont="1" applyBorder="1" applyAlignment="1" applyProtection="1">
      <alignment horizontal="center" vertical="center"/>
    </xf>
    <xf numFmtId="0" fontId="32" fillId="6" borderId="6" xfId="3" applyFont="1" applyBorder="1" applyAlignment="1" applyProtection="1">
      <alignment horizontal="center" vertical="center"/>
    </xf>
    <xf numFmtId="164" fontId="19" fillId="8" borderId="93" xfId="5" applyNumberFormat="1" applyFont="1" applyBorder="1" applyAlignment="1" applyProtection="1">
      <alignment horizontal="center"/>
    </xf>
    <xf numFmtId="164" fontId="19" fillId="8" borderId="0" xfId="5" applyNumberFormat="1" applyFont="1" applyBorder="1" applyAlignment="1" applyProtection="1">
      <alignment horizontal="center"/>
    </xf>
    <xf numFmtId="164" fontId="6" fillId="6" borderId="44" xfId="3" applyNumberFormat="1" applyBorder="1" applyAlignment="1" applyProtection="1">
      <alignment horizontal="right"/>
    </xf>
    <xf numFmtId="164" fontId="6" fillId="6" borderId="23" xfId="3" applyNumberFormat="1" applyBorder="1" applyAlignment="1" applyProtection="1">
      <alignment horizontal="right"/>
    </xf>
    <xf numFmtId="164" fontId="6" fillId="6" borderId="6" xfId="3" applyNumberFormat="1" applyBorder="1" applyAlignment="1" applyProtection="1">
      <alignment horizontal="right"/>
    </xf>
    <xf numFmtId="1" fontId="3" fillId="15" borderId="1" xfId="2" quotePrefix="1" applyNumberFormat="1" applyAlignment="1" applyProtection="1">
      <alignment horizontal="center"/>
    </xf>
    <xf numFmtId="1" fontId="3" fillId="15" borderId="1" xfId="2" applyNumberFormat="1" applyAlignment="1" applyProtection="1">
      <alignment horizontal="center"/>
    </xf>
    <xf numFmtId="164" fontId="6" fillId="6" borderId="91" xfId="3" applyNumberFormat="1" applyBorder="1" applyAlignment="1" applyProtection="1">
      <alignment horizontal="right"/>
    </xf>
    <xf numFmtId="164" fontId="6" fillId="6" borderId="11" xfId="3" applyNumberFormat="1" applyBorder="1" applyAlignment="1" applyProtection="1">
      <alignment horizontal="right"/>
    </xf>
    <xf numFmtId="164" fontId="6" fillId="6" borderId="12" xfId="3" applyNumberFormat="1" applyBorder="1" applyAlignment="1" applyProtection="1">
      <alignment horizontal="right"/>
    </xf>
    <xf numFmtId="164" fontId="1" fillId="2" borderId="13" xfId="1" applyNumberFormat="1" applyBorder="1" applyAlignment="1" applyProtection="1">
      <alignment horizontal="center"/>
    </xf>
    <xf numFmtId="0" fontId="0" fillId="3" borderId="5" xfId="0" applyFill="1" applyBorder="1" applyAlignment="1">
      <alignment horizontal="center"/>
    </xf>
    <xf numFmtId="0" fontId="0" fillId="3" borderId="23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164" fontId="26" fillId="3" borderId="5" xfId="0" applyNumberFormat="1" applyFont="1" applyFill="1" applyBorder="1" applyAlignment="1" applyProtection="1">
      <alignment horizontal="center"/>
    </xf>
    <xf numFmtId="164" fontId="26" fillId="3" borderId="23" xfId="0" applyNumberFormat="1" applyFont="1" applyFill="1" applyBorder="1" applyAlignment="1" applyProtection="1">
      <alignment horizontal="center"/>
    </xf>
    <xf numFmtId="164" fontId="26" fillId="3" borderId="6" xfId="0" applyNumberFormat="1" applyFont="1" applyFill="1" applyBorder="1" applyAlignment="1" applyProtection="1">
      <alignment horizontal="center"/>
    </xf>
    <xf numFmtId="164" fontId="3" fillId="15" borderId="1" xfId="2" quotePrefix="1" applyNumberFormat="1" applyAlignment="1" applyProtection="1">
      <alignment horizontal="center"/>
      <protection locked="0"/>
    </xf>
    <xf numFmtId="0" fontId="6" fillId="6" borderId="32" xfId="3" applyBorder="1" applyAlignment="1">
      <alignment horizontal="center"/>
    </xf>
    <xf numFmtId="164" fontId="1" fillId="2" borderId="5" xfId="1" applyNumberFormat="1" applyBorder="1" applyAlignment="1">
      <alignment horizontal="right"/>
    </xf>
    <xf numFmtId="0" fontId="1" fillId="2" borderId="23" xfId="1" applyBorder="1" applyAlignment="1">
      <alignment horizontal="right"/>
    </xf>
    <xf numFmtId="164" fontId="1" fillId="2" borderId="7" xfId="1" applyNumberFormat="1" applyBorder="1" applyAlignment="1">
      <alignment horizontal="right" vertical="center"/>
    </xf>
    <xf numFmtId="164" fontId="1" fillId="2" borderId="10" xfId="1" applyNumberFormat="1" applyBorder="1" applyAlignment="1">
      <alignment horizontal="right" vertical="center"/>
    </xf>
    <xf numFmtId="164" fontId="6" fillId="6" borderId="2" xfId="3" applyNumberFormat="1" applyBorder="1" applyAlignment="1" applyProtection="1">
      <alignment horizontal="right"/>
    </xf>
    <xf numFmtId="164" fontId="14" fillId="13" borderId="48" xfId="6" applyNumberFormat="1" applyBorder="1" applyAlignment="1" applyProtection="1">
      <alignment horizontal="center" vertical="center"/>
    </xf>
    <xf numFmtId="164" fontId="14" fillId="13" borderId="5" xfId="6" applyNumberFormat="1" applyBorder="1" applyAlignment="1" applyProtection="1">
      <alignment horizontal="center"/>
    </xf>
    <xf numFmtId="164" fontId="14" fillId="13" borderId="23" xfId="6" applyNumberFormat="1" applyBorder="1" applyAlignment="1" applyProtection="1">
      <alignment horizontal="center"/>
    </xf>
    <xf numFmtId="164" fontId="14" fillId="13" borderId="6" xfId="6" applyNumberFormat="1" applyBorder="1" applyAlignment="1" applyProtection="1">
      <alignment horizontal="center"/>
    </xf>
    <xf numFmtId="164" fontId="1" fillId="2" borderId="11" xfId="1" applyNumberFormat="1" applyBorder="1" applyAlignment="1" applyProtection="1">
      <alignment horizontal="center" vertical="center"/>
    </xf>
    <xf numFmtId="164" fontId="1" fillId="2" borderId="12" xfId="1" applyNumberFormat="1" applyBorder="1" applyAlignment="1" applyProtection="1">
      <alignment horizontal="center" vertical="center"/>
    </xf>
    <xf numFmtId="164" fontId="8" fillId="7" borderId="43" xfId="4" applyNumberFormat="1" applyBorder="1" applyAlignment="1" applyProtection="1">
      <alignment horizontal="center" vertical="center"/>
    </xf>
    <xf numFmtId="0" fontId="1" fillId="2" borderId="1" xfId="1" applyAlignment="1">
      <alignment horizontal="center"/>
    </xf>
    <xf numFmtId="164" fontId="14" fillId="13" borderId="107" xfId="6" applyNumberFormat="1" applyBorder="1" applyAlignment="1" applyProtection="1">
      <alignment horizontal="center"/>
    </xf>
    <xf numFmtId="168" fontId="1" fillId="2" borderId="5" xfId="1" applyNumberFormat="1" applyBorder="1" applyAlignment="1" applyProtection="1">
      <alignment horizontal="center"/>
    </xf>
    <xf numFmtId="168" fontId="1" fillId="2" borderId="23" xfId="1" applyNumberFormat="1" applyBorder="1" applyAlignment="1" applyProtection="1">
      <alignment horizontal="center"/>
    </xf>
    <xf numFmtId="164" fontId="2" fillId="8" borderId="95" xfId="5" applyNumberFormat="1" applyFont="1" applyBorder="1" applyAlignment="1" applyProtection="1">
      <alignment horizontal="left"/>
    </xf>
    <xf numFmtId="164" fontId="2" fillId="8" borderId="106" xfId="5" applyNumberFormat="1" applyFont="1" applyBorder="1" applyAlignment="1" applyProtection="1">
      <alignment horizontal="left"/>
    </xf>
    <xf numFmtId="164" fontId="2" fillId="8" borderId="94" xfId="5" applyNumberFormat="1" applyFont="1" applyBorder="1" applyAlignment="1" applyProtection="1">
      <alignment horizontal="left"/>
    </xf>
    <xf numFmtId="164" fontId="2" fillId="8" borderId="96" xfId="5" applyNumberFormat="1" applyFont="1" applyBorder="1" applyAlignment="1" applyProtection="1">
      <alignment horizontal="left"/>
    </xf>
    <xf numFmtId="164" fontId="2" fillId="8" borderId="104" xfId="5" applyNumberFormat="1" applyFont="1" applyBorder="1" applyAlignment="1" applyProtection="1">
      <alignment horizontal="left"/>
    </xf>
    <xf numFmtId="164" fontId="2" fillId="8" borderId="105" xfId="5" applyNumberFormat="1" applyFont="1" applyBorder="1" applyAlignment="1" applyProtection="1">
      <alignment horizontal="left"/>
    </xf>
    <xf numFmtId="164" fontId="2" fillId="8" borderId="102" xfId="5" applyNumberFormat="1" applyFont="1" applyBorder="1" applyAlignment="1" applyProtection="1">
      <alignment horizontal="center"/>
    </xf>
    <xf numFmtId="164" fontId="2" fillId="8" borderId="103" xfId="5" applyNumberFormat="1" applyFont="1" applyBorder="1" applyAlignment="1" applyProtection="1">
      <alignment horizontal="center"/>
    </xf>
    <xf numFmtId="164" fontId="2" fillId="8" borderId="100" xfId="5" applyNumberFormat="1" applyFont="1" applyBorder="1" applyAlignment="1" applyProtection="1">
      <alignment horizontal="center"/>
    </xf>
    <xf numFmtId="164" fontId="2" fillId="8" borderId="101" xfId="5" applyNumberFormat="1" applyFont="1" applyBorder="1" applyAlignment="1" applyProtection="1">
      <alignment horizontal="center"/>
    </xf>
    <xf numFmtId="164" fontId="2" fillId="8" borderId="97" xfId="5" quotePrefix="1" applyNumberFormat="1" applyFont="1" applyBorder="1" applyAlignment="1" applyProtection="1">
      <alignment horizontal="left"/>
    </xf>
    <xf numFmtId="164" fontId="2" fillId="8" borderId="98" xfId="5" quotePrefix="1" applyNumberFormat="1" applyFont="1" applyBorder="1" applyAlignment="1" applyProtection="1">
      <alignment horizontal="left"/>
    </xf>
    <xf numFmtId="164" fontId="2" fillId="8" borderId="99" xfId="5" quotePrefix="1" applyNumberFormat="1" applyFont="1" applyBorder="1" applyAlignment="1" applyProtection="1">
      <alignment horizontal="left"/>
    </xf>
    <xf numFmtId="164" fontId="2" fillId="0" borderId="0" xfId="0" applyNumberFormat="1" applyFont="1" applyAlignment="1" applyProtection="1">
      <alignment horizontal="center"/>
    </xf>
    <xf numFmtId="0" fontId="2" fillId="18" borderId="7" xfId="9" applyFont="1" applyBorder="1" applyAlignment="1" applyProtection="1">
      <alignment horizontal="center" vertical="center" wrapText="1"/>
    </xf>
    <xf numFmtId="0" fontId="2" fillId="18" borderId="8" xfId="9" applyFont="1" applyBorder="1" applyAlignment="1" applyProtection="1">
      <alignment horizontal="center" vertical="center" wrapText="1"/>
    </xf>
    <xf numFmtId="0" fontId="2" fillId="18" borderId="0" xfId="9" applyBorder="1" applyAlignment="1" applyProtection="1">
      <alignment horizontal="right" vertical="center" wrapText="1"/>
    </xf>
    <xf numFmtId="0" fontId="2" fillId="18" borderId="4" xfId="9" applyBorder="1" applyAlignment="1" applyProtection="1">
      <alignment horizontal="right" vertical="center" wrapText="1"/>
    </xf>
    <xf numFmtId="0" fontId="2" fillId="18" borderId="11" xfId="9" applyBorder="1" applyAlignment="1" applyProtection="1">
      <alignment horizontal="right" vertical="center" wrapText="1"/>
    </xf>
    <xf numFmtId="0" fontId="2" fillId="18" borderId="12" xfId="9" applyBorder="1" applyAlignment="1" applyProtection="1">
      <alignment horizontal="right" vertical="center" wrapText="1"/>
    </xf>
    <xf numFmtId="164" fontId="31" fillId="6" borderId="7" xfId="3" applyNumberFormat="1" applyFont="1" applyBorder="1" applyAlignment="1" applyProtection="1">
      <alignment horizontal="center" vertical="center"/>
    </xf>
    <xf numFmtId="164" fontId="31" fillId="6" borderId="8" xfId="3" applyNumberFormat="1" applyFont="1" applyBorder="1" applyAlignment="1" applyProtection="1">
      <alignment horizontal="center" vertical="center"/>
    </xf>
    <xf numFmtId="164" fontId="31" fillId="6" borderId="48" xfId="3" applyNumberFormat="1" applyFont="1" applyBorder="1" applyAlignment="1" applyProtection="1">
      <alignment horizontal="center" vertical="center"/>
    </xf>
    <xf numFmtId="164" fontId="31" fillId="6" borderId="0" xfId="3" applyNumberFormat="1" applyFont="1" applyBorder="1" applyAlignment="1" applyProtection="1">
      <alignment horizontal="center" vertical="center"/>
    </xf>
    <xf numFmtId="164" fontId="31" fillId="6" borderId="10" xfId="3" applyNumberFormat="1" applyFont="1" applyBorder="1" applyAlignment="1" applyProtection="1">
      <alignment horizontal="center" vertical="center"/>
    </xf>
    <xf numFmtId="164" fontId="31" fillId="6" borderId="11" xfId="3" applyNumberFormat="1" applyFont="1" applyBorder="1" applyAlignment="1" applyProtection="1">
      <alignment horizontal="center" vertical="center"/>
    </xf>
    <xf numFmtId="164" fontId="31" fillId="6" borderId="9" xfId="3" applyNumberFormat="1" applyFont="1" applyBorder="1" applyAlignment="1" applyProtection="1">
      <alignment horizontal="center" vertical="center"/>
    </xf>
    <xf numFmtId="164" fontId="31" fillId="6" borderId="4" xfId="3" applyNumberFormat="1" applyFont="1" applyBorder="1" applyAlignment="1" applyProtection="1">
      <alignment horizontal="center" vertical="center"/>
    </xf>
    <xf numFmtId="164" fontId="31" fillId="6" borderId="12" xfId="3" applyNumberFormat="1" applyFont="1" applyBorder="1" applyAlignment="1" applyProtection="1">
      <alignment horizontal="center" vertical="center"/>
    </xf>
    <xf numFmtId="164" fontId="10" fillId="6" borderId="58" xfId="3" applyNumberFormat="1" applyFont="1" applyBorder="1" applyAlignment="1" applyProtection="1">
      <alignment horizontal="center" vertical="center"/>
    </xf>
    <xf numFmtId="164" fontId="10" fillId="6" borderId="59" xfId="3" applyNumberFormat="1" applyFont="1" applyBorder="1" applyAlignment="1" applyProtection="1">
      <alignment horizontal="center" vertical="center"/>
    </xf>
    <xf numFmtId="164" fontId="10" fillId="6" borderId="60" xfId="3" applyNumberFormat="1" applyFont="1" applyBorder="1" applyAlignment="1" applyProtection="1">
      <alignment horizontal="center" vertical="center"/>
    </xf>
    <xf numFmtId="164" fontId="40" fillId="21" borderId="0" xfId="0" applyNumberFormat="1" applyFont="1" applyFill="1" applyAlignment="1" applyProtection="1">
      <alignment horizontal="center" vertical="center"/>
    </xf>
    <xf numFmtId="164" fontId="2" fillId="18" borderId="10" xfId="9" applyNumberFormat="1" applyBorder="1" applyAlignment="1" applyProtection="1">
      <alignment horizontal="center"/>
    </xf>
    <xf numFmtId="164" fontId="2" fillId="18" borderId="12" xfId="9" applyNumberFormat="1" applyBorder="1" applyAlignment="1" applyProtection="1">
      <alignment horizontal="center"/>
    </xf>
    <xf numFmtId="164" fontId="2" fillId="18" borderId="48" xfId="9" applyNumberFormat="1" applyBorder="1" applyAlignment="1" applyProtection="1">
      <alignment horizontal="center" vertical="center"/>
    </xf>
    <xf numFmtId="164" fontId="2" fillId="18" borderId="4" xfId="9" applyNumberFormat="1" applyBorder="1" applyAlignment="1" applyProtection="1">
      <alignment horizontal="center" vertical="center"/>
    </xf>
    <xf numFmtId="0" fontId="3" fillId="15" borderId="20" xfId="2" quotePrefix="1" applyBorder="1" applyAlignment="1" applyProtection="1">
      <alignment horizontal="center" vertical="center"/>
      <protection locked="0"/>
    </xf>
    <xf numFmtId="164" fontId="41" fillId="21" borderId="0" xfId="0" applyNumberFormat="1" applyFont="1" applyFill="1" applyAlignment="1" applyProtection="1">
      <alignment horizontal="center" vertical="center"/>
    </xf>
    <xf numFmtId="164" fontId="19" fillId="10" borderId="15" xfId="0" applyNumberFormat="1" applyFont="1" applyFill="1" applyBorder="1" applyAlignment="1" applyProtection="1">
      <alignment horizontal="center"/>
    </xf>
    <xf numFmtId="0" fontId="2" fillId="18" borderId="63" xfId="9" applyBorder="1" applyAlignment="1" applyProtection="1">
      <alignment horizontal="right" vertical="center"/>
    </xf>
    <xf numFmtId="164" fontId="1" fillId="2" borderId="19" xfId="1" applyNumberFormat="1" applyBorder="1" applyAlignment="1" applyProtection="1">
      <alignment horizontal="center"/>
    </xf>
    <xf numFmtId="164" fontId="1" fillId="2" borderId="20" xfId="1" applyNumberFormat="1" applyBorder="1" applyAlignment="1" applyProtection="1">
      <alignment horizontal="center"/>
    </xf>
    <xf numFmtId="164" fontId="3" fillId="15" borderId="118" xfId="2" applyNumberFormat="1" applyBorder="1" applyAlignment="1" applyProtection="1">
      <alignment horizontal="center" vertical="center"/>
      <protection locked="0"/>
    </xf>
    <xf numFmtId="164" fontId="2" fillId="18" borderId="31" xfId="9" applyNumberFormat="1" applyBorder="1" applyAlignment="1" applyProtection="1">
      <alignment horizontal="center" vertical="center"/>
    </xf>
    <xf numFmtId="164" fontId="2" fillId="18" borderId="85" xfId="9" applyNumberFormat="1" applyBorder="1" applyAlignment="1" applyProtection="1">
      <alignment horizontal="center" vertical="center"/>
    </xf>
    <xf numFmtId="164" fontId="2" fillId="18" borderId="32" xfId="9" applyNumberFormat="1" applyBorder="1" applyAlignment="1" applyProtection="1">
      <alignment horizontal="center" vertical="center"/>
    </xf>
    <xf numFmtId="164" fontId="16" fillId="7" borderId="24" xfId="4" applyNumberFormat="1" applyFont="1" applyAlignment="1" applyProtection="1">
      <alignment horizontal="center"/>
    </xf>
    <xf numFmtId="0" fontId="16" fillId="7" borderId="24" xfId="4" applyFont="1" applyAlignment="1" applyProtection="1">
      <alignment horizontal="center"/>
    </xf>
    <xf numFmtId="0" fontId="0" fillId="3" borderId="0" xfId="0" applyFill="1" applyAlignment="1">
      <alignment horizontal="center"/>
    </xf>
    <xf numFmtId="164" fontId="1" fillId="2" borderId="10" xfId="1" applyNumberFormat="1" applyBorder="1" applyAlignment="1" applyProtection="1">
      <alignment horizontal="center" vertical="center"/>
    </xf>
    <xf numFmtId="164" fontId="10" fillId="6" borderId="2" xfId="3" applyNumberFormat="1" applyFont="1" applyBorder="1" applyAlignment="1" applyProtection="1">
      <alignment horizontal="center" vertical="center"/>
    </xf>
    <xf numFmtId="0" fontId="3" fillId="15" borderId="1" xfId="2" applyAlignment="1" applyProtection="1">
      <alignment horizontal="center" vertical="center"/>
    </xf>
    <xf numFmtId="164" fontId="3" fillId="15" borderId="3" xfId="2" applyNumberFormat="1" applyBorder="1" applyAlignment="1" applyProtection="1">
      <alignment horizontal="center" vertical="center"/>
    </xf>
    <xf numFmtId="164" fontId="3" fillId="15" borderId="1" xfId="2" applyNumberFormat="1" applyAlignment="1" applyProtection="1">
      <alignment horizontal="center" vertical="center"/>
    </xf>
    <xf numFmtId="164" fontId="3" fillId="15" borderId="13" xfId="2" applyNumberFormat="1" applyBorder="1" applyAlignment="1" applyProtection="1">
      <alignment horizontal="center" vertical="center"/>
    </xf>
    <xf numFmtId="164" fontId="3" fillId="15" borderId="18" xfId="2" applyNumberFormat="1" applyBorder="1" applyAlignment="1" applyProtection="1">
      <alignment horizontal="center" vertical="center"/>
    </xf>
    <xf numFmtId="164" fontId="3" fillId="15" borderId="13" xfId="2" quotePrefix="1" applyNumberFormat="1" applyBorder="1" applyAlignment="1" applyProtection="1">
      <alignment horizontal="center" vertical="center"/>
    </xf>
    <xf numFmtId="0" fontId="2" fillId="18" borderId="0" xfId="9" applyAlignment="1">
      <alignment horizontal="left"/>
    </xf>
    <xf numFmtId="164" fontId="1" fillId="2" borderId="27" xfId="1" applyNumberFormat="1" applyBorder="1" applyAlignment="1" applyProtection="1">
      <alignment horizontal="center" vertical="center"/>
    </xf>
    <xf numFmtId="164" fontId="1" fillId="2" borderId="28" xfId="1" applyNumberFormat="1" applyBorder="1" applyAlignment="1" applyProtection="1">
      <alignment horizontal="center" vertical="center"/>
    </xf>
    <xf numFmtId="20" fontId="3" fillId="15" borderId="7" xfId="2" quotePrefix="1" applyNumberFormat="1" applyBorder="1" applyAlignment="1" applyProtection="1">
      <alignment horizontal="center" vertical="center"/>
    </xf>
    <xf numFmtId="20" fontId="3" fillId="15" borderId="8" xfId="2" quotePrefix="1" applyNumberFormat="1" applyBorder="1" applyAlignment="1" applyProtection="1">
      <alignment horizontal="center" vertical="center"/>
    </xf>
    <xf numFmtId="20" fontId="3" fillId="15" borderId="9" xfId="2" quotePrefix="1" applyNumberFormat="1" applyBorder="1" applyAlignment="1" applyProtection="1">
      <alignment horizontal="center" vertical="center"/>
    </xf>
    <xf numFmtId="20" fontId="3" fillId="15" borderId="10" xfId="2" quotePrefix="1" applyNumberFormat="1" applyBorder="1" applyAlignment="1" applyProtection="1">
      <alignment horizontal="center" vertical="center"/>
    </xf>
    <xf numFmtId="20" fontId="3" fillId="15" borderId="11" xfId="2" quotePrefix="1" applyNumberFormat="1" applyBorder="1" applyAlignment="1" applyProtection="1">
      <alignment horizontal="center" vertical="center"/>
    </xf>
    <xf numFmtId="20" fontId="3" fillId="15" borderId="12" xfId="2" quotePrefix="1" applyNumberFormat="1" applyBorder="1" applyAlignment="1" applyProtection="1">
      <alignment horizontal="center" vertical="center"/>
    </xf>
    <xf numFmtId="0" fontId="17" fillId="0" borderId="31" xfId="0" applyFont="1" applyBorder="1" applyAlignment="1" applyProtection="1">
      <alignment horizontal="right"/>
    </xf>
    <xf numFmtId="0" fontId="0" fillId="3" borderId="2" xfId="0" applyFill="1" applyBorder="1" applyAlignment="1">
      <alignment horizontal="center"/>
    </xf>
    <xf numFmtId="0" fontId="17" fillId="0" borderId="10" xfId="0" applyFont="1" applyBorder="1" applyAlignment="1" applyProtection="1">
      <alignment horizontal="right"/>
    </xf>
    <xf numFmtId="0" fontId="17" fillId="0" borderId="11" xfId="0" applyFont="1" applyBorder="1" applyAlignment="1" applyProtection="1">
      <alignment horizontal="right"/>
    </xf>
    <xf numFmtId="0" fontId="17" fillId="0" borderId="12" xfId="0" applyFont="1" applyBorder="1" applyAlignment="1" applyProtection="1">
      <alignment horizontal="right"/>
    </xf>
    <xf numFmtId="0" fontId="2" fillId="0" borderId="0" xfId="0" applyFont="1" applyAlignment="1">
      <alignment horizontal="center"/>
    </xf>
    <xf numFmtId="0" fontId="2" fillId="0" borderId="4" xfId="0" applyFont="1" applyBorder="1" applyAlignment="1" applyProtection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24" fillId="6" borderId="2" xfId="3" applyFont="1" applyBorder="1" applyAlignment="1">
      <alignment horizontal="center"/>
    </xf>
    <xf numFmtId="164" fontId="24" fillId="6" borderId="2" xfId="3" applyNumberFormat="1" applyFont="1" applyBorder="1" applyAlignment="1" applyProtection="1">
      <alignment horizontal="center"/>
    </xf>
    <xf numFmtId="0" fontId="24" fillId="6" borderId="5" xfId="3" applyFont="1" applyBorder="1" applyAlignment="1">
      <alignment horizontal="center"/>
    </xf>
    <xf numFmtId="164" fontId="4" fillId="15" borderId="2" xfId="2" quotePrefix="1" applyNumberFormat="1" applyFont="1" applyBorder="1" applyAlignment="1" applyProtection="1">
      <alignment horizontal="center" vertical="center"/>
      <protection locked="0"/>
    </xf>
    <xf numFmtId="164" fontId="5" fillId="2" borderId="2" xfId="1" applyNumberFormat="1" applyFont="1" applyBorder="1" applyAlignment="1" applyProtection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5" fillId="2" borderId="87" xfId="1" applyFont="1" applyBorder="1" applyAlignment="1" applyProtection="1">
      <alignment horizontal="center" vertical="center"/>
    </xf>
    <xf numFmtId="0" fontId="5" fillId="2" borderId="88" xfId="1" applyFont="1" applyBorder="1" applyAlignment="1" applyProtection="1">
      <alignment horizontal="center" vertical="center"/>
    </xf>
    <xf numFmtId="164" fontId="28" fillId="7" borderId="64" xfId="4" applyNumberFormat="1" applyFont="1" applyBorder="1" applyAlignment="1" applyProtection="1">
      <alignment horizontal="center" vertical="center"/>
    </xf>
    <xf numFmtId="164" fontId="28" fillId="7" borderId="65" xfId="4" applyNumberFormat="1" applyFont="1" applyBorder="1" applyAlignment="1" applyProtection="1">
      <alignment horizontal="center" vertical="center"/>
    </xf>
    <xf numFmtId="164" fontId="28" fillId="7" borderId="67" xfId="4" applyNumberFormat="1" applyFont="1" applyBorder="1" applyAlignment="1" applyProtection="1">
      <alignment horizontal="center" vertical="center"/>
    </xf>
    <xf numFmtId="164" fontId="28" fillId="7" borderId="68" xfId="4" applyNumberFormat="1" applyFont="1" applyBorder="1" applyAlignment="1" applyProtection="1">
      <alignment horizontal="center" vertical="center"/>
    </xf>
    <xf numFmtId="0" fontId="2" fillId="3" borderId="5" xfId="0" applyFont="1" applyFill="1" applyBorder="1" applyAlignment="1">
      <alignment horizontal="center"/>
    </xf>
    <xf numFmtId="0" fontId="2" fillId="3" borderId="23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0" borderId="2" xfId="0" applyFont="1" applyBorder="1" applyAlignment="1" applyProtection="1">
      <alignment horizontal="center" vertical="center" wrapText="1"/>
    </xf>
    <xf numFmtId="0" fontId="2" fillId="0" borderId="2" xfId="0" applyFont="1" applyBorder="1" applyAlignment="1" applyProtection="1">
      <alignment horizontal="center" vertical="center"/>
    </xf>
    <xf numFmtId="0" fontId="2" fillId="0" borderId="2" xfId="0" applyFont="1" applyBorder="1"/>
    <xf numFmtId="0" fontId="2" fillId="0" borderId="81" xfId="0" applyFont="1" applyBorder="1" applyAlignment="1" applyProtection="1">
      <alignment horizontal="center" vertical="center" wrapText="1"/>
    </xf>
    <xf numFmtId="0" fontId="2" fillId="0" borderId="81" xfId="0" applyFont="1" applyBorder="1" applyAlignment="1" applyProtection="1">
      <alignment horizontal="center" vertical="center"/>
    </xf>
    <xf numFmtId="164" fontId="5" fillId="2" borderId="69" xfId="1" applyNumberFormat="1" applyFont="1" applyBorder="1" applyAlignment="1" applyProtection="1">
      <alignment horizontal="center" vertical="center"/>
    </xf>
    <xf numFmtId="164" fontId="5" fillId="2" borderId="71" xfId="1" applyNumberFormat="1" applyFont="1" applyBorder="1" applyAlignment="1" applyProtection="1">
      <alignment horizontal="center" vertical="center"/>
    </xf>
    <xf numFmtId="164" fontId="5" fillId="2" borderId="62" xfId="1" applyNumberFormat="1" applyFont="1" applyBorder="1" applyAlignment="1" applyProtection="1">
      <alignment horizontal="center" vertical="center"/>
    </xf>
    <xf numFmtId="164" fontId="5" fillId="2" borderId="22" xfId="1" applyNumberFormat="1" applyFont="1" applyBorder="1" applyAlignment="1" applyProtection="1">
      <alignment horizontal="center" vertical="center"/>
    </xf>
    <xf numFmtId="164" fontId="5" fillId="2" borderId="63" xfId="1" applyNumberFormat="1" applyFont="1" applyBorder="1" applyAlignment="1" applyProtection="1">
      <alignment horizontal="center" vertical="center"/>
    </xf>
    <xf numFmtId="164" fontId="5" fillId="2" borderId="17" xfId="1" applyNumberFormat="1" applyFont="1" applyBorder="1" applyAlignment="1" applyProtection="1">
      <alignment horizontal="center" vertical="center"/>
    </xf>
    <xf numFmtId="164" fontId="5" fillId="2" borderId="46" xfId="1" applyNumberFormat="1" applyFont="1" applyBorder="1" applyAlignment="1" applyProtection="1">
      <alignment horizontal="center" vertical="center"/>
    </xf>
    <xf numFmtId="164" fontId="5" fillId="2" borderId="18" xfId="1" applyNumberFormat="1" applyFont="1" applyBorder="1" applyAlignment="1" applyProtection="1">
      <alignment horizontal="center" vertical="center"/>
    </xf>
    <xf numFmtId="0" fontId="2" fillId="8" borderId="25" xfId="5" quotePrefix="1" applyFont="1" applyAlignment="1">
      <alignment horizontal="center"/>
    </xf>
    <xf numFmtId="164" fontId="2" fillId="8" borderId="25" xfId="5" applyNumberFormat="1" applyFont="1" applyAlignment="1" applyProtection="1">
      <alignment horizontal="center"/>
    </xf>
    <xf numFmtId="164" fontId="23" fillId="6" borderId="48" xfId="3" applyNumberFormat="1" applyFont="1" applyBorder="1" applyAlignment="1" applyProtection="1">
      <alignment horizontal="center" vertical="center"/>
    </xf>
    <xf numFmtId="164" fontId="23" fillId="6" borderId="0" xfId="3" applyNumberFormat="1" applyFont="1" applyBorder="1" applyAlignment="1" applyProtection="1">
      <alignment horizontal="center" vertical="center"/>
    </xf>
    <xf numFmtId="164" fontId="23" fillId="6" borderId="82" xfId="3" applyNumberFormat="1" applyFont="1" applyBorder="1" applyAlignment="1" applyProtection="1">
      <alignment horizontal="center" vertical="center"/>
    </xf>
    <xf numFmtId="164" fontId="23" fillId="6" borderId="10" xfId="3" applyNumberFormat="1" applyFont="1" applyBorder="1" applyAlignment="1" applyProtection="1">
      <alignment horizontal="center" vertical="center"/>
    </xf>
    <xf numFmtId="164" fontId="23" fillId="6" borderId="11" xfId="3" applyNumberFormat="1" applyFont="1" applyBorder="1" applyAlignment="1" applyProtection="1">
      <alignment horizontal="center" vertical="center"/>
    </xf>
    <xf numFmtId="164" fontId="23" fillId="6" borderId="28" xfId="3" applyNumberFormat="1" applyFont="1" applyBorder="1" applyAlignment="1" applyProtection="1">
      <alignment horizontal="center" vertical="center"/>
    </xf>
    <xf numFmtId="164" fontId="5" fillId="2" borderId="84" xfId="1" applyNumberFormat="1" applyFont="1" applyBorder="1" applyAlignment="1" applyProtection="1">
      <alignment horizontal="center" vertical="center"/>
    </xf>
    <xf numFmtId="164" fontId="5" fillId="2" borderId="86" xfId="1" applyNumberFormat="1" applyFont="1" applyBorder="1" applyAlignment="1" applyProtection="1">
      <alignment horizontal="center" vertical="center"/>
    </xf>
    <xf numFmtId="0" fontId="2" fillId="0" borderId="0" xfId="0" applyFont="1"/>
    <xf numFmtId="164" fontId="28" fillId="7" borderId="0" xfId="4" applyNumberFormat="1" applyFont="1" applyBorder="1" applyAlignment="1" applyProtection="1">
      <alignment horizontal="center" vertical="center"/>
    </xf>
    <xf numFmtId="164" fontId="28" fillId="7" borderId="82" xfId="4" applyNumberFormat="1" applyFont="1" applyBorder="1" applyAlignment="1" applyProtection="1">
      <alignment horizontal="center" vertical="center"/>
    </xf>
    <xf numFmtId="164" fontId="4" fillId="15" borderId="61" xfId="2" applyNumberFormat="1" applyFont="1" applyBorder="1" applyAlignment="1" applyProtection="1">
      <alignment horizontal="center" vertical="center"/>
      <protection locked="0"/>
    </xf>
    <xf numFmtId="164" fontId="4" fillId="15" borderId="13" xfId="2" applyNumberFormat="1" applyFont="1" applyBorder="1" applyAlignment="1" applyProtection="1">
      <alignment horizontal="center" vertical="center"/>
      <protection locked="0"/>
    </xf>
    <xf numFmtId="164" fontId="4" fillId="15" borderId="62" xfId="2" quotePrefix="1" applyNumberFormat="1" applyFont="1" applyBorder="1" applyAlignment="1" applyProtection="1">
      <alignment horizontal="center" vertical="center"/>
      <protection locked="0"/>
    </xf>
    <xf numFmtId="164" fontId="4" fillId="15" borderId="22" xfId="2" quotePrefix="1" applyNumberFormat="1" applyFont="1" applyBorder="1" applyAlignment="1" applyProtection="1">
      <alignment horizontal="center" vertical="center"/>
      <protection locked="0"/>
    </xf>
    <xf numFmtId="164" fontId="4" fillId="15" borderId="70" xfId="2" quotePrefix="1" applyNumberFormat="1" applyFont="1" applyBorder="1" applyAlignment="1" applyProtection="1">
      <alignment horizontal="center" vertical="center"/>
      <protection locked="0"/>
    </xf>
    <xf numFmtId="164" fontId="4" fillId="15" borderId="17" xfId="2" quotePrefix="1" applyNumberFormat="1" applyFont="1" applyBorder="1" applyAlignment="1" applyProtection="1">
      <alignment horizontal="center" vertical="center"/>
      <protection locked="0"/>
    </xf>
    <xf numFmtId="164" fontId="4" fillId="15" borderId="46" xfId="2" quotePrefix="1" applyNumberFormat="1" applyFont="1" applyBorder="1" applyAlignment="1" applyProtection="1">
      <alignment horizontal="center" vertical="center"/>
      <protection locked="0"/>
    </xf>
    <xf numFmtId="164" fontId="4" fillId="15" borderId="72" xfId="2" quotePrefix="1" applyNumberFormat="1" applyFont="1" applyBorder="1" applyAlignment="1" applyProtection="1">
      <alignment horizontal="center" vertical="center"/>
      <protection locked="0"/>
    </xf>
    <xf numFmtId="164" fontId="5" fillId="2" borderId="20" xfId="1" applyNumberFormat="1" applyFont="1" applyBorder="1" applyAlignment="1" applyProtection="1">
      <alignment horizontal="center" vertical="center"/>
    </xf>
    <xf numFmtId="164" fontId="5" fillId="2" borderId="21" xfId="1" applyNumberFormat="1" applyFont="1" applyBorder="1" applyAlignment="1" applyProtection="1">
      <alignment horizontal="center" vertical="center"/>
    </xf>
    <xf numFmtId="164" fontId="5" fillId="2" borderId="77" xfId="1" applyNumberFormat="1" applyFont="1" applyBorder="1" applyAlignment="1" applyProtection="1">
      <alignment horizontal="center" vertical="center"/>
    </xf>
    <xf numFmtId="164" fontId="5" fillId="2" borderId="78" xfId="1" applyNumberFormat="1" applyFont="1" applyBorder="1" applyAlignment="1" applyProtection="1">
      <alignment horizontal="center" vertical="center"/>
    </xf>
    <xf numFmtId="164" fontId="4" fillId="15" borderId="30" xfId="2" applyNumberFormat="1" applyFont="1" applyBorder="1" applyAlignment="1" applyProtection="1">
      <alignment horizontal="center" vertical="center"/>
      <protection locked="0"/>
    </xf>
    <xf numFmtId="164" fontId="4" fillId="15" borderId="79" xfId="2" applyNumberFormat="1" applyFont="1" applyBorder="1" applyAlignment="1" applyProtection="1">
      <alignment horizontal="center" vertical="center"/>
      <protection locked="0"/>
    </xf>
    <xf numFmtId="164" fontId="4" fillId="15" borderId="19" xfId="2" quotePrefix="1" applyNumberFormat="1" applyFont="1" applyBorder="1" applyAlignment="1" applyProtection="1">
      <alignment horizontal="center" vertical="center"/>
      <protection locked="0"/>
    </xf>
    <xf numFmtId="164" fontId="4" fillId="15" borderId="20" xfId="2" quotePrefix="1" applyNumberFormat="1" applyFont="1" applyBorder="1" applyAlignment="1" applyProtection="1">
      <alignment horizontal="center" vertical="center"/>
      <protection locked="0"/>
    </xf>
    <xf numFmtId="164" fontId="4" fillId="15" borderId="74" xfId="2" quotePrefix="1" applyNumberFormat="1" applyFont="1" applyBorder="1" applyAlignment="1" applyProtection="1">
      <alignment horizontal="center" vertical="center"/>
      <protection locked="0"/>
    </xf>
    <xf numFmtId="164" fontId="4" fillId="15" borderId="76" xfId="2" quotePrefix="1" applyNumberFormat="1" applyFont="1" applyBorder="1" applyAlignment="1" applyProtection="1">
      <alignment horizontal="center" vertical="center"/>
      <protection locked="0"/>
    </xf>
    <xf numFmtId="164" fontId="4" fillId="15" borderId="77" xfId="2" quotePrefix="1" applyNumberFormat="1" applyFont="1" applyBorder="1" applyAlignment="1" applyProtection="1">
      <alignment horizontal="center" vertical="center"/>
      <protection locked="0"/>
    </xf>
    <xf numFmtId="164" fontId="4" fillId="15" borderId="80" xfId="2" quotePrefix="1" applyNumberFormat="1" applyFont="1" applyBorder="1" applyAlignment="1" applyProtection="1">
      <alignment horizontal="center" vertical="center"/>
      <protection locked="0"/>
    </xf>
    <xf numFmtId="0" fontId="25" fillId="3" borderId="5" xfId="3" applyFont="1" applyFill="1" applyBorder="1" applyAlignment="1">
      <alignment horizontal="center"/>
    </xf>
    <xf numFmtId="0" fontId="25" fillId="3" borderId="23" xfId="3" applyFont="1" applyFill="1" applyBorder="1" applyAlignment="1">
      <alignment horizontal="center"/>
    </xf>
    <xf numFmtId="0" fontId="25" fillId="3" borderId="6" xfId="3" applyFont="1" applyFill="1" applyBorder="1" applyAlignment="1">
      <alignment horizontal="center"/>
    </xf>
    <xf numFmtId="164" fontId="23" fillId="6" borderId="7" xfId="3" applyNumberFormat="1" applyFont="1" applyBorder="1" applyAlignment="1">
      <alignment horizontal="center" vertical="center"/>
    </xf>
    <xf numFmtId="0" fontId="23" fillId="6" borderId="8" xfId="3" applyFont="1" applyBorder="1" applyAlignment="1">
      <alignment horizontal="center" vertical="center"/>
    </xf>
    <xf numFmtId="0" fontId="23" fillId="6" borderId="9" xfId="3" applyFont="1" applyBorder="1" applyAlignment="1">
      <alignment horizontal="center" vertical="center"/>
    </xf>
    <xf numFmtId="0" fontId="23" fillId="6" borderId="10" xfId="3" applyFont="1" applyBorder="1" applyAlignment="1">
      <alignment horizontal="center" vertical="center"/>
    </xf>
    <xf numFmtId="0" fontId="23" fillId="6" borderId="11" xfId="3" applyFont="1" applyBorder="1" applyAlignment="1">
      <alignment horizontal="center" vertical="center"/>
    </xf>
    <xf numFmtId="0" fontId="23" fillId="6" borderId="12" xfId="3" applyFont="1" applyBorder="1" applyAlignment="1">
      <alignment horizontal="center" vertical="center"/>
    </xf>
    <xf numFmtId="20" fontId="23" fillId="6" borderId="48" xfId="3" quotePrefix="1" applyNumberFormat="1" applyFont="1" applyBorder="1" applyAlignment="1" applyProtection="1">
      <alignment horizontal="center" vertical="center"/>
      <protection locked="0"/>
    </xf>
    <xf numFmtId="20" fontId="23" fillId="6" borderId="0" xfId="3" quotePrefix="1" applyNumberFormat="1" applyFont="1" applyBorder="1" applyAlignment="1" applyProtection="1">
      <alignment horizontal="center" vertical="center"/>
      <protection locked="0"/>
    </xf>
    <xf numFmtId="20" fontId="23" fillId="6" borderId="4" xfId="3" quotePrefix="1" applyNumberFormat="1" applyFont="1" applyBorder="1" applyAlignment="1" applyProtection="1">
      <alignment horizontal="center" vertical="center"/>
      <protection locked="0"/>
    </xf>
    <xf numFmtId="20" fontId="23" fillId="6" borderId="10" xfId="3" quotePrefix="1" applyNumberFormat="1" applyFont="1" applyBorder="1" applyAlignment="1" applyProtection="1">
      <alignment horizontal="center" vertical="center"/>
      <protection locked="0"/>
    </xf>
    <xf numFmtId="20" fontId="23" fillId="6" borderId="11" xfId="3" quotePrefix="1" applyNumberFormat="1" applyFont="1" applyBorder="1" applyAlignment="1" applyProtection="1">
      <alignment horizontal="center" vertical="center"/>
      <protection locked="0"/>
    </xf>
    <xf numFmtId="20" fontId="23" fillId="6" borderId="12" xfId="3" quotePrefix="1" applyNumberFormat="1" applyFont="1" applyBorder="1" applyAlignment="1" applyProtection="1">
      <alignment horizontal="center" vertical="center"/>
      <protection locked="0"/>
    </xf>
    <xf numFmtId="164" fontId="2" fillId="3" borderId="2" xfId="0" applyNumberFormat="1" applyFont="1" applyFill="1" applyBorder="1" applyAlignment="1" applyProtection="1">
      <alignment horizontal="center" vertical="center"/>
    </xf>
    <xf numFmtId="164" fontId="2" fillId="3" borderId="5" xfId="0" applyNumberFormat="1" applyFont="1" applyFill="1" applyBorder="1" applyAlignment="1" applyProtection="1">
      <alignment horizontal="center" vertical="center"/>
    </xf>
    <xf numFmtId="164" fontId="2" fillId="3" borderId="23" xfId="0" applyNumberFormat="1" applyFont="1" applyFill="1" applyBorder="1" applyAlignment="1" applyProtection="1">
      <alignment horizontal="center" vertical="center"/>
    </xf>
    <xf numFmtId="164" fontId="2" fillId="3" borderId="6" xfId="0" applyNumberFormat="1" applyFont="1" applyFill="1" applyBorder="1" applyAlignment="1" applyProtection="1">
      <alignment horizontal="center" vertical="center"/>
    </xf>
    <xf numFmtId="0" fontId="4" fillId="15" borderId="1" xfId="2" applyFont="1" applyAlignment="1" applyProtection="1">
      <alignment horizontal="center" vertical="center"/>
    </xf>
    <xf numFmtId="164" fontId="5" fillId="2" borderId="1" xfId="1" applyNumberFormat="1" applyFont="1" applyAlignment="1" applyProtection="1">
      <alignment horizontal="center" vertical="center"/>
    </xf>
    <xf numFmtId="0" fontId="28" fillId="7" borderId="24" xfId="4" applyFont="1" applyAlignment="1" applyProtection="1">
      <alignment horizontal="center"/>
    </xf>
    <xf numFmtId="0" fontId="4" fillId="15" borderId="5" xfId="2" applyFont="1" applyBorder="1" applyAlignment="1" applyProtection="1">
      <alignment horizontal="center" vertical="center"/>
    </xf>
    <xf numFmtId="0" fontId="4" fillId="15" borderId="23" xfId="2" applyFont="1" applyBorder="1" applyAlignment="1" applyProtection="1">
      <alignment horizontal="center" vertical="center"/>
    </xf>
    <xf numFmtId="0" fontId="4" fillId="15" borderId="6" xfId="2" applyFont="1" applyBorder="1" applyAlignment="1" applyProtection="1">
      <alignment horizontal="center" vertical="center"/>
    </xf>
    <xf numFmtId="164" fontId="5" fillId="2" borderId="5" xfId="1" applyNumberFormat="1" applyFont="1" applyBorder="1" applyAlignment="1" applyProtection="1">
      <alignment horizontal="center" vertical="center"/>
    </xf>
    <xf numFmtId="164" fontId="5" fillId="2" borderId="23" xfId="1" applyNumberFormat="1" applyFont="1" applyBorder="1" applyAlignment="1" applyProtection="1">
      <alignment horizontal="center" vertical="center"/>
    </xf>
    <xf numFmtId="164" fontId="5" fillId="2" borderId="26" xfId="1" applyNumberFormat="1" applyFont="1" applyBorder="1" applyAlignment="1" applyProtection="1">
      <alignment horizontal="center" vertical="center"/>
    </xf>
    <xf numFmtId="164" fontId="24" fillId="6" borderId="14" xfId="3" applyNumberFormat="1" applyFont="1" applyBorder="1" applyAlignment="1" applyProtection="1">
      <alignment horizontal="center" vertical="center"/>
    </xf>
    <xf numFmtId="164" fontId="24" fillId="6" borderId="15" xfId="3" applyNumberFormat="1" applyFont="1" applyBorder="1" applyAlignment="1" applyProtection="1">
      <alignment horizontal="center" vertical="center"/>
    </xf>
    <xf numFmtId="164" fontId="24" fillId="6" borderId="16" xfId="3" applyNumberFormat="1" applyFont="1" applyBorder="1" applyAlignment="1" applyProtection="1">
      <alignment horizontal="center" vertical="center"/>
    </xf>
    <xf numFmtId="0" fontId="5" fillId="2" borderId="73" xfId="1" applyFont="1" applyBorder="1" applyAlignment="1" applyProtection="1">
      <alignment horizontal="center" vertical="center"/>
    </xf>
    <xf numFmtId="0" fontId="5" fillId="2" borderId="75" xfId="1" applyFont="1" applyBorder="1" applyAlignment="1" applyProtection="1">
      <alignment horizontal="center" vertical="center"/>
    </xf>
    <xf numFmtId="164" fontId="5" fillId="2" borderId="19" xfId="1" applyNumberFormat="1" applyFont="1" applyBorder="1" applyAlignment="1" applyProtection="1">
      <alignment horizontal="center" vertical="center"/>
    </xf>
    <xf numFmtId="164" fontId="5" fillId="2" borderId="76" xfId="1" applyNumberFormat="1" applyFont="1" applyBorder="1" applyAlignment="1" applyProtection="1">
      <alignment horizontal="center" vertical="center"/>
    </xf>
    <xf numFmtId="164" fontId="28" fillId="7" borderId="83" xfId="4" applyNumberFormat="1" applyFont="1" applyBorder="1" applyAlignment="1" applyProtection="1">
      <alignment horizontal="center" vertical="center"/>
    </xf>
    <xf numFmtId="0" fontId="25" fillId="3" borderId="2" xfId="3" applyFont="1" applyFill="1" applyBorder="1" applyAlignment="1">
      <alignment horizontal="center"/>
    </xf>
    <xf numFmtId="20" fontId="4" fillId="15" borderId="1" xfId="2" quotePrefix="1" applyNumberFormat="1" applyFont="1" applyAlignment="1" applyProtection="1">
      <alignment horizontal="center" vertical="center"/>
      <protection locked="0"/>
    </xf>
    <xf numFmtId="0" fontId="4" fillId="15" borderId="1" xfId="2" applyFont="1" applyAlignment="1" applyProtection="1">
      <alignment horizontal="center" vertical="center"/>
      <protection locked="0"/>
    </xf>
    <xf numFmtId="164" fontId="28" fillId="7" borderId="24" xfId="4" applyNumberFormat="1" applyFont="1" applyAlignment="1" applyProtection="1">
      <alignment horizontal="center" vertical="center"/>
    </xf>
    <xf numFmtId="20" fontId="4" fillId="15" borderId="7" xfId="2" quotePrefix="1" applyNumberFormat="1" applyFont="1" applyBorder="1" applyAlignment="1" applyProtection="1">
      <alignment horizontal="center" vertical="center"/>
      <protection locked="0"/>
    </xf>
    <xf numFmtId="20" fontId="4" fillId="15" borderId="8" xfId="2" quotePrefix="1" applyNumberFormat="1" applyFont="1" applyBorder="1" applyAlignment="1" applyProtection="1">
      <alignment horizontal="center" vertical="center"/>
      <protection locked="0"/>
    </xf>
    <xf numFmtId="20" fontId="4" fillId="15" borderId="9" xfId="2" quotePrefix="1" applyNumberFormat="1" applyFont="1" applyBorder="1" applyAlignment="1" applyProtection="1">
      <alignment horizontal="center" vertical="center"/>
      <protection locked="0"/>
    </xf>
    <xf numFmtId="20" fontId="4" fillId="15" borderId="10" xfId="2" quotePrefix="1" applyNumberFormat="1" applyFont="1" applyBorder="1" applyAlignment="1" applyProtection="1">
      <alignment horizontal="center" vertical="center"/>
      <protection locked="0"/>
    </xf>
    <xf numFmtId="20" fontId="4" fillId="15" borderId="11" xfId="2" quotePrefix="1" applyNumberFormat="1" applyFont="1" applyBorder="1" applyAlignment="1" applyProtection="1">
      <alignment horizontal="center" vertical="center"/>
      <protection locked="0"/>
    </xf>
    <xf numFmtId="20" fontId="4" fillId="15" borderId="12" xfId="2" quotePrefix="1" applyNumberFormat="1" applyFont="1" applyBorder="1" applyAlignment="1" applyProtection="1">
      <alignment horizontal="center" vertical="center"/>
      <protection locked="0"/>
    </xf>
    <xf numFmtId="164" fontId="5" fillId="2" borderId="7" xfId="1" applyNumberFormat="1" applyFont="1" applyBorder="1" applyAlignment="1" applyProtection="1">
      <alignment horizontal="center" vertical="center"/>
    </xf>
    <xf numFmtId="164" fontId="5" fillId="2" borderId="8" xfId="1" applyNumberFormat="1" applyFont="1" applyBorder="1" applyAlignment="1" applyProtection="1">
      <alignment horizontal="center" vertical="center"/>
    </xf>
    <xf numFmtId="164" fontId="5" fillId="2" borderId="27" xfId="1" applyNumberFormat="1" applyFont="1" applyBorder="1" applyAlignment="1" applyProtection="1">
      <alignment horizontal="center" vertical="center"/>
    </xf>
    <xf numFmtId="164" fontId="5" fillId="2" borderId="10" xfId="1" applyNumberFormat="1" applyFont="1" applyBorder="1" applyAlignment="1" applyProtection="1">
      <alignment horizontal="center" vertical="center"/>
    </xf>
    <xf numFmtId="164" fontId="5" fillId="2" borderId="11" xfId="1" applyNumberFormat="1" applyFont="1" applyBorder="1" applyAlignment="1" applyProtection="1">
      <alignment horizontal="center" vertical="center"/>
    </xf>
    <xf numFmtId="164" fontId="5" fillId="2" borderId="28" xfId="1" applyNumberFormat="1" applyFont="1" applyBorder="1" applyAlignment="1" applyProtection="1">
      <alignment horizontal="center" vertical="center"/>
    </xf>
    <xf numFmtId="0" fontId="10" fillId="6" borderId="2" xfId="3" applyFont="1" applyBorder="1" applyAlignment="1">
      <alignment horizontal="center"/>
    </xf>
    <xf numFmtId="0" fontId="37" fillId="13" borderId="2" xfId="6" applyFont="1" applyBorder="1" applyAlignment="1">
      <alignment horizontal="center"/>
    </xf>
    <xf numFmtId="0" fontId="38" fillId="7" borderId="43" xfId="4" applyFont="1" applyBorder="1" applyAlignment="1">
      <alignment horizontal="center"/>
    </xf>
    <xf numFmtId="0" fontId="38" fillId="7" borderId="24" xfId="4" applyFont="1" applyAlignment="1">
      <alignment horizontal="center"/>
    </xf>
    <xf numFmtId="170" fontId="43" fillId="25" borderId="93" xfId="1" applyNumberFormat="1" applyFont="1" applyFill="1" applyBorder="1" applyAlignment="1"/>
    <xf numFmtId="170" fontId="43" fillId="25" borderId="0" xfId="1" applyNumberFormat="1" applyFont="1" applyFill="1" applyBorder="1" applyAlignment="1"/>
    <xf numFmtId="170" fontId="43" fillId="25" borderId="40" xfId="1" applyNumberFormat="1" applyFont="1" applyFill="1" applyBorder="1" applyAlignment="1"/>
    <xf numFmtId="0" fontId="10" fillId="6" borderId="5" xfId="3" applyFont="1" applyBorder="1" applyAlignment="1">
      <alignment horizontal="center"/>
    </xf>
    <xf numFmtId="0" fontId="10" fillId="6" borderId="6" xfId="3" applyFont="1" applyBorder="1" applyAlignment="1">
      <alignment horizontal="center"/>
    </xf>
    <xf numFmtId="0" fontId="37" fillId="13" borderId="5" xfId="6" applyFont="1" applyBorder="1" applyAlignment="1">
      <alignment horizontal="center"/>
    </xf>
    <xf numFmtId="0" fontId="37" fillId="13" borderId="23" xfId="6" applyFont="1" applyBorder="1" applyAlignment="1">
      <alignment horizontal="center"/>
    </xf>
    <xf numFmtId="0" fontId="37" fillId="13" borderId="6" xfId="6" applyFont="1" applyBorder="1" applyAlignment="1">
      <alignment horizontal="center"/>
    </xf>
    <xf numFmtId="0" fontId="36" fillId="13" borderId="2" xfId="6" applyFont="1" applyBorder="1" applyAlignment="1">
      <alignment horizontal="center" vertical="center"/>
    </xf>
    <xf numFmtId="170" fontId="43" fillId="25" borderId="93" xfId="1" applyNumberFormat="1" applyFont="1" applyFill="1" applyBorder="1" applyAlignment="1">
      <alignment horizontal="right"/>
    </xf>
    <xf numFmtId="170" fontId="43" fillId="25" borderId="0" xfId="1" applyNumberFormat="1" applyFont="1" applyFill="1" applyBorder="1" applyAlignment="1">
      <alignment horizontal="right"/>
    </xf>
    <xf numFmtId="170" fontId="43" fillId="25" borderId="40" xfId="1" applyNumberFormat="1" applyFont="1" applyFill="1" applyBorder="1" applyAlignment="1">
      <alignment horizontal="right"/>
    </xf>
    <xf numFmtId="0" fontId="10" fillId="6" borderId="2" xfId="3" applyFont="1" applyBorder="1" applyAlignment="1">
      <alignment horizontal="center" vertical="center"/>
    </xf>
    <xf numFmtId="0" fontId="3" fillId="8" borderId="31" xfId="5" applyFont="1" applyBorder="1" applyAlignment="1">
      <alignment horizontal="center" vertical="center"/>
    </xf>
    <xf numFmtId="0" fontId="3" fillId="8" borderId="85" xfId="5" applyFont="1" applyBorder="1" applyAlignment="1">
      <alignment horizontal="center" vertical="center"/>
    </xf>
    <xf numFmtId="0" fontId="3" fillId="8" borderId="32" xfId="5" applyFont="1" applyBorder="1" applyAlignment="1">
      <alignment horizontal="center" vertical="center"/>
    </xf>
    <xf numFmtId="0" fontId="37" fillId="13" borderId="2" xfId="6" applyFont="1" applyBorder="1" applyAlignment="1">
      <alignment horizontal="center" vertical="center"/>
    </xf>
    <xf numFmtId="0" fontId="34" fillId="19" borderId="2" xfId="10" applyBorder="1" applyAlignment="1">
      <alignment horizontal="center"/>
    </xf>
    <xf numFmtId="0" fontId="10" fillId="6" borderId="2" xfId="3" applyFont="1" applyBorder="1" applyAlignment="1">
      <alignment horizontal="center" vertical="center" textRotation="255"/>
    </xf>
    <xf numFmtId="0" fontId="4" fillId="15" borderId="38" xfId="2" quotePrefix="1" applyFont="1" applyBorder="1" applyAlignment="1">
      <alignment horizontal="center" vertical="center"/>
    </xf>
    <xf numFmtId="0" fontId="4" fillId="15" borderId="39" xfId="2" quotePrefix="1" applyFont="1" applyBorder="1" applyAlignment="1">
      <alignment horizontal="center" vertical="center"/>
    </xf>
    <xf numFmtId="0" fontId="4" fillId="15" borderId="3" xfId="2" quotePrefix="1" applyFont="1" applyBorder="1" applyAlignment="1">
      <alignment horizontal="center" vertical="center"/>
    </xf>
    <xf numFmtId="164" fontId="5" fillId="2" borderId="38" xfId="1" applyNumberFormat="1" applyFont="1" applyBorder="1" applyAlignment="1">
      <alignment horizontal="center" vertical="center"/>
    </xf>
    <xf numFmtId="164" fontId="5" fillId="2" borderId="39" xfId="1" applyNumberFormat="1" applyFont="1" applyBorder="1" applyAlignment="1">
      <alignment horizontal="center" vertical="center"/>
    </xf>
    <xf numFmtId="164" fontId="5" fillId="2" borderId="3" xfId="1" applyNumberFormat="1" applyFont="1" applyBorder="1" applyAlignment="1">
      <alignment horizontal="center" vertical="center"/>
    </xf>
    <xf numFmtId="20" fontId="4" fillId="15" borderId="38" xfId="2" quotePrefix="1" applyNumberFormat="1" applyFont="1" applyBorder="1" applyAlignment="1">
      <alignment horizontal="center" vertical="center"/>
    </xf>
    <xf numFmtId="20" fontId="4" fillId="15" borderId="39" xfId="2" quotePrefix="1" applyNumberFormat="1" applyFont="1" applyBorder="1" applyAlignment="1">
      <alignment horizontal="center" vertical="center"/>
    </xf>
    <xf numFmtId="20" fontId="4" fillId="15" borderId="3" xfId="2" quotePrefix="1" applyNumberFormat="1" applyFont="1" applyBorder="1" applyAlignment="1">
      <alignment horizontal="center" vertical="center"/>
    </xf>
    <xf numFmtId="0" fontId="4" fillId="12" borderId="38" xfId="2" quotePrefix="1" applyFont="1" applyFill="1" applyBorder="1" applyAlignment="1">
      <alignment horizontal="center" vertical="center"/>
    </xf>
    <xf numFmtId="0" fontId="4" fillId="12" borderId="39" xfId="2" quotePrefix="1" applyFont="1" applyFill="1" applyBorder="1" applyAlignment="1">
      <alignment horizontal="center" vertical="center"/>
    </xf>
    <xf numFmtId="0" fontId="4" fillId="12" borderId="3" xfId="2" quotePrefix="1" applyFont="1" applyFill="1" applyBorder="1" applyAlignment="1">
      <alignment horizontal="center" vertical="center"/>
    </xf>
    <xf numFmtId="0" fontId="4" fillId="15" borderId="39" xfId="2" applyFont="1" applyBorder="1" applyAlignment="1">
      <alignment horizontal="center" vertical="center"/>
    </xf>
    <xf numFmtId="0" fontId="4" fillId="15" borderId="3" xfId="2" applyFont="1" applyBorder="1" applyAlignment="1">
      <alignment horizontal="center" vertical="center"/>
    </xf>
    <xf numFmtId="164" fontId="2" fillId="4" borderId="2" xfId="0" applyNumberFormat="1" applyFont="1" applyFill="1" applyBorder="1" applyAlignment="1">
      <alignment horizontal="center" vertical="center"/>
    </xf>
    <xf numFmtId="0" fontId="4" fillId="15" borderId="1" xfId="2" applyFont="1" applyAlignment="1">
      <alignment horizontal="center" vertical="center"/>
    </xf>
    <xf numFmtId="164" fontId="5" fillId="2" borderId="1" xfId="1" applyNumberFormat="1" applyFont="1" applyAlignment="1">
      <alignment horizontal="center" vertical="center"/>
    </xf>
    <xf numFmtId="0" fontId="8" fillId="7" borderId="24" xfId="4" applyAlignment="1">
      <alignment horizontal="center" vertical="center" wrapText="1"/>
    </xf>
    <xf numFmtId="0" fontId="8" fillId="7" borderId="24" xfId="4" applyAlignment="1">
      <alignment horizontal="center" vertical="center"/>
    </xf>
    <xf numFmtId="0" fontId="8" fillId="7" borderId="89" xfId="4" applyBorder="1" applyAlignment="1">
      <alignment horizontal="center" vertical="center" wrapText="1"/>
    </xf>
    <xf numFmtId="0" fontId="8" fillId="7" borderId="53" xfId="4" applyBorder="1" applyAlignment="1">
      <alignment horizontal="center" vertical="center" wrapText="1"/>
    </xf>
    <xf numFmtId="0" fontId="8" fillId="7" borderId="52" xfId="4" applyBorder="1" applyAlignment="1">
      <alignment horizontal="center" vertical="center" wrapText="1"/>
    </xf>
    <xf numFmtId="0" fontId="17" fillId="0" borderId="2" xfId="0" applyFont="1" applyBorder="1" applyAlignment="1" applyProtection="1">
      <alignment horizontal="right"/>
    </xf>
    <xf numFmtId="0" fontId="17" fillId="0" borderId="7" xfId="0" applyFont="1" applyBorder="1" applyAlignment="1" applyProtection="1">
      <alignment horizontal="center" vertical="center"/>
    </xf>
    <xf numFmtId="0" fontId="17" fillId="0" borderId="8" xfId="0" applyFont="1" applyBorder="1" applyAlignment="1" applyProtection="1">
      <alignment horizontal="center" vertical="center"/>
    </xf>
    <xf numFmtId="0" fontId="17" fillId="0" borderId="9" xfId="0" applyFont="1" applyBorder="1" applyAlignment="1" applyProtection="1">
      <alignment horizontal="center" vertical="center"/>
    </xf>
    <xf numFmtId="0" fontId="17" fillId="0" borderId="48" xfId="0" applyFont="1" applyBorder="1" applyAlignment="1" applyProtection="1">
      <alignment horizontal="center" vertical="center"/>
    </xf>
    <xf numFmtId="0" fontId="17" fillId="0" borderId="0" xfId="0" applyFont="1" applyBorder="1" applyAlignment="1" applyProtection="1">
      <alignment horizontal="center" vertical="center"/>
    </xf>
    <xf numFmtId="0" fontId="17" fillId="0" borderId="4" xfId="0" applyFont="1" applyBorder="1" applyAlignment="1" applyProtection="1">
      <alignment horizontal="center" vertical="center"/>
    </xf>
    <xf numFmtId="0" fontId="17" fillId="0" borderId="10" xfId="0" applyFont="1" applyBorder="1" applyAlignment="1" applyProtection="1">
      <alignment horizontal="center" vertical="center"/>
    </xf>
    <xf numFmtId="0" fontId="17" fillId="0" borderId="11" xfId="0" applyFont="1" applyBorder="1" applyAlignment="1" applyProtection="1">
      <alignment horizontal="center" vertical="center"/>
    </xf>
    <xf numFmtId="0" fontId="17" fillId="0" borderId="12" xfId="0" applyFont="1" applyBorder="1" applyAlignment="1" applyProtection="1">
      <alignment horizontal="center" vertical="center"/>
    </xf>
    <xf numFmtId="164" fontId="31" fillId="6" borderId="7" xfId="3" applyNumberFormat="1" applyFont="1" applyBorder="1" applyAlignment="1" applyProtection="1">
      <alignment horizontal="center" vertical="center" wrapText="1"/>
    </xf>
    <xf numFmtId="164" fontId="10" fillId="6" borderId="130" xfId="3" applyNumberFormat="1" applyFont="1" applyBorder="1" applyAlignment="1" applyProtection="1">
      <alignment horizontal="center" vertical="center"/>
    </xf>
    <xf numFmtId="164" fontId="10" fillId="6" borderId="22" xfId="3" applyNumberFormat="1" applyFont="1" applyBorder="1" applyAlignment="1" applyProtection="1">
      <alignment horizontal="center" vertical="center"/>
    </xf>
    <xf numFmtId="164" fontId="10" fillId="6" borderId="70" xfId="3" applyNumberFormat="1" applyFont="1" applyBorder="1" applyAlignment="1" applyProtection="1">
      <alignment horizontal="center" vertical="center"/>
    </xf>
    <xf numFmtId="164" fontId="9" fillId="11" borderId="131" xfId="0" applyNumberFormat="1" applyFont="1" applyFill="1" applyBorder="1" applyAlignment="1" applyProtection="1">
      <alignment horizontal="center" vertical="center"/>
    </xf>
    <xf numFmtId="164" fontId="9" fillId="11" borderId="11" xfId="0" quotePrefix="1" applyNumberFormat="1" applyFont="1" applyFill="1" applyBorder="1" applyAlignment="1" applyProtection="1">
      <alignment horizontal="center" vertical="center"/>
    </xf>
    <xf numFmtId="1" fontId="9" fillId="11" borderId="11" xfId="0" applyNumberFormat="1" applyFont="1" applyFill="1" applyBorder="1" applyAlignment="1" applyProtection="1">
      <alignment horizontal="center" vertical="center"/>
    </xf>
    <xf numFmtId="164" fontId="9" fillId="11" borderId="88" xfId="0" applyNumberFormat="1" applyFont="1" applyFill="1" applyBorder="1" applyAlignment="1" applyProtection="1">
      <alignment horizontal="center" vertical="center"/>
    </xf>
    <xf numFmtId="164" fontId="9" fillId="11" borderId="77" xfId="0" quotePrefix="1" applyNumberFormat="1" applyFont="1" applyFill="1" applyBorder="1" applyAlignment="1" applyProtection="1">
      <alignment horizontal="center" vertical="center"/>
    </xf>
    <xf numFmtId="1" fontId="9" fillId="11" borderId="77" xfId="0" applyNumberFormat="1" applyFont="1" applyFill="1" applyBorder="1" applyAlignment="1" applyProtection="1">
      <alignment horizontal="center" vertical="center"/>
    </xf>
    <xf numFmtId="2" fontId="2" fillId="11" borderId="81" xfId="0" applyNumberFormat="1" applyFont="1" applyFill="1" applyBorder="1" applyProtection="1"/>
    <xf numFmtId="2" fontId="2" fillId="11" borderId="80" xfId="0" applyNumberFormat="1" applyFont="1" applyFill="1" applyBorder="1" applyProtection="1"/>
    <xf numFmtId="0" fontId="0" fillId="0" borderId="0" xfId="0" quotePrefix="1"/>
    <xf numFmtId="164" fontId="19" fillId="8" borderId="2" xfId="5" applyNumberFormat="1" applyFont="1" applyBorder="1" applyAlignment="1" applyProtection="1">
      <alignment horizontal="center"/>
    </xf>
    <xf numFmtId="164" fontId="14" fillId="13" borderId="2" xfId="6" applyNumberFormat="1" applyBorder="1" applyAlignment="1" applyProtection="1">
      <alignment vertical="center"/>
    </xf>
    <xf numFmtId="164" fontId="19" fillId="8" borderId="2" xfId="5" quotePrefix="1" applyNumberFormat="1" applyFont="1" applyBorder="1" applyAlignment="1" applyProtection="1">
      <alignment horizontal="center"/>
    </xf>
    <xf numFmtId="167" fontId="19" fillId="10" borderId="15" xfId="0" applyNumberFormat="1" applyFont="1" applyFill="1" applyBorder="1" applyAlignment="1" applyProtection="1">
      <alignment horizontal="center"/>
    </xf>
    <xf numFmtId="164" fontId="1" fillId="27" borderId="1" xfId="1" applyNumberFormat="1" applyFill="1" applyAlignment="1" applyProtection="1">
      <alignment horizontal="center"/>
    </xf>
  </cellXfs>
  <cellStyles count="11">
    <cellStyle name="60% - Accent5" xfId="9" builtinId="48" customBuiltin="1"/>
    <cellStyle name="Bad" xfId="10" builtinId="27"/>
    <cellStyle name="Calculation" xfId="1" builtinId="22" customBuiltin="1"/>
    <cellStyle name="Check Cell" xfId="4" builtinId="23"/>
    <cellStyle name="Good" xfId="3" builtinId="26"/>
    <cellStyle name="Input" xfId="2" builtinId="20" customBuiltin="1"/>
    <cellStyle name="Linked Cell" xfId="8" builtinId="24"/>
    <cellStyle name="Neutral" xfId="6" builtinId="28"/>
    <cellStyle name="Normal" xfId="0" builtinId="0"/>
    <cellStyle name="Note" xfId="5" builtinId="10"/>
    <cellStyle name="Output" xfId="7" builtinId="21"/>
  </cellStyles>
  <dxfs count="4">
    <dxf>
      <fill>
        <patternFill>
          <bgColor rgb="FFFF99CC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66FF66"/>
        </patternFill>
      </fill>
    </dxf>
  </dxfs>
  <tableStyles count="0" defaultTableStyle="TableStyleMedium2" defaultPivotStyle="PivotStyleLight16"/>
  <colors>
    <mruColors>
      <color rgb="FF00B0F0"/>
      <color rgb="FFFF99CC"/>
      <color rgb="FF66FF66"/>
      <color rgb="FF00FF00"/>
      <color rgb="FFFDA1E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Marée</a:t>
            </a:r>
            <a:r>
              <a:rPr lang="fr-FR" baseline="0"/>
              <a:t>gramme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2"/>
          <c:tx>
            <c:strRef>
              <c:f>Maree!$AB$42</c:f>
              <c:strCache>
                <c:ptCount val="1"/>
                <c:pt idx="0">
                  <c:v>Par Heure (08:00)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Maree!$AC$42:$AF$42</c:f>
              <c:numCache>
                <c:formatCode>d/m/yy\ h:mm;@</c:formatCode>
                <c:ptCount val="4"/>
                <c:pt idx="0">
                  <c:v>45647.333333333336</c:v>
                </c:pt>
                <c:pt idx="1">
                  <c:v>45647.333333333336</c:v>
                </c:pt>
                <c:pt idx="2">
                  <c:v>45647.333333333336</c:v>
                </c:pt>
                <c:pt idx="3">
                  <c:v>45647.333333333336</c:v>
                </c:pt>
              </c:numCache>
            </c:numRef>
          </c:xVal>
          <c:yVal>
            <c:numRef>
              <c:f>Maree!$AC$43:$AF$43</c:f>
              <c:numCache>
                <c:formatCode>General</c:formatCode>
                <c:ptCount val="4"/>
                <c:pt idx="0">
                  <c:v>5.7787365591939714</c:v>
                </c:pt>
                <c:pt idx="1">
                  <c:v>5.7787365591939714</c:v>
                </c:pt>
                <c:pt idx="2">
                  <c:v>5.7787365591939714</c:v>
                </c:pt>
                <c:pt idx="3">
                  <c:v>5.7787365591939714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969-4C2B-82FA-188E5D70BA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4236568"/>
        <c:axId val="454238536"/>
      </c:scatterChart>
      <c:scatterChart>
        <c:scatterStyle val="smoothMarker"/>
        <c:varyColors val="0"/>
        <c:ser>
          <c:idx val="0"/>
          <c:order val="0"/>
          <c:tx>
            <c:strRef>
              <c:f>Maree!$AB$37</c:f>
              <c:strCache>
                <c:ptCount val="1"/>
                <c:pt idx="0">
                  <c:v>Hauteur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Maree!$AC$36:$CE$36</c:f>
              <c:numCache>
                <c:formatCode>d/m/yy\ h:mm;@</c:formatCode>
                <c:ptCount val="55"/>
                <c:pt idx="0">
                  <c:v>45646.416666666664</c:v>
                </c:pt>
                <c:pt idx="1">
                  <c:v>45646.459722222222</c:v>
                </c:pt>
                <c:pt idx="2">
                  <c:v>45646.50277777778</c:v>
                </c:pt>
                <c:pt idx="3">
                  <c:v>45646.545833333337</c:v>
                </c:pt>
                <c:pt idx="4">
                  <c:v>45646.588888888895</c:v>
                </c:pt>
                <c:pt idx="5">
                  <c:v>45646.631944444453</c:v>
                </c:pt>
                <c:pt idx="6">
                  <c:v>45646.675000000003</c:v>
                </c:pt>
                <c:pt idx="7">
                  <c:v>45646.730555555558</c:v>
                </c:pt>
                <c:pt idx="8">
                  <c:v>45646.786111111112</c:v>
                </c:pt>
                <c:pt idx="9">
                  <c:v>45646.841666666667</c:v>
                </c:pt>
                <c:pt idx="10">
                  <c:v>45646.897222222222</c:v>
                </c:pt>
                <c:pt idx="11">
                  <c:v>45646.952777777777</c:v>
                </c:pt>
                <c:pt idx="12">
                  <c:v>45647.008333333331</c:v>
                </c:pt>
                <c:pt idx="13">
                  <c:v>45647.049999999996</c:v>
                </c:pt>
                <c:pt idx="14">
                  <c:v>45647.09166666666</c:v>
                </c:pt>
                <c:pt idx="15">
                  <c:v>45647.133333333324</c:v>
                </c:pt>
                <c:pt idx="16">
                  <c:v>45647.174999999988</c:v>
                </c:pt>
                <c:pt idx="17">
                  <c:v>45647.216666666653</c:v>
                </c:pt>
                <c:pt idx="18">
                  <c:v>45647.258333333331</c:v>
                </c:pt>
                <c:pt idx="19">
                  <c:v>45647.301388888889</c:v>
                </c:pt>
                <c:pt idx="20">
                  <c:v>45647.344444444447</c:v>
                </c:pt>
                <c:pt idx="21">
                  <c:v>45647.387500000004</c:v>
                </c:pt>
                <c:pt idx="22">
                  <c:v>45647.430555555562</c:v>
                </c:pt>
                <c:pt idx="23">
                  <c:v>45647.47361111112</c:v>
                </c:pt>
                <c:pt idx="24">
                  <c:v>45647.51666666667</c:v>
                </c:pt>
                <c:pt idx="25">
                  <c:v>45647.558333333334</c:v>
                </c:pt>
                <c:pt idx="26">
                  <c:v>45647.6</c:v>
                </c:pt>
                <c:pt idx="27">
                  <c:v>45647.641666666663</c:v>
                </c:pt>
                <c:pt idx="28">
                  <c:v>45647.683333333327</c:v>
                </c:pt>
                <c:pt idx="29">
                  <c:v>45647.724999999991</c:v>
                </c:pt>
                <c:pt idx="30">
                  <c:v>45647.76666666667</c:v>
                </c:pt>
                <c:pt idx="31">
                  <c:v>45647.808333333334</c:v>
                </c:pt>
                <c:pt idx="32">
                  <c:v>45647.85</c:v>
                </c:pt>
                <c:pt idx="33">
                  <c:v>45647.891666666663</c:v>
                </c:pt>
                <c:pt idx="34">
                  <c:v>45647.933333333327</c:v>
                </c:pt>
                <c:pt idx="35">
                  <c:v>45647.974999999991</c:v>
                </c:pt>
                <c:pt idx="36">
                  <c:v>45648.01666666667</c:v>
                </c:pt>
                <c:pt idx="37">
                  <c:v>45648.058333333334</c:v>
                </c:pt>
                <c:pt idx="38">
                  <c:v>45648.1</c:v>
                </c:pt>
                <c:pt idx="39">
                  <c:v>45648.141666666663</c:v>
                </c:pt>
                <c:pt idx="40">
                  <c:v>45648.183333333327</c:v>
                </c:pt>
                <c:pt idx="41">
                  <c:v>45648.224999999991</c:v>
                </c:pt>
                <c:pt idx="42">
                  <c:v>45648.26666666667</c:v>
                </c:pt>
                <c:pt idx="43">
                  <c:v>45648.308333333334</c:v>
                </c:pt>
                <c:pt idx="44">
                  <c:v>45648.35</c:v>
                </c:pt>
                <c:pt idx="45">
                  <c:v>45648.391666666663</c:v>
                </c:pt>
                <c:pt idx="46">
                  <c:v>45648.433333333327</c:v>
                </c:pt>
                <c:pt idx="47">
                  <c:v>45648.474999999991</c:v>
                </c:pt>
                <c:pt idx="48">
                  <c:v>45648.51666666667</c:v>
                </c:pt>
                <c:pt idx="49">
                  <c:v>45648.558333333334</c:v>
                </c:pt>
                <c:pt idx="50">
                  <c:v>45648.6</c:v>
                </c:pt>
                <c:pt idx="51">
                  <c:v>45648.641666666663</c:v>
                </c:pt>
                <c:pt idx="52">
                  <c:v>45648.683333333327</c:v>
                </c:pt>
                <c:pt idx="53">
                  <c:v>45648.724999999991</c:v>
                </c:pt>
                <c:pt idx="54">
                  <c:v>45648.76666666667</c:v>
                </c:pt>
              </c:numCache>
            </c:numRef>
          </c:xVal>
          <c:yVal>
            <c:numRef>
              <c:f>Maree!$AC$37:$CE$37</c:f>
              <c:numCache>
                <c:formatCode>0.00</c:formatCode>
                <c:ptCount val="55"/>
                <c:pt idx="0" formatCode="General">
                  <c:v>9.56</c:v>
                </c:pt>
                <c:pt idx="1">
                  <c:v>9.18</c:v>
                </c:pt>
                <c:pt idx="2">
                  <c:v>8.42</c:v>
                </c:pt>
                <c:pt idx="3">
                  <c:v>7.28</c:v>
                </c:pt>
                <c:pt idx="4">
                  <c:v>6.1400000000000006</c:v>
                </c:pt>
                <c:pt idx="5">
                  <c:v>5.38</c:v>
                </c:pt>
                <c:pt idx="6" formatCode="General">
                  <c:v>5</c:v>
                </c:pt>
                <c:pt idx="7">
                  <c:v>5.4333333333333336</c:v>
                </c:pt>
                <c:pt idx="8">
                  <c:v>6.3</c:v>
                </c:pt>
                <c:pt idx="9">
                  <c:v>7.6</c:v>
                </c:pt>
                <c:pt idx="10">
                  <c:v>8.9</c:v>
                </c:pt>
                <c:pt idx="11">
                  <c:v>9.7666666666666657</c:v>
                </c:pt>
                <c:pt idx="12" formatCode="General">
                  <c:v>10.199999999999999</c:v>
                </c:pt>
                <c:pt idx="13">
                  <c:v>9.7458333333333336</c:v>
                </c:pt>
                <c:pt idx="14">
                  <c:v>8.8374999999999986</c:v>
                </c:pt>
                <c:pt idx="15">
                  <c:v>7.4749999999999996</c:v>
                </c:pt>
                <c:pt idx="16">
                  <c:v>6.1124999999999998</c:v>
                </c:pt>
                <c:pt idx="17">
                  <c:v>5.2041666666666666</c:v>
                </c:pt>
                <c:pt idx="18" formatCode="General">
                  <c:v>4.75</c:v>
                </c:pt>
                <c:pt idx="19">
                  <c:v>5.1641666666666666</c:v>
                </c:pt>
                <c:pt idx="20">
                  <c:v>5.9924999999999997</c:v>
                </c:pt>
                <c:pt idx="21">
                  <c:v>7.2350000000000003</c:v>
                </c:pt>
                <c:pt idx="22">
                  <c:v>8.4775000000000009</c:v>
                </c:pt>
                <c:pt idx="23">
                  <c:v>9.3058333333333341</c:v>
                </c:pt>
                <c:pt idx="24" formatCode="General">
                  <c:v>9.7200000000000006</c:v>
                </c:pt>
                <c:pt idx="25">
                  <c:v>9.7200000000000006</c:v>
                </c:pt>
                <c:pt idx="26">
                  <c:v>9.7200000000000006</c:v>
                </c:pt>
                <c:pt idx="27">
                  <c:v>9.7200000000000006</c:v>
                </c:pt>
                <c:pt idx="28">
                  <c:v>9.7200000000000006</c:v>
                </c:pt>
                <c:pt idx="29">
                  <c:v>9.7200000000000006</c:v>
                </c:pt>
                <c:pt idx="30" formatCode="General">
                  <c:v>9.7200000000000006</c:v>
                </c:pt>
                <c:pt idx="31">
                  <c:v>9.7200000000000006</c:v>
                </c:pt>
                <c:pt idx="32">
                  <c:v>9.7200000000000006</c:v>
                </c:pt>
                <c:pt idx="33">
                  <c:v>9.7200000000000006</c:v>
                </c:pt>
                <c:pt idx="34">
                  <c:v>9.7200000000000006</c:v>
                </c:pt>
                <c:pt idx="35">
                  <c:v>9.7200000000000006</c:v>
                </c:pt>
                <c:pt idx="36" formatCode="General">
                  <c:v>9.7200000000000006</c:v>
                </c:pt>
                <c:pt idx="37">
                  <c:v>9.7200000000000006</c:v>
                </c:pt>
                <c:pt idx="38">
                  <c:v>9.7200000000000006</c:v>
                </c:pt>
                <c:pt idx="39">
                  <c:v>9.7200000000000006</c:v>
                </c:pt>
                <c:pt idx="40">
                  <c:v>9.7200000000000006</c:v>
                </c:pt>
                <c:pt idx="41">
                  <c:v>9.7200000000000006</c:v>
                </c:pt>
                <c:pt idx="42" formatCode="General">
                  <c:v>9.7200000000000006</c:v>
                </c:pt>
                <c:pt idx="43">
                  <c:v>9.7200000000000006</c:v>
                </c:pt>
                <c:pt idx="44">
                  <c:v>9.7200000000000006</c:v>
                </c:pt>
                <c:pt idx="45">
                  <c:v>9.7200000000000006</c:v>
                </c:pt>
                <c:pt idx="46">
                  <c:v>9.7200000000000006</c:v>
                </c:pt>
                <c:pt idx="47">
                  <c:v>9.7200000000000006</c:v>
                </c:pt>
                <c:pt idx="48" formatCode="General">
                  <c:v>9.7200000000000006</c:v>
                </c:pt>
                <c:pt idx="49">
                  <c:v>9.7200000000000006</c:v>
                </c:pt>
                <c:pt idx="50">
                  <c:v>9.7200000000000006</c:v>
                </c:pt>
                <c:pt idx="51">
                  <c:v>9.7200000000000006</c:v>
                </c:pt>
                <c:pt idx="52">
                  <c:v>9.7200000000000006</c:v>
                </c:pt>
                <c:pt idx="53">
                  <c:v>9.7200000000000006</c:v>
                </c:pt>
                <c:pt idx="54" formatCode="General">
                  <c:v>9.7200000000000006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969-4C2B-82FA-188E5D70BA4B}"/>
            </c:ext>
          </c:extLst>
        </c:ser>
        <c:ser>
          <c:idx val="1"/>
          <c:order val="1"/>
          <c:tx>
            <c:strRef>
              <c:f>Maree!$AB$40</c:f>
              <c:strCache>
                <c:ptCount val="1"/>
                <c:pt idx="0">
                  <c:v>Par Hauteur (5.01m)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Maree!$AC$39:$AM$39</c:f>
              <c:numCache>
                <c:formatCode>d/m/yy\ h:mm;@</c:formatCode>
                <c:ptCount val="11"/>
                <c:pt idx="0">
                  <c:v>45646.416666666664</c:v>
                </c:pt>
                <c:pt idx="1">
                  <c:v>45646.67386695907</c:v>
                </c:pt>
                <c:pt idx="2">
                  <c:v>45646.676282051281</c:v>
                </c:pt>
                <c:pt idx="3">
                  <c:v>45647.234480122323</c:v>
                </c:pt>
                <c:pt idx="4">
                  <c:v>45647.285362173039</c:v>
                </c:pt>
                <c:pt idx="5">
                  <c:v>45647.52036217304</c:v>
                </c:pt>
                <c:pt idx="6">
                  <c:v>45647.75536217304</c:v>
                </c:pt>
                <c:pt idx="7">
                  <c:v>45647.990362173041</c:v>
                </c:pt>
                <c:pt idx="8">
                  <c:v>45648.225362173042</c:v>
                </c:pt>
                <c:pt idx="9">
                  <c:v>45648.460362173042</c:v>
                </c:pt>
                <c:pt idx="10">
                  <c:v>45648.76666666667</c:v>
                </c:pt>
              </c:numCache>
            </c:numRef>
          </c:xVal>
          <c:yVal>
            <c:numRef>
              <c:f>Maree!$AC$40:$AM$40</c:f>
              <c:numCache>
                <c:formatCode>General</c:formatCode>
                <c:ptCount val="11"/>
                <c:pt idx="0">
                  <c:v>5.01</c:v>
                </c:pt>
                <c:pt idx="1">
                  <c:v>5.01</c:v>
                </c:pt>
                <c:pt idx="2">
                  <c:v>5.01</c:v>
                </c:pt>
                <c:pt idx="3">
                  <c:v>5.01</c:v>
                </c:pt>
                <c:pt idx="4">
                  <c:v>5.01</c:v>
                </c:pt>
                <c:pt idx="5">
                  <c:v>5.01</c:v>
                </c:pt>
                <c:pt idx="6">
                  <c:v>5.01</c:v>
                </c:pt>
                <c:pt idx="7">
                  <c:v>5.01</c:v>
                </c:pt>
                <c:pt idx="8">
                  <c:v>5.01</c:v>
                </c:pt>
                <c:pt idx="9">
                  <c:v>5.01</c:v>
                </c:pt>
                <c:pt idx="10">
                  <c:v>5.01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969-4C2B-82FA-188E5D70BA4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454236568"/>
        <c:axId val="454238536"/>
      </c:scatterChart>
      <c:valAx>
        <c:axId val="454236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Jour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d/m/yy\ h:mm;@" sourceLinked="1"/>
        <c:majorTickMark val="in"/>
        <c:minorTickMark val="in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54238536"/>
        <c:crosses val="autoZero"/>
        <c:crossBetween val="midCat"/>
        <c:majorUnit val="0.15000000000000002"/>
      </c:valAx>
      <c:valAx>
        <c:axId val="454238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Hauteur</a:t>
                </a:r>
                <a:r>
                  <a:rPr lang="fr-FR" baseline="0"/>
                  <a:t> d'eau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54236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40</xdr:col>
      <xdr:colOff>95250</xdr:colOff>
      <xdr:row>40</xdr:row>
      <xdr:rowOff>114300</xdr:rowOff>
    </xdr:from>
    <xdr:to>
      <xdr:col>43</xdr:col>
      <xdr:colOff>400459</xdr:colOff>
      <xdr:row>45</xdr:row>
      <xdr:rowOff>57284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EED8155-A6C2-4CA0-9167-EF82FD8659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745950" y="5153025"/>
          <a:ext cx="2934109" cy="962159"/>
        </a:xfrm>
        <a:prstGeom prst="rect">
          <a:avLst/>
        </a:prstGeom>
      </xdr:spPr>
    </xdr:pic>
    <xdr:clientData/>
  </xdr:twoCellAnchor>
  <xdr:twoCellAnchor editAs="oneCell">
    <xdr:from>
      <xdr:col>12</xdr:col>
      <xdr:colOff>247650</xdr:colOff>
      <xdr:row>10</xdr:row>
      <xdr:rowOff>51300</xdr:rowOff>
    </xdr:from>
    <xdr:to>
      <xdr:col>21</xdr:col>
      <xdr:colOff>372668</xdr:colOff>
      <xdr:row>27</xdr:row>
      <xdr:rowOff>133350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1980389-DCDB-4749-8B59-ABBE83E2AF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62650" y="927600"/>
          <a:ext cx="4411268" cy="3806325"/>
        </a:xfrm>
        <a:prstGeom prst="rect">
          <a:avLst/>
        </a:prstGeom>
      </xdr:spPr>
    </xdr:pic>
    <xdr:clientData/>
  </xdr:twoCellAnchor>
  <xdr:twoCellAnchor editAs="oneCell">
    <xdr:from>
      <xdr:col>21</xdr:col>
      <xdr:colOff>451462</xdr:colOff>
      <xdr:row>20</xdr:row>
      <xdr:rowOff>38100</xdr:rowOff>
    </xdr:from>
    <xdr:to>
      <xdr:col>24</xdr:col>
      <xdr:colOff>256171</xdr:colOff>
      <xdr:row>27</xdr:row>
      <xdr:rowOff>171450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DD5947A-4F15-44D4-BC44-17CE46383F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452712" y="3105150"/>
          <a:ext cx="1481109" cy="16668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</xdr:row>
      <xdr:rowOff>57150</xdr:rowOff>
    </xdr:from>
    <xdr:to>
      <xdr:col>13</xdr:col>
      <xdr:colOff>343812</xdr:colOff>
      <xdr:row>18</xdr:row>
      <xdr:rowOff>85821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02C56C6-34F8-4068-B603-D5AB44388A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2028825"/>
          <a:ext cx="6535062" cy="68589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1</xdr:col>
      <xdr:colOff>304800</xdr:colOff>
      <xdr:row>20</xdr:row>
      <xdr:rowOff>85725</xdr:rowOff>
    </xdr:to>
    <xdr:sp macro="" textlink="">
      <xdr:nvSpPr>
        <xdr:cNvPr id="2061" name="AutoShape 13" descr="\varphi ">
          <a:extLst>
            <a:ext uri="{FF2B5EF4-FFF2-40B4-BE49-F238E27FC236}">
              <a16:creationId xmlns:a16="http://schemas.microsoft.com/office/drawing/2014/main" id="{45D23907-331E-4E57-8DBC-77143F4B93D2}"/>
            </a:ext>
          </a:extLst>
        </xdr:cNvPr>
        <xdr:cNvSpPr>
          <a:spLocks noChangeAspect="1" noChangeArrowheads="1"/>
        </xdr:cNvSpPr>
      </xdr:nvSpPr>
      <xdr:spPr bwMode="auto">
        <a:xfrm>
          <a:off x="476250" y="2847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314325</xdr:colOff>
      <xdr:row>19</xdr:row>
      <xdr:rowOff>0</xdr:rowOff>
    </xdr:from>
    <xdr:to>
      <xdr:col>2</xdr:col>
      <xdr:colOff>142875</xdr:colOff>
      <xdr:row>20</xdr:row>
      <xdr:rowOff>85725</xdr:rowOff>
    </xdr:to>
    <xdr:sp macro="" textlink="">
      <xdr:nvSpPr>
        <xdr:cNvPr id="2062" name="AutoShape 14" descr="\varphi ">
          <a:extLst>
            <a:ext uri="{FF2B5EF4-FFF2-40B4-BE49-F238E27FC236}">
              <a16:creationId xmlns:a16="http://schemas.microsoft.com/office/drawing/2014/main" id="{29E893E3-2D88-4C26-B631-01010433E280}"/>
            </a:ext>
          </a:extLst>
        </xdr:cNvPr>
        <xdr:cNvSpPr>
          <a:spLocks noChangeAspect="1" noChangeArrowheads="1"/>
        </xdr:cNvSpPr>
      </xdr:nvSpPr>
      <xdr:spPr bwMode="auto">
        <a:xfrm>
          <a:off x="790575" y="2847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38100</xdr:colOff>
      <xdr:row>18</xdr:row>
      <xdr:rowOff>47625</xdr:rowOff>
    </xdr:from>
    <xdr:to>
      <xdr:col>12</xdr:col>
      <xdr:colOff>275176</xdr:colOff>
      <xdr:row>27</xdr:row>
      <xdr:rowOff>200025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ADE40C66-37A1-44F1-81E3-8041F6AFDF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48100" y="2676525"/>
          <a:ext cx="2142076" cy="2124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57</xdr:row>
      <xdr:rowOff>123825</xdr:rowOff>
    </xdr:from>
    <xdr:to>
      <xdr:col>35</xdr:col>
      <xdr:colOff>676275</xdr:colOff>
      <xdr:row>77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132" row="3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DDC4B3E6-9AFD-4667-AD08-266018B8D8D0}">
  <we:reference id="wa104381504" version="1.0.0.0" store="en-US" storeType="OMEX"/>
  <we:alternateReferences>
    <we:reference id="wa104381504" version="1.0.0.0" store="WA104381504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N149"/>
  <sheetViews>
    <sheetView tabSelected="1" topLeftCell="A118" zoomScale="80" zoomScaleNormal="80" workbookViewId="0">
      <selection activeCell="C74" sqref="C74"/>
    </sheetView>
  </sheetViews>
  <sheetFormatPr defaultColWidth="5.140625" defaultRowHeight="17.25" customHeight="1" outlineLevelCol="1" x14ac:dyDescent="0.25"/>
  <cols>
    <col min="1" max="2" width="6.42578125" style="1" customWidth="1"/>
    <col min="3" max="3" width="7" style="83" customWidth="1"/>
    <col min="4" max="4" width="7" style="179" customWidth="1"/>
    <col min="5" max="7" width="7" style="83" customWidth="1"/>
    <col min="8" max="9" width="7" style="1" customWidth="1"/>
    <col min="10" max="27" width="6.42578125" style="1" customWidth="1"/>
    <col min="28" max="28" width="19" style="18" customWidth="1" outlineLevel="1"/>
    <col min="29" max="29" width="42.7109375" style="28" customWidth="1" outlineLevel="1"/>
    <col min="30" max="30" width="23.7109375" style="28" customWidth="1" outlineLevel="1"/>
    <col min="31" max="38" width="19" style="22" customWidth="1" outlineLevel="1"/>
    <col min="39" max="39" width="19" style="29" customWidth="1" outlineLevel="1"/>
    <col min="40" max="46" width="19" style="22" customWidth="1" outlineLevel="1"/>
    <col min="47" max="66" width="15.85546875" style="22" customWidth="1" outlineLevel="1"/>
    <col min="67" max="16384" width="5.140625" style="1"/>
  </cols>
  <sheetData>
    <row r="1" spans="2:56" ht="17.25" customHeight="1" x14ac:dyDescent="0.25">
      <c r="C1" s="568" t="s">
        <v>382</v>
      </c>
      <c r="D1" s="568"/>
      <c r="E1" s="568"/>
      <c r="F1" s="568"/>
      <c r="G1" s="562" t="s">
        <v>383</v>
      </c>
      <c r="H1" s="562"/>
      <c r="I1" s="562"/>
      <c r="J1" s="562"/>
      <c r="K1" s="562"/>
      <c r="L1" s="562"/>
      <c r="M1" s="562"/>
      <c r="N1" s="562"/>
      <c r="O1" s="562"/>
      <c r="P1" s="562"/>
      <c r="Q1" s="562"/>
      <c r="R1" s="562"/>
      <c r="S1" s="562"/>
      <c r="T1" s="562"/>
      <c r="U1" s="562"/>
      <c r="V1" s="562"/>
      <c r="W1" s="562"/>
      <c r="X1" s="562"/>
      <c r="Y1" s="562"/>
    </row>
    <row r="2" spans="2:56" ht="17.25" customHeight="1" x14ac:dyDescent="0.25">
      <c r="C2" s="568"/>
      <c r="D2" s="568"/>
      <c r="E2" s="568"/>
      <c r="F2" s="568"/>
      <c r="G2" s="562"/>
      <c r="H2" s="562"/>
      <c r="I2" s="562"/>
      <c r="J2" s="562"/>
      <c r="K2" s="562"/>
      <c r="L2" s="562"/>
      <c r="M2" s="562"/>
      <c r="N2" s="562"/>
      <c r="O2" s="562"/>
      <c r="P2" s="562"/>
      <c r="Q2" s="562"/>
      <c r="R2" s="562"/>
      <c r="S2" s="562"/>
      <c r="T2" s="562"/>
      <c r="U2" s="562"/>
      <c r="V2" s="562"/>
      <c r="W2" s="562"/>
      <c r="X2" s="562"/>
      <c r="Y2" s="562"/>
    </row>
    <row r="3" spans="2:56" ht="17.25" customHeight="1" x14ac:dyDescent="0.25">
      <c r="C3" s="568"/>
      <c r="D3" s="568"/>
      <c r="E3" s="568"/>
      <c r="F3" s="568"/>
      <c r="G3" s="388" t="s">
        <v>387</v>
      </c>
      <c r="H3" s="388"/>
      <c r="I3" s="388"/>
      <c r="J3" s="567" t="s">
        <v>386</v>
      </c>
      <c r="K3" s="567"/>
      <c r="L3" s="567"/>
    </row>
    <row r="4" spans="2:56" ht="17.25" customHeight="1" x14ac:dyDescent="0.25">
      <c r="C4" s="568"/>
      <c r="D4" s="568"/>
      <c r="E4" s="568"/>
      <c r="F4" s="568"/>
      <c r="G4" s="343"/>
      <c r="H4" s="343"/>
      <c r="I4" s="343"/>
      <c r="J4" s="383"/>
      <c r="K4" s="383"/>
      <c r="L4" s="383"/>
    </row>
    <row r="5" spans="2:56" ht="17.25" customHeight="1" x14ac:dyDescent="0.25">
      <c r="C5" s="179"/>
      <c r="E5" s="179"/>
      <c r="F5" s="179"/>
      <c r="G5" s="179"/>
    </row>
    <row r="6" spans="2:56" ht="17.25" customHeight="1" thickBot="1" x14ac:dyDescent="0.3">
      <c r="C6" s="179"/>
      <c r="E6" s="179"/>
      <c r="F6" s="179"/>
      <c r="G6" s="179"/>
    </row>
    <row r="7" spans="2:56" ht="17.25" customHeight="1" thickBot="1" x14ac:dyDescent="0.3">
      <c r="B7" s="47" t="s">
        <v>1</v>
      </c>
      <c r="C7" s="48"/>
      <c r="D7" s="48"/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  <c r="AA7" s="48"/>
      <c r="AB7" s="48"/>
      <c r="AC7" s="48"/>
      <c r="AD7" s="48"/>
      <c r="AE7" s="48"/>
      <c r="AF7" s="48"/>
      <c r="AG7" s="48"/>
      <c r="AH7" s="48"/>
      <c r="AI7" s="48"/>
      <c r="AJ7" s="48"/>
      <c r="AK7" s="48"/>
      <c r="AL7" s="48"/>
      <c r="AM7" s="48"/>
      <c r="AN7" s="48"/>
      <c r="AO7" s="48"/>
      <c r="AP7" s="48"/>
      <c r="AQ7" s="48"/>
      <c r="AR7" s="48"/>
      <c r="AS7" s="48"/>
      <c r="AT7" s="48"/>
      <c r="AU7" s="48"/>
      <c r="AV7" s="48"/>
      <c r="AW7" s="48"/>
      <c r="AX7" s="48"/>
      <c r="AY7" s="48"/>
      <c r="AZ7" s="48"/>
      <c r="BA7" s="48"/>
      <c r="BB7" s="49"/>
    </row>
    <row r="8" spans="2:56" ht="17.25" customHeight="1" x14ac:dyDescent="0.25">
      <c r="C8" s="563" t="s">
        <v>2</v>
      </c>
      <c r="D8" s="564"/>
      <c r="E8" s="354" t="s">
        <v>333</v>
      </c>
      <c r="F8" s="355"/>
      <c r="G8" s="355"/>
      <c r="H8" s="83"/>
      <c r="AC8" s="19"/>
      <c r="AD8" s="20"/>
      <c r="AE8" s="21" t="s">
        <v>132</v>
      </c>
      <c r="AF8" s="21" t="s">
        <v>12</v>
      </c>
      <c r="AG8" s="21" t="s">
        <v>133</v>
      </c>
      <c r="AH8" s="21" t="s">
        <v>129</v>
      </c>
      <c r="AI8" s="21" t="s">
        <v>132</v>
      </c>
      <c r="AJ8" s="21" t="s">
        <v>137</v>
      </c>
      <c r="AK8" s="21" t="s">
        <v>138</v>
      </c>
      <c r="AL8" s="21" t="s">
        <v>129</v>
      </c>
      <c r="AM8" s="21" t="s">
        <v>112</v>
      </c>
      <c r="AN8" s="21" t="s">
        <v>117</v>
      </c>
      <c r="AO8" s="21" t="s">
        <v>144</v>
      </c>
      <c r="AP8" s="21" t="s">
        <v>131</v>
      </c>
      <c r="AQ8" s="21" t="s">
        <v>152</v>
      </c>
      <c r="AR8" s="21" t="s">
        <v>150</v>
      </c>
      <c r="AS8" s="21" t="s">
        <v>112</v>
      </c>
      <c r="AT8" s="21" t="s">
        <v>151</v>
      </c>
      <c r="AU8" s="30"/>
      <c r="AV8" s="30"/>
    </row>
    <row r="9" spans="2:56" ht="17.25" customHeight="1" thickBot="1" x14ac:dyDescent="0.3">
      <c r="C9" s="296" t="s">
        <v>12</v>
      </c>
      <c r="D9" s="298"/>
      <c r="E9" s="296" t="s">
        <v>3</v>
      </c>
      <c r="F9" s="297"/>
      <c r="G9" s="297"/>
      <c r="H9" s="298"/>
      <c r="I9" s="399" t="s">
        <v>336</v>
      </c>
      <c r="J9" s="399"/>
      <c r="K9" s="399"/>
      <c r="L9" s="399" t="s">
        <v>337</v>
      </c>
      <c r="M9" s="399"/>
      <c r="N9" s="399"/>
      <c r="O9" s="399"/>
      <c r="P9" s="399"/>
      <c r="Q9" s="399" t="s">
        <v>338</v>
      </c>
      <c r="R9" s="399"/>
      <c r="S9" s="399"/>
      <c r="T9" s="399"/>
      <c r="U9" s="399"/>
      <c r="V9" s="417" t="s">
        <v>335</v>
      </c>
      <c r="W9" s="418"/>
      <c r="X9" s="418"/>
      <c r="Y9" s="419"/>
      <c r="AB9" s="204" t="str">
        <f>I11</f>
        <v>17:08:23</v>
      </c>
      <c r="AC9" s="82" t="str">
        <f>AT9</f>
        <v>17:08:23.00 [17:08.38] - (17.1397)</v>
      </c>
      <c r="AD9" s="23">
        <f>AO9</f>
        <v>17.139722222222222</v>
      </c>
      <c r="AE9" s="24" t="b">
        <f t="shared" ref="AE9" si="0">ISNUMBER(SEARCH(":",AB9,1))</f>
        <v>1</v>
      </c>
      <c r="AF9" s="25">
        <f t="shared" ref="AF9" si="1">IF(AE9, VALUE(LEFT(AB9,SEARCH(":",AB9,1)-1)),VALUE(AB9))</f>
        <v>17</v>
      </c>
      <c r="AG9" s="25" t="str">
        <f t="shared" ref="AG9" si="2">IF(AE9, RIGHT(AB9,LEN(AB9)-SEARCH(":",AB9,1)),"")</f>
        <v>08:23</v>
      </c>
      <c r="AH9" s="24" t="b">
        <f>(LEN(AG9)&gt;0)</f>
        <v>1</v>
      </c>
      <c r="AI9" s="24" t="b">
        <f>ISNUMBER(SEARCH(":",AG9,1))</f>
        <v>1</v>
      </c>
      <c r="AJ9" s="25">
        <f>IF(NOT(AH9),0,IF(AI9, VALUE(LEFT(AG9,SEARCH(":",AG9,1)-1)),VALUE(AG9)))</f>
        <v>8</v>
      </c>
      <c r="AK9" s="25" t="str">
        <f>IF(AI9, RIGHT(AG9,LEN(AG9)-SEARCH(":",AG9,1)),"")</f>
        <v>23</v>
      </c>
      <c r="AL9" s="24" t="b">
        <f>(LEN(AK9)&gt;0)</f>
        <v>1</v>
      </c>
      <c r="AM9" s="25">
        <f>IF(AL9,VALUE(AK9),0)</f>
        <v>23</v>
      </c>
      <c r="AN9" s="26">
        <f>AF9*3600+AJ9*60+AM9</f>
        <v>61703</v>
      </c>
      <c r="AO9" s="26">
        <f>AN9/3600</f>
        <v>17.139722222222222</v>
      </c>
      <c r="AP9" s="26">
        <f>(AN9-3600*INT(AO9))/60</f>
        <v>8.3833333333333329</v>
      </c>
      <c r="AQ9" s="25">
        <f>_xlfn.FLOOR.MATH(AO9)</f>
        <v>17</v>
      </c>
      <c r="AR9" s="25">
        <f>_xlfn.FLOOR.MATH(AP9)</f>
        <v>8</v>
      </c>
      <c r="AS9" s="25">
        <f>_xlfn.FLOOR.MATH(AN9-AQ9*3600-AR9*60)</f>
        <v>23</v>
      </c>
      <c r="AT9" s="20" t="str">
        <f>CONCATENATE(TEXT(AQ9,"00"),":",TEXT(AR9,"00"),":",TEXT(AS9,"00.00"), " [", CONCATENATE(TEXT(AQ9,"00"),":",TEXT(AP9,"00.00")),"]", " - (", TEXT(AO9,"00.0000"),")")</f>
        <v>17:08:23.00 [17:08.38] - (17.1397)</v>
      </c>
      <c r="AU9" s="30"/>
      <c r="AV9"/>
      <c r="AW9" s="17"/>
      <c r="AX9" s="17"/>
      <c r="AY9" s="17"/>
      <c r="AZ9" s="17"/>
      <c r="BA9" s="17"/>
    </row>
    <row r="10" spans="2:56" ht="17.25" customHeight="1" x14ac:dyDescent="0.25">
      <c r="C10" s="565"/>
      <c r="D10" s="566"/>
      <c r="E10" s="299"/>
      <c r="F10" s="300"/>
      <c r="G10" s="300"/>
      <c r="H10" s="301"/>
      <c r="I10" s="399"/>
      <c r="J10" s="399"/>
      <c r="K10" s="399"/>
      <c r="L10" s="399"/>
      <c r="M10" s="399"/>
      <c r="N10" s="399"/>
      <c r="O10" s="399"/>
      <c r="P10" s="399"/>
      <c r="Q10" s="399"/>
      <c r="R10" s="399"/>
      <c r="S10" s="399"/>
      <c r="T10" s="399"/>
      <c r="U10" s="399"/>
      <c r="V10" s="420"/>
      <c r="W10" s="421"/>
      <c r="X10" s="421"/>
      <c r="Y10" s="422"/>
      <c r="AB10" s="18" t="str">
        <f>CONCATENATE("00:",V11)</f>
        <v>00:0</v>
      </c>
      <c r="AC10" s="82" t="str">
        <f>AT10</f>
        <v>00:00:00.00 [00:00.00] - (00.0000)</v>
      </c>
      <c r="AD10" s="23">
        <f>AO10</f>
        <v>0</v>
      </c>
      <c r="AE10" s="24" t="b">
        <f t="shared" ref="AE10" si="3">ISNUMBER(SEARCH(":",AB10,1))</f>
        <v>1</v>
      </c>
      <c r="AF10" s="25">
        <f t="shared" ref="AF10" si="4">IF(AE10, VALUE(LEFT(AB10,SEARCH(":",AB10,1)-1)),VALUE(AB10))</f>
        <v>0</v>
      </c>
      <c r="AG10" s="25" t="str">
        <f t="shared" ref="AG10" si="5">IF(AE10, RIGHT(AB10,LEN(AB10)-SEARCH(":",AB10,1)),"")</f>
        <v>0</v>
      </c>
      <c r="AH10" s="24" t="b">
        <f>(LEN(AG10)&gt;0)</f>
        <v>1</v>
      </c>
      <c r="AI10" s="24" t="b">
        <f>ISNUMBER(SEARCH(":",AG10,1))</f>
        <v>0</v>
      </c>
      <c r="AJ10" s="25">
        <f>IF(NOT(AH10),0,IF(AI10, VALUE(LEFT(AG10,SEARCH(":",AG10,1)-1)),VALUE(AG10)))</f>
        <v>0</v>
      </c>
      <c r="AK10" s="25" t="str">
        <f>IF(AI10, RIGHT(AG10,LEN(AG10)-SEARCH(":",AG10,1)),"")</f>
        <v/>
      </c>
      <c r="AL10" s="24" t="b">
        <f>(LEN(AK10)&gt;0)</f>
        <v>0</v>
      </c>
      <c r="AM10" s="25">
        <f>IF(AL10,VALUE(AK10),0)</f>
        <v>0</v>
      </c>
      <c r="AN10" s="26">
        <f>AF10*3600+AJ10*60+AM10</f>
        <v>0</v>
      </c>
      <c r="AO10" s="26">
        <f>AN10/3600</f>
        <v>0</v>
      </c>
      <c r="AP10" s="26">
        <f>(AN10-3600*INT(AO10))/60</f>
        <v>0</v>
      </c>
      <c r="AQ10" s="25">
        <f>_xlfn.FLOOR.MATH(AO10)</f>
        <v>0</v>
      </c>
      <c r="AR10" s="25">
        <f>_xlfn.FLOOR.MATH(AP10)</f>
        <v>0</v>
      </c>
      <c r="AS10" s="25">
        <f>_xlfn.FLOOR.MATH(AN10-AQ10*3600-AR10*60)</f>
        <v>0</v>
      </c>
      <c r="AT10" s="20" t="str">
        <f>CONCATENATE(TEXT(AQ10,"00"),":",TEXT(AR10,"00"),":",TEXT(AS10,"00.00"), " [", CONCATENATE(TEXT(AQ10,"00"),":",TEXT(AP10,"00.00")),"]", " - (", TEXT(AO10,"00.0000"),")")</f>
        <v>00:00:00.00 [00:00.00] - (00.0000)</v>
      </c>
      <c r="AU10" s="17"/>
      <c r="AV10" s="17"/>
      <c r="AW10" s="17"/>
      <c r="AX10" s="17"/>
      <c r="AY10" s="17"/>
      <c r="AZ10" s="17"/>
      <c r="BA10" s="17"/>
    </row>
    <row r="11" spans="2:56" ht="17.25" customHeight="1" x14ac:dyDescent="0.25">
      <c r="C11" s="299"/>
      <c r="D11" s="301"/>
      <c r="E11" s="356">
        <f>AD12</f>
        <v>16.14</v>
      </c>
      <c r="F11" s="356"/>
      <c r="G11" s="391" t="str">
        <f>AC12</f>
        <v>16:08:24</v>
      </c>
      <c r="H11" s="391"/>
      <c r="I11" s="433" t="s">
        <v>370</v>
      </c>
      <c r="J11" s="433"/>
      <c r="K11" s="433"/>
      <c r="L11" s="393">
        <v>-1</v>
      </c>
      <c r="M11" s="393"/>
      <c r="N11" s="393"/>
      <c r="O11" s="393"/>
      <c r="P11" s="393"/>
      <c r="Q11" s="393">
        <v>1</v>
      </c>
      <c r="R11" s="393"/>
      <c r="S11" s="393"/>
      <c r="T11" s="393"/>
      <c r="U11" s="394"/>
      <c r="V11" s="392" t="s">
        <v>334</v>
      </c>
      <c r="W11" s="392"/>
      <c r="X11" s="392"/>
      <c r="Y11" s="392"/>
      <c r="AE11" s="31" t="s">
        <v>42</v>
      </c>
      <c r="AF11" s="31" t="s">
        <v>43</v>
      </c>
      <c r="AG11" s="31" t="s">
        <v>44</v>
      </c>
      <c r="AH11" s="31" t="s">
        <v>45</v>
      </c>
      <c r="AI11" s="31" t="s">
        <v>46</v>
      </c>
      <c r="AJ11" s="32" t="s">
        <v>47</v>
      </c>
      <c r="AK11" s="31" t="s">
        <v>49</v>
      </c>
      <c r="AL11" s="31" t="s">
        <v>40</v>
      </c>
      <c r="AM11" s="31" t="s">
        <v>50</v>
      </c>
      <c r="AN11" s="31" t="s">
        <v>48</v>
      </c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</row>
    <row r="12" spans="2:56" ht="17.25" customHeight="1" thickBot="1" x14ac:dyDescent="0.3">
      <c r="C12" s="33"/>
      <c r="D12" s="33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AC12" s="28" t="str">
        <f>AN12</f>
        <v>16:08:24</v>
      </c>
      <c r="AD12" s="34">
        <f>AJ12</f>
        <v>16.14</v>
      </c>
      <c r="AE12" s="22">
        <f>AD9</f>
        <v>17.139722222222222</v>
      </c>
      <c r="AF12" s="22">
        <f>L11</f>
        <v>-1</v>
      </c>
      <c r="AG12" s="22">
        <f>Q11/3600</f>
        <v>2.7777777777777778E-4</v>
      </c>
      <c r="AH12" s="22">
        <f>AD10</f>
        <v>0</v>
      </c>
      <c r="AI12" s="22">
        <f>(AE12+AF12+AG12+AH12)*3600</f>
        <v>58104</v>
      </c>
      <c r="AJ12" s="22">
        <f>AE12+AF12+AG12+AH12</f>
        <v>16.14</v>
      </c>
      <c r="AK12" s="22">
        <f>INT(AJ12)</f>
        <v>16</v>
      </c>
      <c r="AL12" s="22">
        <f>INT((AI12-AK12*3600)/60)</f>
        <v>8</v>
      </c>
      <c r="AM12" s="29">
        <f>AI12-AK12*3600-AL12*60</f>
        <v>24</v>
      </c>
      <c r="AN12" s="22" t="str">
        <f>CONCATENATE(TEXT(AK12,"00"),":",TEXT(AL12,"00"),":",TEXT(AM12,"00"))</f>
        <v>16:08:24</v>
      </c>
      <c r="AR12" s="17"/>
      <c r="AS12" s="17"/>
      <c r="AT12" s="17"/>
      <c r="AU12" s="17"/>
      <c r="AV12" s="17"/>
      <c r="AW12" s="17"/>
      <c r="AX12" s="17"/>
      <c r="AY12" s="17"/>
      <c r="AZ12" s="17"/>
      <c r="BA12" s="17"/>
    </row>
    <row r="13" spans="2:56" ht="17.25" customHeight="1" thickBot="1" x14ac:dyDescent="0.3">
      <c r="B13" s="47" t="s">
        <v>24</v>
      </c>
      <c r="C13" s="48"/>
      <c r="D13" s="48"/>
      <c r="E13" s="48"/>
      <c r="F13" s="48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  <c r="AA13" s="48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48"/>
      <c r="AS13" s="48"/>
      <c r="AT13" s="48"/>
      <c r="AU13" s="48"/>
      <c r="AV13" s="48"/>
      <c r="AW13" s="48"/>
      <c r="AX13" s="48"/>
      <c r="AY13" s="48"/>
      <c r="AZ13" s="48"/>
      <c r="BA13" s="48"/>
      <c r="BB13" s="49"/>
    </row>
    <row r="14" spans="2:56" ht="17.25" customHeight="1" thickTop="1" thickBot="1" x14ac:dyDescent="0.3">
      <c r="B14" s="178"/>
      <c r="C14" s="440" t="s">
        <v>376</v>
      </c>
      <c r="D14" s="441"/>
      <c r="E14" s="441"/>
      <c r="F14" s="441"/>
      <c r="G14" s="441"/>
      <c r="H14" s="441"/>
      <c r="I14" s="442"/>
      <c r="J14" s="362">
        <f>AD14</f>
        <v>0.83333333333333337</v>
      </c>
      <c r="K14" s="395"/>
      <c r="L14" s="395"/>
      <c r="M14" s="443" t="s">
        <v>377</v>
      </c>
      <c r="N14" s="444"/>
      <c r="O14" s="444"/>
      <c r="P14" s="279" t="str">
        <f>AC14</f>
        <v>00°50'00.00 [00°50.00]  (00.8333°)</v>
      </c>
      <c r="Q14" s="279"/>
      <c r="R14" s="279"/>
      <c r="S14" s="279"/>
      <c r="T14" s="279"/>
      <c r="U14" s="279"/>
      <c r="V14" s="279"/>
      <c r="W14" s="279"/>
      <c r="X14" s="279"/>
      <c r="Y14" s="17"/>
      <c r="AB14" s="18" t="str">
        <f>M14</f>
        <v>50'</v>
      </c>
      <c r="AC14" s="14" t="str">
        <f>BD14</f>
        <v>00°50'00.00 [00°50.00]  (00.8333°)</v>
      </c>
      <c r="AD14" s="7">
        <f>BC14</f>
        <v>0.83333333333333337</v>
      </c>
      <c r="AE14" s="5">
        <f>IF(LEFT(TRIM(AB14),1)="-",-1,IF(LEFT(TRIM(AB14),1)="+",1, 0))</f>
        <v>0</v>
      </c>
      <c r="AF14" s="5" t="str">
        <f>IF(AE14&gt;0,"+",IF(AE14&lt;0,"-",""))</f>
        <v/>
      </c>
      <c r="AG14" s="5" t="str">
        <f>IF(ABS(AE14)&gt;0,RIGHT(AB14,LEN(AB14)-1),AB14)</f>
        <v>50'</v>
      </c>
      <c r="AH14" s="5" t="b">
        <f>ISNUMBER(SEARCH("°",AG14,1))</f>
        <v>0</v>
      </c>
      <c r="AI14" s="5" t="b">
        <f>ISNUMBER(SEARCH("'",AG14,1))</f>
        <v>1</v>
      </c>
      <c r="AJ14" s="5" t="b">
        <f>ISNUMBER(SEARCH("""",AG14,1))</f>
        <v>0</v>
      </c>
      <c r="AK14" s="5" t="b">
        <f>NOT(OR(AH14,AI14,AJ14))</f>
        <v>0</v>
      </c>
      <c r="AL14" s="5" t="b">
        <f t="shared" ref="AL14:AL15" si="6">OR(AK14,AH14)</f>
        <v>0</v>
      </c>
      <c r="AM14" s="6">
        <f>IF(AK14,VALUE(AG14),IF(AH14,VALUE(LEFT(AG14,SEARCH("°",AG14,1)-1)),0))</f>
        <v>0</v>
      </c>
      <c r="AN14" s="5" t="str">
        <f>IF(AK14,"",IF(AH14,RIGHT(AG14,LEN(AG14)-SEARCH("°",AG14,1)),AG14))</f>
        <v>50'</v>
      </c>
      <c r="AO14" s="5" t="b">
        <f>(LEN(AN14)&gt;0)</f>
        <v>1</v>
      </c>
      <c r="AP14" s="5" t="b">
        <f>NOT(OR(AI14,AJ14))</f>
        <v>0</v>
      </c>
      <c r="AQ14" s="6">
        <f t="shared" ref="AQ14:AQ15" si="7">IF(NOT(AO14),0,IF(AP14,VALUE(AN14),IF(NOT(AI14),0,VALUE(LEFT(AN14,SEARCH("'",AN14,1)-1)))))</f>
        <v>50</v>
      </c>
      <c r="AR14" s="5" t="str">
        <f t="shared" ref="AR14:AR15" si="8">IF(NOT(AO14),"",IF(AP14,"",IF(NOT(AI14),AN14,RIGHT(AN14,LEN(AN14)-SEARCH("'",AN14,1)))))</f>
        <v/>
      </c>
      <c r="AS14" s="5" t="b">
        <f>(LEN(AR14)&gt;0)</f>
        <v>0</v>
      </c>
      <c r="AT14" s="5" t="b">
        <f t="shared" ref="AT14:AT15" si="9">NOT(AJ14)</f>
        <v>1</v>
      </c>
      <c r="AU14" s="5" t="b">
        <f>ISNUMBER(SEARCH(".",AR14,1))</f>
        <v>0</v>
      </c>
      <c r="AV14" s="6">
        <f t="shared" ref="AV14:AV15" si="10">IF(AS14,IF(AJ14,IF(AU14,VALUE(SUBSTITUTE(AR14, """", "")),VALUE(SUBSTITUTE(AR14, """", "."))),VALUE(AR14)),0)</f>
        <v>0</v>
      </c>
      <c r="AW14" s="6">
        <f t="shared" ref="AW14:AW15" si="11">AM14*3600+AQ14*60+AV14</f>
        <v>3000</v>
      </c>
      <c r="AX14" s="6">
        <f>AW14/3600</f>
        <v>0.83333333333333337</v>
      </c>
      <c r="AY14" s="6">
        <f>_xlfn.FLOOR.MATH((AX14))</f>
        <v>0</v>
      </c>
      <c r="AZ14" s="6">
        <f>(AW14-3600*AY14)/60</f>
        <v>50</v>
      </c>
      <c r="BA14" s="6">
        <f>_xlfn.FLOOR.MATH((AZ14))</f>
        <v>50</v>
      </c>
      <c r="BB14" s="6">
        <f>AW14-3600*AY14-60*BA14</f>
        <v>0</v>
      </c>
      <c r="BC14" s="6">
        <f>AX14*IF(AE14&lt;0,-1,1)</f>
        <v>0.83333333333333337</v>
      </c>
      <c r="BD14" s="7" t="str">
        <f>CONCATENATE(AF14,TEXT(AY14,"00"),"°",TEXT(BA14,"00"),"'",TEXT(BB14,"00.00"), " [", CONCATENATE(AF14,TEXT(AY14,"00"),"°",TEXT(AZ14,"00.00")),"]", "  (", AF14,TEXT(AX14,"00.0000"),"°)")</f>
        <v>00°50'00.00 [00°50.00]  (00.8333°)</v>
      </c>
    </row>
    <row r="15" spans="2:56" ht="17.25" customHeight="1" thickTop="1" thickBot="1" x14ac:dyDescent="0.3">
      <c r="C15" s="436" t="s">
        <v>375</v>
      </c>
      <c r="D15" s="436"/>
      <c r="E15" s="436"/>
      <c r="F15" s="436"/>
      <c r="G15" s="436"/>
      <c r="H15" s="436"/>
      <c r="I15" s="436"/>
      <c r="J15" s="445">
        <f>AD15</f>
        <v>18.766666666666666</v>
      </c>
      <c r="K15" s="446"/>
      <c r="L15" s="446"/>
      <c r="M15" s="439" t="s">
        <v>378</v>
      </c>
      <c r="N15" s="428"/>
      <c r="O15" s="429"/>
      <c r="P15" s="279" t="str">
        <f>AC15</f>
        <v>18°46'00.00 [18°46.00]  (18.7667°)</v>
      </c>
      <c r="Q15" s="279"/>
      <c r="R15" s="279"/>
      <c r="S15" s="279"/>
      <c r="T15" s="279"/>
      <c r="U15" s="279"/>
      <c r="V15" s="279"/>
      <c r="W15" s="279"/>
      <c r="X15" s="279"/>
      <c r="Y15" s="17"/>
      <c r="AB15" s="18" t="str">
        <f>M15</f>
        <v>18°46'</v>
      </c>
      <c r="AC15" s="14" t="str">
        <f>BD15</f>
        <v>18°46'00.00 [18°46.00]  (18.7667°)</v>
      </c>
      <c r="AD15" s="7">
        <f>BC15</f>
        <v>18.766666666666666</v>
      </c>
      <c r="AE15" s="5">
        <f>IF(LEFT(TRIM(AB15),1)="-",-1,IF(LEFT(TRIM(AB15),1)="+",1, 0))</f>
        <v>0</v>
      </c>
      <c r="AF15" s="5" t="str">
        <f>IF(AE15&gt;0,"+",IF(AE15&lt;0,"-",""))</f>
        <v/>
      </c>
      <c r="AG15" s="5" t="str">
        <f>IF(ABS(AE15)&gt;0,RIGHT(AB15,LEN(AB15)-1),AB15)</f>
        <v>18°46'</v>
      </c>
      <c r="AH15" s="5" t="b">
        <f>ISNUMBER(SEARCH("°",AG15,1))</f>
        <v>1</v>
      </c>
      <c r="AI15" s="5" t="b">
        <f>ISNUMBER(SEARCH("'",AG15,1))</f>
        <v>1</v>
      </c>
      <c r="AJ15" s="5" t="b">
        <f>ISNUMBER(SEARCH("""",AG15,1))</f>
        <v>0</v>
      </c>
      <c r="AK15" s="5" t="b">
        <f>NOT(OR(AH15,AI15,AJ15))</f>
        <v>0</v>
      </c>
      <c r="AL15" s="5" t="b">
        <f t="shared" si="6"/>
        <v>1</v>
      </c>
      <c r="AM15" s="6">
        <f>IF(AK15,VALUE(AG15),IF(AH15,VALUE(LEFT(AG15,SEARCH("°",AG15,1)-1)),0))</f>
        <v>18</v>
      </c>
      <c r="AN15" s="5" t="str">
        <f>IF(AK15,"",IF(AH15,RIGHT(AG15,LEN(AG15)-SEARCH("°",AG15,1)),AG15))</f>
        <v>46'</v>
      </c>
      <c r="AO15" s="5" t="b">
        <f>(LEN(AN15)&gt;0)</f>
        <v>1</v>
      </c>
      <c r="AP15" s="5" t="b">
        <f>NOT(OR(AI15,AJ15))</f>
        <v>0</v>
      </c>
      <c r="AQ15" s="6">
        <f t="shared" si="7"/>
        <v>46</v>
      </c>
      <c r="AR15" s="5" t="str">
        <f t="shared" si="8"/>
        <v/>
      </c>
      <c r="AS15" s="5" t="b">
        <f>(LEN(AR15)&gt;0)</f>
        <v>0</v>
      </c>
      <c r="AT15" s="5" t="b">
        <f t="shared" si="9"/>
        <v>1</v>
      </c>
      <c r="AU15" s="5" t="b">
        <f>ISNUMBER(SEARCH(".",AR15,1))</f>
        <v>0</v>
      </c>
      <c r="AV15" s="6">
        <f t="shared" si="10"/>
        <v>0</v>
      </c>
      <c r="AW15" s="6">
        <f t="shared" si="11"/>
        <v>67560</v>
      </c>
      <c r="AX15" s="6">
        <f>AW15/3600</f>
        <v>18.766666666666666</v>
      </c>
      <c r="AY15" s="6">
        <f>_xlfn.FLOOR.MATH((AX15))</f>
        <v>18</v>
      </c>
      <c r="AZ15" s="6">
        <f>(AW15-3600*AY15)/60</f>
        <v>46</v>
      </c>
      <c r="BA15" s="6">
        <f>_xlfn.FLOOR.MATH((AZ15))</f>
        <v>46</v>
      </c>
      <c r="BB15" s="6">
        <f>AW15-3600*AY15-60*BA15</f>
        <v>0</v>
      </c>
      <c r="BC15" s="6">
        <f>AX15*IF(AE15&lt;0,-1,1)</f>
        <v>18.766666666666666</v>
      </c>
      <c r="BD15" s="7" t="str">
        <f>CONCATENATE(AF15,TEXT(AY15,"00"),"°",TEXT(BA15,"00"),"'",TEXT(BB15,"00.00"), " [", CONCATENATE(AF15,TEXT(AY15,"00"),"°",TEXT(AZ15,"00.00")),"]", "  (", AF15,TEXT(AX15,"00.0000"),"°)")</f>
        <v>18°46'00.00 [18°46.00]  (18.7667°)</v>
      </c>
    </row>
    <row r="16" spans="2:56" ht="17.25" customHeight="1" thickTop="1" thickBot="1" x14ac:dyDescent="0.3">
      <c r="C16" s="436" t="s">
        <v>385</v>
      </c>
      <c r="D16" s="436"/>
      <c r="E16" s="436"/>
      <c r="F16" s="436"/>
      <c r="G16" s="436"/>
      <c r="H16" s="436"/>
      <c r="I16" s="436"/>
      <c r="J16" s="437">
        <f>AD16</f>
        <v>8.9666666666666668</v>
      </c>
      <c r="K16" s="438"/>
      <c r="L16" s="438"/>
      <c r="M16" s="439">
        <f>(AD15-AD14)/2</f>
        <v>8.9666666666666668</v>
      </c>
      <c r="N16" s="428"/>
      <c r="O16" s="429"/>
      <c r="P16" s="279" t="str">
        <f>AC16</f>
        <v>08°58'00.00 [08°58.00]  (08.9667°)</v>
      </c>
      <c r="Q16" s="279"/>
      <c r="R16" s="279"/>
      <c r="S16" s="279"/>
      <c r="T16" s="279"/>
      <c r="U16" s="279"/>
      <c r="V16" s="279"/>
      <c r="W16" s="279"/>
      <c r="X16" s="279"/>
      <c r="Y16" s="17"/>
      <c r="AB16" s="18">
        <f>M16</f>
        <v>8.9666666666666668</v>
      </c>
      <c r="AC16" s="14" t="str">
        <f>BD16</f>
        <v>08°58'00.00 [08°58.00]  (08.9667°)</v>
      </c>
      <c r="AD16" s="7">
        <f>BC16</f>
        <v>8.9666666666666668</v>
      </c>
      <c r="AE16" s="5">
        <f>IF(LEFT(TRIM(AB16),1)="-",-1,IF(LEFT(TRIM(AB16),1)="+",1, 0))</f>
        <v>0</v>
      </c>
      <c r="AF16" s="5" t="str">
        <f>IF(AE16&gt;0,"+",IF(AE16&lt;0,"-",""))</f>
        <v/>
      </c>
      <c r="AG16" s="5">
        <f>IF(ABS(AE16)&gt;0,RIGHT(AB16,LEN(AB16)-1),AB16)</f>
        <v>8.9666666666666668</v>
      </c>
      <c r="AH16" s="5" t="b">
        <f>ISNUMBER(SEARCH("°",AG16,1))</f>
        <v>0</v>
      </c>
      <c r="AI16" s="5" t="b">
        <f>ISNUMBER(SEARCH("'",AG16,1))</f>
        <v>0</v>
      </c>
      <c r="AJ16" s="5" t="b">
        <f>ISNUMBER(SEARCH("""",AG16,1))</f>
        <v>0</v>
      </c>
      <c r="AK16" s="5" t="b">
        <f>NOT(OR(AH16,AI16,AJ16))</f>
        <v>1</v>
      </c>
      <c r="AL16" s="5" t="b">
        <f t="shared" ref="AL16" si="12">OR(AK16,AH16)</f>
        <v>1</v>
      </c>
      <c r="AM16" s="6">
        <f>IF(AK16,VALUE(AG16),IF(AH16,VALUE(LEFT(AG16,SEARCH("°",AG16,1)-1)),0))</f>
        <v>8.9666666666666668</v>
      </c>
      <c r="AN16" s="5" t="str">
        <f>IF(AK16,"",IF(AH16,RIGHT(AG16,LEN(AG16)-SEARCH("°",AG16,1)),AG16))</f>
        <v/>
      </c>
      <c r="AO16" s="5" t="b">
        <f>(LEN(AN16)&gt;0)</f>
        <v>0</v>
      </c>
      <c r="AP16" s="5" t="b">
        <f>NOT(OR(AI16,AJ16))</f>
        <v>1</v>
      </c>
      <c r="AQ16" s="6">
        <f t="shared" ref="AQ16" si="13">IF(NOT(AO16),0,IF(AP16,VALUE(AN16),IF(NOT(AI16),0,VALUE(LEFT(AN16,SEARCH("'",AN16,1)-1)))))</f>
        <v>0</v>
      </c>
      <c r="AR16" s="5" t="str">
        <f t="shared" ref="AR16" si="14">IF(NOT(AO16),"",IF(AP16,"",IF(NOT(AI16),AN16,RIGHT(AN16,LEN(AN16)-SEARCH("'",AN16,1)))))</f>
        <v/>
      </c>
      <c r="AS16" s="5" t="b">
        <f>(LEN(AR16)&gt;0)</f>
        <v>0</v>
      </c>
      <c r="AT16" s="5" t="b">
        <f t="shared" ref="AT16" si="15">NOT(AJ16)</f>
        <v>1</v>
      </c>
      <c r="AU16" s="5" t="b">
        <f>ISNUMBER(SEARCH(".",AR16,1))</f>
        <v>0</v>
      </c>
      <c r="AV16" s="6">
        <f t="shared" ref="AV16" si="16">IF(AS16,IF(AJ16,IF(AU16,VALUE(SUBSTITUTE(AR16, """", "")),VALUE(SUBSTITUTE(AR16, """", "."))),VALUE(AR16)),0)</f>
        <v>0</v>
      </c>
      <c r="AW16" s="6">
        <f t="shared" ref="AW16" si="17">AM16*3600+AQ16*60+AV16</f>
        <v>32280</v>
      </c>
      <c r="AX16" s="6">
        <f>AW16/3600</f>
        <v>8.9666666666666668</v>
      </c>
      <c r="AY16" s="6">
        <f>_xlfn.FLOOR.MATH((AX16))</f>
        <v>8</v>
      </c>
      <c r="AZ16" s="6">
        <f>(AW16-3600*AY16)/60</f>
        <v>58</v>
      </c>
      <c r="BA16" s="6">
        <f>_xlfn.FLOOR.MATH((AZ16))</f>
        <v>58</v>
      </c>
      <c r="BB16" s="6">
        <f>AW16-3600*AY16-60*BA16</f>
        <v>0</v>
      </c>
      <c r="BC16" s="6">
        <f>AX16*IF(AE16&lt;0,-1,1)</f>
        <v>8.9666666666666668</v>
      </c>
      <c r="BD16" s="7" t="str">
        <f>CONCATENATE(AF16,TEXT(AY16,"00"),"°",TEXT(BA16,"00"),"'",TEXT(BB16,"00.00"), " [", CONCATENATE(AF16,TEXT(AY16,"00"),"°",TEXT(AZ16,"00.00")),"]", "  (", AF16,TEXT(AX16,"00.0000"),"°)")</f>
        <v>08°58'00.00 [08°58.00]  (08.9667°)</v>
      </c>
    </row>
    <row r="17" spans="2:56" ht="17.25" customHeight="1" thickTop="1" thickBot="1" x14ac:dyDescent="0.3">
      <c r="C17" s="406" t="s">
        <v>25</v>
      </c>
      <c r="D17" s="406"/>
      <c r="E17" s="406"/>
      <c r="F17" s="406"/>
      <c r="G17" s="406"/>
      <c r="H17" s="406"/>
      <c r="I17" s="406"/>
      <c r="J17" s="396">
        <f>M17</f>
        <v>0</v>
      </c>
      <c r="K17" s="395"/>
      <c r="L17" s="395"/>
      <c r="M17" s="444">
        <v>0</v>
      </c>
      <c r="N17" s="444"/>
      <c r="O17" s="444"/>
      <c r="P17" s="17"/>
      <c r="Q17" s="17"/>
      <c r="R17" s="17"/>
      <c r="S17" s="17"/>
      <c r="T17" s="17"/>
      <c r="U17" s="17"/>
      <c r="V17" s="17"/>
      <c r="W17" s="17"/>
      <c r="X17" s="17"/>
      <c r="Y17" s="17"/>
      <c r="AC17" s="14"/>
      <c r="AD17" s="7"/>
      <c r="AE17" s="3" t="s">
        <v>57</v>
      </c>
      <c r="AF17" s="3" t="s">
        <v>57</v>
      </c>
      <c r="AG17" s="3" t="s">
        <v>304</v>
      </c>
      <c r="AH17" s="3" t="s">
        <v>120</v>
      </c>
      <c r="AI17" s="3" t="s">
        <v>121</v>
      </c>
      <c r="AJ17" s="3" t="s">
        <v>122</v>
      </c>
      <c r="AK17" s="3" t="s">
        <v>123</v>
      </c>
      <c r="AL17" s="3" t="s">
        <v>124</v>
      </c>
      <c r="AM17" s="3" t="s">
        <v>125</v>
      </c>
      <c r="AN17" s="3" t="s">
        <v>101</v>
      </c>
      <c r="AO17" s="3" t="s">
        <v>129</v>
      </c>
      <c r="AP17" s="3" t="s">
        <v>128</v>
      </c>
      <c r="AQ17" s="3" t="s">
        <v>126</v>
      </c>
      <c r="AR17" s="3" t="s">
        <v>127</v>
      </c>
      <c r="AS17" s="3" t="s">
        <v>129</v>
      </c>
      <c r="AT17" s="3" t="s">
        <v>128</v>
      </c>
      <c r="AU17" s="3" t="s">
        <v>130</v>
      </c>
      <c r="AV17" s="3" t="s">
        <v>112</v>
      </c>
      <c r="AW17" s="3" t="s">
        <v>117</v>
      </c>
      <c r="AX17" s="3" t="s">
        <v>143</v>
      </c>
      <c r="AY17" s="3" t="s">
        <v>149</v>
      </c>
      <c r="AZ17" s="3" t="s">
        <v>131</v>
      </c>
      <c r="BA17" s="3" t="s">
        <v>150</v>
      </c>
      <c r="BB17" s="3" t="s">
        <v>112</v>
      </c>
      <c r="BC17" s="3" t="s">
        <v>308</v>
      </c>
      <c r="BD17" s="3" t="s">
        <v>151</v>
      </c>
    </row>
    <row r="18" spans="2:56" ht="17.25" customHeight="1" thickTop="1" thickBot="1" x14ac:dyDescent="0.3">
      <c r="B18" s="88"/>
      <c r="C18" s="403" t="s">
        <v>26</v>
      </c>
      <c r="D18" s="404"/>
      <c r="E18" s="404"/>
      <c r="F18" s="404"/>
      <c r="G18" s="404"/>
      <c r="H18" s="404"/>
      <c r="I18" s="405"/>
      <c r="J18" s="362">
        <f>AD18</f>
        <v>0</v>
      </c>
      <c r="K18" s="395"/>
      <c r="L18" s="395"/>
      <c r="M18" s="443">
        <v>0</v>
      </c>
      <c r="N18" s="444"/>
      <c r="O18" s="444"/>
      <c r="P18" s="279" t="str">
        <f>AC18</f>
        <v>00°00'00.00 [00°00.00]  (00.0000°)</v>
      </c>
      <c r="Q18" s="279"/>
      <c r="R18" s="279"/>
      <c r="S18" s="279"/>
      <c r="T18" s="279"/>
      <c r="U18" s="279"/>
      <c r="V18" s="279"/>
      <c r="W18" s="279"/>
      <c r="X18" s="279"/>
      <c r="Y18" s="17"/>
      <c r="AB18" s="18">
        <f>M18</f>
        <v>0</v>
      </c>
      <c r="AC18" s="14" t="str">
        <f>BD18</f>
        <v>00°00'00.00 [00°00.00]  (00.0000°)</v>
      </c>
      <c r="AD18" s="7">
        <f>BC18</f>
        <v>0</v>
      </c>
      <c r="AE18" s="5">
        <f>IF(LEFT(TRIM(AB18),1)="-",-1,IF(LEFT(TRIM(AB18),1)="+",1, 0))</f>
        <v>0</v>
      </c>
      <c r="AF18" s="5" t="str">
        <f>IF(AE18&gt;0,"+",IF(AE18&lt;0,"-",""))</f>
        <v/>
      </c>
      <c r="AG18" s="5">
        <f>IF(ABS(AE18)&gt;0,RIGHT(AB18,LEN(AB18)-1),AB18)</f>
        <v>0</v>
      </c>
      <c r="AH18" s="5" t="b">
        <f>ISNUMBER(SEARCH("°",AG18,1))</f>
        <v>0</v>
      </c>
      <c r="AI18" s="5" t="b">
        <f>ISNUMBER(SEARCH("'",AG18,1))</f>
        <v>0</v>
      </c>
      <c r="AJ18" s="5" t="b">
        <f>ISNUMBER(SEARCH("""",AG18,1))</f>
        <v>0</v>
      </c>
      <c r="AK18" s="5" t="b">
        <f>NOT(OR(AH18,AI18,AJ18))</f>
        <v>1</v>
      </c>
      <c r="AL18" s="5" t="b">
        <f t="shared" ref="AL18:AL19" si="18">OR(AK18,AH18)</f>
        <v>1</v>
      </c>
      <c r="AM18" s="6">
        <f>IF(AK18,VALUE(AG18),IF(AH18,VALUE(LEFT(AG18,SEARCH("°",AG18,1)-1)),0))</f>
        <v>0</v>
      </c>
      <c r="AN18" s="5" t="str">
        <f>IF(AK18,"",IF(AH18,RIGHT(AG18,LEN(AG18)-SEARCH("°",AG18,1)),AG18))</f>
        <v/>
      </c>
      <c r="AO18" s="5" t="b">
        <f>(LEN(AN18)&gt;0)</f>
        <v>0</v>
      </c>
      <c r="AP18" s="5" t="b">
        <f>NOT(OR(AI18,AJ18))</f>
        <v>1</v>
      </c>
      <c r="AQ18" s="6">
        <f t="shared" ref="AQ18:AQ19" si="19">IF(NOT(AO18),0,IF(AP18,VALUE(AN18),IF(NOT(AI18),0,VALUE(LEFT(AN18,SEARCH("'",AN18,1)-1)))))</f>
        <v>0</v>
      </c>
      <c r="AR18" s="5" t="str">
        <f t="shared" ref="AR18:AR19" si="20">IF(NOT(AO18),"",IF(AP18,"",IF(NOT(AI18),AN18,RIGHT(AN18,LEN(AN18)-SEARCH("'",AN18,1)))))</f>
        <v/>
      </c>
      <c r="AS18" s="5" t="b">
        <f>(LEN(AR18)&gt;0)</f>
        <v>0</v>
      </c>
      <c r="AT18" s="5" t="b">
        <f t="shared" ref="AT18:AT19" si="21">NOT(AJ18)</f>
        <v>1</v>
      </c>
      <c r="AU18" s="5" t="b">
        <f>ISNUMBER(SEARCH(".",AR18,1))</f>
        <v>0</v>
      </c>
      <c r="AV18" s="6">
        <f t="shared" ref="AV18:AV19" si="22">IF(AS18,IF(AJ18,IF(AU18,VALUE(SUBSTITUTE(AR18, """", "")),VALUE(SUBSTITUTE(AR18, """", "."))),VALUE(AR18)),0)</f>
        <v>0</v>
      </c>
      <c r="AW18" s="6">
        <f t="shared" ref="AW18:AW19" si="23">AM18*3600+AQ18*60+AV18</f>
        <v>0</v>
      </c>
      <c r="AX18" s="6">
        <f>AW18/3600</f>
        <v>0</v>
      </c>
      <c r="AY18" s="6">
        <f>_xlfn.FLOOR.MATH((AX18))</f>
        <v>0</v>
      </c>
      <c r="AZ18" s="6">
        <f>(AW18-3600*AY18)/60</f>
        <v>0</v>
      </c>
      <c r="BA18" s="6">
        <f>_xlfn.FLOOR.MATH((AZ18))</f>
        <v>0</v>
      </c>
      <c r="BB18" s="6">
        <f>AW18-3600*AY18-60*BA18</f>
        <v>0</v>
      </c>
      <c r="BC18" s="6">
        <f>AX18*IF(AE18&lt;0,-1,1)</f>
        <v>0</v>
      </c>
      <c r="BD18" s="7" t="str">
        <f>CONCATENATE(AF18,TEXT(AY18,"00"),"°",TEXT(BA18,"00"),"'",TEXT(BB18,"00.00"), " [", CONCATENATE(AF18,TEXT(AY18,"00"),"°",TEXT(AZ18,"00.00")),"]", "  (", AF18,TEXT(AX18,"00.0000"),"°)")</f>
        <v>00°00'00.00 [00°00.00]  (00.0000°)</v>
      </c>
    </row>
    <row r="19" spans="2:56" ht="17.25" customHeight="1" thickTop="1" thickBot="1" x14ac:dyDescent="0.3">
      <c r="C19" s="413" t="s">
        <v>37</v>
      </c>
      <c r="D19" s="413"/>
      <c r="E19" s="413"/>
      <c r="F19" s="413"/>
      <c r="G19" s="413"/>
      <c r="H19" s="413"/>
      <c r="I19" s="413"/>
      <c r="J19" s="445">
        <f>AD19</f>
        <v>8.9666666666666668</v>
      </c>
      <c r="K19" s="446"/>
      <c r="L19" s="446"/>
      <c r="M19" s="427">
        <f>J16</f>
        <v>8.9666666666666668</v>
      </c>
      <c r="N19" s="428"/>
      <c r="O19" s="429"/>
      <c r="P19" s="279" t="str">
        <f>AC19</f>
        <v>08°58'00.00 [08°58.00]  (08.9667°)</v>
      </c>
      <c r="Q19" s="279"/>
      <c r="R19" s="279"/>
      <c r="S19" s="279"/>
      <c r="T19" s="279"/>
      <c r="U19" s="279"/>
      <c r="V19" s="279"/>
      <c r="W19" s="279"/>
      <c r="X19" s="279"/>
      <c r="Y19" s="17"/>
      <c r="AB19" s="18">
        <f>M19</f>
        <v>8.9666666666666668</v>
      </c>
      <c r="AC19" s="14" t="str">
        <f>BD19</f>
        <v>08°58'00.00 [08°58.00]  (08.9667°)</v>
      </c>
      <c r="AD19" s="7">
        <f>BC19</f>
        <v>8.9666666666666668</v>
      </c>
      <c r="AE19" s="5">
        <f>IF(LEFT(TRIM(AB19),1)="-",-1,IF(LEFT(TRIM(AB19),1)="+",1, 0))</f>
        <v>0</v>
      </c>
      <c r="AF19" s="5" t="str">
        <f>IF(AE19&gt;0,"+",IF(AE19&lt;0,"-",""))</f>
        <v/>
      </c>
      <c r="AG19" s="5">
        <f>IF(ABS(AE19)&gt;0,RIGHT(AB19,LEN(AB19)-1),AB19)</f>
        <v>8.9666666666666668</v>
      </c>
      <c r="AH19" s="5" t="b">
        <f>ISNUMBER(SEARCH("°",AG19,1))</f>
        <v>0</v>
      </c>
      <c r="AI19" s="5" t="b">
        <f>ISNUMBER(SEARCH("'",AG19,1))</f>
        <v>0</v>
      </c>
      <c r="AJ19" s="5" t="b">
        <f>ISNUMBER(SEARCH("""",AG19,1))</f>
        <v>0</v>
      </c>
      <c r="AK19" s="5" t="b">
        <f>NOT(OR(AH19,AI19,AJ19))</f>
        <v>1</v>
      </c>
      <c r="AL19" s="5" t="b">
        <f t="shared" si="18"/>
        <v>1</v>
      </c>
      <c r="AM19" s="6">
        <f>IF(AK19,VALUE(AG19),IF(AH19,VALUE(LEFT(AG19,SEARCH("°",AG19,1)-1)),0))</f>
        <v>8.9666666666666668</v>
      </c>
      <c r="AN19" s="5" t="str">
        <f>IF(AK19,"",IF(AH19,RIGHT(AG19,LEN(AG19)-SEARCH("°",AG19,1)),AG19))</f>
        <v/>
      </c>
      <c r="AO19" s="5" t="b">
        <f>(LEN(AN19)&gt;0)</f>
        <v>0</v>
      </c>
      <c r="AP19" s="5" t="b">
        <f>NOT(OR(AI19,AJ19))</f>
        <v>1</v>
      </c>
      <c r="AQ19" s="6">
        <f t="shared" si="19"/>
        <v>0</v>
      </c>
      <c r="AR19" s="5" t="str">
        <f t="shared" si="20"/>
        <v/>
      </c>
      <c r="AS19" s="5" t="b">
        <f>(LEN(AR19)&gt;0)</f>
        <v>0</v>
      </c>
      <c r="AT19" s="5" t="b">
        <f t="shared" si="21"/>
        <v>1</v>
      </c>
      <c r="AU19" s="5" t="b">
        <f>ISNUMBER(SEARCH(".",AR19,1))</f>
        <v>0</v>
      </c>
      <c r="AV19" s="6">
        <f t="shared" si="22"/>
        <v>0</v>
      </c>
      <c r="AW19" s="6">
        <f t="shared" si="23"/>
        <v>32280</v>
      </c>
      <c r="AX19" s="6">
        <f>AW19/3600</f>
        <v>8.9666666666666668</v>
      </c>
      <c r="AY19" s="6">
        <f>_xlfn.FLOOR.MATH((AX19))</f>
        <v>8</v>
      </c>
      <c r="AZ19" s="6">
        <f>(AW19-3600*AY19)/60</f>
        <v>58</v>
      </c>
      <c r="BA19" s="6">
        <f>_xlfn.FLOOR.MATH((AZ19))</f>
        <v>58</v>
      </c>
      <c r="BB19" s="6">
        <f>AW19-3600*AY19-60*BA19</f>
        <v>0</v>
      </c>
      <c r="BC19" s="6">
        <f>AX19*IF(AE19&lt;0,-1,1)</f>
        <v>8.9666666666666668</v>
      </c>
      <c r="BD19" s="7" t="str">
        <f>CONCATENATE(AF19,TEXT(AY19,"00"),"°",TEXT(BA19,"00"),"'",TEXT(BB19,"00.00"), " [", CONCATENATE(AF19,TEXT(AY19,"00"),"°",TEXT(AZ19,"00.00")),"]", "  (", AF19,TEXT(AX19,"00.0000"),"°)")</f>
        <v>08°58'00.00 [08°58.00]  (08.9667°)</v>
      </c>
    </row>
    <row r="20" spans="2:56" ht="17.25" customHeight="1" thickTop="1" x14ac:dyDescent="0.25">
      <c r="C20" s="406" t="s">
        <v>51</v>
      </c>
      <c r="D20" s="406"/>
      <c r="E20" s="406"/>
      <c r="F20" s="406"/>
      <c r="G20" s="406"/>
      <c r="H20" s="406"/>
      <c r="I20" s="406"/>
      <c r="J20" s="407" t="str">
        <f>M20</f>
        <v>Soleil</v>
      </c>
      <c r="K20" s="408"/>
      <c r="L20" s="409"/>
      <c r="M20" s="359" t="s">
        <v>52</v>
      </c>
      <c r="N20" s="360"/>
      <c r="O20" s="361"/>
      <c r="P20" s="17"/>
      <c r="Q20" s="17"/>
      <c r="R20" s="17"/>
      <c r="S20" s="17"/>
      <c r="T20" s="17"/>
      <c r="U20" s="17"/>
      <c r="V20" s="17"/>
      <c r="W20" s="17"/>
      <c r="X20" s="17"/>
      <c r="Y20" s="17"/>
      <c r="AE20" s="31" t="s">
        <v>55</v>
      </c>
      <c r="AF20" s="35" t="s">
        <v>52</v>
      </c>
      <c r="AG20" s="35" t="s">
        <v>53</v>
      </c>
      <c r="AH20" s="35" t="s">
        <v>54</v>
      </c>
    </row>
    <row r="21" spans="2:56" ht="17.25" customHeight="1" x14ac:dyDescent="0.25">
      <c r="C21" s="406" t="s">
        <v>158</v>
      </c>
      <c r="D21" s="406"/>
      <c r="E21" s="406"/>
      <c r="F21" s="406"/>
      <c r="G21" s="406"/>
      <c r="H21" s="406"/>
      <c r="I21" s="406"/>
      <c r="J21" s="280" t="str">
        <f>IF(M20=AG20,AH21,M21)</f>
        <v>BordInf</v>
      </c>
      <c r="K21" s="280"/>
      <c r="L21" s="280"/>
      <c r="M21" s="423" t="s">
        <v>159</v>
      </c>
      <c r="N21" s="423"/>
      <c r="O21" s="423"/>
      <c r="P21" s="17"/>
      <c r="Q21" s="17"/>
      <c r="R21" s="17"/>
      <c r="S21" s="17"/>
      <c r="T21" s="17"/>
      <c r="U21" s="17"/>
      <c r="V21" s="17"/>
      <c r="W21" s="17"/>
      <c r="X21" s="17"/>
      <c r="Y21" s="17"/>
      <c r="AE21" s="31" t="s">
        <v>222</v>
      </c>
      <c r="AF21" s="35" t="s">
        <v>159</v>
      </c>
      <c r="AG21" s="35" t="s">
        <v>160</v>
      </c>
      <c r="AH21" s="35" t="s">
        <v>161</v>
      </c>
    </row>
    <row r="22" spans="2:56" ht="17.25" customHeight="1" x14ac:dyDescent="0.25">
      <c r="C22" s="544" t="s">
        <v>461</v>
      </c>
      <c r="D22" s="545"/>
      <c r="E22" s="259"/>
      <c r="F22" s="259"/>
      <c r="G22" s="259"/>
      <c r="H22" s="259"/>
      <c r="I22" s="260"/>
      <c r="J22" s="373">
        <f>AD24</f>
        <v>2.8833333333333332E-3</v>
      </c>
      <c r="K22" s="340"/>
      <c r="L22" s="374"/>
      <c r="M22" s="380" t="str">
        <f>P24</f>
        <v>0.173'</v>
      </c>
      <c r="N22" s="381"/>
      <c r="O22" s="381"/>
      <c r="P22" s="386" t="s">
        <v>221</v>
      </c>
      <c r="Q22" s="386"/>
      <c r="R22" s="386"/>
      <c r="S22" s="17"/>
      <c r="T22" s="17"/>
      <c r="U22" s="17"/>
      <c r="V22" s="17"/>
      <c r="W22" s="17"/>
      <c r="X22" s="17"/>
      <c r="Y22" s="17"/>
      <c r="AE22" s="31" t="s">
        <v>223</v>
      </c>
      <c r="AF22" s="87" t="s">
        <v>188</v>
      </c>
      <c r="AG22" s="87" t="s">
        <v>224</v>
      </c>
      <c r="AH22" s="87" t="s">
        <v>225</v>
      </c>
    </row>
    <row r="23" spans="2:56" ht="17.25" customHeight="1" thickBot="1" x14ac:dyDescent="0.3">
      <c r="C23" s="261"/>
      <c r="D23" s="546" t="s">
        <v>462</v>
      </c>
      <c r="E23" s="546"/>
      <c r="F23" s="546"/>
      <c r="G23" s="546"/>
      <c r="H23" s="546"/>
      <c r="I23" s="547"/>
      <c r="J23" s="375"/>
      <c r="K23" s="343"/>
      <c r="L23" s="376"/>
      <c r="M23" s="382"/>
      <c r="N23" s="383"/>
      <c r="O23" s="383"/>
      <c r="P23" s="386"/>
      <c r="Q23" s="386"/>
      <c r="R23" s="386"/>
      <c r="S23" s="17"/>
      <c r="T23" s="17"/>
      <c r="U23" s="17"/>
      <c r="V23" s="17"/>
      <c r="W23" s="17"/>
      <c r="X23" s="17"/>
      <c r="Y23" s="17"/>
      <c r="AE23" s="31" t="s">
        <v>227</v>
      </c>
      <c r="AF23" s="87" t="s">
        <v>187</v>
      </c>
      <c r="AG23" s="87" t="s">
        <v>224</v>
      </c>
      <c r="AH23" s="87" t="s">
        <v>228</v>
      </c>
    </row>
    <row r="24" spans="2:56" ht="17.25" customHeight="1" thickTop="1" thickBot="1" x14ac:dyDescent="0.3">
      <c r="C24" s="261"/>
      <c r="D24" s="546"/>
      <c r="E24" s="546"/>
      <c r="F24" s="546"/>
      <c r="G24" s="546"/>
      <c r="H24" s="546"/>
      <c r="I24" s="547"/>
      <c r="J24" s="375"/>
      <c r="K24" s="343"/>
      <c r="L24" s="376"/>
      <c r="M24" s="382"/>
      <c r="N24" s="383"/>
      <c r="O24" s="383"/>
      <c r="P24" s="432" t="str">
        <f>HLOOKUP(M20,AF20:AH23,3,FALSE)</f>
        <v>0.173'</v>
      </c>
      <c r="Q24" s="432"/>
      <c r="R24" s="432"/>
      <c r="S24" s="430" t="str">
        <f>AC24</f>
        <v>00°00'10.38 [00°00.17]  (00.0029°)</v>
      </c>
      <c r="T24" s="430"/>
      <c r="U24" s="430"/>
      <c r="V24" s="430"/>
      <c r="W24" s="430"/>
      <c r="X24" s="431"/>
      <c r="Y24" s="17"/>
      <c r="AB24" s="18" t="str">
        <f>P24</f>
        <v>0.173'</v>
      </c>
      <c r="AC24" s="14" t="str">
        <f>BD24</f>
        <v>00°00'10.38 [00°00.17]  (00.0029°)</v>
      </c>
      <c r="AD24" s="7">
        <f>BC24</f>
        <v>2.8833333333333332E-3</v>
      </c>
      <c r="AE24" s="5">
        <f>IF(LEFT(TRIM(AB24),1)="-",-1,IF(LEFT(TRIM(AB24),1)="+",1, 0))</f>
        <v>0</v>
      </c>
      <c r="AF24" s="5" t="str">
        <f>IF(AE24&gt;0,"+",IF(AE24&lt;0,"-",""))</f>
        <v/>
      </c>
      <c r="AG24" s="5" t="str">
        <f>IF(ABS(AE24)&gt;0,RIGHT(AB24,LEN(AB24)-1),AB24)</f>
        <v>0.173'</v>
      </c>
      <c r="AH24" s="5" t="b">
        <f>ISNUMBER(SEARCH("°",AG24,1))</f>
        <v>0</v>
      </c>
      <c r="AI24" s="5" t="b">
        <f>ISNUMBER(SEARCH("'",AG24,1))</f>
        <v>1</v>
      </c>
      <c r="AJ24" s="5" t="b">
        <f>ISNUMBER(SEARCH("""",AG24,1))</f>
        <v>0</v>
      </c>
      <c r="AK24" s="5" t="b">
        <f>NOT(OR(AH24,AI24,AJ24))</f>
        <v>0</v>
      </c>
      <c r="AL24" s="5" t="b">
        <f t="shared" ref="AL24:AL25" si="24">OR(AK24,AH24)</f>
        <v>0</v>
      </c>
      <c r="AM24" s="6">
        <f>IF(AK24,VALUE(AG24),IF(AH24,VALUE(LEFT(AG24,SEARCH("°",AG24,1)-1)),0))</f>
        <v>0</v>
      </c>
      <c r="AN24" s="5" t="str">
        <f>IF(AK24,"",IF(AH24,RIGHT(AG24,LEN(AG24)-SEARCH("°",AG24,1)),AG24))</f>
        <v>0.173'</v>
      </c>
      <c r="AO24" s="5" t="b">
        <f>(LEN(AN24)&gt;0)</f>
        <v>1</v>
      </c>
      <c r="AP24" s="5" t="b">
        <f>NOT(OR(AI24,AJ24))</f>
        <v>0</v>
      </c>
      <c r="AQ24" s="6">
        <f t="shared" ref="AQ24:AQ25" si="25">IF(NOT(AO24),0,IF(AP24,VALUE(AN24),IF(NOT(AI24),0,VALUE(LEFT(AN24,SEARCH("'",AN24,1)-1)))))</f>
        <v>0.17299999999999999</v>
      </c>
      <c r="AR24" s="5" t="str">
        <f t="shared" ref="AR24:AR25" si="26">IF(NOT(AO24),"",IF(AP24,"",IF(NOT(AI24),AN24,RIGHT(AN24,LEN(AN24)-SEARCH("'",AN24,1)))))</f>
        <v/>
      </c>
      <c r="AS24" s="5" t="b">
        <f>(LEN(AR24)&gt;0)</f>
        <v>0</v>
      </c>
      <c r="AT24" s="5" t="b">
        <f t="shared" ref="AT24:AT25" si="27">NOT(AJ24)</f>
        <v>1</v>
      </c>
      <c r="AU24" s="5" t="b">
        <f>ISNUMBER(SEARCH(".",AR24,1))</f>
        <v>0</v>
      </c>
      <c r="AV24" s="6">
        <f t="shared" ref="AV24:AV25" si="28">IF(AS24,IF(AJ24,IF(AU24,VALUE(SUBSTITUTE(AR24, """", "")),VALUE(SUBSTITUTE(AR24, """", "."))),VALUE(AR24)),0)</f>
        <v>0</v>
      </c>
      <c r="AW24" s="6">
        <f t="shared" ref="AW24:AW25" si="29">AM24*3600+AQ24*60+AV24</f>
        <v>10.379999999999999</v>
      </c>
      <c r="AX24" s="6">
        <f>AW24/3600</f>
        <v>2.8833333333333332E-3</v>
      </c>
      <c r="AY24" s="6">
        <f>_xlfn.FLOOR.MATH((AX24))</f>
        <v>0</v>
      </c>
      <c r="AZ24" s="6">
        <f>(AW24-3600*AY24)/60</f>
        <v>0.17299999999999999</v>
      </c>
      <c r="BA24" s="6">
        <f>_xlfn.FLOOR.MATH((AZ24))</f>
        <v>0</v>
      </c>
      <c r="BB24" s="6">
        <f>AW24-3600*AY24-60*BA24</f>
        <v>10.379999999999999</v>
      </c>
      <c r="BC24" s="6">
        <f>AX24*IF(AE24&lt;0,-1,1)</f>
        <v>2.8833333333333332E-3</v>
      </c>
      <c r="BD24" s="7" t="str">
        <f>CONCATENATE(AF24,TEXT(AY24,"00"),"°",TEXT(BA24,"00"),"'",TEXT(BB24,"00.00"), " [", CONCATENATE(AF24,TEXT(AY24,"00"),"°",TEXT(AZ24,"00.00")),"]", "  (", AF24,TEXT(AX24,"00.0000"),"°)")</f>
        <v>00°00'10.38 [00°00.17]  (00.0029°)</v>
      </c>
    </row>
    <row r="25" spans="2:56" ht="17.25" customHeight="1" thickTop="1" thickBot="1" x14ac:dyDescent="0.3">
      <c r="C25" s="262"/>
      <c r="D25" s="548"/>
      <c r="E25" s="548"/>
      <c r="F25" s="548"/>
      <c r="G25" s="548"/>
      <c r="H25" s="548"/>
      <c r="I25" s="549"/>
      <c r="J25" s="377"/>
      <c r="K25" s="378"/>
      <c r="L25" s="379"/>
      <c r="M25" s="384"/>
      <c r="N25" s="385"/>
      <c r="O25" s="385"/>
      <c r="P25" s="447" t="str">
        <f>AC25</f>
        <v>00°00'10.38 [00°00.17]  (00.0029°)</v>
      </c>
      <c r="Q25" s="447"/>
      <c r="R25" s="447"/>
      <c r="S25" s="279"/>
      <c r="T25" s="279"/>
      <c r="U25" s="279"/>
      <c r="V25" s="279"/>
      <c r="W25" s="279"/>
      <c r="X25" s="279"/>
      <c r="Y25" s="17"/>
      <c r="AB25" s="18" t="str">
        <f>M22</f>
        <v>0.173'</v>
      </c>
      <c r="AC25" s="14" t="str">
        <f>BD25</f>
        <v>00°00'10.38 [00°00.17]  (00.0029°)</v>
      </c>
      <c r="AD25" s="7">
        <f>BC25</f>
        <v>2.8833333333333332E-3</v>
      </c>
      <c r="AE25" s="5">
        <f>IF(LEFT(TRIM(AB25),1)="-",-1,IF(LEFT(TRIM(AB25),1)="+",1, 0))</f>
        <v>0</v>
      </c>
      <c r="AF25" s="5" t="str">
        <f>IF(AE25&gt;0,"+",IF(AE25&lt;0,"-",""))</f>
        <v/>
      </c>
      <c r="AG25" s="5" t="str">
        <f>IF(ABS(AE25)&gt;0,RIGHT(AB25,LEN(AB25)-1),AB25)</f>
        <v>0.173'</v>
      </c>
      <c r="AH25" s="5" t="b">
        <f>ISNUMBER(SEARCH("°",AG25,1))</f>
        <v>0</v>
      </c>
      <c r="AI25" s="5" t="b">
        <f>ISNUMBER(SEARCH("'",AG25,1))</f>
        <v>1</v>
      </c>
      <c r="AJ25" s="5" t="b">
        <f>ISNUMBER(SEARCH("""",AG25,1))</f>
        <v>0</v>
      </c>
      <c r="AK25" s="5" t="b">
        <f>NOT(OR(AH25,AI25,AJ25))</f>
        <v>0</v>
      </c>
      <c r="AL25" s="5" t="b">
        <f t="shared" si="24"/>
        <v>0</v>
      </c>
      <c r="AM25" s="6">
        <f>IF(AK25,VALUE(AG25),IF(AH25,VALUE(LEFT(AG25,SEARCH("°",AG25,1)-1)),0))</f>
        <v>0</v>
      </c>
      <c r="AN25" s="5" t="str">
        <f>IF(AK25,"",IF(AH25,RIGHT(AG25,LEN(AG25)-SEARCH("°",AG25,1)),AG25))</f>
        <v>0.173'</v>
      </c>
      <c r="AO25" s="5" t="b">
        <f>(LEN(AN25)&gt;0)</f>
        <v>1</v>
      </c>
      <c r="AP25" s="5" t="b">
        <f>NOT(OR(AI25,AJ25))</f>
        <v>0</v>
      </c>
      <c r="AQ25" s="6">
        <f t="shared" si="25"/>
        <v>0.17299999999999999</v>
      </c>
      <c r="AR25" s="5" t="str">
        <f t="shared" si="26"/>
        <v/>
      </c>
      <c r="AS25" s="5" t="b">
        <f>(LEN(AR25)&gt;0)</f>
        <v>0</v>
      </c>
      <c r="AT25" s="5" t="b">
        <f t="shared" si="27"/>
        <v>1</v>
      </c>
      <c r="AU25" s="5" t="b">
        <f>ISNUMBER(SEARCH(".",AR25,1))</f>
        <v>0</v>
      </c>
      <c r="AV25" s="6">
        <f t="shared" si="28"/>
        <v>0</v>
      </c>
      <c r="AW25" s="6">
        <f t="shared" si="29"/>
        <v>10.379999999999999</v>
      </c>
      <c r="AX25" s="6">
        <f>AW25/3600</f>
        <v>2.8833333333333332E-3</v>
      </c>
      <c r="AY25" s="6">
        <f>_xlfn.FLOOR.MATH((AX25))</f>
        <v>0</v>
      </c>
      <c r="AZ25" s="6">
        <f>(AW25-3600*AY25)/60</f>
        <v>0.17299999999999999</v>
      </c>
      <c r="BA25" s="6">
        <f>_xlfn.FLOOR.MATH((AZ25))</f>
        <v>0</v>
      </c>
      <c r="BB25" s="6">
        <f>AW25-3600*AY25-60*BA25</f>
        <v>10.379999999999999</v>
      </c>
      <c r="BC25" s="6">
        <f>AX25*IF(AE25&lt;0,-1,1)</f>
        <v>2.8833333333333332E-3</v>
      </c>
      <c r="BD25" s="7" t="str">
        <f>CONCATENATE(AF25,TEXT(AY25,"00"),"°",TEXT(BA25,"00"),"'",TEXT(BB25,"00.00"), " [", CONCATENATE(AF25,TEXT(AY25,"00"),"°",TEXT(AZ25,"00.00")),"]", "  (", AF25,TEXT(AX25,"00.0000"),"°)")</f>
        <v>00°00'10.38 [00°00.17]  (00.0029°)</v>
      </c>
    </row>
    <row r="26" spans="2:56" ht="17.25" customHeight="1" thickTop="1" x14ac:dyDescent="0.25">
      <c r="C26" s="364" t="s">
        <v>226</v>
      </c>
      <c r="D26" s="365"/>
      <c r="E26" s="365"/>
      <c r="F26" s="365"/>
      <c r="G26" s="365"/>
      <c r="H26" s="365"/>
      <c r="I26" s="366"/>
      <c r="J26" s="387">
        <f>AD29</f>
        <v>0.53333333333333333</v>
      </c>
      <c r="K26" s="388"/>
      <c r="L26" s="389"/>
      <c r="M26" s="380" t="str">
        <f>P28</f>
        <v>32'</v>
      </c>
      <c r="N26" s="381"/>
      <c r="O26" s="381"/>
      <c r="P26" s="390" t="s">
        <v>221</v>
      </c>
      <c r="Q26" s="390"/>
      <c r="R26" s="390"/>
      <c r="S26" s="85"/>
      <c r="T26" s="85"/>
      <c r="U26" s="85"/>
      <c r="V26" s="85"/>
      <c r="W26" s="85"/>
      <c r="X26" s="85"/>
      <c r="Y26" s="17"/>
      <c r="AC26" s="19"/>
      <c r="AD26" s="20"/>
      <c r="AE26" s="88"/>
      <c r="AF26" s="88"/>
      <c r="AG26" s="88"/>
      <c r="AH26" s="88"/>
      <c r="AI26" s="88"/>
      <c r="AJ26" s="88"/>
      <c r="AK26" s="88"/>
      <c r="AL26" s="88"/>
      <c r="AM26" s="88"/>
      <c r="AN26" s="88"/>
      <c r="AO26" s="88"/>
      <c r="AP26" s="88"/>
      <c r="AQ26" s="88"/>
      <c r="AR26" s="88"/>
      <c r="AS26" s="88"/>
      <c r="AT26" s="88"/>
      <c r="AU26"/>
      <c r="AV26"/>
      <c r="AW26"/>
      <c r="AX26"/>
      <c r="AY26"/>
      <c r="AZ26"/>
      <c r="BA26"/>
    </row>
    <row r="27" spans="2:56" ht="17.25" customHeight="1" thickBot="1" x14ac:dyDescent="0.3">
      <c r="C27" s="367"/>
      <c r="D27" s="368"/>
      <c r="E27" s="368"/>
      <c r="F27" s="368"/>
      <c r="G27" s="368"/>
      <c r="H27" s="368"/>
      <c r="I27" s="369"/>
      <c r="J27" s="375"/>
      <c r="K27" s="343"/>
      <c r="L27" s="376"/>
      <c r="M27" s="382"/>
      <c r="N27" s="383"/>
      <c r="O27" s="383"/>
      <c r="P27" s="390"/>
      <c r="Q27" s="390"/>
      <c r="R27" s="390"/>
      <c r="S27" s="85"/>
      <c r="T27" s="85"/>
      <c r="U27" s="85"/>
      <c r="V27" s="85"/>
      <c r="W27" s="85"/>
      <c r="X27" s="85"/>
      <c r="Y27" s="17"/>
      <c r="AC27" s="19"/>
      <c r="AD27" s="20"/>
      <c r="AE27" s="88"/>
      <c r="AF27" s="88"/>
      <c r="AG27" s="88"/>
      <c r="AH27" s="88"/>
      <c r="AI27" s="88"/>
      <c r="AJ27" s="88"/>
      <c r="AK27" s="88"/>
      <c r="AL27" s="88"/>
      <c r="AM27" s="88"/>
      <c r="AN27" s="88"/>
      <c r="AO27" s="88"/>
      <c r="AP27" s="88"/>
      <c r="AQ27" s="88"/>
      <c r="AR27" s="88"/>
      <c r="AS27" s="88"/>
      <c r="AT27" s="88"/>
      <c r="AU27"/>
      <c r="AV27"/>
      <c r="AW27"/>
      <c r="AX27"/>
      <c r="AY27"/>
      <c r="AZ27"/>
      <c r="BA27"/>
    </row>
    <row r="28" spans="2:56" ht="17.25" customHeight="1" thickTop="1" thickBot="1" x14ac:dyDescent="0.3">
      <c r="C28" s="367"/>
      <c r="D28" s="368"/>
      <c r="E28" s="368"/>
      <c r="F28" s="368"/>
      <c r="G28" s="368"/>
      <c r="H28" s="368"/>
      <c r="I28" s="369"/>
      <c r="J28" s="375"/>
      <c r="K28" s="343"/>
      <c r="L28" s="376"/>
      <c r="M28" s="382"/>
      <c r="N28" s="383"/>
      <c r="O28" s="383"/>
      <c r="P28" s="432" t="str">
        <f>HLOOKUP(M20,AF20:AH23,4,FALSE)</f>
        <v>32'</v>
      </c>
      <c r="Q28" s="432"/>
      <c r="R28" s="432"/>
      <c r="S28" s="430" t="str">
        <f>AC28</f>
        <v>00°32'00.00 [00°32.00]  (00.5333°)</v>
      </c>
      <c r="T28" s="430"/>
      <c r="U28" s="430"/>
      <c r="V28" s="430"/>
      <c r="W28" s="430"/>
      <c r="X28" s="431"/>
      <c r="Y28" s="17"/>
      <c r="AB28" s="18" t="str">
        <f>P28</f>
        <v>32'</v>
      </c>
      <c r="AC28" s="14" t="str">
        <f>BD28</f>
        <v>00°32'00.00 [00°32.00]  (00.5333°)</v>
      </c>
      <c r="AD28" s="7">
        <f>BC28</f>
        <v>0.53333333333333333</v>
      </c>
      <c r="AE28" s="5">
        <f>IF(LEFT(TRIM(AB28),1)="-",-1,IF(LEFT(TRIM(AB28),1)="+",1, 0))</f>
        <v>0</v>
      </c>
      <c r="AF28" s="5" t="str">
        <f>IF(AE28&gt;0,"+",IF(AE28&lt;0,"-",""))</f>
        <v/>
      </c>
      <c r="AG28" s="5" t="str">
        <f>IF(ABS(AE28)&gt;0,RIGHT(AB28,LEN(AB28)-1),AB28)</f>
        <v>32'</v>
      </c>
      <c r="AH28" s="5" t="b">
        <f>ISNUMBER(SEARCH("°",AG28,1))</f>
        <v>0</v>
      </c>
      <c r="AI28" s="5" t="b">
        <f>ISNUMBER(SEARCH("'",AG28,1))</f>
        <v>1</v>
      </c>
      <c r="AJ28" s="5" t="b">
        <f>ISNUMBER(SEARCH("""",AG28,1))</f>
        <v>0</v>
      </c>
      <c r="AK28" s="5" t="b">
        <f>NOT(OR(AH28,AI28,AJ28))</f>
        <v>0</v>
      </c>
      <c r="AL28" s="5" t="b">
        <f t="shared" ref="AL28:AL29" si="30">OR(AK28,AH28)</f>
        <v>0</v>
      </c>
      <c r="AM28" s="6">
        <f>IF(AK28,VALUE(AG28),IF(AH28,VALUE(LEFT(AG28,SEARCH("°",AG28,1)-1)),0))</f>
        <v>0</v>
      </c>
      <c r="AN28" s="5" t="str">
        <f>IF(AK28,"",IF(AH28,RIGHT(AG28,LEN(AG28)-SEARCH("°",AG28,1)),AG28))</f>
        <v>32'</v>
      </c>
      <c r="AO28" s="5" t="b">
        <f>(LEN(AN28)&gt;0)</f>
        <v>1</v>
      </c>
      <c r="AP28" s="5" t="b">
        <f>NOT(OR(AI28,AJ28))</f>
        <v>0</v>
      </c>
      <c r="AQ28" s="6">
        <f t="shared" ref="AQ28:AQ29" si="31">IF(NOT(AO28),0,IF(AP28,VALUE(AN28),IF(NOT(AI28),0,VALUE(LEFT(AN28,SEARCH("'",AN28,1)-1)))))</f>
        <v>32</v>
      </c>
      <c r="AR28" s="5" t="str">
        <f t="shared" ref="AR28:AR29" si="32">IF(NOT(AO28),"",IF(AP28,"",IF(NOT(AI28),AN28,RIGHT(AN28,LEN(AN28)-SEARCH("'",AN28,1)))))</f>
        <v/>
      </c>
      <c r="AS28" s="5" t="b">
        <f>(LEN(AR28)&gt;0)</f>
        <v>0</v>
      </c>
      <c r="AT28" s="5" t="b">
        <f t="shared" ref="AT28:AT29" si="33">NOT(AJ28)</f>
        <v>1</v>
      </c>
      <c r="AU28" s="5" t="b">
        <f>ISNUMBER(SEARCH(".",AR28,1))</f>
        <v>0</v>
      </c>
      <c r="AV28" s="6">
        <f t="shared" ref="AV28:AV29" si="34">IF(AS28,IF(AJ28,IF(AU28,VALUE(SUBSTITUTE(AR28, """", "")),VALUE(SUBSTITUTE(AR28, """", "."))),VALUE(AR28)),0)</f>
        <v>0</v>
      </c>
      <c r="AW28" s="6">
        <f t="shared" ref="AW28:AW29" si="35">AM28*3600+AQ28*60+AV28</f>
        <v>1920</v>
      </c>
      <c r="AX28" s="6">
        <f>AW28/3600</f>
        <v>0.53333333333333333</v>
      </c>
      <c r="AY28" s="6">
        <f>_xlfn.FLOOR.MATH((AX28))</f>
        <v>0</v>
      </c>
      <c r="AZ28" s="6">
        <f>(AW28-3600*AY28)/60</f>
        <v>32</v>
      </c>
      <c r="BA28" s="6">
        <f>_xlfn.FLOOR.MATH((AZ28))</f>
        <v>32</v>
      </c>
      <c r="BB28" s="6">
        <f>AW28-3600*AY28-60*BA28</f>
        <v>0</v>
      </c>
      <c r="BC28" s="6">
        <f>AX28*IF(AE28&lt;0,-1,1)</f>
        <v>0.53333333333333333</v>
      </c>
      <c r="BD28" s="7" t="str">
        <f>CONCATENATE(AF28,TEXT(AY28,"00"),"°",TEXT(BA28,"00"),"'",TEXT(BB28,"00.00"), " [", CONCATENATE(AF28,TEXT(AY28,"00"),"°",TEXT(AZ28,"00.00")),"]", "  (", AF28,TEXT(AX28,"00.0000"),"°)")</f>
        <v>00°32'00.00 [00°32.00]  (00.5333°)</v>
      </c>
    </row>
    <row r="29" spans="2:56" ht="17.25" customHeight="1" thickTop="1" thickBot="1" x14ac:dyDescent="0.3">
      <c r="C29" s="370"/>
      <c r="D29" s="371"/>
      <c r="E29" s="371"/>
      <c r="F29" s="371"/>
      <c r="G29" s="371"/>
      <c r="H29" s="371"/>
      <c r="I29" s="372"/>
      <c r="J29" s="377"/>
      <c r="K29" s="378"/>
      <c r="L29" s="379"/>
      <c r="M29" s="384"/>
      <c r="N29" s="385"/>
      <c r="O29" s="385"/>
      <c r="P29" s="426" t="str">
        <f>AC29</f>
        <v>00°32'00.00 [00°32.00]  (00.5333°)</v>
      </c>
      <c r="Q29" s="426"/>
      <c r="R29" s="426"/>
      <c r="S29" s="279"/>
      <c r="T29" s="279"/>
      <c r="U29" s="279"/>
      <c r="V29" s="279"/>
      <c r="W29" s="279"/>
      <c r="X29" s="279"/>
      <c r="Y29" s="17"/>
      <c r="AB29" s="18" t="str">
        <f>M26</f>
        <v>32'</v>
      </c>
      <c r="AC29" s="14" t="str">
        <f>BD29</f>
        <v>00°32'00.00 [00°32.00]  (00.5333°)</v>
      </c>
      <c r="AD29" s="7">
        <f>BC29</f>
        <v>0.53333333333333333</v>
      </c>
      <c r="AE29" s="5">
        <f>IF(LEFT(TRIM(AB29),1)="-",-1,IF(LEFT(TRIM(AB29),1)="+",1, 0))</f>
        <v>0</v>
      </c>
      <c r="AF29" s="5" t="str">
        <f>IF(AE29&gt;0,"+",IF(AE29&lt;0,"-",""))</f>
        <v/>
      </c>
      <c r="AG29" s="5" t="str">
        <f>IF(ABS(AE29)&gt;0,RIGHT(AB29,LEN(AB29)-1),AB29)</f>
        <v>32'</v>
      </c>
      <c r="AH29" s="5" t="b">
        <f>ISNUMBER(SEARCH("°",AG29,1))</f>
        <v>0</v>
      </c>
      <c r="AI29" s="5" t="b">
        <f>ISNUMBER(SEARCH("'",AG29,1))</f>
        <v>1</v>
      </c>
      <c r="AJ29" s="5" t="b">
        <f>ISNUMBER(SEARCH("""",AG29,1))</f>
        <v>0</v>
      </c>
      <c r="AK29" s="5" t="b">
        <f>NOT(OR(AH29,AI29,AJ29))</f>
        <v>0</v>
      </c>
      <c r="AL29" s="5" t="b">
        <f t="shared" si="30"/>
        <v>0</v>
      </c>
      <c r="AM29" s="6">
        <f>IF(AK29,VALUE(AG29),IF(AH29,VALUE(LEFT(AG29,SEARCH("°",AG29,1)-1)),0))</f>
        <v>0</v>
      </c>
      <c r="AN29" s="5" t="str">
        <f>IF(AK29,"",IF(AH29,RIGHT(AG29,LEN(AG29)-SEARCH("°",AG29,1)),AG29))</f>
        <v>32'</v>
      </c>
      <c r="AO29" s="5" t="b">
        <f>(LEN(AN29)&gt;0)</f>
        <v>1</v>
      </c>
      <c r="AP29" s="5" t="b">
        <f>NOT(OR(AI29,AJ29))</f>
        <v>0</v>
      </c>
      <c r="AQ29" s="6">
        <f t="shared" si="31"/>
        <v>32</v>
      </c>
      <c r="AR29" s="5" t="str">
        <f t="shared" si="32"/>
        <v/>
      </c>
      <c r="AS29" s="5" t="b">
        <f>(LEN(AR29)&gt;0)</f>
        <v>0</v>
      </c>
      <c r="AT29" s="5" t="b">
        <f t="shared" si="33"/>
        <v>1</v>
      </c>
      <c r="AU29" s="5" t="b">
        <f>ISNUMBER(SEARCH(".",AR29,1))</f>
        <v>0</v>
      </c>
      <c r="AV29" s="6">
        <f t="shared" si="34"/>
        <v>0</v>
      </c>
      <c r="AW29" s="6">
        <f t="shared" si="35"/>
        <v>1920</v>
      </c>
      <c r="AX29" s="6">
        <f>AW29/3600</f>
        <v>0.53333333333333333</v>
      </c>
      <c r="AY29" s="6">
        <f>_xlfn.FLOOR.MATH((AX29))</f>
        <v>0</v>
      </c>
      <c r="AZ29" s="6">
        <f>(AW29-3600*AY29)/60</f>
        <v>32</v>
      </c>
      <c r="BA29" s="6">
        <f>_xlfn.FLOOR.MATH((AZ29))</f>
        <v>32</v>
      </c>
      <c r="BB29" s="6">
        <f>AW29-3600*AY29-60*BA29</f>
        <v>0</v>
      </c>
      <c r="BC29" s="6">
        <f>AX29*IF(AE29&lt;0,-1,1)</f>
        <v>0.53333333333333333</v>
      </c>
      <c r="BD29" s="7" t="str">
        <f>CONCATENATE(AF29,TEXT(AY29,"00"),"°",TEXT(BA29,"00"),"'",TEXT(BB29,"00.00"), " [", CONCATENATE(AF29,TEXT(AY29,"00"),"°",TEXT(AZ29,"00.00")),"]", "  (", AF29,TEXT(AX29,"00.0000"),"°)")</f>
        <v>00°32'00.00 [00°32.00]  (00.5333°)</v>
      </c>
    </row>
    <row r="30" spans="2:56" ht="17.25" customHeight="1" thickTop="1" thickBot="1" x14ac:dyDescent="0.3"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</row>
    <row r="31" spans="2:56" ht="17.25" customHeight="1" thickBot="1" x14ac:dyDescent="0.3">
      <c r="B31" s="47" t="s">
        <v>23</v>
      </c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48"/>
      <c r="AF31" s="48"/>
      <c r="AG31" s="48"/>
      <c r="AH31" s="48"/>
      <c r="AI31" s="48"/>
      <c r="AJ31" s="48"/>
      <c r="AK31" s="48"/>
      <c r="AL31" s="48"/>
      <c r="AM31" s="48"/>
      <c r="AN31" s="48"/>
      <c r="AO31" s="48"/>
      <c r="AP31" s="48"/>
      <c r="AQ31" s="48"/>
      <c r="AR31" s="48"/>
      <c r="AS31" s="48"/>
      <c r="AT31" s="48"/>
      <c r="AU31" s="48"/>
      <c r="AV31" s="48"/>
      <c r="AW31" s="48"/>
      <c r="AX31" s="48"/>
      <c r="AY31" s="48"/>
      <c r="AZ31" s="48"/>
      <c r="BA31" s="48"/>
      <c r="BB31" s="49"/>
    </row>
    <row r="32" spans="2:56" ht="17.25" customHeight="1" x14ac:dyDescent="0.25">
      <c r="C32" s="17"/>
      <c r="D32" s="17"/>
      <c r="E32" s="448" t="s">
        <v>8</v>
      </c>
      <c r="F32" s="448"/>
      <c r="G32" s="448"/>
      <c r="H32" s="448"/>
      <c r="I32" s="17"/>
      <c r="J32" s="17"/>
      <c r="K32" s="17"/>
      <c r="L32" s="17"/>
      <c r="M32" s="17"/>
      <c r="N32" s="36"/>
      <c r="O32" s="36"/>
      <c r="P32" s="36"/>
      <c r="Q32" s="36"/>
      <c r="R32" s="36"/>
      <c r="S32" s="36"/>
      <c r="T32" s="36"/>
      <c r="U32" s="36"/>
      <c r="V32" s="36"/>
      <c r="AC32" s="14"/>
      <c r="AD32" s="7"/>
      <c r="AE32" s="3" t="s">
        <v>57</v>
      </c>
      <c r="AF32" s="3" t="s">
        <v>57</v>
      </c>
      <c r="AG32" s="3" t="s">
        <v>304</v>
      </c>
      <c r="AH32" s="3" t="s">
        <v>120</v>
      </c>
      <c r="AI32" s="3" t="s">
        <v>121</v>
      </c>
      <c r="AJ32" s="3" t="s">
        <v>122</v>
      </c>
      <c r="AK32" s="3" t="s">
        <v>123</v>
      </c>
      <c r="AL32" s="3" t="s">
        <v>124</v>
      </c>
      <c r="AM32" s="3" t="s">
        <v>125</v>
      </c>
      <c r="AN32" s="3" t="s">
        <v>101</v>
      </c>
      <c r="AO32" s="3" t="s">
        <v>129</v>
      </c>
      <c r="AP32" s="3" t="s">
        <v>128</v>
      </c>
      <c r="AQ32" s="3" t="s">
        <v>126</v>
      </c>
      <c r="AR32" s="3" t="s">
        <v>127</v>
      </c>
      <c r="AS32" s="3" t="s">
        <v>129</v>
      </c>
      <c r="AT32" s="3" t="s">
        <v>128</v>
      </c>
      <c r="AU32" s="3" t="s">
        <v>130</v>
      </c>
      <c r="AV32" s="3" t="s">
        <v>112</v>
      </c>
      <c r="AW32" s="3" t="s">
        <v>117</v>
      </c>
      <c r="AX32" s="3" t="s">
        <v>143</v>
      </c>
      <c r="AY32" s="3" t="s">
        <v>149</v>
      </c>
      <c r="AZ32" s="3" t="s">
        <v>131</v>
      </c>
      <c r="BA32" s="3" t="s">
        <v>150</v>
      </c>
      <c r="BB32" s="3" t="s">
        <v>112</v>
      </c>
      <c r="BC32" s="3" t="s">
        <v>308</v>
      </c>
      <c r="BD32" s="3" t="s">
        <v>151</v>
      </c>
    </row>
    <row r="33" spans="1:66" ht="17.25" customHeight="1" thickBot="1" x14ac:dyDescent="0.3">
      <c r="C33" s="17"/>
      <c r="D33" s="17"/>
      <c r="E33" s="448"/>
      <c r="F33" s="448"/>
      <c r="G33" s="448"/>
      <c r="H33" s="448"/>
      <c r="I33" s="17"/>
      <c r="J33" s="17" t="s">
        <v>379</v>
      </c>
      <c r="K33" s="17"/>
      <c r="L33" s="17" t="s">
        <v>380</v>
      </c>
      <c r="M33" s="17"/>
      <c r="N33" s="36"/>
      <c r="O33" s="36"/>
      <c r="P33" s="36"/>
      <c r="Q33" s="36"/>
      <c r="R33" s="36"/>
      <c r="S33" s="36"/>
      <c r="T33" s="36"/>
      <c r="U33" s="36"/>
      <c r="V33" s="36"/>
      <c r="AB33" s="18" t="str">
        <f>IF(VLOOKUP(I34,$A$36:$C$37,3)&gt;0,AB34,CONCATENATE("-",AB34))</f>
        <v>48°52'</v>
      </c>
      <c r="AC33" s="14" t="str">
        <f>BD33</f>
        <v>48°52'00.00 [48°52.00]  (48.8667°)</v>
      </c>
      <c r="AD33" s="7">
        <f>BC33</f>
        <v>48.866666666666667</v>
      </c>
      <c r="AE33" s="5">
        <f>IF(LEFT(TRIM(AB33),1)="-",-1,IF(LEFT(TRIM(AB33),1)="+",1, 0))</f>
        <v>0</v>
      </c>
      <c r="AF33" s="5" t="str">
        <f>IF(AE33&gt;0,"+",IF(AE33&lt;0,"-",""))</f>
        <v/>
      </c>
      <c r="AG33" s="5" t="str">
        <f>IF(ABS(AE33)&gt;0,RIGHT(AB33,LEN(AB33)-1),AB33)</f>
        <v>48°52'</v>
      </c>
      <c r="AH33" s="5" t="b">
        <f>ISNUMBER(SEARCH("°",AG33,1))</f>
        <v>1</v>
      </c>
      <c r="AI33" s="5" t="b">
        <f>ISNUMBER(SEARCH("'",AG33,1))</f>
        <v>1</v>
      </c>
      <c r="AJ33" s="5" t="b">
        <f>ISNUMBER(SEARCH("""",AG33,1))</f>
        <v>0</v>
      </c>
      <c r="AK33" s="5" t="b">
        <f>NOT(OR(AH33,AI33,AJ33))</f>
        <v>0</v>
      </c>
      <c r="AL33" s="5" t="b">
        <f t="shared" ref="AL33" si="36">OR(AK33,AH33)</f>
        <v>1</v>
      </c>
      <c r="AM33" s="6">
        <f>IF(AK33,VALUE(AG33),IF(AH33,VALUE(LEFT(AG33,SEARCH("°",AG33,1)-1)),0))</f>
        <v>48</v>
      </c>
      <c r="AN33" s="5" t="str">
        <f>IF(AK33,"",IF(AH33,RIGHT(AG33,LEN(AG33)-SEARCH("°",AG33,1)),AG33))</f>
        <v>52'</v>
      </c>
      <c r="AO33" s="5" t="b">
        <f>(LEN(AN33)&gt;0)</f>
        <v>1</v>
      </c>
      <c r="AP33" s="5" t="b">
        <f>NOT(OR(AI33,AJ33))</f>
        <v>0</v>
      </c>
      <c r="AQ33" s="6">
        <f t="shared" ref="AQ33" si="37">IF(NOT(AO33),0,IF(AP33,VALUE(AN33),IF(NOT(AI33),0,VALUE(LEFT(AN33,SEARCH("'",AN33,1)-1)))))</f>
        <v>52</v>
      </c>
      <c r="AR33" s="5" t="str">
        <f t="shared" ref="AR33" si="38">IF(NOT(AO33),"",IF(AP33,"",IF(NOT(AI33),AN33,RIGHT(AN33,LEN(AN33)-SEARCH("'",AN33,1)))))</f>
        <v/>
      </c>
      <c r="AS33" s="5" t="b">
        <f>(LEN(AR33)&gt;0)</f>
        <v>0</v>
      </c>
      <c r="AT33" s="5" t="b">
        <f t="shared" ref="AT33" si="39">NOT(AJ33)</f>
        <v>1</v>
      </c>
      <c r="AU33" s="5" t="b">
        <f>ISNUMBER(SEARCH(".",AR33,1))</f>
        <v>0</v>
      </c>
      <c r="AV33" s="6">
        <f t="shared" ref="AV33" si="40">IF(AS33,IF(AJ33,IF(AU33,VALUE(SUBSTITUTE(AR33, """", "")),VALUE(SUBSTITUTE(AR33, """", "."))),VALUE(AR33)),0)</f>
        <v>0</v>
      </c>
      <c r="AW33" s="6">
        <f t="shared" ref="AW33" si="41">AM33*3600+AQ33*60+AV33</f>
        <v>175920</v>
      </c>
      <c r="AX33" s="6">
        <f>AW33/3600</f>
        <v>48.866666666666667</v>
      </c>
      <c r="AY33" s="6">
        <f>_xlfn.FLOOR.MATH((AX33))</f>
        <v>48</v>
      </c>
      <c r="AZ33" s="6">
        <f>(AW33-3600*AY33)/60</f>
        <v>52</v>
      </c>
      <c r="BA33" s="6">
        <f>_xlfn.FLOOR.MATH((AZ33))</f>
        <v>52</v>
      </c>
      <c r="BB33" s="6">
        <f>AW33-3600*AY33-60*BA33</f>
        <v>0</v>
      </c>
      <c r="BC33" s="6">
        <f>AX33*IF(AE33&lt;0,-1,1)</f>
        <v>48.866666666666667</v>
      </c>
      <c r="BD33" s="7" t="str">
        <f>CONCATENATE(AF33,TEXT(AY33,"00"),"°",TEXT(BA33,"00"),"'",TEXT(BB33,"00.00"), " [", CONCATENATE(AF33,TEXT(AY33,"00"),"°",TEXT(AZ33,"00.00")),"]", "  (", AF33,TEXT(AX33,"00.0000"),"°)")</f>
        <v>48°52'00.00 [48°52.00]  (48.8667°)</v>
      </c>
    </row>
    <row r="34" spans="1:66" ht="17.25" customHeight="1" thickTop="1" thickBot="1" x14ac:dyDescent="0.3">
      <c r="A34" s="410" t="s">
        <v>56</v>
      </c>
      <c r="B34" s="411"/>
      <c r="C34" s="412"/>
      <c r="D34" s="178"/>
      <c r="E34" s="17"/>
      <c r="F34" s="398">
        <f>AD33</f>
        <v>48.866666666666667</v>
      </c>
      <c r="G34" s="424"/>
      <c r="H34" s="424"/>
      <c r="I34" s="363" t="s">
        <v>4</v>
      </c>
      <c r="J34" s="414" t="s">
        <v>371</v>
      </c>
      <c r="K34" s="363"/>
      <c r="L34" s="363"/>
      <c r="M34" s="363"/>
      <c r="N34" s="363"/>
      <c r="O34" s="357" t="str">
        <f>AC33</f>
        <v>48°52'00.00 [48°52.00]  (48.8667°)</v>
      </c>
      <c r="P34" s="357"/>
      <c r="Q34" s="357"/>
      <c r="R34" s="357"/>
      <c r="S34" s="357"/>
      <c r="T34" s="357"/>
      <c r="U34" s="357"/>
      <c r="V34" s="357"/>
      <c r="W34" s="357"/>
      <c r="X34" s="357"/>
      <c r="Y34" s="36"/>
      <c r="Z34" s="36"/>
      <c r="AB34" s="18" t="str">
        <f>J34</f>
        <v>48°52'</v>
      </c>
      <c r="AD34" s="37"/>
      <c r="AE34" s="88"/>
      <c r="AF34" s="88"/>
      <c r="AG34" s="88"/>
      <c r="AH34" s="88"/>
      <c r="AM34" s="22"/>
      <c r="AO34" s="29"/>
      <c r="AU34" s="38"/>
      <c r="AV34" s="38"/>
      <c r="AW34" s="39"/>
      <c r="AX34" s="39"/>
      <c r="AY34"/>
      <c r="AZ34"/>
      <c r="BA34"/>
      <c r="BB34"/>
      <c r="BC34" s="39"/>
      <c r="BD34" s="39"/>
      <c r="BE34" s="39"/>
      <c r="BF34" s="39"/>
      <c r="BG34" s="39"/>
      <c r="BH34" s="39"/>
      <c r="BI34" s="39"/>
      <c r="BJ34" s="39"/>
      <c r="BK34" s="39"/>
      <c r="BL34" s="39"/>
      <c r="BM34" s="39"/>
      <c r="BN34" s="39"/>
    </row>
    <row r="35" spans="1:66" ht="17.25" customHeight="1" thickTop="1" thickBot="1" x14ac:dyDescent="0.3">
      <c r="A35" s="40" t="s">
        <v>68</v>
      </c>
      <c r="B35" s="41" t="s">
        <v>69</v>
      </c>
      <c r="C35" s="42"/>
      <c r="D35" s="178"/>
      <c r="E35" s="17"/>
      <c r="F35" s="424"/>
      <c r="G35" s="424"/>
      <c r="H35" s="424"/>
      <c r="I35" s="363"/>
      <c r="J35" s="363"/>
      <c r="K35" s="363"/>
      <c r="L35" s="363"/>
      <c r="M35" s="363"/>
      <c r="N35" s="363"/>
      <c r="O35" s="357"/>
      <c r="P35" s="357"/>
      <c r="Q35" s="357"/>
      <c r="R35" s="357"/>
      <c r="S35" s="357"/>
      <c r="T35" s="357"/>
      <c r="U35" s="357"/>
      <c r="V35" s="357"/>
      <c r="W35" s="357"/>
      <c r="X35" s="357"/>
      <c r="Y35" s="36"/>
      <c r="Z35" s="36"/>
      <c r="AM35" s="22"/>
      <c r="AO35" s="29"/>
      <c r="AW35" s="39"/>
      <c r="AX35" s="39"/>
      <c r="AY35" s="39"/>
      <c r="AZ35" s="39"/>
      <c r="BA35" s="39"/>
      <c r="BB35" s="39"/>
      <c r="BC35" s="39"/>
      <c r="BD35" s="39"/>
      <c r="BE35" s="39"/>
      <c r="BF35" s="39"/>
      <c r="BG35" s="39"/>
      <c r="BH35" s="39"/>
      <c r="BI35" s="39"/>
      <c r="BJ35" s="39"/>
      <c r="BK35" s="39"/>
      <c r="BL35" s="39"/>
      <c r="BM35" s="39"/>
      <c r="BN35" s="39"/>
    </row>
    <row r="36" spans="1:66" ht="17.25" customHeight="1" thickTop="1" x14ac:dyDescent="0.25">
      <c r="A36" s="40" t="s">
        <v>4</v>
      </c>
      <c r="B36" s="41" t="s">
        <v>6</v>
      </c>
      <c r="C36" s="42">
        <v>1</v>
      </c>
      <c r="D36" s="178"/>
      <c r="E36" s="17"/>
      <c r="F36" s="17"/>
      <c r="G36" s="17"/>
      <c r="H36" s="17"/>
      <c r="AE36" s="17"/>
      <c r="AF36" s="17"/>
      <c r="AG36" s="17"/>
      <c r="AH36" s="17"/>
      <c r="AI36" s="17"/>
      <c r="AJ36" s="17"/>
      <c r="AK36" s="17"/>
      <c r="AL36" s="17"/>
      <c r="AW36" s="39"/>
      <c r="AX36" s="39"/>
      <c r="AY36" s="39"/>
      <c r="AZ36" s="39"/>
      <c r="BA36" s="39"/>
      <c r="BB36" s="39"/>
      <c r="BC36" s="39"/>
      <c r="BD36" s="39"/>
      <c r="BE36" s="39"/>
      <c r="BF36" s="39"/>
      <c r="BG36" s="39"/>
      <c r="BH36" s="39"/>
      <c r="BI36" s="39"/>
      <c r="BJ36" s="39"/>
      <c r="BK36" s="39"/>
      <c r="BL36" s="39"/>
      <c r="BM36" s="39"/>
      <c r="BN36" s="39"/>
    </row>
    <row r="37" spans="1:66" ht="17.25" customHeight="1" thickBot="1" x14ac:dyDescent="0.3">
      <c r="A37" s="43" t="s">
        <v>5</v>
      </c>
      <c r="B37" s="44" t="s">
        <v>7</v>
      </c>
      <c r="C37" s="45">
        <v>-1</v>
      </c>
      <c r="D37" s="178"/>
      <c r="E37" s="425" t="s">
        <v>9</v>
      </c>
      <c r="F37" s="425"/>
      <c r="G37" s="425"/>
      <c r="H37" s="425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AC37" s="14"/>
      <c r="AD37" s="7"/>
      <c r="AE37" s="3" t="s">
        <v>57</v>
      </c>
      <c r="AF37" s="3" t="s">
        <v>57</v>
      </c>
      <c r="AG37" s="3" t="s">
        <v>304</v>
      </c>
      <c r="AH37" s="3" t="s">
        <v>120</v>
      </c>
      <c r="AI37" s="3" t="s">
        <v>121</v>
      </c>
      <c r="AJ37" s="3" t="s">
        <v>122</v>
      </c>
      <c r="AK37" s="3" t="s">
        <v>123</v>
      </c>
      <c r="AL37" s="3" t="s">
        <v>124</v>
      </c>
      <c r="AM37" s="3" t="s">
        <v>125</v>
      </c>
      <c r="AN37" s="3" t="s">
        <v>101</v>
      </c>
      <c r="AO37" s="3" t="s">
        <v>129</v>
      </c>
      <c r="AP37" s="3" t="s">
        <v>128</v>
      </c>
      <c r="AQ37" s="3" t="s">
        <v>126</v>
      </c>
      <c r="AR37" s="3" t="s">
        <v>127</v>
      </c>
      <c r="AS37" s="3" t="s">
        <v>129</v>
      </c>
      <c r="AT37" s="3" t="s">
        <v>128</v>
      </c>
      <c r="AU37" s="3" t="s">
        <v>130</v>
      </c>
      <c r="AV37" s="3" t="s">
        <v>112</v>
      </c>
      <c r="AW37" s="3" t="s">
        <v>117</v>
      </c>
      <c r="AX37" s="3" t="s">
        <v>143</v>
      </c>
      <c r="AY37" s="3" t="s">
        <v>149</v>
      </c>
      <c r="AZ37" s="3" t="s">
        <v>131</v>
      </c>
      <c r="BA37" s="3" t="s">
        <v>150</v>
      </c>
      <c r="BB37" s="3" t="s">
        <v>112</v>
      </c>
      <c r="BC37" s="3" t="s">
        <v>308</v>
      </c>
      <c r="BD37" s="3" t="s">
        <v>151</v>
      </c>
      <c r="BE37" s="39"/>
      <c r="BF37" s="39"/>
      <c r="BG37" s="39"/>
      <c r="BH37" s="39"/>
      <c r="BI37" s="39"/>
      <c r="BJ37" s="39"/>
      <c r="BK37" s="39"/>
      <c r="BL37" s="39"/>
      <c r="BM37" s="39"/>
      <c r="BN37" s="39"/>
    </row>
    <row r="38" spans="1:66" ht="17.25" customHeight="1" thickBot="1" x14ac:dyDescent="0.3">
      <c r="C38" s="17"/>
      <c r="D38" s="17"/>
      <c r="E38" s="425"/>
      <c r="F38" s="425"/>
      <c r="G38" s="425"/>
      <c r="H38" s="425"/>
      <c r="I38" s="36"/>
      <c r="J38" s="36" t="s">
        <v>379</v>
      </c>
      <c r="K38" s="36"/>
      <c r="L38" s="36" t="s">
        <v>388</v>
      </c>
      <c r="M38" s="17"/>
      <c r="N38" s="17"/>
      <c r="O38" s="36"/>
      <c r="P38" s="36"/>
      <c r="Q38" s="36"/>
      <c r="R38" s="36"/>
      <c r="S38" s="36"/>
      <c r="T38" s="36"/>
      <c r="U38" s="36"/>
      <c r="V38" s="36"/>
      <c r="AB38" s="18" t="str">
        <f>IF(VLOOKUP(I39,$B$36:$C$37,2)&gt;0,AB39,CONCATENATE("-",AB39))</f>
        <v>2°05'</v>
      </c>
      <c r="AC38" s="14" t="str">
        <f>BD38</f>
        <v>02°05'00.00 [02°05.00]  (02.0833°)</v>
      </c>
      <c r="AD38" s="7">
        <f>BC38</f>
        <v>2.0833333333333335</v>
      </c>
      <c r="AE38" s="5">
        <f>IF(LEFT(TRIM(AB38),1)="-",-1,IF(LEFT(TRIM(AB38),1)="+",1, 0))</f>
        <v>0</v>
      </c>
      <c r="AF38" s="5" t="str">
        <f>IF(AE38&gt;0,"+",IF(AE38&lt;0,"-",""))</f>
        <v/>
      </c>
      <c r="AG38" s="5" t="str">
        <f>IF(ABS(AE38)&gt;0,RIGHT(AB38,LEN(AB38)-1),AB38)</f>
        <v>2°05'</v>
      </c>
      <c r="AH38" s="5" t="b">
        <f>ISNUMBER(SEARCH("°",AG38,1))</f>
        <v>1</v>
      </c>
      <c r="AI38" s="5" t="b">
        <f>ISNUMBER(SEARCH("'",AG38,1))</f>
        <v>1</v>
      </c>
      <c r="AJ38" s="5" t="b">
        <f>ISNUMBER(SEARCH("""",AG38,1))</f>
        <v>0</v>
      </c>
      <c r="AK38" s="5" t="b">
        <f>NOT(OR(AH38,AI38,AJ38))</f>
        <v>0</v>
      </c>
      <c r="AL38" s="5" t="b">
        <f t="shared" ref="AL38" si="42">OR(AK38,AH38)</f>
        <v>1</v>
      </c>
      <c r="AM38" s="6">
        <f>IF(AK38,VALUE(AG38),IF(AH38,VALUE(LEFT(AG38,SEARCH("°",AG38,1)-1)),0))</f>
        <v>2</v>
      </c>
      <c r="AN38" s="5" t="str">
        <f>IF(AK38,"",IF(AH38,RIGHT(AG38,LEN(AG38)-SEARCH("°",AG38,1)),AG38))</f>
        <v>05'</v>
      </c>
      <c r="AO38" s="5" t="b">
        <f>(LEN(AN38)&gt;0)</f>
        <v>1</v>
      </c>
      <c r="AP38" s="5" t="b">
        <f>NOT(OR(AI38,AJ38))</f>
        <v>0</v>
      </c>
      <c r="AQ38" s="6">
        <f t="shared" ref="AQ38" si="43">IF(NOT(AO38),0,IF(AP38,VALUE(AN38),IF(NOT(AI38),0,VALUE(LEFT(AN38,SEARCH("'",AN38,1)-1)))))</f>
        <v>5</v>
      </c>
      <c r="AR38" s="5" t="str">
        <f t="shared" ref="AR38" si="44">IF(NOT(AO38),"",IF(AP38,"",IF(NOT(AI38),AN38,RIGHT(AN38,LEN(AN38)-SEARCH("'",AN38,1)))))</f>
        <v/>
      </c>
      <c r="AS38" s="5" t="b">
        <f>(LEN(AR38)&gt;0)</f>
        <v>0</v>
      </c>
      <c r="AT38" s="5" t="b">
        <f t="shared" ref="AT38" si="45">NOT(AJ38)</f>
        <v>1</v>
      </c>
      <c r="AU38" s="5" t="b">
        <f>ISNUMBER(SEARCH(".",AR38,1))</f>
        <v>0</v>
      </c>
      <c r="AV38" s="6">
        <f t="shared" ref="AV38" si="46">IF(AS38,IF(AJ38,IF(AU38,VALUE(SUBSTITUTE(AR38, """", "")),VALUE(SUBSTITUTE(AR38, """", "."))),VALUE(AR38)),0)</f>
        <v>0</v>
      </c>
      <c r="AW38" s="6">
        <f t="shared" ref="AW38" si="47">AM38*3600+AQ38*60+AV38</f>
        <v>7500</v>
      </c>
      <c r="AX38" s="6">
        <f>AW38/3600</f>
        <v>2.0833333333333335</v>
      </c>
      <c r="AY38" s="6">
        <f>_xlfn.FLOOR.MATH((AX38))</f>
        <v>2</v>
      </c>
      <c r="AZ38" s="6">
        <f>(AW38-3600*AY38)/60</f>
        <v>5</v>
      </c>
      <c r="BA38" s="6">
        <f>_xlfn.FLOOR.MATH((AZ38))</f>
        <v>5</v>
      </c>
      <c r="BB38" s="6">
        <f>AW38-3600*AY38-60*BA38</f>
        <v>0</v>
      </c>
      <c r="BC38" s="6">
        <f>AX38*IF(AE38&lt;0,-1,1)</f>
        <v>2.0833333333333335</v>
      </c>
      <c r="BD38" s="7" t="str">
        <f>CONCATENATE(AF38,TEXT(AY38,"00"),"°",TEXT(BA38,"00"),"'",TEXT(BB38,"00.00"), " [", CONCATENATE(AF38,TEXT(AY38,"00"),"°",TEXT(AZ38,"00.00")),"]", "  (", AF38,TEXT(AX38,"00.0000"),"°)")</f>
        <v>02°05'00.00 [02°05.00]  (02.0833°)</v>
      </c>
      <c r="BE38" s="39"/>
      <c r="BF38" s="39"/>
      <c r="BG38" s="39"/>
      <c r="BH38" s="39"/>
      <c r="BI38" s="39"/>
      <c r="BJ38" s="39"/>
      <c r="BK38" s="39"/>
      <c r="BL38" s="39"/>
      <c r="BM38" s="39"/>
      <c r="BN38" s="39"/>
    </row>
    <row r="39" spans="1:66" ht="17.25" customHeight="1" thickTop="1" thickBot="1" x14ac:dyDescent="0.3">
      <c r="B39" s="17"/>
      <c r="C39" s="46"/>
      <c r="D39" s="46"/>
      <c r="E39" s="17"/>
      <c r="F39" s="398">
        <f>AD38</f>
        <v>2.0833333333333335</v>
      </c>
      <c r="G39" s="424"/>
      <c r="H39" s="424"/>
      <c r="I39" s="363" t="s">
        <v>6</v>
      </c>
      <c r="J39" s="414" t="s">
        <v>372</v>
      </c>
      <c r="K39" s="363"/>
      <c r="L39" s="363"/>
      <c r="M39" s="363"/>
      <c r="N39" s="363"/>
      <c r="O39" s="357" t="str">
        <f>AC38</f>
        <v>02°05'00.00 [02°05.00]  (02.0833°)</v>
      </c>
      <c r="P39" s="357"/>
      <c r="Q39" s="357"/>
      <c r="R39" s="357"/>
      <c r="S39" s="357"/>
      <c r="T39" s="357"/>
      <c r="U39" s="357"/>
      <c r="V39" s="357"/>
      <c r="W39" s="357"/>
      <c r="X39" s="357"/>
      <c r="Y39" s="36"/>
      <c r="Z39" s="36"/>
      <c r="AB39" s="18" t="str">
        <f>J39</f>
        <v>2°05'</v>
      </c>
      <c r="AD39" s="37"/>
      <c r="AE39" s="88"/>
      <c r="AF39" s="88"/>
      <c r="AG39" s="88"/>
      <c r="AH39" s="88"/>
      <c r="AM39" s="22"/>
      <c r="AO39" s="29"/>
      <c r="AU39" s="38"/>
      <c r="AV39" s="38"/>
      <c r="AW39" s="39"/>
      <c r="AX39" s="39"/>
      <c r="AY39"/>
      <c r="AZ39"/>
      <c r="BA39"/>
      <c r="BB39"/>
    </row>
    <row r="40" spans="1:66" ht="17.25" customHeight="1" thickTop="1" thickBot="1" x14ac:dyDescent="0.3">
      <c r="C40" s="46"/>
      <c r="D40" s="46"/>
      <c r="E40" s="17"/>
      <c r="F40" s="424"/>
      <c r="G40" s="424"/>
      <c r="H40" s="424"/>
      <c r="I40" s="363"/>
      <c r="J40" s="363"/>
      <c r="K40" s="363"/>
      <c r="L40" s="363"/>
      <c r="M40" s="363"/>
      <c r="N40" s="363"/>
      <c r="O40" s="357"/>
      <c r="P40" s="357"/>
      <c r="Q40" s="357"/>
      <c r="R40" s="357"/>
      <c r="S40" s="357"/>
      <c r="T40" s="357"/>
      <c r="U40" s="357"/>
      <c r="V40" s="357"/>
      <c r="W40" s="357"/>
      <c r="X40" s="357"/>
      <c r="Y40" s="36"/>
      <c r="Z40" s="36"/>
      <c r="AM40" s="22"/>
      <c r="AO40" s="29"/>
    </row>
    <row r="41" spans="1:66" ht="17.25" customHeight="1" thickTop="1" x14ac:dyDescent="0.25">
      <c r="C41" s="46"/>
      <c r="D41" s="46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M41" s="22"/>
      <c r="AO41" s="29"/>
    </row>
    <row r="42" spans="1:66" ht="17.25" customHeight="1" thickBot="1" x14ac:dyDescent="0.3">
      <c r="AE42" s="17"/>
      <c r="AF42" s="17"/>
      <c r="AG42" s="17"/>
      <c r="AH42" s="17"/>
      <c r="AI42" s="17"/>
      <c r="AJ42" s="17"/>
      <c r="AK42" s="17"/>
      <c r="AL42" s="17"/>
    </row>
    <row r="43" spans="1:66" ht="17.25" customHeight="1" thickBot="1" x14ac:dyDescent="0.3">
      <c r="B43" s="47" t="s">
        <v>10</v>
      </c>
      <c r="C43" s="48"/>
      <c r="D43" s="48"/>
      <c r="E43" s="48"/>
      <c r="F43" s="362">
        <f>IF(G44=AF44,F48,F56)</f>
        <v>-11.98176</v>
      </c>
      <c r="G43" s="362"/>
      <c r="H43" s="362"/>
      <c r="I43" s="48"/>
      <c r="J43" s="48"/>
      <c r="K43" s="48"/>
      <c r="L43" s="48"/>
      <c r="M43" s="48"/>
      <c r="N43" s="48"/>
      <c r="O43" s="48"/>
      <c r="P43" s="48"/>
      <c r="Q43" s="48"/>
      <c r="R43" s="48"/>
      <c r="S43" s="48"/>
      <c r="T43" s="48"/>
      <c r="U43" s="48"/>
      <c r="V43" s="48"/>
      <c r="W43" s="48"/>
      <c r="X43" s="48"/>
      <c r="Y43" s="48"/>
      <c r="Z43" s="48"/>
      <c r="AA43" s="48"/>
      <c r="AB43" s="48"/>
      <c r="AC43" s="48"/>
      <c r="AD43" s="48"/>
      <c r="AE43" s="48"/>
      <c r="AF43" s="48"/>
      <c r="AG43" s="48"/>
      <c r="AH43" s="48"/>
      <c r="AI43" s="48"/>
      <c r="AJ43" s="48"/>
      <c r="AK43" s="48"/>
      <c r="AL43" s="48"/>
      <c r="AM43" s="48"/>
      <c r="AN43" s="48"/>
      <c r="AO43" s="48"/>
      <c r="AP43" s="48"/>
      <c r="AQ43" s="48"/>
      <c r="AR43" s="48"/>
      <c r="AS43" s="48"/>
      <c r="AT43" s="48"/>
      <c r="AU43" s="48"/>
      <c r="AV43" s="48"/>
      <c r="AW43" s="48"/>
      <c r="AX43" s="48"/>
      <c r="AY43" s="48"/>
      <c r="AZ43" s="48"/>
      <c r="BA43" s="48"/>
      <c r="BB43" s="49"/>
    </row>
    <row r="44" spans="1:66" s="50" customFormat="1" ht="17.25" customHeight="1" x14ac:dyDescent="0.25">
      <c r="C44" s="434" t="s">
        <v>58</v>
      </c>
      <c r="D44" s="434"/>
      <c r="E44" s="434"/>
      <c r="F44" s="434"/>
      <c r="G44" s="435" t="s">
        <v>17</v>
      </c>
      <c r="H44" s="435"/>
      <c r="I44" s="435"/>
      <c r="AB44" s="51"/>
      <c r="AC44" s="52"/>
      <c r="AD44" s="52"/>
      <c r="AE44" s="53" t="s">
        <v>59</v>
      </c>
      <c r="AF44" s="54" t="s">
        <v>11</v>
      </c>
      <c r="AG44" s="55">
        <v>0</v>
      </c>
      <c r="AH44" s="55"/>
    </row>
    <row r="45" spans="1:66" ht="17.25" customHeight="1" x14ac:dyDescent="0.25">
      <c r="C45" s="56" t="s">
        <v>11</v>
      </c>
      <c r="D45" s="56"/>
      <c r="E45" s="57"/>
      <c r="F45" s="57"/>
      <c r="G45" s="17"/>
      <c r="H45" s="17"/>
      <c r="I45" s="17"/>
      <c r="AF45" s="58" t="s">
        <v>17</v>
      </c>
      <c r="AG45" s="22">
        <v>1</v>
      </c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</row>
    <row r="46" spans="1:66" ht="17.25" customHeight="1" x14ac:dyDescent="0.25">
      <c r="F46" s="401" t="s">
        <v>10</v>
      </c>
      <c r="G46" s="401"/>
      <c r="H46" s="401"/>
      <c r="I46" s="401" t="s">
        <v>13</v>
      </c>
      <c r="J46" s="401"/>
      <c r="K46" s="401"/>
      <c r="L46" s="401"/>
      <c r="M46" s="402" t="s">
        <v>14</v>
      </c>
      <c r="N46" s="402"/>
      <c r="O46" s="402"/>
      <c r="P46" s="415" t="s">
        <v>18</v>
      </c>
      <c r="Q46" s="415"/>
      <c r="R46" s="415"/>
      <c r="S46" s="415"/>
      <c r="T46" s="415"/>
      <c r="U46" s="17"/>
      <c r="AC46" s="14"/>
      <c r="AD46" s="7"/>
      <c r="AE46" s="3" t="s">
        <v>57</v>
      </c>
      <c r="AF46" s="3" t="s">
        <v>57</v>
      </c>
      <c r="AG46" s="3" t="s">
        <v>304</v>
      </c>
      <c r="AH46" s="3" t="s">
        <v>120</v>
      </c>
      <c r="AI46" s="3" t="s">
        <v>121</v>
      </c>
      <c r="AJ46" s="3" t="s">
        <v>122</v>
      </c>
      <c r="AK46" s="3" t="s">
        <v>123</v>
      </c>
      <c r="AL46" s="3" t="s">
        <v>124</v>
      </c>
      <c r="AM46" s="3" t="s">
        <v>125</v>
      </c>
      <c r="AN46" s="3" t="s">
        <v>101</v>
      </c>
      <c r="AO46" s="3" t="s">
        <v>129</v>
      </c>
      <c r="AP46" s="3" t="s">
        <v>128</v>
      </c>
      <c r="AQ46" s="3" t="s">
        <v>126</v>
      </c>
      <c r="AR46" s="3" t="s">
        <v>127</v>
      </c>
      <c r="AS46" s="3" t="s">
        <v>129</v>
      </c>
      <c r="AT46" s="3" t="s">
        <v>128</v>
      </c>
      <c r="AU46" s="3" t="s">
        <v>130</v>
      </c>
      <c r="AV46" s="3" t="s">
        <v>112</v>
      </c>
      <c r="AW46" s="3" t="s">
        <v>117</v>
      </c>
      <c r="AX46" s="3" t="s">
        <v>143</v>
      </c>
      <c r="AY46" s="3" t="s">
        <v>149</v>
      </c>
      <c r="AZ46" s="3" t="s">
        <v>131</v>
      </c>
      <c r="BA46" s="3" t="s">
        <v>150</v>
      </c>
      <c r="BB46" s="3" t="s">
        <v>112</v>
      </c>
      <c r="BC46" s="3" t="s">
        <v>308</v>
      </c>
      <c r="BD46" s="3" t="s">
        <v>151</v>
      </c>
    </row>
    <row r="47" spans="1:66" ht="17.25" customHeight="1" thickBot="1" x14ac:dyDescent="0.3">
      <c r="F47" s="401"/>
      <c r="G47" s="401"/>
      <c r="H47" s="401"/>
      <c r="I47" s="401"/>
      <c r="J47" s="401"/>
      <c r="K47" s="401"/>
      <c r="L47" s="401"/>
      <c r="M47" s="402"/>
      <c r="N47" s="402"/>
      <c r="O47" s="402"/>
      <c r="P47" s="415"/>
      <c r="Q47" s="415"/>
      <c r="R47" s="415"/>
      <c r="S47" s="415"/>
      <c r="T47" s="415"/>
      <c r="U47" s="17"/>
      <c r="AB47" s="18" t="str">
        <f>IF(VLOOKUP(P48,$A$36:$C$37,3)&gt;0,AB48,CONCATENATE("-",AB48))</f>
        <v>23°08.5'</v>
      </c>
      <c r="AC47" s="14" t="str">
        <f>BD47</f>
        <v>23°08'30.00 [23°08.50]  (23.1417°)</v>
      </c>
      <c r="AD47" s="7">
        <f>BC47</f>
        <v>23.141666666666666</v>
      </c>
      <c r="AE47" s="5">
        <f>IF(LEFT(TRIM(AB47),1)="-",-1,IF(LEFT(TRIM(AB47),1)="+",1, 0))</f>
        <v>0</v>
      </c>
      <c r="AF47" s="5" t="str">
        <f>IF(AE47&gt;0,"+",IF(AE47&lt;0,"-",""))</f>
        <v/>
      </c>
      <c r="AG47" s="5" t="str">
        <f>IF(ABS(AE47)&gt;0,RIGHT(AB47,LEN(AB47)-1),AB47)</f>
        <v>23°08.5'</v>
      </c>
      <c r="AH47" s="5" t="b">
        <f>ISNUMBER(SEARCH("°",AG47,1))</f>
        <v>1</v>
      </c>
      <c r="AI47" s="5" t="b">
        <f>ISNUMBER(SEARCH("'",AG47,1))</f>
        <v>1</v>
      </c>
      <c r="AJ47" s="5" t="b">
        <f>ISNUMBER(SEARCH("""",AG47,1))</f>
        <v>0</v>
      </c>
      <c r="AK47" s="5" t="b">
        <f>NOT(OR(AH47,AI47,AJ47))</f>
        <v>0</v>
      </c>
      <c r="AL47" s="5" t="b">
        <f t="shared" ref="AL47" si="48">OR(AK47,AH47)</f>
        <v>1</v>
      </c>
      <c r="AM47" s="6">
        <f>IF(AK47,VALUE(AG47),IF(AH47,VALUE(LEFT(AG47,SEARCH("°",AG47,1)-1)),0))</f>
        <v>23</v>
      </c>
      <c r="AN47" s="5" t="str">
        <f>IF(AK47,"",IF(AH47,RIGHT(AG47,LEN(AG47)-SEARCH("°",AG47,1)),AG47))</f>
        <v>08.5'</v>
      </c>
      <c r="AO47" s="5" t="b">
        <f>(LEN(AN47)&gt;0)</f>
        <v>1</v>
      </c>
      <c r="AP47" s="5" t="b">
        <f>NOT(OR(AI47,AJ47))</f>
        <v>0</v>
      </c>
      <c r="AQ47" s="6">
        <f t="shared" ref="AQ47" si="49">IF(NOT(AO47),0,IF(AP47,VALUE(AN47),IF(NOT(AI47),0,VALUE(LEFT(AN47,SEARCH("'",AN47,1)-1)))))</f>
        <v>8.5</v>
      </c>
      <c r="AR47" s="5" t="str">
        <f t="shared" ref="AR47" si="50">IF(NOT(AO47),"",IF(AP47,"",IF(NOT(AI47),AN47,RIGHT(AN47,LEN(AN47)-SEARCH("'",AN47,1)))))</f>
        <v/>
      </c>
      <c r="AS47" s="5" t="b">
        <f>(LEN(AR47)&gt;0)</f>
        <v>0</v>
      </c>
      <c r="AT47" s="5" t="b">
        <f t="shared" ref="AT47" si="51">NOT(AJ47)</f>
        <v>1</v>
      </c>
      <c r="AU47" s="5" t="b">
        <f>ISNUMBER(SEARCH(".",AR47,1))</f>
        <v>0</v>
      </c>
      <c r="AV47" s="6">
        <f t="shared" ref="AV47" si="52">IF(AS47,IF(AJ47,IF(AU47,VALUE(SUBSTITUTE(AR47, """", "")),VALUE(SUBSTITUTE(AR47, """", "."))),VALUE(AR47)),0)</f>
        <v>0</v>
      </c>
      <c r="AW47" s="6">
        <f t="shared" ref="AW47" si="53">AM47*3600+AQ47*60+AV47</f>
        <v>83310</v>
      </c>
      <c r="AX47" s="6">
        <f>AW47/3600</f>
        <v>23.141666666666666</v>
      </c>
      <c r="AY47" s="6">
        <f>_xlfn.FLOOR.MATH((AX47))</f>
        <v>23</v>
      </c>
      <c r="AZ47" s="6">
        <f>(AW47-3600*AY47)/60</f>
        <v>8.5</v>
      </c>
      <c r="BA47" s="6">
        <f>_xlfn.FLOOR.MATH((AZ47))</f>
        <v>8</v>
      </c>
      <c r="BB47" s="6">
        <f>AW47-3600*AY47-60*BA47</f>
        <v>30</v>
      </c>
      <c r="BC47" s="6">
        <f>AX47*IF(AE47&lt;0,-1,1)</f>
        <v>23.141666666666666</v>
      </c>
      <c r="BD47" s="7" t="str">
        <f>CONCATENATE(AF47,TEXT(AY47,"00"),"°",TEXT(BA47,"00"),"'",TEXT(BB47,"00.00"), " [", CONCATENATE(AF47,TEXT(AY47,"00"),"°",TEXT(AZ47,"00.00")),"]", "  (", AF47,TEXT(AX47,"00.0000"),"°)")</f>
        <v>23°08'30.00 [23°08.50]  (23.1417°)</v>
      </c>
    </row>
    <row r="48" spans="1:66" ht="17.25" customHeight="1" thickTop="1" thickBot="1" x14ac:dyDescent="0.3">
      <c r="E48" s="59"/>
      <c r="F48" s="397" t="str">
        <f>IF(G44=AF45,"---",AD51)</f>
        <v>---</v>
      </c>
      <c r="G48" s="397"/>
      <c r="H48" s="397"/>
      <c r="I48" s="321">
        <f>E11</f>
        <v>16.14</v>
      </c>
      <c r="J48" s="321"/>
      <c r="K48" s="321"/>
      <c r="L48" s="321"/>
      <c r="M48" s="307">
        <v>10</v>
      </c>
      <c r="N48" s="321"/>
      <c r="O48" s="321"/>
      <c r="P48" s="321" t="s">
        <v>4</v>
      </c>
      <c r="Q48" s="416" t="s">
        <v>237</v>
      </c>
      <c r="R48" s="321"/>
      <c r="S48" s="321"/>
      <c r="T48" s="321"/>
      <c r="U48" s="357" t="str">
        <f>AC47</f>
        <v>23°08'30.00 [23°08.50]  (23.1417°)</v>
      </c>
      <c r="V48" s="358"/>
      <c r="W48" s="358"/>
      <c r="X48" s="358"/>
      <c r="Y48" s="358"/>
      <c r="AB48" s="18" t="str">
        <f>Q48</f>
        <v>23°08.5'</v>
      </c>
      <c r="AD48" s="37"/>
      <c r="AE48" s="21"/>
      <c r="AH48" s="21"/>
      <c r="AM48" s="22"/>
      <c r="AO48" s="29"/>
      <c r="AU48" s="38"/>
      <c r="AV48" s="38"/>
      <c r="AW48" s="39"/>
      <c r="AX48" s="39"/>
      <c r="AY48"/>
      <c r="AZ48"/>
      <c r="BA48"/>
      <c r="BB48"/>
    </row>
    <row r="49" spans="1:56" ht="17.25" customHeight="1" thickTop="1" thickBot="1" x14ac:dyDescent="0.3">
      <c r="F49" s="398"/>
      <c r="G49" s="398"/>
      <c r="H49" s="398"/>
      <c r="I49" s="363"/>
      <c r="J49" s="363"/>
      <c r="K49" s="363"/>
      <c r="L49" s="363"/>
      <c r="M49" s="400"/>
      <c r="N49" s="363"/>
      <c r="O49" s="363"/>
      <c r="P49" s="363"/>
      <c r="Q49" s="363"/>
      <c r="R49" s="363"/>
      <c r="S49" s="363"/>
      <c r="T49" s="363"/>
      <c r="U49" s="358"/>
      <c r="V49" s="358"/>
      <c r="W49" s="358"/>
      <c r="X49" s="358"/>
      <c r="Y49" s="358"/>
      <c r="AB49" s="18" t="str">
        <f>IF(VLOOKUP(P50,$A$36:$C$37,3)&gt;0,AB50,CONCATENATE("-",AB50))</f>
        <v>23°08.3'</v>
      </c>
      <c r="AC49" s="14" t="str">
        <f>BD49</f>
        <v>23°08'18.00 [23°08.30]  (23.1383°)</v>
      </c>
      <c r="AD49" s="7">
        <f>BC49</f>
        <v>23.138333333333332</v>
      </c>
      <c r="AE49" s="5">
        <f>IF(LEFT(TRIM(AB49),1)="-",-1,IF(LEFT(TRIM(AB49),1)="+",1, 0))</f>
        <v>0</v>
      </c>
      <c r="AF49" s="5" t="str">
        <f>IF(AE49&gt;0,"+",IF(AE49&lt;0,"-",""))</f>
        <v/>
      </c>
      <c r="AG49" s="5" t="str">
        <f>IF(ABS(AE49)&gt;0,RIGHT(AB49,LEN(AB49)-1),AB49)</f>
        <v>23°08.3'</v>
      </c>
      <c r="AH49" s="5" t="b">
        <f>ISNUMBER(SEARCH("°",AG49,1))</f>
        <v>1</v>
      </c>
      <c r="AI49" s="5" t="b">
        <f>ISNUMBER(SEARCH("'",AG49,1))</f>
        <v>1</v>
      </c>
      <c r="AJ49" s="5" t="b">
        <f>ISNUMBER(SEARCH("""",AG49,1))</f>
        <v>0</v>
      </c>
      <c r="AK49" s="5" t="b">
        <f>NOT(OR(AH49,AI49,AJ49))</f>
        <v>0</v>
      </c>
      <c r="AL49" s="5" t="b">
        <f t="shared" ref="AL49" si="54">OR(AK49,AH49)</f>
        <v>1</v>
      </c>
      <c r="AM49" s="6">
        <f>IF(AK49,VALUE(AG49),IF(AH49,VALUE(LEFT(AG49,SEARCH("°",AG49,1)-1)),0))</f>
        <v>23</v>
      </c>
      <c r="AN49" s="5" t="str">
        <f>IF(AK49,"",IF(AH49,RIGHT(AG49,LEN(AG49)-SEARCH("°",AG49,1)),AG49))</f>
        <v>08.3'</v>
      </c>
      <c r="AO49" s="5" t="b">
        <f>(LEN(AN49)&gt;0)</f>
        <v>1</v>
      </c>
      <c r="AP49" s="5" t="b">
        <f>NOT(OR(AI49,AJ49))</f>
        <v>0</v>
      </c>
      <c r="AQ49" s="6">
        <f t="shared" ref="AQ49" si="55">IF(NOT(AO49),0,IF(AP49,VALUE(AN49),IF(NOT(AI49),0,VALUE(LEFT(AN49,SEARCH("'",AN49,1)-1)))))</f>
        <v>8.3000000000000007</v>
      </c>
      <c r="AR49" s="5" t="str">
        <f t="shared" ref="AR49" si="56">IF(NOT(AO49),"",IF(AP49,"",IF(NOT(AI49),AN49,RIGHT(AN49,LEN(AN49)-SEARCH("'",AN49,1)))))</f>
        <v/>
      </c>
      <c r="AS49" s="5" t="b">
        <f>(LEN(AR49)&gt;0)</f>
        <v>0</v>
      </c>
      <c r="AT49" s="5" t="b">
        <f t="shared" ref="AT49" si="57">NOT(AJ49)</f>
        <v>1</v>
      </c>
      <c r="AU49" s="5" t="b">
        <f>ISNUMBER(SEARCH(".",AR49,1))</f>
        <v>0</v>
      </c>
      <c r="AV49" s="6">
        <f t="shared" ref="AV49" si="58">IF(AS49,IF(AJ49,IF(AU49,VALUE(SUBSTITUTE(AR49, """", "")),VALUE(SUBSTITUTE(AR49, """", "."))),VALUE(AR49)),0)</f>
        <v>0</v>
      </c>
      <c r="AW49" s="6">
        <f t="shared" ref="AW49" si="59">AM49*3600+AQ49*60+AV49</f>
        <v>83298</v>
      </c>
      <c r="AX49" s="6">
        <f>AW49/3600</f>
        <v>23.138333333333332</v>
      </c>
      <c r="AY49" s="6">
        <f>_xlfn.FLOOR.MATH((AX49))</f>
        <v>23</v>
      </c>
      <c r="AZ49" s="6">
        <f>(AW49-3600*AY49)/60</f>
        <v>8.3000000000000007</v>
      </c>
      <c r="BA49" s="6">
        <f>_xlfn.FLOOR.MATH((AZ49))</f>
        <v>8</v>
      </c>
      <c r="BB49" s="6">
        <f>AW49-3600*AY49-60*BA49</f>
        <v>18</v>
      </c>
      <c r="BC49" s="6">
        <f>AX49*IF(AE49&lt;0,-1,1)</f>
        <v>23.138333333333332</v>
      </c>
      <c r="BD49" s="7" t="str">
        <f>CONCATENATE(AF49,TEXT(AY49,"00"),"°",TEXT(BA49,"00"),"'",TEXT(BB49,"00.00"), " [", CONCATENATE(AF49,TEXT(AY49,"00"),"°",TEXT(AZ49,"00.00")),"]", "  (", AF49,TEXT(AX49,"00.0000"),"°)")</f>
        <v>23°08'18.00 [23°08.30]  (23.1383°)</v>
      </c>
    </row>
    <row r="50" spans="1:56" ht="17.25" customHeight="1" thickTop="1" thickBot="1" x14ac:dyDescent="0.3">
      <c r="F50" s="398"/>
      <c r="G50" s="398"/>
      <c r="H50" s="398"/>
      <c r="I50" s="363"/>
      <c r="J50" s="363"/>
      <c r="K50" s="363"/>
      <c r="L50" s="363"/>
      <c r="M50" s="400">
        <v>11</v>
      </c>
      <c r="N50" s="363"/>
      <c r="O50" s="363"/>
      <c r="P50" s="363" t="s">
        <v>4</v>
      </c>
      <c r="Q50" s="414" t="s">
        <v>238</v>
      </c>
      <c r="R50" s="363"/>
      <c r="S50" s="363"/>
      <c r="T50" s="363"/>
      <c r="U50" s="357" t="str">
        <f>AC49</f>
        <v>23°08'18.00 [23°08.30]  (23.1383°)</v>
      </c>
      <c r="V50" s="358"/>
      <c r="W50" s="358"/>
      <c r="X50" s="358"/>
      <c r="Y50" s="358"/>
      <c r="AB50" s="18" t="str">
        <f>Q50</f>
        <v>23°08.3'</v>
      </c>
      <c r="AE50" s="31" t="s">
        <v>62</v>
      </c>
      <c r="AF50" s="31" t="s">
        <v>61</v>
      </c>
      <c r="AG50" s="31" t="s">
        <v>63</v>
      </c>
      <c r="AH50" s="31" t="s">
        <v>60</v>
      </c>
      <c r="AM50" s="22"/>
      <c r="AO50" s="29"/>
      <c r="AU50" s="38"/>
      <c r="AV50" s="38"/>
      <c r="AW50" s="39"/>
      <c r="AX50" s="39"/>
      <c r="AY50"/>
      <c r="AZ50"/>
      <c r="BA50"/>
    </row>
    <row r="51" spans="1:56" ht="17.25" customHeight="1" thickTop="1" thickBot="1" x14ac:dyDescent="0.3">
      <c r="F51" s="398"/>
      <c r="G51" s="398"/>
      <c r="H51" s="398"/>
      <c r="I51" s="363"/>
      <c r="J51" s="363"/>
      <c r="K51" s="363"/>
      <c r="L51" s="363"/>
      <c r="M51" s="400"/>
      <c r="N51" s="363"/>
      <c r="O51" s="363"/>
      <c r="P51" s="363"/>
      <c r="Q51" s="363"/>
      <c r="R51" s="363"/>
      <c r="S51" s="363"/>
      <c r="T51" s="363"/>
      <c r="U51" s="358"/>
      <c r="V51" s="358"/>
      <c r="W51" s="358"/>
      <c r="X51" s="358"/>
      <c r="Y51" s="358"/>
      <c r="AD51" s="37">
        <f>AH51</f>
        <v>23.121199999999995</v>
      </c>
      <c r="AE51" s="22">
        <f>M50-M48</f>
        <v>1</v>
      </c>
      <c r="AF51" s="22">
        <f>AD49-AD47</f>
        <v>-3.3333333333338544E-3</v>
      </c>
      <c r="AG51" s="22">
        <f>I48-M48</f>
        <v>6.1400000000000006</v>
      </c>
      <c r="AH51" s="22">
        <f>AD47+AG51*AF51</f>
        <v>23.121199999999995</v>
      </c>
      <c r="AI51" s="60"/>
      <c r="AJ51" s="31"/>
      <c r="AK51" s="31"/>
      <c r="AL51" s="31"/>
      <c r="AM51" s="31"/>
      <c r="AN51" s="31"/>
      <c r="AO51" s="17"/>
      <c r="AP51" s="17"/>
      <c r="AQ51" s="17"/>
      <c r="AR51" s="17"/>
      <c r="AS51" s="17"/>
      <c r="AT51" s="17"/>
      <c r="AU51" s="17"/>
    </row>
    <row r="52" spans="1:56" ht="17.25" customHeight="1" thickTop="1" thickBot="1" x14ac:dyDescent="0.3">
      <c r="F52" s="279" t="str">
        <f>AC52</f>
        <v>23°07'16.32 [23°07.27]  (23.1212°)</v>
      </c>
      <c r="G52" s="279"/>
      <c r="H52" s="279"/>
      <c r="I52" s="279"/>
      <c r="J52" s="279"/>
      <c r="K52" s="279"/>
      <c r="AA52" s="17"/>
      <c r="AB52" s="18">
        <f>AD51</f>
        <v>23.121199999999995</v>
      </c>
      <c r="AC52" s="14" t="str">
        <f>BD52</f>
        <v>23°07'16.32 [23°07.27]  (23.1212°)</v>
      </c>
      <c r="AD52" s="7">
        <f>BC52</f>
        <v>23.121199999999995</v>
      </c>
      <c r="AE52" s="5">
        <f>IF(LEFT(TRIM(AB52),1)="-",-1,IF(LEFT(TRIM(AB52),1)="+",1, 0))</f>
        <v>0</v>
      </c>
      <c r="AF52" s="5" t="str">
        <f>IF(AE52&gt;0,"+",IF(AE52&lt;0,"-",""))</f>
        <v/>
      </c>
      <c r="AG52" s="5">
        <f>IF(ABS(AE52)&gt;0,RIGHT(AB52,LEN(AB52)-1),AB52)</f>
        <v>23.121199999999995</v>
      </c>
      <c r="AH52" s="5" t="b">
        <f>ISNUMBER(SEARCH("°",AG52,1))</f>
        <v>0</v>
      </c>
      <c r="AI52" s="5" t="b">
        <f>ISNUMBER(SEARCH("'",AG52,1))</f>
        <v>0</v>
      </c>
      <c r="AJ52" s="5" t="b">
        <f>ISNUMBER(SEARCH("""",AG52,1))</f>
        <v>0</v>
      </c>
      <c r="AK52" s="5" t="b">
        <f>NOT(OR(AH52,AI52,AJ52))</f>
        <v>1</v>
      </c>
      <c r="AL52" s="5" t="b">
        <f t="shared" ref="AL52" si="60">OR(AK52,AH52)</f>
        <v>1</v>
      </c>
      <c r="AM52" s="6">
        <f>IF(AK52,VALUE(AG52),IF(AH52,VALUE(LEFT(AG52,SEARCH("°",AG52,1)-1)),0))</f>
        <v>23.121199999999995</v>
      </c>
      <c r="AN52" s="5" t="str">
        <f>IF(AK52,"",IF(AH52,RIGHT(AG52,LEN(AG52)-SEARCH("°",AG52,1)),AG52))</f>
        <v/>
      </c>
      <c r="AO52" s="5" t="b">
        <f>(LEN(AN52)&gt;0)</f>
        <v>0</v>
      </c>
      <c r="AP52" s="5" t="b">
        <f>NOT(OR(AI52,AJ52))</f>
        <v>1</v>
      </c>
      <c r="AQ52" s="6">
        <f t="shared" ref="AQ52" si="61">IF(NOT(AO52),0,IF(AP52,VALUE(AN52),IF(NOT(AI52),0,VALUE(LEFT(AN52,SEARCH("'",AN52,1)-1)))))</f>
        <v>0</v>
      </c>
      <c r="AR52" s="5" t="str">
        <f t="shared" ref="AR52" si="62">IF(NOT(AO52),"",IF(AP52,"",IF(NOT(AI52),AN52,RIGHT(AN52,LEN(AN52)-SEARCH("'",AN52,1)))))</f>
        <v/>
      </c>
      <c r="AS52" s="5" t="b">
        <f>(LEN(AR52)&gt;0)</f>
        <v>0</v>
      </c>
      <c r="AT52" s="5" t="b">
        <f t="shared" ref="AT52" si="63">NOT(AJ52)</f>
        <v>1</v>
      </c>
      <c r="AU52" s="5" t="b">
        <f>ISNUMBER(SEARCH(".",AR52,1))</f>
        <v>0</v>
      </c>
      <c r="AV52" s="6">
        <f t="shared" ref="AV52" si="64">IF(AS52,IF(AJ52,IF(AU52,VALUE(SUBSTITUTE(AR52, """", "")),VALUE(SUBSTITUTE(AR52, """", "."))),VALUE(AR52)),0)</f>
        <v>0</v>
      </c>
      <c r="AW52" s="6">
        <f t="shared" ref="AW52" si="65">AM52*3600+AQ52*60+AV52</f>
        <v>83236.319999999978</v>
      </c>
      <c r="AX52" s="6">
        <f>AW52/3600</f>
        <v>23.121199999999995</v>
      </c>
      <c r="AY52" s="6">
        <f>_xlfn.FLOOR.MATH((AX52))</f>
        <v>23</v>
      </c>
      <c r="AZ52" s="6">
        <f>(AW52-3600*AY52)/60</f>
        <v>7.2719999999996316</v>
      </c>
      <c r="BA52" s="6">
        <f>_xlfn.FLOOR.MATH((AZ52))</f>
        <v>7</v>
      </c>
      <c r="BB52" s="6">
        <f>AW52-3600*AY52-60*BA52</f>
        <v>16.319999999977881</v>
      </c>
      <c r="BC52" s="6">
        <f>AX52*IF(AE52&lt;0,-1,1)</f>
        <v>23.121199999999995</v>
      </c>
      <c r="BD52" s="7" t="str">
        <f>CONCATENATE(AF52,TEXT(AY52,"00"),"°",TEXT(BA52,"00"),"'",TEXT(BB52,"00.00"), " [", CONCATENATE(AF52,TEXT(AY52,"00"),"°",TEXT(AZ52,"00.00")),"]", "  (", AF52,TEXT(AX52,"00.0000"),"°)")</f>
        <v>23°07'16.32 [23°07.27]  (23.1212°)</v>
      </c>
    </row>
    <row r="53" spans="1:56" ht="17.25" customHeight="1" thickTop="1" x14ac:dyDescent="0.25">
      <c r="C53" s="56" t="s">
        <v>17</v>
      </c>
      <c r="D53" s="56"/>
      <c r="E53" s="57"/>
      <c r="F53" s="57"/>
      <c r="G53" s="17"/>
      <c r="H53" s="17"/>
      <c r="I53" s="17"/>
      <c r="AA53" s="17"/>
    </row>
    <row r="54" spans="1:56" ht="17.25" customHeight="1" x14ac:dyDescent="0.25">
      <c r="C54" s="17"/>
      <c r="D54" s="17"/>
      <c r="E54" s="17"/>
      <c r="F54" s="401" t="s">
        <v>10</v>
      </c>
      <c r="G54" s="401"/>
      <c r="H54" s="401"/>
      <c r="I54" s="401" t="s">
        <v>13</v>
      </c>
      <c r="J54" s="401"/>
      <c r="K54" s="401"/>
      <c r="L54" s="401"/>
      <c r="M54" s="402" t="s">
        <v>14</v>
      </c>
      <c r="N54" s="402"/>
      <c r="O54" s="402"/>
      <c r="P54" s="415" t="s">
        <v>20</v>
      </c>
      <c r="Q54" s="415"/>
      <c r="R54" s="415"/>
      <c r="S54" s="415"/>
      <c r="T54" s="415"/>
      <c r="U54" s="415" t="s">
        <v>381</v>
      </c>
      <c r="V54" s="415"/>
      <c r="W54" s="415"/>
      <c r="X54" s="415"/>
      <c r="Y54" s="415"/>
      <c r="AA54" s="17"/>
      <c r="AC54" s="14"/>
      <c r="AD54" s="7"/>
      <c r="AE54" s="3" t="s">
        <v>57</v>
      </c>
      <c r="AF54" s="3" t="s">
        <v>57</v>
      </c>
      <c r="AG54" s="3" t="s">
        <v>304</v>
      </c>
      <c r="AH54" s="3" t="s">
        <v>120</v>
      </c>
      <c r="AI54" s="3" t="s">
        <v>121</v>
      </c>
      <c r="AJ54" s="3" t="s">
        <v>122</v>
      </c>
      <c r="AK54" s="3" t="s">
        <v>123</v>
      </c>
      <c r="AL54" s="3" t="s">
        <v>124</v>
      </c>
      <c r="AM54" s="3" t="s">
        <v>125</v>
      </c>
      <c r="AN54" s="3" t="s">
        <v>101</v>
      </c>
      <c r="AO54" s="3" t="s">
        <v>129</v>
      </c>
      <c r="AP54" s="3" t="s">
        <v>128</v>
      </c>
      <c r="AQ54" s="3" t="s">
        <v>126</v>
      </c>
      <c r="AR54" s="3" t="s">
        <v>127</v>
      </c>
      <c r="AS54" s="3" t="s">
        <v>129</v>
      </c>
      <c r="AT54" s="3" t="s">
        <v>128</v>
      </c>
      <c r="AU54" s="3" t="s">
        <v>130</v>
      </c>
      <c r="AV54" s="3" t="s">
        <v>112</v>
      </c>
      <c r="AW54" s="3" t="s">
        <v>117</v>
      </c>
      <c r="AX54" s="3" t="s">
        <v>143</v>
      </c>
      <c r="AY54" s="3" t="s">
        <v>149</v>
      </c>
      <c r="AZ54" s="3" t="s">
        <v>131</v>
      </c>
      <c r="BA54" s="3" t="s">
        <v>150</v>
      </c>
      <c r="BB54" s="3" t="s">
        <v>112</v>
      </c>
      <c r="BC54" s="3" t="s">
        <v>308</v>
      </c>
      <c r="BD54" s="3" t="s">
        <v>151</v>
      </c>
    </row>
    <row r="55" spans="1:56" ht="17.25" customHeight="1" x14ac:dyDescent="0.25">
      <c r="F55" s="401"/>
      <c r="G55" s="401"/>
      <c r="H55" s="401"/>
      <c r="I55" s="401"/>
      <c r="J55" s="401"/>
      <c r="K55" s="401"/>
      <c r="L55" s="401"/>
      <c r="M55" s="402"/>
      <c r="N55" s="402"/>
      <c r="O55" s="402"/>
      <c r="P55" s="415"/>
      <c r="Q55" s="415"/>
      <c r="R55" s="415"/>
      <c r="S55" s="415"/>
      <c r="T55" s="415"/>
      <c r="U55" s="415"/>
      <c r="V55" s="415"/>
      <c r="W55" s="415"/>
      <c r="X55" s="415"/>
      <c r="Y55" s="415"/>
      <c r="Z55" s="17"/>
      <c r="AA55" s="17"/>
      <c r="AB55" s="18" t="str">
        <f>IF(VLOOKUP(P56,$A$36:$C$37,3)&gt;0,AB56,CONCATENATE("-",AB56))</f>
        <v>-12.24°</v>
      </c>
      <c r="AC55" s="14" t="str">
        <f>BD55</f>
        <v>-12°14'24.00 [-12°14.40]  (-12.2400°)</v>
      </c>
      <c r="AD55" s="7">
        <f>BC55</f>
        <v>-12.24</v>
      </c>
      <c r="AE55" s="5">
        <f>IF(LEFT(TRIM(AB55),1)="-",-1,IF(LEFT(TRIM(AB55),1)="+",1, 0))</f>
        <v>-1</v>
      </c>
      <c r="AF55" s="5" t="str">
        <f>IF(AE55&gt;0,"+",IF(AE55&lt;0,"-",""))</f>
        <v>-</v>
      </c>
      <c r="AG55" s="5" t="str">
        <f>IF(ABS(AE55)&gt;0,RIGHT(AB55,LEN(AB55)-1),AB55)</f>
        <v>12.24°</v>
      </c>
      <c r="AH55" s="5" t="b">
        <f>ISNUMBER(SEARCH("°",AG55,1))</f>
        <v>1</v>
      </c>
      <c r="AI55" s="5" t="b">
        <f>ISNUMBER(SEARCH("'",AG55,1))</f>
        <v>0</v>
      </c>
      <c r="AJ55" s="5" t="b">
        <f>ISNUMBER(SEARCH("""",AG55,1))</f>
        <v>0</v>
      </c>
      <c r="AK55" s="5" t="b">
        <f>NOT(OR(AH55,AI55,AJ55))</f>
        <v>0</v>
      </c>
      <c r="AL55" s="5" t="b">
        <f t="shared" ref="AL55" si="66">OR(AK55,AH55)</f>
        <v>1</v>
      </c>
      <c r="AM55" s="6">
        <f>IF(AK55,VALUE(AG55),IF(AH55,VALUE(LEFT(AG55,SEARCH("°",AG55,1)-1)),0))</f>
        <v>12.24</v>
      </c>
      <c r="AN55" s="5" t="str">
        <f>IF(AK55,"",IF(AH55,RIGHT(AG55,LEN(AG55)-SEARCH("°",AG55,1)),AG55))</f>
        <v/>
      </c>
      <c r="AO55" s="5" t="b">
        <f>(LEN(AN55)&gt;0)</f>
        <v>0</v>
      </c>
      <c r="AP55" s="5" t="b">
        <f>NOT(OR(AI55,AJ55))</f>
        <v>1</v>
      </c>
      <c r="AQ55" s="6">
        <f t="shared" ref="AQ55" si="67">IF(NOT(AO55),0,IF(AP55,VALUE(AN55),IF(NOT(AI55),0,VALUE(LEFT(AN55,SEARCH("'",AN55,1)-1)))))</f>
        <v>0</v>
      </c>
      <c r="AR55" s="5" t="str">
        <f t="shared" ref="AR55" si="68">IF(NOT(AO55),"",IF(AP55,"",IF(NOT(AI55),AN55,RIGHT(AN55,LEN(AN55)-SEARCH("'",AN55,1)))))</f>
        <v/>
      </c>
      <c r="AS55" s="5" t="b">
        <f>(LEN(AR55)&gt;0)</f>
        <v>0</v>
      </c>
      <c r="AT55" s="5" t="b">
        <f t="shared" ref="AT55" si="69">NOT(AJ55)</f>
        <v>1</v>
      </c>
      <c r="AU55" s="5" t="b">
        <f>ISNUMBER(SEARCH(".",AR55,1))</f>
        <v>0</v>
      </c>
      <c r="AV55" s="6">
        <f t="shared" ref="AV55" si="70">IF(AS55,IF(AJ55,IF(AU55,VALUE(SUBSTITUTE(AR55, """", "")),VALUE(SUBSTITUTE(AR55, """", "."))),VALUE(AR55)),0)</f>
        <v>0</v>
      </c>
      <c r="AW55" s="6">
        <f t="shared" ref="AW55" si="71">AM55*3600+AQ55*60+AV55</f>
        <v>44064</v>
      </c>
      <c r="AX55" s="6">
        <f>AW55/3600</f>
        <v>12.24</v>
      </c>
      <c r="AY55" s="6">
        <f>_xlfn.FLOOR.MATH((AX55))</f>
        <v>12</v>
      </c>
      <c r="AZ55" s="6">
        <f>(AW55-3600*AY55)/60</f>
        <v>14.4</v>
      </c>
      <c r="BA55" s="6">
        <f>_xlfn.FLOOR.MATH((AZ55))</f>
        <v>14</v>
      </c>
      <c r="BB55" s="6">
        <f>AW55-3600*AY55-60*BA55</f>
        <v>24</v>
      </c>
      <c r="BC55" s="6">
        <f>AX55*IF(AE55&lt;0,-1,1)</f>
        <v>-12.24</v>
      </c>
      <c r="BD55" s="7" t="str">
        <f>CONCATENATE(AF55,TEXT(AY55,"00"),"°",TEXT(BA55,"00"),"'",TEXT(BB55,"00.00"), " [", CONCATENATE(AF55,TEXT(AY55,"00"),"°",TEXT(AZ55,"00.00")),"]", "  (", AF55,TEXT(AX55,"00.0000"),"°)")</f>
        <v>-12°14'24.00 [-12°14.40]  (-12.2400°)</v>
      </c>
    </row>
    <row r="56" spans="1:56" ht="17.25" customHeight="1" x14ac:dyDescent="0.25">
      <c r="E56" s="59"/>
      <c r="F56" s="397">
        <f>IF(G44=AF45,AD58,"---")</f>
        <v>-11.98176</v>
      </c>
      <c r="G56" s="397"/>
      <c r="H56" s="397"/>
      <c r="I56" s="321">
        <f>E11</f>
        <v>16.14</v>
      </c>
      <c r="J56" s="321"/>
      <c r="K56" s="321"/>
      <c r="L56" s="321"/>
      <c r="M56" s="307">
        <v>0</v>
      </c>
      <c r="N56" s="321"/>
      <c r="O56" s="321"/>
      <c r="P56" s="321" t="s">
        <v>5</v>
      </c>
      <c r="Q56" s="416" t="s">
        <v>373</v>
      </c>
      <c r="R56" s="321"/>
      <c r="S56" s="321"/>
      <c r="T56" s="321"/>
      <c r="U56" s="321" t="s">
        <v>4</v>
      </c>
      <c r="V56" s="416" t="s">
        <v>315</v>
      </c>
      <c r="W56" s="321"/>
      <c r="X56" s="321"/>
      <c r="Y56" s="321"/>
      <c r="Z56" s="17"/>
      <c r="AB56" s="18" t="str">
        <f>Q56</f>
        <v>12.24°</v>
      </c>
      <c r="AD56" s="37"/>
      <c r="AE56" s="21"/>
      <c r="AH56" s="21"/>
      <c r="AM56" s="22"/>
      <c r="AO56" s="29"/>
      <c r="AU56" s="38"/>
      <c r="AV56" s="38"/>
      <c r="AW56" s="39"/>
      <c r="AX56" s="39"/>
      <c r="AY56"/>
      <c r="AZ56"/>
      <c r="BA56"/>
      <c r="BB56"/>
    </row>
    <row r="57" spans="1:56" ht="17.25" customHeight="1" collapsed="1" thickBot="1" x14ac:dyDescent="0.3">
      <c r="F57" s="398"/>
      <c r="G57" s="398"/>
      <c r="H57" s="398"/>
      <c r="I57" s="363"/>
      <c r="J57" s="363"/>
      <c r="K57" s="363"/>
      <c r="L57" s="363"/>
      <c r="M57" s="400"/>
      <c r="N57" s="363"/>
      <c r="O57" s="363"/>
      <c r="P57" s="363"/>
      <c r="Q57" s="363"/>
      <c r="R57" s="363"/>
      <c r="S57" s="363"/>
      <c r="T57" s="363"/>
      <c r="U57" s="363"/>
      <c r="V57" s="363"/>
      <c r="W57" s="363"/>
      <c r="X57" s="363"/>
      <c r="Y57" s="363"/>
      <c r="Z57" s="17"/>
      <c r="AB57" s="18" t="str">
        <f>IF(VLOOKUP(U56,$A$36:$C$37,3)&gt;0,AB58,CONCATENATE("-",AB58))</f>
        <v>0°0.96'</v>
      </c>
      <c r="AC57" s="14" t="str">
        <f>BD57</f>
        <v>00°00'57.60 [00°00.96]  (00.0160°)</v>
      </c>
      <c r="AD57" s="7">
        <f>BC57</f>
        <v>1.5999999999999997E-2</v>
      </c>
      <c r="AE57" s="5">
        <f>IF(LEFT(TRIM(AB57),1)="-",-1,IF(LEFT(TRIM(AB57),1)="+",1, 0))</f>
        <v>0</v>
      </c>
      <c r="AF57" s="5" t="str">
        <f>IF(AE57&gt;0,"+",IF(AE57&lt;0,"-",""))</f>
        <v/>
      </c>
      <c r="AG57" s="5" t="str">
        <f>IF(ABS(AE57)&gt;0,RIGHT(AB57,LEN(AB57)-1),AB57)</f>
        <v>0°0.96'</v>
      </c>
      <c r="AH57" s="5" t="b">
        <f>ISNUMBER(SEARCH("°",AG57,1))</f>
        <v>1</v>
      </c>
      <c r="AI57" s="5" t="b">
        <f>ISNUMBER(SEARCH("'",AG57,1))</f>
        <v>1</v>
      </c>
      <c r="AJ57" s="5" t="b">
        <f>ISNUMBER(SEARCH("""",AG57,1))</f>
        <v>0</v>
      </c>
      <c r="AK57" s="5" t="b">
        <f>NOT(OR(AH57,AI57,AJ57))</f>
        <v>0</v>
      </c>
      <c r="AL57" s="5" t="b">
        <f t="shared" ref="AL57" si="72">OR(AK57,AH57)</f>
        <v>1</v>
      </c>
      <c r="AM57" s="6">
        <f>IF(AK57,VALUE(AG57),IF(AH57,VALUE(LEFT(AG57,SEARCH("°",AG57,1)-1)),0))</f>
        <v>0</v>
      </c>
      <c r="AN57" s="5" t="str">
        <f>IF(AK57,"",IF(AH57,RIGHT(AG57,LEN(AG57)-SEARCH("°",AG57,1)),AG57))</f>
        <v>0.96'</v>
      </c>
      <c r="AO57" s="5" t="b">
        <f>(LEN(AN57)&gt;0)</f>
        <v>1</v>
      </c>
      <c r="AP57" s="5" t="b">
        <f>NOT(OR(AI57,AJ57))</f>
        <v>0</v>
      </c>
      <c r="AQ57" s="6">
        <f t="shared" ref="AQ57" si="73">IF(NOT(AO57),0,IF(AP57,VALUE(AN57),IF(NOT(AI57),0,VALUE(LEFT(AN57,SEARCH("'",AN57,1)-1)))))</f>
        <v>0.96</v>
      </c>
      <c r="AR57" s="5" t="str">
        <f t="shared" ref="AR57" si="74">IF(NOT(AO57),"",IF(AP57,"",IF(NOT(AI57),AN57,RIGHT(AN57,LEN(AN57)-SEARCH("'",AN57,1)))))</f>
        <v/>
      </c>
      <c r="AS57" s="5" t="b">
        <f>(LEN(AR57)&gt;0)</f>
        <v>0</v>
      </c>
      <c r="AT57" s="5" t="b">
        <f t="shared" ref="AT57" si="75">NOT(AJ57)</f>
        <v>1</v>
      </c>
      <c r="AU57" s="5" t="b">
        <f>ISNUMBER(SEARCH(".",AR57,1))</f>
        <v>0</v>
      </c>
      <c r="AV57" s="6">
        <f t="shared" ref="AV57" si="76">IF(AS57,IF(AJ57,IF(AU57,VALUE(SUBSTITUTE(AR57, """", "")),VALUE(SUBSTITUTE(AR57, """", "."))),VALUE(AR57)),0)</f>
        <v>0</v>
      </c>
      <c r="AW57" s="6">
        <f t="shared" ref="AW57" si="77">AM57*3600+AQ57*60+AV57</f>
        <v>57.599999999999994</v>
      </c>
      <c r="AX57" s="6">
        <f>AW57/3600</f>
        <v>1.5999999999999997E-2</v>
      </c>
      <c r="AY57" s="6">
        <f>_xlfn.FLOOR.MATH((AX57))</f>
        <v>0</v>
      </c>
      <c r="AZ57" s="6">
        <f>(AW57-3600*AY57)/60</f>
        <v>0.95999999999999985</v>
      </c>
      <c r="BA57" s="6">
        <f>_xlfn.FLOOR.MATH((AZ57))</f>
        <v>0</v>
      </c>
      <c r="BB57" s="6">
        <f>AW57-3600*AY57-60*BA57</f>
        <v>57.599999999999994</v>
      </c>
      <c r="BC57" s="6">
        <f>AX57*IF(AE57&lt;0,-1,1)</f>
        <v>1.5999999999999997E-2</v>
      </c>
      <c r="BD57" s="7" t="str">
        <f>CONCATENATE(AF57,TEXT(AY57,"00"),"°",TEXT(BA57,"00"),"'",TEXT(BB57,"00.00"), " [", CONCATENATE(AF57,TEXT(AY57,"00"),"°",TEXT(AZ57,"00.00")),"]", "  (", AF57,TEXT(AX57,"00.0000"),"°)")</f>
        <v>00°00'57.60 [00°00.96]  (00.0160°)</v>
      </c>
    </row>
    <row r="58" spans="1:56" ht="17.25" customHeight="1" thickTop="1" thickBot="1" x14ac:dyDescent="0.3">
      <c r="F58" s="279" t="str">
        <f>AC59</f>
        <v>-11°58'54.34 [-11°58.91]  (-11.9818°)</v>
      </c>
      <c r="G58" s="279"/>
      <c r="H58" s="279"/>
      <c r="I58" s="279"/>
      <c r="J58" s="279"/>
      <c r="K58" s="279"/>
      <c r="P58" s="279" t="str">
        <f>AC55</f>
        <v>-12°14'24.00 [-12°14.40]  (-12.2400°)</v>
      </c>
      <c r="Q58" s="279"/>
      <c r="R58" s="279"/>
      <c r="S58" s="279"/>
      <c r="T58" s="279"/>
      <c r="U58" s="279" t="str">
        <f>AC57</f>
        <v>00°00'57.60 [00°00.96]  (00.0160°)</v>
      </c>
      <c r="V58" s="287"/>
      <c r="W58" s="287"/>
      <c r="X58" s="287"/>
      <c r="Y58" s="287"/>
      <c r="AB58" s="18" t="str">
        <f>V56</f>
        <v>0°0.96'</v>
      </c>
      <c r="AD58" s="37">
        <f>AF58</f>
        <v>-11.98176</v>
      </c>
      <c r="AE58" s="61" t="s">
        <v>154</v>
      </c>
      <c r="AF58" s="22">
        <f>AD55+(I56-M56)*AD57</f>
        <v>-11.98176</v>
      </c>
      <c r="AH58" s="21"/>
      <c r="AM58" s="22"/>
      <c r="AO58" s="29"/>
      <c r="AU58" s="38"/>
      <c r="AV58" s="38"/>
      <c r="AW58" s="39"/>
      <c r="AX58" s="39"/>
      <c r="AY58"/>
      <c r="AZ58"/>
      <c r="BA58"/>
      <c r="BB58"/>
    </row>
    <row r="59" spans="1:56" ht="17.25" customHeight="1" thickTop="1" x14ac:dyDescent="0.25">
      <c r="S59" s="17"/>
      <c r="T59" s="17"/>
      <c r="U59" s="17"/>
      <c r="V59" s="17"/>
      <c r="W59" s="17"/>
      <c r="X59" s="17"/>
      <c r="AB59" s="18">
        <f>AD58</f>
        <v>-11.98176</v>
      </c>
      <c r="AC59" s="14" t="str">
        <f>BD59</f>
        <v>-11°58'54.34 [-11°58.91]  (-11.9818°)</v>
      </c>
      <c r="AD59" s="7">
        <f>BC59</f>
        <v>-11.98176</v>
      </c>
      <c r="AE59" s="5">
        <f>IF(LEFT(TRIM(AB59),1)="-",-1,IF(LEFT(TRIM(AB59),1)="+",1, 0))</f>
        <v>-1</v>
      </c>
      <c r="AF59" s="5" t="str">
        <f>IF(AE59&gt;0,"+",IF(AE59&lt;0,"-",""))</f>
        <v>-</v>
      </c>
      <c r="AG59" s="5" t="str">
        <f>IF(ABS(AE59)&gt;0,RIGHT(AB59,LEN(AB59)-1),AB59)</f>
        <v>11.98176</v>
      </c>
      <c r="AH59" s="5" t="b">
        <f>ISNUMBER(SEARCH("°",AG59,1))</f>
        <v>0</v>
      </c>
      <c r="AI59" s="5" t="b">
        <f>ISNUMBER(SEARCH("'",AG59,1))</f>
        <v>0</v>
      </c>
      <c r="AJ59" s="5" t="b">
        <f>ISNUMBER(SEARCH("""",AG59,1))</f>
        <v>0</v>
      </c>
      <c r="AK59" s="5" t="b">
        <f>NOT(OR(AH59,AI59,AJ59))</f>
        <v>1</v>
      </c>
      <c r="AL59" s="5" t="b">
        <f t="shared" ref="AL59" si="78">OR(AK59,AH59)</f>
        <v>1</v>
      </c>
      <c r="AM59" s="6">
        <f>IF(AK59,VALUE(AG59),IF(AH59,VALUE(LEFT(AG59,SEARCH("°",AG59,1)-1)),0))</f>
        <v>11.98176</v>
      </c>
      <c r="AN59" s="5" t="str">
        <f>IF(AK59,"",IF(AH59,RIGHT(AG59,LEN(AG59)-SEARCH("°",AG59,1)),AG59))</f>
        <v/>
      </c>
      <c r="AO59" s="5" t="b">
        <f>(LEN(AN59)&gt;0)</f>
        <v>0</v>
      </c>
      <c r="AP59" s="5" t="b">
        <f>NOT(OR(AI59,AJ59))</f>
        <v>1</v>
      </c>
      <c r="AQ59" s="6">
        <f t="shared" ref="AQ59" si="79">IF(NOT(AO59),0,IF(AP59,VALUE(AN59),IF(NOT(AI59),0,VALUE(LEFT(AN59,SEARCH("'",AN59,1)-1)))))</f>
        <v>0</v>
      </c>
      <c r="AR59" s="5" t="str">
        <f t="shared" ref="AR59" si="80">IF(NOT(AO59),"",IF(AP59,"",IF(NOT(AI59),AN59,RIGHT(AN59,LEN(AN59)-SEARCH("'",AN59,1)))))</f>
        <v/>
      </c>
      <c r="AS59" s="5" t="b">
        <f>(LEN(AR59)&gt;0)</f>
        <v>0</v>
      </c>
      <c r="AT59" s="5" t="b">
        <f t="shared" ref="AT59" si="81">NOT(AJ59)</f>
        <v>1</v>
      </c>
      <c r="AU59" s="5" t="b">
        <f>ISNUMBER(SEARCH(".",AR59,1))</f>
        <v>0</v>
      </c>
      <c r="AV59" s="6">
        <f t="shared" ref="AV59" si="82">IF(AS59,IF(AJ59,IF(AU59,VALUE(SUBSTITUTE(AR59, """", "")),VALUE(SUBSTITUTE(AR59, """", "."))),VALUE(AR59)),0)</f>
        <v>0</v>
      </c>
      <c r="AW59" s="6">
        <f t="shared" ref="AW59" si="83">AM59*3600+AQ59*60+AV59</f>
        <v>43134.335999999996</v>
      </c>
      <c r="AX59" s="6">
        <f>AW59/3600</f>
        <v>11.98176</v>
      </c>
      <c r="AY59" s="6">
        <f>_xlfn.FLOOR.MATH((AX59))</f>
        <v>11</v>
      </c>
      <c r="AZ59" s="6">
        <f>(AW59-3600*AY59)/60</f>
        <v>58.905599999999929</v>
      </c>
      <c r="BA59" s="6">
        <f>_xlfn.FLOOR.MATH((AZ59))</f>
        <v>58</v>
      </c>
      <c r="BB59" s="6">
        <f>AW59-3600*AY59-60*BA59</f>
        <v>54.335999999995693</v>
      </c>
      <c r="BC59" s="6">
        <f>AX59*IF(AE59&lt;0,-1,1)</f>
        <v>-11.98176</v>
      </c>
      <c r="BD59" s="7" t="str">
        <f>CONCATENATE(AF59,TEXT(AY59,"00"),"°",TEXT(BA59,"00"),"'",TEXT(BB59,"00.00"), " [", CONCATENATE(AF59,TEXT(AY59,"00"),"°",TEXT(AZ59,"00.00")),"]", "  (", AF59,TEXT(AX59,"00.0000"),"°)")</f>
        <v>-11°58'54.34 [-11°58.91]  (-11.9818°)</v>
      </c>
    </row>
    <row r="60" spans="1:56" ht="17.25" customHeight="1" thickBot="1" x14ac:dyDescent="0.3">
      <c r="S60" s="17"/>
      <c r="T60" s="17"/>
      <c r="U60" s="17"/>
      <c r="V60" s="17"/>
      <c r="W60" s="17"/>
      <c r="X60" s="17"/>
      <c r="AD60" s="37"/>
      <c r="AE60" s="17"/>
      <c r="AF60" s="62"/>
      <c r="AG60" s="17"/>
      <c r="AL60" s="17"/>
      <c r="AM60" s="17"/>
      <c r="AN60" s="17"/>
      <c r="AO60" s="17"/>
      <c r="AP60" s="17"/>
      <c r="AQ60" s="17"/>
      <c r="AR60" s="17"/>
      <c r="AS60" s="17"/>
      <c r="AT60" s="17"/>
      <c r="AU60" s="17"/>
    </row>
    <row r="61" spans="1:56" ht="17.25" customHeight="1" thickBot="1" x14ac:dyDescent="0.3">
      <c r="A61" s="50"/>
      <c r="B61" s="47" t="s">
        <v>384</v>
      </c>
      <c r="C61" s="48"/>
      <c r="D61" s="48"/>
      <c r="E61" s="48"/>
      <c r="F61" s="571">
        <f>IF(G62=AF62,F66,F74)</f>
        <v>418.62228000000005</v>
      </c>
      <c r="G61" s="572"/>
      <c r="H61" s="445"/>
      <c r="I61" s="48"/>
      <c r="J61" s="48"/>
      <c r="K61" s="48"/>
      <c r="L61" s="569">
        <f>F61-360</f>
        <v>58.622280000000046</v>
      </c>
      <c r="M61" s="569"/>
      <c r="N61" s="48" t="s">
        <v>39</v>
      </c>
      <c r="O61" s="48"/>
      <c r="P61" s="48"/>
      <c r="Q61" s="48"/>
      <c r="R61" s="48"/>
      <c r="S61" s="48"/>
      <c r="T61" s="48"/>
      <c r="U61" s="48"/>
      <c r="V61" s="48"/>
      <c r="W61" s="48"/>
      <c r="X61" s="48"/>
      <c r="Y61" s="48"/>
      <c r="Z61" s="48"/>
      <c r="AA61" s="48"/>
      <c r="AB61" s="48"/>
      <c r="AC61" s="48"/>
      <c r="AD61" s="48"/>
      <c r="AE61" s="48"/>
      <c r="AF61" s="48"/>
      <c r="AG61" s="48"/>
      <c r="AH61" s="48"/>
      <c r="AI61" s="48"/>
      <c r="AJ61" s="48"/>
      <c r="AK61" s="48"/>
      <c r="AL61" s="48"/>
      <c r="AM61" s="48"/>
      <c r="AN61" s="48"/>
      <c r="AO61" s="48"/>
      <c r="AP61" s="48"/>
      <c r="AQ61" s="48"/>
      <c r="AR61" s="48"/>
      <c r="AS61" s="48"/>
      <c r="AT61" s="48"/>
      <c r="AU61" s="48"/>
      <c r="AV61" s="48"/>
      <c r="AW61" s="48"/>
      <c r="AX61" s="48"/>
      <c r="AY61" s="48"/>
      <c r="AZ61" s="48"/>
      <c r="BA61" s="48"/>
      <c r="BB61" s="49"/>
      <c r="BC61" s="50"/>
    </row>
    <row r="62" spans="1:56" ht="17.25" customHeight="1" x14ac:dyDescent="0.25">
      <c r="B62" s="50"/>
      <c r="C62" s="434" t="s">
        <v>58</v>
      </c>
      <c r="D62" s="434"/>
      <c r="E62" s="434"/>
      <c r="F62" s="570"/>
      <c r="G62" s="311" t="s">
        <v>17</v>
      </c>
      <c r="H62" s="312"/>
      <c r="I62" s="313"/>
      <c r="J62" s="50"/>
      <c r="K62" s="50"/>
      <c r="L62" s="50"/>
      <c r="M62" s="50"/>
      <c r="N62" s="50"/>
      <c r="O62" s="50"/>
      <c r="P62" s="50"/>
      <c r="Q62" s="50"/>
      <c r="R62" s="50"/>
      <c r="S62" s="50"/>
      <c r="T62" s="50"/>
      <c r="U62" s="50"/>
      <c r="V62" s="50"/>
      <c r="W62" s="50"/>
      <c r="X62" s="50"/>
      <c r="Y62" s="50"/>
      <c r="Z62" s="50"/>
      <c r="AA62" s="50"/>
      <c r="AB62" s="51"/>
      <c r="AC62" s="52"/>
      <c r="AD62" s="52"/>
      <c r="AE62" s="53" t="s">
        <v>59</v>
      </c>
      <c r="AF62" s="54" t="s">
        <v>11</v>
      </c>
      <c r="AG62" s="55">
        <v>0</v>
      </c>
      <c r="AH62" s="55"/>
      <c r="AI62" s="50"/>
      <c r="AJ62" s="50"/>
      <c r="AK62" s="50"/>
      <c r="AL62" s="50"/>
      <c r="AM62" s="50"/>
      <c r="AN62" s="50"/>
      <c r="AO62" s="50"/>
      <c r="AP62" s="50"/>
      <c r="AQ62" s="50"/>
      <c r="AR62" s="50"/>
      <c r="AS62" s="50"/>
      <c r="AT62" s="50"/>
      <c r="AU62" s="50"/>
      <c r="AV62" s="50"/>
      <c r="AW62" s="50"/>
      <c r="AX62" s="50"/>
      <c r="AY62" s="50"/>
      <c r="AZ62" s="50"/>
      <c r="BA62" s="50"/>
      <c r="BB62" s="50"/>
    </row>
    <row r="63" spans="1:56" ht="17.25" customHeight="1" x14ac:dyDescent="0.25">
      <c r="C63" s="56" t="s">
        <v>11</v>
      </c>
      <c r="D63" s="56"/>
      <c r="E63" s="57"/>
      <c r="F63" s="57"/>
      <c r="G63" s="17"/>
      <c r="H63" s="17"/>
      <c r="I63" s="17"/>
      <c r="AF63" s="58" t="s">
        <v>17</v>
      </c>
      <c r="AG63" s="22">
        <v>1</v>
      </c>
      <c r="AI63" s="17"/>
      <c r="AJ63" s="17"/>
      <c r="AK63" s="17"/>
      <c r="AL63" s="17"/>
      <c r="AM63" s="17"/>
      <c r="AN63" s="17"/>
      <c r="AO63" s="17"/>
      <c r="AP63" s="17"/>
      <c r="AQ63" s="17"/>
      <c r="AR63" s="17"/>
      <c r="AS63" s="17"/>
      <c r="AT63" s="17"/>
      <c r="AU63" s="17"/>
    </row>
    <row r="64" spans="1:56" ht="17.25" customHeight="1" x14ac:dyDescent="0.25">
      <c r="F64" s="296" t="s">
        <v>10</v>
      </c>
      <c r="G64" s="297"/>
      <c r="H64" s="298"/>
      <c r="I64" s="296" t="s">
        <v>13</v>
      </c>
      <c r="J64" s="297"/>
      <c r="K64" s="297"/>
      <c r="L64" s="298"/>
      <c r="M64" s="470" t="s">
        <v>14</v>
      </c>
      <c r="N64" s="471"/>
      <c r="O64" s="472"/>
      <c r="P64" s="314" t="s">
        <v>18</v>
      </c>
      <c r="Q64" s="315"/>
      <c r="R64" s="315"/>
      <c r="S64" s="315"/>
      <c r="T64" s="316"/>
      <c r="U64" s="17"/>
      <c r="AC64" s="19"/>
      <c r="AD64" s="20"/>
    </row>
    <row r="65" spans="1:66" ht="17.25" customHeight="1" thickBot="1" x14ac:dyDescent="0.3">
      <c r="F65" s="299"/>
      <c r="G65" s="300"/>
      <c r="H65" s="301"/>
      <c r="I65" s="299"/>
      <c r="J65" s="300"/>
      <c r="K65" s="300"/>
      <c r="L65" s="301"/>
      <c r="M65" s="473"/>
      <c r="N65" s="474"/>
      <c r="O65" s="475"/>
      <c r="P65" s="317"/>
      <c r="Q65" s="318"/>
      <c r="R65" s="318"/>
      <c r="S65" s="318"/>
      <c r="T65" s="319"/>
      <c r="U65" s="17"/>
      <c r="AB65" s="18" t="str">
        <f>Q66</f>
        <v>329°03.9'</v>
      </c>
      <c r="AC65" s="14"/>
      <c r="AD65" s="7"/>
      <c r="AE65" s="3" t="s">
        <v>57</v>
      </c>
      <c r="AF65" s="3" t="s">
        <v>57</v>
      </c>
      <c r="AG65" s="3" t="s">
        <v>304</v>
      </c>
      <c r="AH65" s="3" t="s">
        <v>120</v>
      </c>
      <c r="AI65" s="3" t="s">
        <v>121</v>
      </c>
      <c r="AJ65" s="3" t="s">
        <v>122</v>
      </c>
      <c r="AK65" s="3" t="s">
        <v>123</v>
      </c>
      <c r="AL65" s="3" t="s">
        <v>124</v>
      </c>
      <c r="AM65" s="3" t="s">
        <v>125</v>
      </c>
      <c r="AN65" s="3" t="s">
        <v>101</v>
      </c>
      <c r="AO65" s="3" t="s">
        <v>129</v>
      </c>
      <c r="AP65" s="3" t="s">
        <v>128</v>
      </c>
      <c r="AQ65" s="3" t="s">
        <v>126</v>
      </c>
      <c r="AR65" s="3" t="s">
        <v>127</v>
      </c>
      <c r="AS65" s="3" t="s">
        <v>129</v>
      </c>
      <c r="AT65" s="3" t="s">
        <v>128</v>
      </c>
      <c r="AU65" s="3" t="s">
        <v>130</v>
      </c>
      <c r="AV65" s="3" t="s">
        <v>112</v>
      </c>
      <c r="AW65" s="3" t="s">
        <v>117</v>
      </c>
      <c r="AX65" s="3" t="s">
        <v>143</v>
      </c>
      <c r="AY65" s="3" t="s">
        <v>149</v>
      </c>
      <c r="AZ65" s="3" t="s">
        <v>131</v>
      </c>
      <c r="BA65" s="3" t="s">
        <v>150</v>
      </c>
      <c r="BB65" s="3" t="s">
        <v>112</v>
      </c>
      <c r="BC65" s="3" t="s">
        <v>308</v>
      </c>
      <c r="BD65" s="3" t="s">
        <v>151</v>
      </c>
    </row>
    <row r="66" spans="1:66" ht="17.25" customHeight="1" thickTop="1" x14ac:dyDescent="0.25">
      <c r="E66" s="59"/>
      <c r="F66" s="339" t="str">
        <f>IF(G62=AF63,"---",AD71)</f>
        <v>---</v>
      </c>
      <c r="G66" s="340"/>
      <c r="H66" s="341"/>
      <c r="I66" s="308">
        <f>E11</f>
        <v>16.14</v>
      </c>
      <c r="J66" s="309"/>
      <c r="K66" s="309"/>
      <c r="L66" s="310"/>
      <c r="M66" s="308">
        <v>10</v>
      </c>
      <c r="N66" s="309"/>
      <c r="O66" s="310"/>
      <c r="P66" s="320" t="s">
        <v>6</v>
      </c>
      <c r="Q66" s="322" t="s">
        <v>239</v>
      </c>
      <c r="R66" s="323"/>
      <c r="S66" s="323"/>
      <c r="T66" s="324"/>
      <c r="U66" s="348" t="str">
        <f>AC66</f>
        <v>329°03'54.00 [329°03.90]  (329.0650°)</v>
      </c>
      <c r="V66" s="349"/>
      <c r="W66" s="349"/>
      <c r="X66" s="349"/>
      <c r="Y66" s="349"/>
      <c r="Z66" s="350"/>
      <c r="AB66" s="18" t="str">
        <f>IF(VLOOKUP(P66,$B$36:$C$37,2)&gt;0,AB65,CONCATENATE("-",AB65))</f>
        <v>329°03.9'</v>
      </c>
      <c r="AC66" s="28" t="str">
        <f>BD66</f>
        <v>329°03'54.00 [329°03.90]  (329.0650°)</v>
      </c>
      <c r="AD66" s="37">
        <f>BC66</f>
        <v>329.065</v>
      </c>
      <c r="AE66" s="5">
        <f>IF(LEFT(TRIM(AB66),1)="-",-1,IF(LEFT(TRIM(AB66),1)="+",1, 0))</f>
        <v>0</v>
      </c>
      <c r="AF66" s="5" t="str">
        <f>IF(AE66&gt;0,"+",IF(AE66&lt;0,"-",""))</f>
        <v/>
      </c>
      <c r="AG66" s="5" t="str">
        <f>IF(ABS(AE66)&gt;0,RIGHT(AB66,LEN(AB66)-1),AB66)</f>
        <v>329°03.9'</v>
      </c>
      <c r="AH66" s="5" t="b">
        <f>ISNUMBER(SEARCH("°",AG66,1))</f>
        <v>1</v>
      </c>
      <c r="AI66" s="5" t="b">
        <f>ISNUMBER(SEARCH("'",AG66,1))</f>
        <v>1</v>
      </c>
      <c r="AJ66" s="5" t="b">
        <f>ISNUMBER(SEARCH("""",AG66,1))</f>
        <v>0</v>
      </c>
      <c r="AK66" s="5" t="b">
        <f>NOT(OR(AH66,AI66,AJ66))</f>
        <v>0</v>
      </c>
      <c r="AL66" s="5" t="b">
        <f t="shared" ref="AL66" si="84">OR(AK66,AH66)</f>
        <v>1</v>
      </c>
      <c r="AM66" s="6">
        <f>IF(AK66,VALUE(AG66),IF(AH66,VALUE(LEFT(AG66,SEARCH("°",AG66,1)-1)),0))</f>
        <v>329</v>
      </c>
      <c r="AN66" s="5" t="str">
        <f>IF(AK66,"",IF(AH66,RIGHT(AG66,LEN(AG66)-SEARCH("°",AG66,1)),AG66))</f>
        <v>03.9'</v>
      </c>
      <c r="AO66" s="5" t="b">
        <f>(LEN(AN66)&gt;0)</f>
        <v>1</v>
      </c>
      <c r="AP66" s="5" t="b">
        <f>NOT(OR(AI66,AJ66))</f>
        <v>0</v>
      </c>
      <c r="AQ66" s="6">
        <f t="shared" ref="AQ66" si="85">IF(NOT(AO66),0,IF(AP66,VALUE(AN66),IF(NOT(AI66),0,VALUE(LEFT(AN66,SEARCH("'",AN66,1)-1)))))</f>
        <v>3.9</v>
      </c>
      <c r="AR66" s="5" t="str">
        <f t="shared" ref="AR66" si="86">IF(NOT(AO66),"",IF(AP66,"",IF(NOT(AI66),AN66,RIGHT(AN66,LEN(AN66)-SEARCH("'",AN66,1)))))</f>
        <v/>
      </c>
      <c r="AS66" s="5" t="b">
        <f>(LEN(AR66)&gt;0)</f>
        <v>0</v>
      </c>
      <c r="AT66" s="5" t="b">
        <f t="shared" ref="AT66" si="87">NOT(AJ66)</f>
        <v>1</v>
      </c>
      <c r="AU66" s="5" t="b">
        <f>ISNUMBER(SEARCH(".",AR66,1))</f>
        <v>0</v>
      </c>
      <c r="AV66" s="6">
        <f t="shared" ref="AV66" si="88">IF(AS66,IF(AJ66,IF(AU66,VALUE(SUBSTITUTE(AR66, """", "")),VALUE(SUBSTITUTE(AR66, """", "."))),VALUE(AR66)),0)</f>
        <v>0</v>
      </c>
      <c r="AW66" s="6">
        <f t="shared" ref="AW66" si="89">AM66*3600+AQ66*60+AV66</f>
        <v>1184634</v>
      </c>
      <c r="AX66" s="6">
        <f>AW66/3600</f>
        <v>329.065</v>
      </c>
      <c r="AY66" s="6">
        <f>_xlfn.FLOOR.MATH((AX66))</f>
        <v>329</v>
      </c>
      <c r="AZ66" s="6">
        <f>(AW66-3600*AY66)/60</f>
        <v>3.9</v>
      </c>
      <c r="BA66" s="6">
        <f>_xlfn.FLOOR.MATH((AZ66))</f>
        <v>3</v>
      </c>
      <c r="BB66" s="6">
        <f>AW66-3600*AY66-60*BA66</f>
        <v>54</v>
      </c>
      <c r="BC66" s="6">
        <f>AX66*IF(AE66&lt;0,-1,1)</f>
        <v>329.065</v>
      </c>
      <c r="BD66" s="7" t="str">
        <f>CONCATENATE(AF66,TEXT(AY66,"00"),"°",TEXT(BA66,"00"),"'",TEXT(BB66,"00.00"), " [", CONCATENATE(AF66,TEXT(AY66,"00"),"°",TEXT(AZ66,"00.00")),"]", "  (", AF66,TEXT(AX66,"00.0000"),"°)")</f>
        <v>329°03'54.00 [329°03.90]  (329.0650°)</v>
      </c>
    </row>
    <row r="67" spans="1:66" ht="17.25" customHeight="1" thickBot="1" x14ac:dyDescent="0.3">
      <c r="F67" s="342"/>
      <c r="G67" s="343"/>
      <c r="H67" s="344"/>
      <c r="I67" s="463"/>
      <c r="J67" s="464"/>
      <c r="K67" s="464"/>
      <c r="L67" s="465"/>
      <c r="M67" s="305"/>
      <c r="N67" s="306"/>
      <c r="O67" s="307"/>
      <c r="P67" s="321"/>
      <c r="Q67" s="325"/>
      <c r="R67" s="326"/>
      <c r="S67" s="326"/>
      <c r="T67" s="327"/>
      <c r="U67" s="351"/>
      <c r="V67" s="352"/>
      <c r="W67" s="352"/>
      <c r="X67" s="352"/>
      <c r="Y67" s="352"/>
      <c r="Z67" s="353"/>
      <c r="AB67" s="18" t="str">
        <f>Q68</f>
        <v>344°03.8'</v>
      </c>
      <c r="AC67" s="19"/>
      <c r="AD67" s="20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</row>
    <row r="68" spans="1:66" ht="17.25" customHeight="1" thickTop="1" x14ac:dyDescent="0.25">
      <c r="F68" s="342"/>
      <c r="G68" s="343"/>
      <c r="H68" s="344"/>
      <c r="I68" s="463"/>
      <c r="J68" s="464"/>
      <c r="K68" s="464"/>
      <c r="L68" s="465"/>
      <c r="M68" s="302">
        <v>11</v>
      </c>
      <c r="N68" s="303"/>
      <c r="O68" s="304"/>
      <c r="P68" s="328" t="s">
        <v>6</v>
      </c>
      <c r="Q68" s="329" t="s">
        <v>240</v>
      </c>
      <c r="R68" s="330"/>
      <c r="S68" s="330"/>
      <c r="T68" s="331"/>
      <c r="U68" s="348" t="str">
        <f>AC68</f>
        <v>344°03'48.00 [344°03.80]  (344.0633°)</v>
      </c>
      <c r="V68" s="349"/>
      <c r="W68" s="349"/>
      <c r="X68" s="349"/>
      <c r="Y68" s="349"/>
      <c r="Z68" s="350"/>
      <c r="AB68" s="18" t="str">
        <f>IF(VLOOKUP(P68,$B$36:$C$37,2)&gt;0,AB67,CONCATENATE("-",AB67))</f>
        <v>344°03.8'</v>
      </c>
      <c r="AC68" s="28" t="str">
        <f>BD68</f>
        <v>344°03'48.00 [344°03.80]  (344.0633°)</v>
      </c>
      <c r="AD68" s="37">
        <f>BC68</f>
        <v>344.06333333333333</v>
      </c>
      <c r="AE68" s="5">
        <f>IF(LEFT(TRIM(AB68),1)="-",-1,IF(LEFT(TRIM(AB68),1)="+",1, 0))</f>
        <v>0</v>
      </c>
      <c r="AF68" s="5" t="str">
        <f>IF(AE68&gt;0,"+",IF(AE68&lt;0,"-",""))</f>
        <v/>
      </c>
      <c r="AG68" s="5" t="str">
        <f>IF(ABS(AE68)&gt;0,RIGHT(AB68,LEN(AB68)-1),AB68)</f>
        <v>344°03.8'</v>
      </c>
      <c r="AH68" s="5" t="b">
        <f>ISNUMBER(SEARCH("°",AG68,1))</f>
        <v>1</v>
      </c>
      <c r="AI68" s="5" t="b">
        <f>ISNUMBER(SEARCH("'",AG68,1))</f>
        <v>1</v>
      </c>
      <c r="AJ68" s="5" t="b">
        <f>ISNUMBER(SEARCH("""",AG68,1))</f>
        <v>0</v>
      </c>
      <c r="AK68" s="5" t="b">
        <f>NOT(OR(AH68,AI68,AJ68))</f>
        <v>0</v>
      </c>
      <c r="AL68" s="5" t="b">
        <f t="shared" ref="AL68" si="90">OR(AK68,AH68)</f>
        <v>1</v>
      </c>
      <c r="AM68" s="6">
        <f>IF(AK68,VALUE(AG68),IF(AH68,VALUE(LEFT(AG68,SEARCH("°",AG68,1)-1)),0))</f>
        <v>344</v>
      </c>
      <c r="AN68" s="5" t="str">
        <f>IF(AK68,"",IF(AH68,RIGHT(AG68,LEN(AG68)-SEARCH("°",AG68,1)),AG68))</f>
        <v>03.8'</v>
      </c>
      <c r="AO68" s="5" t="b">
        <f>(LEN(AN68)&gt;0)</f>
        <v>1</v>
      </c>
      <c r="AP68" s="5" t="b">
        <f>NOT(OR(AI68,AJ68))</f>
        <v>0</v>
      </c>
      <c r="AQ68" s="6">
        <f t="shared" ref="AQ68" si="91">IF(NOT(AO68),0,IF(AP68,VALUE(AN68),IF(NOT(AI68),0,VALUE(LEFT(AN68,SEARCH("'",AN68,1)-1)))))</f>
        <v>3.8</v>
      </c>
      <c r="AR68" s="5" t="str">
        <f t="shared" ref="AR68" si="92">IF(NOT(AO68),"",IF(AP68,"",IF(NOT(AI68),AN68,RIGHT(AN68,LEN(AN68)-SEARCH("'",AN68,1)))))</f>
        <v/>
      </c>
      <c r="AS68" s="5" t="b">
        <f>(LEN(AR68)&gt;0)</f>
        <v>0</v>
      </c>
      <c r="AT68" s="5" t="b">
        <f t="shared" ref="AT68" si="93">NOT(AJ68)</f>
        <v>1</v>
      </c>
      <c r="AU68" s="5" t="b">
        <f>ISNUMBER(SEARCH(".",AR68,1))</f>
        <v>0</v>
      </c>
      <c r="AV68" s="6">
        <f t="shared" ref="AV68" si="94">IF(AS68,IF(AJ68,IF(AU68,VALUE(SUBSTITUTE(AR68, """", "")),VALUE(SUBSTITUTE(AR68, """", "."))),VALUE(AR68)),0)</f>
        <v>0</v>
      </c>
      <c r="AW68" s="6">
        <f t="shared" ref="AW68" si="95">AM68*3600+AQ68*60+AV68</f>
        <v>1238628</v>
      </c>
      <c r="AX68" s="6">
        <f>AW68/3600</f>
        <v>344.06333333333333</v>
      </c>
      <c r="AY68" s="6">
        <f>_xlfn.FLOOR.MATH((AX68))</f>
        <v>344</v>
      </c>
      <c r="AZ68" s="6">
        <f>(AW68-3600*AY68)/60</f>
        <v>3.8</v>
      </c>
      <c r="BA68" s="6">
        <f>_xlfn.FLOOR.MATH((AZ68))</f>
        <v>3</v>
      </c>
      <c r="BB68" s="6">
        <f>AW68-3600*AY68-60*BA68</f>
        <v>48</v>
      </c>
      <c r="BC68" s="6">
        <f>AX68*IF(AE68&lt;0,-1,1)</f>
        <v>344.06333333333333</v>
      </c>
      <c r="BD68" s="7" t="str">
        <f>CONCATENATE(AF68,TEXT(AY68,"00"),"°",TEXT(BA68,"00"),"'",TEXT(BB68,"00.00"), " [", CONCATENATE(AF68,TEXT(AY68,"00"),"°",TEXT(AZ68,"00.00")),"]", "  (", AF68,TEXT(AX68,"00.0000"),"°)")</f>
        <v>344°03'48.00 [344°03.80]  (344.0633°)</v>
      </c>
    </row>
    <row r="69" spans="1:66" ht="17.25" customHeight="1" thickBot="1" x14ac:dyDescent="0.3">
      <c r="F69" s="345"/>
      <c r="G69" s="346"/>
      <c r="H69" s="347"/>
      <c r="I69" s="463"/>
      <c r="J69" s="464"/>
      <c r="K69" s="464"/>
      <c r="L69" s="465"/>
      <c r="M69" s="305"/>
      <c r="N69" s="306"/>
      <c r="O69" s="307"/>
      <c r="P69" s="321"/>
      <c r="Q69" s="325"/>
      <c r="R69" s="326"/>
      <c r="S69" s="326"/>
      <c r="T69" s="327"/>
      <c r="U69" s="351"/>
      <c r="V69" s="352"/>
      <c r="W69" s="352"/>
      <c r="X69" s="352"/>
      <c r="Y69" s="352"/>
      <c r="Z69" s="353"/>
      <c r="AE69" s="31" t="s">
        <v>62</v>
      </c>
      <c r="AF69" s="31" t="s">
        <v>61</v>
      </c>
      <c r="AG69" s="31" t="s">
        <v>63</v>
      </c>
      <c r="AH69" s="31" t="s">
        <v>60</v>
      </c>
      <c r="AI69"/>
      <c r="AJ69"/>
      <c r="AK69"/>
      <c r="AL69"/>
      <c r="AM69"/>
      <c r="AN69" s="31"/>
      <c r="AO69" s="17"/>
      <c r="AP69" s="17"/>
      <c r="AQ69" s="17"/>
      <c r="AR69" s="17"/>
      <c r="AS69" s="17"/>
      <c r="AT69" s="17"/>
      <c r="AU69" s="17"/>
    </row>
    <row r="70" spans="1:66" ht="17.25" customHeight="1" thickTop="1" thickBot="1" x14ac:dyDescent="0.3">
      <c r="F70" s="336" t="str">
        <f>AC71</f>
        <v>421°09'17.16 [421°09.29]  (421.1548°)</v>
      </c>
      <c r="G70" s="337"/>
      <c r="H70" s="337"/>
      <c r="I70" s="337"/>
      <c r="J70" s="337"/>
      <c r="K70" s="338"/>
      <c r="AA70" s="17"/>
      <c r="AD70" s="37">
        <f>AH70</f>
        <v>421.15476666666666</v>
      </c>
      <c r="AE70" s="22">
        <f>M68-M66</f>
        <v>1</v>
      </c>
      <c r="AF70" s="22">
        <f>AD68-AD66</f>
        <v>14.998333333333335</v>
      </c>
      <c r="AG70" s="22">
        <f>I66-M66</f>
        <v>6.1400000000000006</v>
      </c>
      <c r="AH70" s="22">
        <f>AD66+AG70*AF70</f>
        <v>421.15476666666666</v>
      </c>
      <c r="AI70"/>
      <c r="AJ70"/>
      <c r="AK70"/>
      <c r="AL70"/>
      <c r="AM70"/>
      <c r="AO70" s="17"/>
      <c r="AP70" s="17"/>
      <c r="AQ70" s="17"/>
      <c r="AR70" s="17"/>
      <c r="AS70" s="17"/>
      <c r="AT70" s="17"/>
      <c r="AU70" s="17"/>
    </row>
    <row r="71" spans="1:66" ht="17.25" customHeight="1" thickTop="1" x14ac:dyDescent="0.25">
      <c r="C71" s="56" t="s">
        <v>17</v>
      </c>
      <c r="D71" s="56"/>
      <c r="E71" s="57"/>
      <c r="F71" s="57"/>
      <c r="G71" s="17"/>
      <c r="H71" s="17"/>
      <c r="I71" s="17"/>
      <c r="AA71" s="17"/>
      <c r="AB71" s="18">
        <f>AD70</f>
        <v>421.15476666666666</v>
      </c>
      <c r="AC71" s="28" t="str">
        <f>BD71</f>
        <v>421°09'17.16 [421°09.29]  (421.1548°)</v>
      </c>
      <c r="AD71" s="37">
        <f>BC71</f>
        <v>421.15476666666666</v>
      </c>
      <c r="AE71" s="5">
        <f>IF(LEFT(TRIM(AB71),1)="-",-1,IF(LEFT(TRIM(AB71),1)="+",1, 0))</f>
        <v>0</v>
      </c>
      <c r="AF71" s="5" t="str">
        <f>IF(AE71&gt;0,"+",IF(AE71&lt;0,"-",""))</f>
        <v/>
      </c>
      <c r="AG71" s="5">
        <f>IF(ABS(AE71)&gt;0,RIGHT(AB71,LEN(AB71)-1),AB71)</f>
        <v>421.15476666666666</v>
      </c>
      <c r="AH71" s="5" t="b">
        <f>ISNUMBER(SEARCH("°",AG71,1))</f>
        <v>0</v>
      </c>
      <c r="AI71" s="5" t="b">
        <f>ISNUMBER(SEARCH("'",AG71,1))</f>
        <v>0</v>
      </c>
      <c r="AJ71" s="5" t="b">
        <f>ISNUMBER(SEARCH("""",AG71,1))</f>
        <v>0</v>
      </c>
      <c r="AK71" s="5" t="b">
        <f>NOT(OR(AH71,AI71,AJ71))</f>
        <v>1</v>
      </c>
      <c r="AL71" s="5" t="b">
        <f t="shared" ref="AL71" si="96">OR(AK71,AH71)</f>
        <v>1</v>
      </c>
      <c r="AM71" s="6">
        <f>IF(AK71,VALUE(AG71),IF(AH71,VALUE(LEFT(AG71,SEARCH("°",AG71,1)-1)),0))</f>
        <v>421.15476666666666</v>
      </c>
      <c r="AN71" s="5" t="str">
        <f>IF(AK71,"",IF(AH71,RIGHT(AG71,LEN(AG71)-SEARCH("°",AG71,1)),AG71))</f>
        <v/>
      </c>
      <c r="AO71" s="5" t="b">
        <f>(LEN(AN71)&gt;0)</f>
        <v>0</v>
      </c>
      <c r="AP71" s="5" t="b">
        <f>NOT(OR(AI71,AJ71))</f>
        <v>1</v>
      </c>
      <c r="AQ71" s="6">
        <f t="shared" ref="AQ71" si="97">IF(NOT(AO71),0,IF(AP71,VALUE(AN71),IF(NOT(AI71),0,VALUE(LEFT(AN71,SEARCH("'",AN71,1)-1)))))</f>
        <v>0</v>
      </c>
      <c r="AR71" s="5" t="str">
        <f t="shared" ref="AR71" si="98">IF(NOT(AO71),"",IF(AP71,"",IF(NOT(AI71),AN71,RIGHT(AN71,LEN(AN71)-SEARCH("'",AN71,1)))))</f>
        <v/>
      </c>
      <c r="AS71" s="5" t="b">
        <f>(LEN(AR71)&gt;0)</f>
        <v>0</v>
      </c>
      <c r="AT71" s="5" t="b">
        <f t="shared" ref="AT71" si="99">NOT(AJ71)</f>
        <v>1</v>
      </c>
      <c r="AU71" s="5" t="b">
        <f>ISNUMBER(SEARCH(".",AR71,1))</f>
        <v>0</v>
      </c>
      <c r="AV71" s="6">
        <f t="shared" ref="AV71" si="100">IF(AS71,IF(AJ71,IF(AU71,VALUE(SUBSTITUTE(AR71, """", "")),VALUE(SUBSTITUTE(AR71, """", "."))),VALUE(AR71)),0)</f>
        <v>0</v>
      </c>
      <c r="AW71" s="6">
        <f t="shared" ref="AW71" si="101">AM71*3600+AQ71*60+AV71</f>
        <v>1516157.16</v>
      </c>
      <c r="AX71" s="6">
        <f>AW71/3600</f>
        <v>421.15476666666666</v>
      </c>
      <c r="AY71" s="6">
        <f>_xlfn.FLOOR.MATH((AX71))</f>
        <v>421</v>
      </c>
      <c r="AZ71" s="6">
        <f>(AW71-3600*AY71)/60</f>
        <v>9.2859999999986034</v>
      </c>
      <c r="BA71" s="6">
        <f>_xlfn.FLOOR.MATH((AZ71))</f>
        <v>9</v>
      </c>
      <c r="BB71" s="6">
        <f>AW71-3600*AY71-60*BA71</f>
        <v>17.159999999916181</v>
      </c>
      <c r="BC71" s="6">
        <f>AX71*IF(AE71&lt;0,-1,1)</f>
        <v>421.15476666666666</v>
      </c>
      <c r="BD71" s="7" t="str">
        <f>CONCATENATE(AF71,TEXT(AY71,"00"),"°",TEXT(BA71,"00"),"'",TEXT(BB71,"00.00"), " [", CONCATENATE(AF71,TEXT(AY71,"00"),"°",TEXT(AZ71,"00.00")),"]", "  (", AF71,TEXT(AX71,"00.0000"),"°)")</f>
        <v>421°09'17.16 [421°09.29]  (421.1548°)</v>
      </c>
    </row>
    <row r="72" spans="1:66" ht="17.25" customHeight="1" x14ac:dyDescent="0.25">
      <c r="C72" s="17"/>
      <c r="D72" s="17"/>
      <c r="E72" s="17"/>
      <c r="F72" s="296" t="s">
        <v>10</v>
      </c>
      <c r="G72" s="297"/>
      <c r="H72" s="298"/>
      <c r="I72" s="296" t="s">
        <v>13</v>
      </c>
      <c r="J72" s="297"/>
      <c r="K72" s="297"/>
      <c r="L72" s="298"/>
      <c r="M72" s="470" t="s">
        <v>14</v>
      </c>
      <c r="N72" s="471"/>
      <c r="O72" s="472"/>
      <c r="P72" s="314" t="s">
        <v>20</v>
      </c>
      <c r="Q72" s="315"/>
      <c r="R72" s="315"/>
      <c r="S72" s="315"/>
      <c r="T72" s="316"/>
      <c r="U72" s="314" t="s">
        <v>216</v>
      </c>
      <c r="V72" s="315"/>
      <c r="W72" s="315"/>
      <c r="X72" s="315"/>
      <c r="Y72" s="316"/>
      <c r="AA72" s="17"/>
      <c r="AC72" s="14"/>
      <c r="AD72" s="7"/>
      <c r="AE72" s="3" t="s">
        <v>57</v>
      </c>
      <c r="AF72" s="3" t="s">
        <v>57</v>
      </c>
      <c r="AG72" s="3" t="s">
        <v>304</v>
      </c>
      <c r="AH72" s="3" t="s">
        <v>120</v>
      </c>
      <c r="AI72" s="3" t="s">
        <v>121</v>
      </c>
      <c r="AJ72" s="3" t="s">
        <v>122</v>
      </c>
      <c r="AK72" s="3" t="s">
        <v>123</v>
      </c>
      <c r="AL72" s="3" t="s">
        <v>124</v>
      </c>
      <c r="AM72" s="3" t="s">
        <v>125</v>
      </c>
      <c r="AN72" s="3" t="s">
        <v>101</v>
      </c>
      <c r="AO72" s="3" t="s">
        <v>129</v>
      </c>
      <c r="AP72" s="3" t="s">
        <v>128</v>
      </c>
      <c r="AQ72" s="3" t="s">
        <v>126</v>
      </c>
      <c r="AR72" s="3" t="s">
        <v>127</v>
      </c>
      <c r="AS72" s="3" t="s">
        <v>129</v>
      </c>
      <c r="AT72" s="3" t="s">
        <v>128</v>
      </c>
      <c r="AU72" s="3" t="s">
        <v>130</v>
      </c>
      <c r="AV72" s="3" t="s">
        <v>112</v>
      </c>
      <c r="AW72" s="3" t="s">
        <v>117</v>
      </c>
      <c r="AX72" s="3" t="s">
        <v>143</v>
      </c>
      <c r="AY72" s="3" t="s">
        <v>149</v>
      </c>
      <c r="AZ72" s="3" t="s">
        <v>131</v>
      </c>
      <c r="BA72" s="3" t="s">
        <v>150</v>
      </c>
      <c r="BB72" s="3" t="s">
        <v>112</v>
      </c>
      <c r="BC72" s="3" t="s">
        <v>308</v>
      </c>
      <c r="BD72" s="3" t="s">
        <v>151</v>
      </c>
    </row>
    <row r="73" spans="1:66" ht="17.25" customHeight="1" collapsed="1" x14ac:dyDescent="0.25">
      <c r="F73" s="299"/>
      <c r="G73" s="300"/>
      <c r="H73" s="301"/>
      <c r="I73" s="299"/>
      <c r="J73" s="300"/>
      <c r="K73" s="300"/>
      <c r="L73" s="301"/>
      <c r="M73" s="473"/>
      <c r="N73" s="474"/>
      <c r="O73" s="475"/>
      <c r="P73" s="317"/>
      <c r="Q73" s="318"/>
      <c r="R73" s="318"/>
      <c r="S73" s="318"/>
      <c r="T73" s="319"/>
      <c r="U73" s="317"/>
      <c r="V73" s="318"/>
      <c r="W73" s="318"/>
      <c r="X73" s="318"/>
      <c r="Y73" s="319"/>
      <c r="Z73" s="17"/>
      <c r="AA73" s="17"/>
      <c r="AB73" s="18" t="str">
        <f>IF(VLOOKUP(P74,$B$36:$C$37,2)&gt;0,AB74,CONCATENATE("-",AB74))</f>
        <v>176.49°</v>
      </c>
      <c r="AC73" s="14" t="str">
        <f>BD73</f>
        <v>176°29'24.00 [176°29.40]  (176.4900°)</v>
      </c>
      <c r="AD73" s="7">
        <f>BC73</f>
        <v>176.49</v>
      </c>
      <c r="AE73" s="5">
        <f>IF(LEFT(TRIM(AB73),1)="-",-1,IF(LEFT(TRIM(AB73),1)="+",1, 0))</f>
        <v>0</v>
      </c>
      <c r="AF73" s="5" t="str">
        <f>IF(AE73&gt;0,"+",IF(AE73&lt;0,"-",""))</f>
        <v/>
      </c>
      <c r="AG73" s="5" t="str">
        <f>IF(ABS(AE73)&gt;0,RIGHT(AB73,LEN(AB73)-1),AB73)</f>
        <v>176.49°</v>
      </c>
      <c r="AH73" s="5" t="b">
        <f>ISNUMBER(SEARCH("°",AG73,1))</f>
        <v>1</v>
      </c>
      <c r="AI73" s="5" t="b">
        <f>ISNUMBER(SEARCH("'",AG73,1))</f>
        <v>0</v>
      </c>
      <c r="AJ73" s="5" t="b">
        <f>ISNUMBER(SEARCH("""",AG73,1))</f>
        <v>0</v>
      </c>
      <c r="AK73" s="5" t="b">
        <f>NOT(OR(AH73,AI73,AJ73))</f>
        <v>0</v>
      </c>
      <c r="AL73" s="5" t="b">
        <f t="shared" ref="AL73" si="102">OR(AK73,AH73)</f>
        <v>1</v>
      </c>
      <c r="AM73" s="6">
        <f>IF(AK73,VALUE(AG73),IF(AH73,VALUE(LEFT(AG73,SEARCH("°",AG73,1)-1)),0))</f>
        <v>176.49</v>
      </c>
      <c r="AN73" s="5" t="str">
        <f>IF(AK73,"",IF(AH73,RIGHT(AG73,LEN(AG73)-SEARCH("°",AG73,1)),AG73))</f>
        <v/>
      </c>
      <c r="AO73" s="5" t="b">
        <f>(LEN(AN73)&gt;0)</f>
        <v>0</v>
      </c>
      <c r="AP73" s="5" t="b">
        <f>NOT(OR(AI73,AJ73))</f>
        <v>1</v>
      </c>
      <c r="AQ73" s="6">
        <f t="shared" ref="AQ73" si="103">IF(NOT(AO73),0,IF(AP73,VALUE(AN73),IF(NOT(AI73),0,VALUE(LEFT(AN73,SEARCH("'",AN73,1)-1)))))</f>
        <v>0</v>
      </c>
      <c r="AR73" s="5" t="str">
        <f t="shared" ref="AR73" si="104">IF(NOT(AO73),"",IF(AP73,"",IF(NOT(AI73),AN73,RIGHT(AN73,LEN(AN73)-SEARCH("'",AN73,1)))))</f>
        <v/>
      </c>
      <c r="AS73" s="5" t="b">
        <f>(LEN(AR73)&gt;0)</f>
        <v>0</v>
      </c>
      <c r="AT73" s="5" t="b">
        <f t="shared" ref="AT73" si="105">NOT(AJ73)</f>
        <v>1</v>
      </c>
      <c r="AU73" s="5" t="b">
        <f>ISNUMBER(SEARCH(".",AR73,1))</f>
        <v>0</v>
      </c>
      <c r="AV73" s="6">
        <f t="shared" ref="AV73" si="106">IF(AS73,IF(AJ73,IF(AU73,VALUE(SUBSTITUTE(AR73, """", "")),VALUE(SUBSTITUTE(AR73, """", "."))),VALUE(AR73)),0)</f>
        <v>0</v>
      </c>
      <c r="AW73" s="6">
        <f t="shared" ref="AW73" si="107">AM73*3600+AQ73*60+AV73</f>
        <v>635364</v>
      </c>
      <c r="AX73" s="6">
        <f>AW73/3600</f>
        <v>176.49</v>
      </c>
      <c r="AY73" s="6">
        <f>_xlfn.FLOOR.MATH((AX73))</f>
        <v>176</v>
      </c>
      <c r="AZ73" s="6">
        <f>(AW73-3600*AY73)/60</f>
        <v>29.4</v>
      </c>
      <c r="BA73" s="6">
        <f>_xlfn.FLOOR.MATH((AZ73))</f>
        <v>29</v>
      </c>
      <c r="BB73" s="6">
        <f>AW73-3600*AY73-60*BA73</f>
        <v>24</v>
      </c>
      <c r="BC73" s="6">
        <f>AX73*IF(AE73&lt;0,-1,1)</f>
        <v>176.49</v>
      </c>
      <c r="BD73" s="7" t="str">
        <f>CONCATENATE(AF73,TEXT(AY73,"00"),"°",TEXT(BA73,"00"),"'",TEXT(BB73,"00.00"), " [", CONCATENATE(AF73,TEXT(AY73,"00"),"°",TEXT(AZ73,"00.00")),"]", "  (", AF73,TEXT(AX73,"00.0000"),"°)")</f>
        <v>176°29'24.00 [176°29.40]  (176.4900°)</v>
      </c>
    </row>
    <row r="74" spans="1:66" ht="17.25" customHeight="1" x14ac:dyDescent="0.25">
      <c r="E74" s="59"/>
      <c r="F74" s="339">
        <f>AD78</f>
        <v>418.62228000000005</v>
      </c>
      <c r="G74" s="340"/>
      <c r="H74" s="341"/>
      <c r="I74" s="308">
        <f>E11</f>
        <v>16.14</v>
      </c>
      <c r="J74" s="309"/>
      <c r="K74" s="309"/>
      <c r="L74" s="310"/>
      <c r="M74" s="308">
        <v>0</v>
      </c>
      <c r="N74" s="309"/>
      <c r="O74" s="310"/>
      <c r="P74" s="320" t="s">
        <v>6</v>
      </c>
      <c r="Q74" s="322" t="s">
        <v>374</v>
      </c>
      <c r="R74" s="323"/>
      <c r="S74" s="323"/>
      <c r="T74" s="466"/>
      <c r="U74" s="320" t="s">
        <v>6</v>
      </c>
      <c r="V74" s="322" t="s">
        <v>316</v>
      </c>
      <c r="W74" s="323"/>
      <c r="X74" s="323"/>
      <c r="Y74" s="466"/>
      <c r="Z74" s="17"/>
      <c r="AB74" s="18" t="str">
        <f>Q74</f>
        <v>176.49°</v>
      </c>
      <c r="AD74" s="37"/>
      <c r="AE74"/>
      <c r="AF74"/>
      <c r="AG74"/>
      <c r="AH74"/>
      <c r="AI74"/>
      <c r="AJ74"/>
      <c r="AK74"/>
      <c r="AL74"/>
      <c r="AM74"/>
      <c r="AN74"/>
      <c r="AO74"/>
      <c r="AP74"/>
      <c r="AU74" s="38"/>
      <c r="AV74" s="38"/>
      <c r="AW74" s="39"/>
      <c r="AX74" s="39"/>
      <c r="AY74"/>
      <c r="AZ74"/>
      <c r="BA74"/>
      <c r="BB74"/>
    </row>
    <row r="75" spans="1:66" ht="17.25" customHeight="1" thickBot="1" x14ac:dyDescent="0.3">
      <c r="F75" s="345"/>
      <c r="G75" s="346"/>
      <c r="H75" s="347"/>
      <c r="I75" s="463"/>
      <c r="J75" s="464"/>
      <c r="K75" s="464"/>
      <c r="L75" s="465"/>
      <c r="M75" s="305"/>
      <c r="N75" s="306"/>
      <c r="O75" s="307"/>
      <c r="P75" s="573"/>
      <c r="Q75" s="467"/>
      <c r="R75" s="468"/>
      <c r="S75" s="468"/>
      <c r="T75" s="469"/>
      <c r="U75" s="573"/>
      <c r="V75" s="467"/>
      <c r="W75" s="468"/>
      <c r="X75" s="468"/>
      <c r="Y75" s="469"/>
      <c r="Z75" s="17"/>
      <c r="AB75" s="18" t="str">
        <f>V74</f>
        <v>15.002°</v>
      </c>
      <c r="AC75" s="19"/>
      <c r="AD75" s="20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</row>
    <row r="76" spans="1:66" ht="17.25" customHeight="1" thickTop="1" thickBot="1" x14ac:dyDescent="0.3">
      <c r="F76" s="336" t="str">
        <f>AC78</f>
        <v>418°37'20.21 [418°37.34]  (418.6223°)</v>
      </c>
      <c r="G76" s="337"/>
      <c r="H76" s="337"/>
      <c r="I76" s="337"/>
      <c r="J76" s="337"/>
      <c r="K76" s="338"/>
      <c r="P76" s="288" t="str">
        <f>AC73</f>
        <v>176°29'24.00 [176°29.40]  (176.4900°)</v>
      </c>
      <c r="Q76" s="289"/>
      <c r="R76" s="289"/>
      <c r="S76" s="289"/>
      <c r="T76" s="290"/>
      <c r="U76" s="288" t="str">
        <f>AC76</f>
        <v>15°00'07.20 [15°00.12]  (15.0020°)</v>
      </c>
      <c r="V76" s="289"/>
      <c r="W76" s="289"/>
      <c r="X76" s="289"/>
      <c r="Y76" s="290"/>
      <c r="AB76" s="18" t="str">
        <f>IF(VLOOKUP(U74,$B$36:$C$37,2)&gt;0,AB75,CONCATENATE("-",AB75))</f>
        <v>15.002°</v>
      </c>
      <c r="AC76" s="14" t="str">
        <f>BD76</f>
        <v>15°00'07.20 [15°00.12]  (15.0020°)</v>
      </c>
      <c r="AD76" s="7">
        <f>BC76</f>
        <v>15.002000000000001</v>
      </c>
      <c r="AE76" s="5">
        <f>IF(LEFT(TRIM(AB76),1)="-",-1,IF(LEFT(TRIM(AB76),1)="+",1, 0))</f>
        <v>0</v>
      </c>
      <c r="AF76" s="5" t="str">
        <f>IF(AE76&gt;0,"+",IF(AE76&lt;0,"-",""))</f>
        <v/>
      </c>
      <c r="AG76" s="5" t="str">
        <f>IF(ABS(AE76)&gt;0,RIGHT(AB76,LEN(AB76)-1),AB76)</f>
        <v>15.002°</v>
      </c>
      <c r="AH76" s="5" t="b">
        <f>ISNUMBER(SEARCH("°",AG76,1))</f>
        <v>1</v>
      </c>
      <c r="AI76" s="5" t="b">
        <f>ISNUMBER(SEARCH("'",AG76,1))</f>
        <v>0</v>
      </c>
      <c r="AJ76" s="5" t="b">
        <f>ISNUMBER(SEARCH("""",AG76,1))</f>
        <v>0</v>
      </c>
      <c r="AK76" s="5" t="b">
        <f>NOT(OR(AH76,AI76,AJ76))</f>
        <v>0</v>
      </c>
      <c r="AL76" s="5" t="b">
        <f t="shared" ref="AL76" si="108">OR(AK76,AH76)</f>
        <v>1</v>
      </c>
      <c r="AM76" s="6">
        <f>IF(AK76,VALUE(AG76),IF(AH76,VALUE(LEFT(AG76,SEARCH("°",AG76,1)-1)),0))</f>
        <v>15.002000000000001</v>
      </c>
      <c r="AN76" s="5" t="str">
        <f>IF(AK76,"",IF(AH76,RIGHT(AG76,LEN(AG76)-SEARCH("°",AG76,1)),AG76))</f>
        <v/>
      </c>
      <c r="AO76" s="5" t="b">
        <f>(LEN(AN76)&gt;0)</f>
        <v>0</v>
      </c>
      <c r="AP76" s="5" t="b">
        <f>NOT(OR(AI76,AJ76))</f>
        <v>1</v>
      </c>
      <c r="AQ76" s="6">
        <f t="shared" ref="AQ76" si="109">IF(NOT(AO76),0,IF(AP76,VALUE(AN76),IF(NOT(AI76),0,VALUE(LEFT(AN76,SEARCH("'",AN76,1)-1)))))</f>
        <v>0</v>
      </c>
      <c r="AR76" s="5" t="str">
        <f t="shared" ref="AR76" si="110">IF(NOT(AO76),"",IF(AP76,"",IF(NOT(AI76),AN76,RIGHT(AN76,LEN(AN76)-SEARCH("'",AN76,1)))))</f>
        <v/>
      </c>
      <c r="AS76" s="5" t="b">
        <f>(LEN(AR76)&gt;0)</f>
        <v>0</v>
      </c>
      <c r="AT76" s="5" t="b">
        <f t="shared" ref="AT76" si="111">NOT(AJ76)</f>
        <v>1</v>
      </c>
      <c r="AU76" s="5" t="b">
        <f>ISNUMBER(SEARCH(".",AR76,1))</f>
        <v>0</v>
      </c>
      <c r="AV76" s="6">
        <f t="shared" ref="AV76" si="112">IF(AS76,IF(AJ76,IF(AU76,VALUE(SUBSTITUTE(AR76, """", "")),VALUE(SUBSTITUTE(AR76, """", "."))),VALUE(AR76)),0)</f>
        <v>0</v>
      </c>
      <c r="AW76" s="6">
        <f t="shared" ref="AW76" si="113">AM76*3600+AQ76*60+AV76</f>
        <v>54007.200000000004</v>
      </c>
      <c r="AX76" s="6">
        <f>AW76/3600</f>
        <v>15.002000000000001</v>
      </c>
      <c r="AY76" s="6">
        <f>_xlfn.FLOOR.MATH((AX76))</f>
        <v>15</v>
      </c>
      <c r="AZ76" s="6">
        <f>(AW76-3600*AY76)/60</f>
        <v>0.12000000000007276</v>
      </c>
      <c r="BA76" s="6">
        <f>_xlfn.FLOOR.MATH((AZ76))</f>
        <v>0</v>
      </c>
      <c r="BB76" s="6">
        <f>AW76-3600*AY76-60*BA76</f>
        <v>7.2000000000043656</v>
      </c>
      <c r="BC76" s="6">
        <f>AX76*IF(AE76&lt;0,-1,1)</f>
        <v>15.002000000000001</v>
      </c>
      <c r="BD76" s="7" t="str">
        <f>CONCATENATE(AF76,TEXT(AY76,"00"),"°",TEXT(BA76,"00"),"'",TEXT(BB76,"00.00"), " [", CONCATENATE(AF76,TEXT(AY76,"00"),"°",TEXT(AZ76,"00.00")),"]", "  (", AF76,TEXT(AX76,"00.0000"),"°)")</f>
        <v>15°00'07.20 [15°00.12]  (15.0020°)</v>
      </c>
    </row>
    <row r="77" spans="1:66" ht="17.25" customHeight="1" thickTop="1" x14ac:dyDescent="0.25">
      <c r="S77" s="17"/>
      <c r="T77" s="17"/>
      <c r="U77" s="17"/>
      <c r="V77" s="17"/>
      <c r="W77" s="17"/>
      <c r="X77" s="17"/>
      <c r="AD77" s="37"/>
      <c r="AE77" s="61" t="s">
        <v>154</v>
      </c>
      <c r="AF77" s="22">
        <f>AD73+(I74-M74)*AD76</f>
        <v>418.62228000000005</v>
      </c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</row>
    <row r="78" spans="1:66" ht="17.25" customHeight="1" x14ac:dyDescent="0.25">
      <c r="S78" s="17"/>
      <c r="T78" s="17"/>
      <c r="U78" s="17"/>
      <c r="V78" s="17"/>
      <c r="W78" s="17"/>
      <c r="AB78" s="18">
        <f>AF77</f>
        <v>418.62228000000005</v>
      </c>
      <c r="AC78" s="14" t="str">
        <f>BD78</f>
        <v>418°37'20.21 [418°37.34]  (418.6223°)</v>
      </c>
      <c r="AD78" s="7">
        <f>BC78</f>
        <v>418.62228000000005</v>
      </c>
      <c r="AE78" s="5">
        <f>IF(LEFT(TRIM(AB78),1)="-",-1,IF(LEFT(TRIM(AB78),1)="+",1, 0))</f>
        <v>0</v>
      </c>
      <c r="AF78" s="5" t="str">
        <f>IF(AE78&gt;0,"+",IF(AE78&lt;0,"-",""))</f>
        <v/>
      </c>
      <c r="AG78" s="5">
        <f>IF(ABS(AE78)&gt;0,RIGHT(AB78,LEN(AB78)-1),AB78)</f>
        <v>418.62228000000005</v>
      </c>
      <c r="AH78" s="5" t="b">
        <f>ISNUMBER(SEARCH("°",AG78,1))</f>
        <v>0</v>
      </c>
      <c r="AI78" s="5" t="b">
        <f>ISNUMBER(SEARCH("'",AG78,1))</f>
        <v>0</v>
      </c>
      <c r="AJ78" s="5" t="b">
        <f>ISNUMBER(SEARCH("""",AG78,1))</f>
        <v>0</v>
      </c>
      <c r="AK78" s="5" t="b">
        <f>NOT(OR(AH78,AI78,AJ78))</f>
        <v>1</v>
      </c>
      <c r="AL78" s="5" t="b">
        <f t="shared" ref="AL78" si="114">OR(AK78,AH78)</f>
        <v>1</v>
      </c>
      <c r="AM78" s="6">
        <f>IF(AK78,VALUE(AG78),IF(AH78,VALUE(LEFT(AG78,SEARCH("°",AG78,1)-1)),0))</f>
        <v>418.62228000000005</v>
      </c>
      <c r="AN78" s="5" t="str">
        <f>IF(AK78,"",IF(AH78,RIGHT(AG78,LEN(AG78)-SEARCH("°",AG78,1)),AG78))</f>
        <v/>
      </c>
      <c r="AO78" s="5" t="b">
        <f>(LEN(AN78)&gt;0)</f>
        <v>0</v>
      </c>
      <c r="AP78" s="5" t="b">
        <f>NOT(OR(AI78,AJ78))</f>
        <v>1</v>
      </c>
      <c r="AQ78" s="6">
        <f t="shared" ref="AQ78" si="115">IF(NOT(AO78),0,IF(AP78,VALUE(AN78),IF(NOT(AI78),0,VALUE(LEFT(AN78,SEARCH("'",AN78,1)-1)))))</f>
        <v>0</v>
      </c>
      <c r="AR78" s="5" t="str">
        <f t="shared" ref="AR78" si="116">IF(NOT(AO78),"",IF(AP78,"",IF(NOT(AI78),AN78,RIGHT(AN78,LEN(AN78)-SEARCH("'",AN78,1)))))</f>
        <v/>
      </c>
      <c r="AS78" s="5" t="b">
        <f>(LEN(AR78)&gt;0)</f>
        <v>0</v>
      </c>
      <c r="AT78" s="5" t="b">
        <f t="shared" ref="AT78" si="117">NOT(AJ78)</f>
        <v>1</v>
      </c>
      <c r="AU78" s="5" t="b">
        <f>ISNUMBER(SEARCH(".",AR78,1))</f>
        <v>0</v>
      </c>
      <c r="AV78" s="6">
        <f t="shared" ref="AV78" si="118">IF(AS78,IF(AJ78,IF(AU78,VALUE(SUBSTITUTE(AR78, """", "")),VALUE(SUBSTITUTE(AR78, """", "."))),VALUE(AR78)),0)</f>
        <v>0</v>
      </c>
      <c r="AW78" s="6">
        <f t="shared" ref="AW78" si="119">AM78*3600+AQ78*60+AV78</f>
        <v>1507040.2080000001</v>
      </c>
      <c r="AX78" s="6">
        <f>AW78/3600</f>
        <v>418.62228000000005</v>
      </c>
      <c r="AY78" s="6">
        <f>_xlfn.FLOOR.MATH((AX78))</f>
        <v>418</v>
      </c>
      <c r="AZ78" s="6">
        <f>(AW78-3600*AY78)/60</f>
        <v>37.336800000001674</v>
      </c>
      <c r="BA78" s="6">
        <f>_xlfn.FLOOR.MATH((AZ78))</f>
        <v>37</v>
      </c>
      <c r="BB78" s="6">
        <f>AW78-3600*AY78-60*BA78</f>
        <v>20.208000000100583</v>
      </c>
      <c r="BC78" s="6">
        <f>AX78*IF(AE78&lt;0,-1,1)</f>
        <v>418.62228000000005</v>
      </c>
      <c r="BD78" s="7" t="str">
        <f>CONCATENATE(AF78,TEXT(AY78,"00"),"°",TEXT(BA78,"00"),"'",TEXT(BB78,"00.00"), " [", CONCATENATE(AF78,TEXT(AY78,"00"),"°",TEXT(AZ78,"00.00")),"]", "  (", AF78,TEXT(AX78,"00.0000"),"°)")</f>
        <v>418°37'20.21 [418°37.34]  (418.6223°)</v>
      </c>
    </row>
    <row r="79" spans="1:66" ht="17.25" customHeight="1" thickBot="1" x14ac:dyDescent="0.3"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E79" s="31"/>
      <c r="AF79" s="31"/>
      <c r="AG79" s="31"/>
      <c r="AH79" s="31"/>
      <c r="AI79" s="60"/>
      <c r="AJ79" s="31"/>
      <c r="AK79" s="31"/>
      <c r="AL79" s="31"/>
      <c r="AM79" s="31"/>
      <c r="AN79" s="31"/>
      <c r="AO79" s="63"/>
      <c r="AP79" s="31"/>
      <c r="AQ79" s="31"/>
      <c r="AR79" s="31"/>
      <c r="AS79" s="31"/>
      <c r="AT79" s="31"/>
      <c r="AU79" s="17"/>
    </row>
    <row r="80" spans="1:66" s="17" customFormat="1" ht="17.25" customHeight="1" thickBot="1" x14ac:dyDescent="0.3">
      <c r="A80" s="1"/>
      <c r="B80" s="47" t="s">
        <v>71</v>
      </c>
      <c r="C80" s="48"/>
      <c r="D80" s="48"/>
      <c r="E80" s="48"/>
      <c r="F80" s="362">
        <f>I81</f>
        <v>60.705613333333361</v>
      </c>
      <c r="G80" s="362"/>
      <c r="H80" s="362"/>
      <c r="I80" s="48"/>
      <c r="J80" s="332" t="s">
        <v>157</v>
      </c>
      <c r="K80" s="332"/>
      <c r="L80" s="332"/>
      <c r="M80" s="460" t="str">
        <f>J20</f>
        <v>Soleil</v>
      </c>
      <c r="N80" s="460"/>
      <c r="O80" s="460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  <c r="AA80" s="48"/>
      <c r="AB80" s="48"/>
      <c r="AC80" s="48"/>
      <c r="AD80" s="48"/>
      <c r="AE80" s="48"/>
      <c r="AF80" s="48"/>
      <c r="AG80" s="48"/>
      <c r="AH80" s="48"/>
      <c r="AI80" s="48"/>
      <c r="AJ80" s="48"/>
      <c r="AK80" s="48"/>
      <c r="AL80" s="48"/>
      <c r="AM80" s="48"/>
      <c r="AN80" s="48"/>
      <c r="AO80" s="48"/>
      <c r="AP80" s="48"/>
      <c r="AQ80" s="48"/>
      <c r="AR80" s="48"/>
      <c r="AS80" s="48"/>
      <c r="AT80" s="48"/>
      <c r="AU80" s="48"/>
      <c r="AV80" s="48"/>
      <c r="AW80" s="48"/>
      <c r="AX80" s="48"/>
      <c r="AY80" s="48"/>
      <c r="AZ80" s="48"/>
      <c r="BA80" s="48"/>
      <c r="BB80" s="49"/>
      <c r="BC80" s="50"/>
      <c r="BD80" s="39"/>
      <c r="BE80" s="39"/>
      <c r="BF80" s="39"/>
      <c r="BG80" s="39"/>
      <c r="BH80" s="39"/>
      <c r="BI80" s="39"/>
      <c r="BJ80" s="39"/>
      <c r="BK80" s="39"/>
      <c r="BL80" s="39"/>
      <c r="BM80" s="39"/>
      <c r="BN80" s="39"/>
    </row>
    <row r="81" spans="1:62" ht="17.25" customHeight="1" thickBot="1" x14ac:dyDescent="0.3">
      <c r="C81" s="282" t="s">
        <v>27</v>
      </c>
      <c r="D81" s="282"/>
      <c r="E81" s="282"/>
      <c r="F81" s="282"/>
      <c r="G81" s="282"/>
      <c r="H81" s="283"/>
      <c r="I81" s="292">
        <f>AH82</f>
        <v>60.705613333333361</v>
      </c>
      <c r="J81" s="293"/>
      <c r="K81" s="293"/>
      <c r="L81" s="294"/>
      <c r="M81" s="64" t="s">
        <v>74</v>
      </c>
      <c r="N81" s="362">
        <f>AE82</f>
        <v>420.70561333333336</v>
      </c>
      <c r="O81" s="362"/>
      <c r="P81" s="362"/>
      <c r="Q81" s="362"/>
      <c r="AE81" s="31" t="s">
        <v>75</v>
      </c>
      <c r="AF81" s="31" t="s">
        <v>57</v>
      </c>
      <c r="AG81" s="31" t="s">
        <v>76</v>
      </c>
      <c r="AH81" s="31" t="s">
        <v>77</v>
      </c>
      <c r="AI81" s="17"/>
      <c r="AJ81" s="17"/>
      <c r="AK81" s="17"/>
      <c r="AL81" s="17"/>
      <c r="AM81" s="17"/>
      <c r="AN81" s="17"/>
      <c r="AO81" s="17"/>
      <c r="AP81" s="17"/>
    </row>
    <row r="82" spans="1:62" ht="17.25" customHeight="1" thickTop="1" thickBot="1" x14ac:dyDescent="0.3">
      <c r="A82" s="17"/>
      <c r="C82" s="17"/>
      <c r="D82" s="17"/>
      <c r="E82" s="17"/>
      <c r="F82" s="17"/>
      <c r="G82" s="17"/>
      <c r="H82" s="17"/>
      <c r="I82" s="287" t="str">
        <f>AC83</f>
        <v>60°42'20.21 [60°42.34]  (60.7056°)</v>
      </c>
      <c r="J82" s="287"/>
      <c r="K82" s="287"/>
      <c r="L82" s="287"/>
      <c r="M82" s="287"/>
      <c r="N82" s="287"/>
      <c r="AB82" s="65"/>
      <c r="AC82" s="19"/>
      <c r="AD82" s="19"/>
      <c r="AE82" s="62">
        <f>IF(J20=AG20,F39+#REF!+#REF!,F39+F61)</f>
        <v>420.70561333333336</v>
      </c>
      <c r="AF82" s="17">
        <f>SIGN(AE82)</f>
        <v>1</v>
      </c>
      <c r="AG82" s="17">
        <f>INT(ABS(AE82)/360)</f>
        <v>1</v>
      </c>
      <c r="AH82" s="17">
        <f>IF(AF82&lt;0,(1+AG82)*360+AE82,AE82-AG82*360)</f>
        <v>60.705613333333361</v>
      </c>
      <c r="AI82" s="17"/>
      <c r="AJ82" s="17"/>
      <c r="AK82" s="17"/>
      <c r="AL82" s="17"/>
      <c r="AM82" s="17"/>
      <c r="AN82" s="17"/>
      <c r="AO82" s="17"/>
      <c r="AP82" s="17"/>
      <c r="AQ82" s="39"/>
      <c r="AR82" s="39"/>
      <c r="AS82" s="39"/>
      <c r="AT82" s="39"/>
      <c r="AU82" s="39"/>
      <c r="AV82" s="39"/>
      <c r="AW82" s="39"/>
      <c r="AX82" s="39"/>
      <c r="AY82" s="39"/>
      <c r="AZ82" s="39"/>
      <c r="BA82" s="39"/>
      <c r="BB82" s="39"/>
    </row>
    <row r="83" spans="1:62" ht="17.25" customHeight="1" thickTop="1" thickBot="1" x14ac:dyDescent="0.3">
      <c r="B83" s="17"/>
      <c r="C83" s="1"/>
      <c r="D83" s="1"/>
      <c r="E83" s="1"/>
      <c r="F83" s="1"/>
      <c r="G83" s="1"/>
      <c r="AA83" s="17"/>
      <c r="AB83" s="18">
        <f>AH82</f>
        <v>60.705613333333361</v>
      </c>
      <c r="AC83" s="14" t="str">
        <f>BD83</f>
        <v>60°42'20.21 [60°42.34]  (60.7056°)</v>
      </c>
      <c r="AD83" s="7">
        <f>BC83</f>
        <v>60.705613333333361</v>
      </c>
      <c r="AE83" s="5">
        <f>IF(LEFT(TRIM(AB83),1)="-",-1,IF(LEFT(TRIM(AB83),1)="+",1, 0))</f>
        <v>0</v>
      </c>
      <c r="AF83" s="5" t="str">
        <f>IF(AE83&gt;0,"+",IF(AE83&lt;0,"-",""))</f>
        <v/>
      </c>
      <c r="AG83" s="5">
        <f>IF(ABS(AE83)&gt;0,RIGHT(AB83,LEN(AB83)-1),AB83)</f>
        <v>60.705613333333361</v>
      </c>
      <c r="AH83" s="5" t="b">
        <f>ISNUMBER(SEARCH("°",AG83,1))</f>
        <v>0</v>
      </c>
      <c r="AI83" s="5" t="b">
        <f>ISNUMBER(SEARCH("'",AG83,1))</f>
        <v>0</v>
      </c>
      <c r="AJ83" s="5" t="b">
        <f>ISNUMBER(SEARCH("""",AG83,1))</f>
        <v>0</v>
      </c>
      <c r="AK83" s="5" t="b">
        <f>NOT(OR(AH83,AI83,AJ83))</f>
        <v>1</v>
      </c>
      <c r="AL83" s="5" t="b">
        <f t="shared" ref="AL83" si="120">OR(AK83,AH83)</f>
        <v>1</v>
      </c>
      <c r="AM83" s="6">
        <f>IF(AK83,VALUE(AG83),IF(AH83,VALUE(LEFT(AG83,SEARCH("°",AG83,1)-1)),0))</f>
        <v>60.705613333333361</v>
      </c>
      <c r="AN83" s="5" t="str">
        <f>IF(AK83,"",IF(AH83,RIGHT(AG83,LEN(AG83)-SEARCH("°",AG83,1)),AG83))</f>
        <v/>
      </c>
      <c r="AO83" s="5" t="b">
        <f>(LEN(AN83)&gt;0)</f>
        <v>0</v>
      </c>
      <c r="AP83" s="5" t="b">
        <f>NOT(OR(AI83,AJ83))</f>
        <v>1</v>
      </c>
      <c r="AQ83" s="6">
        <f t="shared" ref="AQ83" si="121">IF(NOT(AO83),0,IF(AP83,VALUE(AN83),IF(NOT(AI83),0,VALUE(LEFT(AN83,SEARCH("'",AN83,1)-1)))))</f>
        <v>0</v>
      </c>
      <c r="AR83" s="5" t="str">
        <f t="shared" ref="AR83" si="122">IF(NOT(AO83),"",IF(AP83,"",IF(NOT(AI83),AN83,RIGHT(AN83,LEN(AN83)-SEARCH("'",AN83,1)))))</f>
        <v/>
      </c>
      <c r="AS83" s="5" t="b">
        <f>(LEN(AR83)&gt;0)</f>
        <v>0</v>
      </c>
      <c r="AT83" s="5" t="b">
        <f t="shared" ref="AT83" si="123">NOT(AJ83)</f>
        <v>1</v>
      </c>
      <c r="AU83" s="5" t="b">
        <f>ISNUMBER(SEARCH(".",AR83,1))</f>
        <v>0</v>
      </c>
      <c r="AV83" s="6">
        <f t="shared" ref="AV83" si="124">IF(AS83,IF(AJ83,IF(AU83,VALUE(SUBSTITUTE(AR83, """", "")),VALUE(SUBSTITUTE(AR83, """", "."))),VALUE(AR83)),0)</f>
        <v>0</v>
      </c>
      <c r="AW83" s="6">
        <f t="shared" ref="AW83" si="125">AM83*3600+AQ83*60+AV83</f>
        <v>218540.2080000001</v>
      </c>
      <c r="AX83" s="6">
        <f>AW83/3600</f>
        <v>60.705613333333361</v>
      </c>
      <c r="AY83" s="6">
        <f>_xlfn.FLOOR.MATH((AX83))</f>
        <v>60</v>
      </c>
      <c r="AZ83" s="6">
        <f>(AW83-3600*AY83)/60</f>
        <v>42.336800000001674</v>
      </c>
      <c r="BA83" s="6">
        <f>_xlfn.FLOOR.MATH((AZ83))</f>
        <v>42</v>
      </c>
      <c r="BB83" s="6">
        <f>AW83-3600*AY83-60*BA83</f>
        <v>20.208000000100583</v>
      </c>
      <c r="BC83" s="6">
        <f>AX83*IF(AE83&lt;0,-1,1)</f>
        <v>60.705613333333361</v>
      </c>
      <c r="BD83" s="7" t="str">
        <f>CONCATENATE(AF83,TEXT(AY83,"00"),"°",TEXT(BA83,"00"),"'",TEXT(BB83,"00.00"), " [", CONCATENATE(AF83,TEXT(AY83,"00"),"°",TEXT(AZ83,"00.00")),"]", "  (", AF83,TEXT(AX83,"00.0000"),"°)")</f>
        <v>60°42'20.21 [60°42.34]  (60.7056°)</v>
      </c>
    </row>
    <row r="84" spans="1:62" ht="17.25" customHeight="1" thickTop="1" thickBot="1" x14ac:dyDescent="0.3">
      <c r="B84" s="47" t="s">
        <v>30</v>
      </c>
      <c r="C84" s="48"/>
      <c r="D84" s="272" t="s">
        <v>176</v>
      </c>
      <c r="E84" s="273"/>
      <c r="F84" s="362">
        <f>IF(G85=AF85,O121,O114)</f>
        <v>9.1383333333333336</v>
      </c>
      <c r="G84" s="362"/>
      <c r="H84" s="362"/>
      <c r="I84" s="48"/>
      <c r="J84" s="48"/>
      <c r="K84" s="48"/>
      <c r="L84" s="48"/>
      <c r="M84" s="48"/>
      <c r="N84" s="48"/>
      <c r="O84" s="48"/>
      <c r="P84" s="48" t="s">
        <v>217</v>
      </c>
      <c r="Q84" s="48"/>
      <c r="R84" s="48"/>
      <c r="S84" s="292">
        <f>-O101+O96+O105</f>
        <v>-9.6533209420133284E-2</v>
      </c>
      <c r="T84" s="293"/>
      <c r="U84" s="294"/>
      <c r="V84" s="295" t="str">
        <f>AO84</f>
        <v>-00°05.7920</v>
      </c>
      <c r="W84" s="295"/>
      <c r="X84" s="295"/>
      <c r="Y84" s="295"/>
      <c r="Z84" s="295"/>
      <c r="AA84" s="48"/>
      <c r="AB84" s="48"/>
      <c r="AC84" s="48"/>
      <c r="AD84" s="48">
        <f>S84</f>
        <v>-9.6533209420133284E-2</v>
      </c>
      <c r="AE84" s="48"/>
      <c r="AF84" s="48"/>
      <c r="AG84" s="48"/>
      <c r="AH84" s="48"/>
      <c r="AI84" s="48"/>
      <c r="AJ84" s="22">
        <f>SIGN(AD84)</f>
        <v>-1</v>
      </c>
      <c r="AK84" s="22" t="str">
        <f>IF(AJ84&lt;0,"-","+")</f>
        <v>-</v>
      </c>
      <c r="AL84" s="17">
        <f>ABS(AD84)*3600</f>
        <v>347.51955391247981</v>
      </c>
      <c r="AM84" s="17">
        <f>_xlfn.FLOOR.MATH(AL84/3600)</f>
        <v>0</v>
      </c>
      <c r="AN84" s="17">
        <f>(AL84-3600*AM84)/60</f>
        <v>5.7919925652079964</v>
      </c>
      <c r="AO84" s="17" t="str">
        <f>CONCATENATE(AK84,TEXT(AM84, "00"),"°",TEXT(AN84, "00.0000"))</f>
        <v>-00°05.7920</v>
      </c>
      <c r="AP84" s="48"/>
      <c r="AQ84" s="48"/>
      <c r="AR84" s="48"/>
      <c r="AS84" s="48"/>
      <c r="AT84" s="48"/>
      <c r="AU84" s="48"/>
      <c r="AV84" s="48"/>
      <c r="AW84" s="48"/>
      <c r="AX84" s="48"/>
      <c r="AY84" s="48"/>
      <c r="AZ84" s="48"/>
      <c r="BA84" s="48"/>
      <c r="BB84" s="49"/>
      <c r="BC84" s="50"/>
    </row>
    <row r="85" spans="1:62" ht="17.25" customHeight="1" x14ac:dyDescent="0.25">
      <c r="C85" s="434" t="s">
        <v>58</v>
      </c>
      <c r="D85" s="434"/>
      <c r="E85" s="434"/>
      <c r="F85" s="434"/>
      <c r="G85" s="333" t="s">
        <v>83</v>
      </c>
      <c r="H85" s="333"/>
      <c r="I85" s="333"/>
      <c r="P85" s="1" t="s">
        <v>177</v>
      </c>
      <c r="V85" s="17"/>
      <c r="W85" s="17"/>
      <c r="X85" s="17"/>
      <c r="Y85" s="17"/>
      <c r="Z85" s="17"/>
      <c r="AE85" s="53" t="s">
        <v>59</v>
      </c>
      <c r="AF85" s="66" t="s">
        <v>83</v>
      </c>
    </row>
    <row r="86" spans="1:62" ht="17.25" customHeight="1" thickBot="1" x14ac:dyDescent="0.3">
      <c r="C86" s="70"/>
      <c r="D86" s="70"/>
      <c r="E86" s="70"/>
      <c r="F86" s="334" t="s">
        <v>168</v>
      </c>
      <c r="G86" s="334"/>
      <c r="H86" s="335"/>
      <c r="I86" s="335"/>
      <c r="J86" s="291" t="str">
        <f>IF(G85=AF85,"---",O114)</f>
        <v>---</v>
      </c>
      <c r="K86" s="291"/>
      <c r="L86" s="291"/>
      <c r="V86" s="17"/>
      <c r="W86" s="17"/>
      <c r="X86" s="17"/>
      <c r="Y86" s="17"/>
      <c r="Z86" s="17"/>
      <c r="AE86" s="53"/>
      <c r="AF86" s="67" t="s">
        <v>84</v>
      </c>
      <c r="AJ86" s="68" t="s">
        <v>182</v>
      </c>
      <c r="AK86" s="68" t="s">
        <v>182</v>
      </c>
      <c r="AL86" s="68" t="s">
        <v>112</v>
      </c>
      <c r="AM86" s="68" t="s">
        <v>125</v>
      </c>
      <c r="AN86" s="68" t="s">
        <v>137</v>
      </c>
      <c r="AO86" s="17"/>
    </row>
    <row r="87" spans="1:62" ht="17.25" customHeight="1" thickTop="1" thickBot="1" x14ac:dyDescent="0.3">
      <c r="C87" s="1"/>
      <c r="D87" s="1"/>
      <c r="E87" s="1"/>
      <c r="F87" s="1"/>
      <c r="G87" s="1"/>
      <c r="H87" s="461" t="s">
        <v>79</v>
      </c>
      <c r="I87" s="461"/>
      <c r="J87" s="461"/>
      <c r="K87" s="461"/>
      <c r="L87" s="461"/>
      <c r="M87" s="461"/>
      <c r="N87" s="461"/>
      <c r="O87" s="281">
        <f>J19</f>
        <v>8.9666666666666668</v>
      </c>
      <c r="P87" s="281"/>
      <c r="Q87" s="281"/>
      <c r="R87" s="281"/>
      <c r="S87" s="1" t="s">
        <v>125</v>
      </c>
      <c r="U87" s="279" t="str">
        <f>AC87</f>
        <v>+08°58.0000</v>
      </c>
      <c r="V87" s="279"/>
      <c r="W87" s="279"/>
      <c r="X87" s="279"/>
      <c r="Y87" s="279"/>
      <c r="Z87" s="279"/>
      <c r="AC87" s="28" t="str">
        <f>AO87</f>
        <v>+08°58.0000</v>
      </c>
      <c r="AD87" s="28">
        <f>O87</f>
        <v>8.9666666666666668</v>
      </c>
      <c r="AE87" s="31" t="s">
        <v>164</v>
      </c>
      <c r="AF87" s="1"/>
      <c r="AG87" s="17"/>
      <c r="AH87" s="17"/>
      <c r="AI87" s="17"/>
      <c r="AJ87" s="22">
        <f>SIGN(AD87)</f>
        <v>1</v>
      </c>
      <c r="AK87" s="22" t="str">
        <f>IF(AJ87&lt;0,"-","+")</f>
        <v>+</v>
      </c>
      <c r="AL87" s="17">
        <f>ABS(AD87)*3600</f>
        <v>32280</v>
      </c>
      <c r="AM87" s="17">
        <f>_xlfn.FLOOR.MATH(AL87/3600)</f>
        <v>8</v>
      </c>
      <c r="AN87" s="17">
        <f>(AL87-3600*AM87)/60</f>
        <v>58</v>
      </c>
      <c r="AO87" s="17" t="str">
        <f>CONCATENATE(AK87,TEXT(AM87, "00"),"°",TEXT(AN87, "00.0000"))</f>
        <v>+08°58.0000</v>
      </c>
      <c r="AP87" s="17"/>
    </row>
    <row r="88" spans="1:62" ht="17.25" customHeight="1" thickTop="1" thickBot="1" x14ac:dyDescent="0.3">
      <c r="C88" s="1"/>
      <c r="D88" s="1"/>
      <c r="E88" s="1"/>
      <c r="F88" s="1"/>
      <c r="G88" s="1"/>
      <c r="H88" s="461" t="s">
        <v>31</v>
      </c>
      <c r="I88" s="461"/>
      <c r="J88" s="461"/>
      <c r="K88" s="461"/>
      <c r="L88" s="461"/>
      <c r="M88" s="461"/>
      <c r="N88" s="461"/>
      <c r="O88" s="281">
        <f>J18</f>
        <v>0</v>
      </c>
      <c r="P88" s="281"/>
      <c r="Q88" s="281"/>
      <c r="R88" s="281"/>
      <c r="S88" s="1" t="s">
        <v>125</v>
      </c>
      <c r="U88" s="279" t="str">
        <f>AC88</f>
        <v>+00°00.0000 (+00.0000')</v>
      </c>
      <c r="V88" s="279"/>
      <c r="W88" s="279"/>
      <c r="X88" s="279"/>
      <c r="Y88" s="279"/>
      <c r="Z88" s="279"/>
      <c r="AC88" s="28" t="str">
        <f>AO88</f>
        <v>+00°00.0000 (+00.0000')</v>
      </c>
      <c r="AD88" s="28">
        <f>O88</f>
        <v>0</v>
      </c>
      <c r="AE88" s="31" t="s">
        <v>163</v>
      </c>
      <c r="AF88" s="1"/>
      <c r="AG88" s="17"/>
      <c r="AH88" s="1"/>
      <c r="AI88" s="17"/>
      <c r="AJ88" s="22">
        <f>SIGN(AD88)</f>
        <v>0</v>
      </c>
      <c r="AK88" s="22" t="str">
        <f>IF(AJ88&lt;0,"-","+")</f>
        <v>+</v>
      </c>
      <c r="AL88" s="17">
        <f>ABS(AD88)*3600</f>
        <v>0</v>
      </c>
      <c r="AM88" s="17">
        <f>_xlfn.FLOOR.MATH(AL88/3600)</f>
        <v>0</v>
      </c>
      <c r="AN88" s="17">
        <f>(AL88-3600*AM88)/60</f>
        <v>0</v>
      </c>
      <c r="AO88" s="17" t="str">
        <f>CONCATENATE(AK88,TEXT(AM88, "00"),"°",TEXT(AN88, "00.0000"), " (", CONCATENATE(AK88,TEXT(AM88*60 + AN88, "00.0000"),"'"), ")")</f>
        <v>+00°00.0000 (+00.0000')</v>
      </c>
      <c r="AP88" s="17"/>
    </row>
    <row r="89" spans="1:62" ht="17.25" customHeight="1" thickTop="1" thickBot="1" x14ac:dyDescent="0.3">
      <c r="G89" s="1"/>
      <c r="H89" s="480" t="s">
        <v>174</v>
      </c>
      <c r="I89" s="480"/>
      <c r="J89" s="480"/>
      <c r="K89" s="480"/>
      <c r="L89" s="480"/>
      <c r="M89" s="480"/>
      <c r="N89" s="480"/>
      <c r="O89" s="280">
        <f>AD89</f>
        <v>0</v>
      </c>
      <c r="P89" s="280"/>
      <c r="Q89" s="280"/>
      <c r="R89" s="280"/>
      <c r="S89" s="1" t="s">
        <v>125</v>
      </c>
      <c r="U89" s="279" t="str">
        <f>AC89</f>
        <v>+00.0000'</v>
      </c>
      <c r="V89" s="279"/>
      <c r="W89" s="279"/>
      <c r="X89" s="279"/>
      <c r="Y89" s="279"/>
      <c r="Z89" s="279"/>
      <c r="AC89" s="28" t="str">
        <f>AO89</f>
        <v>+00.0000'</v>
      </c>
      <c r="AD89" s="28">
        <f>AH89</f>
        <v>0</v>
      </c>
      <c r="AE89" s="31" t="s">
        <v>78</v>
      </c>
      <c r="AF89" s="17">
        <f>J17</f>
        <v>0</v>
      </c>
      <c r="AG89" s="69" t="s">
        <v>173</v>
      </c>
      <c r="AH89" s="1">
        <f>0.0293 * SQRT(AF89)</f>
        <v>0</v>
      </c>
      <c r="AI89" s="17"/>
      <c r="AJ89" s="22">
        <f>SIGN(AD89)</f>
        <v>0</v>
      </c>
      <c r="AK89" s="22" t="str">
        <f>IF(AJ89&lt;0,"-","+")</f>
        <v>+</v>
      </c>
      <c r="AL89" s="17">
        <f>ABS(AD89)*3600</f>
        <v>0</v>
      </c>
      <c r="AM89" s="17">
        <f>_xlfn.FLOOR.MATH(AL89/3600)</f>
        <v>0</v>
      </c>
      <c r="AN89" s="17">
        <f>(AL89-3600*AM89)/60</f>
        <v>0</v>
      </c>
      <c r="AO89" s="17" t="str">
        <f>CONCATENATE(AK89,TEXT(AM89*60 + AN89, "00.0000"),"'")</f>
        <v>+00.0000'</v>
      </c>
      <c r="AP89" s="17"/>
    </row>
    <row r="90" spans="1:62" ht="17.25" customHeight="1" thickTop="1" thickBot="1" x14ac:dyDescent="0.3">
      <c r="K90" s="17"/>
      <c r="L90" s="17"/>
      <c r="M90" s="286" t="s">
        <v>320</v>
      </c>
      <c r="N90" s="286"/>
      <c r="O90" s="286"/>
      <c r="P90" s="286"/>
      <c r="Q90" s="17"/>
      <c r="R90" s="17"/>
      <c r="U90" s="17"/>
      <c r="V90" s="17"/>
      <c r="W90" s="17"/>
      <c r="X90" s="17"/>
      <c r="Y90" s="17"/>
      <c r="Z90" s="17"/>
      <c r="AE90" s="1"/>
      <c r="AF90" s="1"/>
      <c r="AG90" s="1"/>
      <c r="AH90" s="17"/>
      <c r="AI90" s="17"/>
      <c r="AJ90" s="22" t="s">
        <v>309</v>
      </c>
      <c r="AK90" s="22" t="s">
        <v>309</v>
      </c>
      <c r="AL90" s="22" t="s">
        <v>309</v>
      </c>
      <c r="AM90" s="29" t="s">
        <v>309</v>
      </c>
      <c r="AN90" s="22" t="s">
        <v>309</v>
      </c>
      <c r="AO90" s="22" t="s">
        <v>310</v>
      </c>
      <c r="AP90" s="17"/>
    </row>
    <row r="91" spans="1:62" ht="17.25" customHeight="1" thickTop="1" thickBot="1" x14ac:dyDescent="0.3">
      <c r="G91" s="1"/>
      <c r="H91" s="518" t="s">
        <v>80</v>
      </c>
      <c r="I91" s="518"/>
      <c r="J91" s="518"/>
      <c r="K91" s="518"/>
      <c r="L91" s="518"/>
      <c r="M91" s="518"/>
      <c r="N91" s="518"/>
      <c r="O91" s="450">
        <f>AD91</f>
        <v>8.9666666666666668</v>
      </c>
      <c r="P91" s="294"/>
      <c r="Q91" s="1" t="s">
        <v>125</v>
      </c>
      <c r="R91" s="485">
        <f>O91*D135</f>
        <v>0.15649785626215823</v>
      </c>
      <c r="S91" s="485"/>
      <c r="T91" s="84" t="s">
        <v>170</v>
      </c>
      <c r="U91" s="279" t="str">
        <f>AC91</f>
        <v>+08°58.0000</v>
      </c>
      <c r="V91" s="279"/>
      <c r="W91" s="279"/>
      <c r="X91" s="279"/>
      <c r="Y91" s="279"/>
      <c r="Z91" s="279"/>
      <c r="AC91" s="28" t="str">
        <f>AO91</f>
        <v>+08°58.0000</v>
      </c>
      <c r="AD91" s="28">
        <f>AF91</f>
        <v>8.9666666666666668</v>
      </c>
      <c r="AE91" s="68" t="s">
        <v>86</v>
      </c>
      <c r="AF91" s="62">
        <f>O87-AD88-AD89</f>
        <v>8.9666666666666668</v>
      </c>
      <c r="AG91" s="17"/>
      <c r="AH91" s="17"/>
      <c r="AI91" s="17"/>
      <c r="AJ91" s="22">
        <f>SIGN(AD91)</f>
        <v>1</v>
      </c>
      <c r="AK91" s="22" t="str">
        <f>IF(AJ91&lt;0,"-","+")</f>
        <v>+</v>
      </c>
      <c r="AL91" s="17">
        <f>AD91*3600</f>
        <v>32280</v>
      </c>
      <c r="AM91" s="17">
        <f>_xlfn.FLOOR.MATH(AL91/3600)</f>
        <v>8</v>
      </c>
      <c r="AN91" s="17">
        <f>(AL91-3600*AM91)/60</f>
        <v>58</v>
      </c>
      <c r="AO91" s="17" t="str">
        <f>CONCATENATE(AK91,TEXT(AM91, "00"),"°",TEXT(AN91, "00.0000"))</f>
        <v>+08°58.0000</v>
      </c>
      <c r="AP91" s="17"/>
    </row>
    <row r="92" spans="1:62" ht="17.25" customHeight="1" thickTop="1" x14ac:dyDescent="0.25">
      <c r="C92" s="1"/>
      <c r="D92" s="1"/>
      <c r="E92" s="1"/>
      <c r="F92" s="1"/>
      <c r="G92" s="1"/>
      <c r="H92" s="81"/>
      <c r="I92" s="81"/>
      <c r="J92" s="81"/>
      <c r="K92" s="81"/>
      <c r="L92" s="81"/>
      <c r="M92" s="81"/>
      <c r="N92" s="81"/>
      <c r="O92" s="81"/>
      <c r="P92" s="81"/>
      <c r="Q92" s="81"/>
      <c r="R92" s="81"/>
      <c r="U92" s="81"/>
      <c r="V92" s="81"/>
      <c r="W92" s="81"/>
      <c r="X92" s="81"/>
      <c r="Y92" s="81"/>
      <c r="Z92" s="81"/>
      <c r="AE92" s="31"/>
      <c r="AF92" s="17"/>
      <c r="AG92" s="17"/>
      <c r="AH92" s="17"/>
      <c r="AI92" s="17"/>
      <c r="AJ92" s="17"/>
      <c r="AK92" s="17"/>
      <c r="AL92" s="17"/>
      <c r="AM92" s="17"/>
      <c r="AN92" s="17"/>
      <c r="AO92" s="17"/>
      <c r="AP92" s="17"/>
    </row>
    <row r="93" spans="1:62" ht="17.25" customHeight="1" x14ac:dyDescent="0.25">
      <c r="G93" s="1"/>
      <c r="H93" s="81"/>
      <c r="I93" s="81"/>
      <c r="J93" s="81"/>
      <c r="K93" s="81"/>
      <c r="L93" s="81"/>
      <c r="M93" s="481" t="s">
        <v>165</v>
      </c>
      <c r="N93" s="481"/>
      <c r="O93" s="481"/>
      <c r="P93" s="481"/>
      <c r="Q93" s="81"/>
      <c r="R93" s="81"/>
      <c r="U93" s="81"/>
      <c r="V93" s="81"/>
      <c r="W93" s="81"/>
      <c r="X93" s="81"/>
      <c r="Y93" s="81"/>
      <c r="Z93" s="81"/>
      <c r="AC93" s="14"/>
      <c r="AD93" s="7"/>
      <c r="AE93" s="88"/>
      <c r="AF93" s="88"/>
      <c r="AG93" s="88"/>
      <c r="AH93" s="88"/>
      <c r="AI93" s="88"/>
      <c r="AJ93" s="88"/>
      <c r="AK93" s="88"/>
      <c r="AL93" s="88"/>
      <c r="AM93" s="88"/>
      <c r="AN93" s="88"/>
      <c r="AO93" s="88"/>
      <c r="AP93" s="88"/>
      <c r="AQ93" s="88"/>
      <c r="AR93" s="88"/>
      <c r="AS93" s="88"/>
      <c r="AT93" s="88"/>
      <c r="AU93" s="88"/>
      <c r="AV93" s="88"/>
      <c r="AW93" s="88"/>
      <c r="AX93" s="88"/>
      <c r="AY93" s="88"/>
      <c r="AZ93" s="88"/>
      <c r="BA93" s="88"/>
      <c r="BB93" s="88"/>
      <c r="BC93" s="88"/>
      <c r="BD93" s="88"/>
      <c r="BE93" s="88"/>
    </row>
    <row r="94" spans="1:62" ht="17.25" customHeight="1" thickBot="1" x14ac:dyDescent="0.3">
      <c r="C94" s="1"/>
      <c r="D94" s="1"/>
      <c r="E94" s="1"/>
      <c r="F94" s="1"/>
      <c r="G94" s="1"/>
      <c r="M94" s="482" t="s">
        <v>389</v>
      </c>
      <c r="N94" s="482"/>
      <c r="O94" s="481"/>
      <c r="P94" s="481"/>
      <c r="AC94" s="14"/>
      <c r="AD94" s="7"/>
      <c r="AE94" s="3" t="s">
        <v>57</v>
      </c>
      <c r="AF94" s="3" t="s">
        <v>57</v>
      </c>
      <c r="AG94" s="3" t="s">
        <v>304</v>
      </c>
      <c r="AH94" s="3" t="s">
        <v>120</v>
      </c>
      <c r="AI94" s="3" t="s">
        <v>121</v>
      </c>
      <c r="AJ94" s="3" t="s">
        <v>122</v>
      </c>
      <c r="AK94" s="3" t="s">
        <v>123</v>
      </c>
      <c r="AL94" s="3" t="s">
        <v>124</v>
      </c>
      <c r="AM94" s="3" t="s">
        <v>125</v>
      </c>
      <c r="AN94" s="3" t="s">
        <v>101</v>
      </c>
      <c r="AO94" s="3" t="s">
        <v>129</v>
      </c>
      <c r="AP94" s="3" t="s">
        <v>128</v>
      </c>
      <c r="AQ94" s="3" t="s">
        <v>126</v>
      </c>
      <c r="AR94" s="3" t="s">
        <v>127</v>
      </c>
      <c r="AS94" s="3" t="s">
        <v>129</v>
      </c>
      <c r="AT94" s="3" t="s">
        <v>128</v>
      </c>
      <c r="AU94" s="3" t="s">
        <v>130</v>
      </c>
      <c r="AV94" s="3" t="s">
        <v>112</v>
      </c>
      <c r="AW94" s="3" t="s">
        <v>117</v>
      </c>
      <c r="AX94" s="3" t="s">
        <v>143</v>
      </c>
      <c r="AY94" s="3" t="s">
        <v>149</v>
      </c>
      <c r="AZ94" s="3" t="s">
        <v>131</v>
      </c>
      <c r="BA94" s="3" t="s">
        <v>150</v>
      </c>
      <c r="BB94" s="3" t="s">
        <v>112</v>
      </c>
      <c r="BC94" s="3" t="s">
        <v>308</v>
      </c>
      <c r="BD94" s="3" t="s">
        <v>151</v>
      </c>
    </row>
    <row r="95" spans="1:62" ht="17.25" customHeight="1" thickTop="1" thickBot="1" x14ac:dyDescent="0.3">
      <c r="A95" s="17"/>
      <c r="B95" s="17"/>
      <c r="C95" s="17"/>
      <c r="D95" s="17"/>
      <c r="E95" s="17"/>
      <c r="F95" s="1"/>
      <c r="G95" s="1"/>
      <c r="H95" s="280" t="s">
        <v>88</v>
      </c>
      <c r="I95" s="280"/>
      <c r="J95" s="280"/>
      <c r="K95" s="280"/>
      <c r="L95" s="280"/>
      <c r="M95" s="280"/>
      <c r="N95" s="280"/>
      <c r="O95" s="483">
        <f>J22</f>
        <v>2.8833333333333332E-3</v>
      </c>
      <c r="P95" s="484"/>
      <c r="Q95" s="484"/>
      <c r="R95" s="484"/>
      <c r="S95" s="1" t="s">
        <v>125</v>
      </c>
      <c r="U95" s="279" t="str">
        <f>AC95</f>
        <v>00°00'10.38 [00°00.17]  (00.0029°)</v>
      </c>
      <c r="V95" s="279"/>
      <c r="W95" s="279"/>
      <c r="X95" s="279"/>
      <c r="Y95" s="279"/>
      <c r="Z95" s="279"/>
      <c r="AB95" s="18">
        <f>O95</f>
        <v>2.8833333333333332E-3</v>
      </c>
      <c r="AC95" s="14" t="str">
        <f>BD95</f>
        <v>00°00'10.38 [00°00.17]  (00.0029°)</v>
      </c>
      <c r="AD95" s="7">
        <f>BC95</f>
        <v>2.8833333333333332E-3</v>
      </c>
      <c r="AE95" s="5">
        <f>IF(LEFT(TRIM(AB95),1)="-",-1,IF(LEFT(TRIM(AB95),1)="+",1, 0))</f>
        <v>0</v>
      </c>
      <c r="AF95" s="5" t="str">
        <f>IF(AE95&gt;0,"+",IF(AE95&lt;0,"-",""))</f>
        <v/>
      </c>
      <c r="AG95" s="5">
        <f>IF(ABS(AE95)&gt;0,RIGHT(AB95,LEN(AB95)-1),AB95)</f>
        <v>2.8833333333333332E-3</v>
      </c>
      <c r="AH95" s="5" t="b">
        <f>ISNUMBER(SEARCH("°",AG95,1))</f>
        <v>0</v>
      </c>
      <c r="AI95" s="5" t="b">
        <f>ISNUMBER(SEARCH("'",AG95,1))</f>
        <v>0</v>
      </c>
      <c r="AJ95" s="5" t="b">
        <f>ISNUMBER(SEARCH("""",AG95,1))</f>
        <v>0</v>
      </c>
      <c r="AK95" s="5" t="b">
        <f>NOT(OR(AH95,AI95,AJ95))</f>
        <v>1</v>
      </c>
      <c r="AL95" s="5" t="b">
        <f t="shared" ref="AL95" si="126">OR(AK95,AH95)</f>
        <v>1</v>
      </c>
      <c r="AM95" s="6">
        <f>IF(AK95,VALUE(AG95),IF(AH95,LEFT(AG95,SEARCH("°",AG95,1)-1),0))</f>
        <v>2.8833333333333332E-3</v>
      </c>
      <c r="AN95" s="5" t="str">
        <f>IF(AK95,"",IF(AH95,RIGHT(AG95,LEN(AG95)-SEARCH("°",AG95,1)),AG95))</f>
        <v/>
      </c>
      <c r="AO95" s="5" t="b">
        <f>(LEN(AN95)&gt;0)</f>
        <v>0</v>
      </c>
      <c r="AP95" s="5" t="b">
        <f>NOT(OR(AI95,AJ95))</f>
        <v>1</v>
      </c>
      <c r="AQ95" s="6">
        <f t="shared" ref="AQ95" si="127">IF(NOT(AO95),0,IF(AP95,VALUE(AN95),IF(NOT(AI95),0,VALUE(LEFT(AN95,SEARCH("'",AN95,1)-1)))))</f>
        <v>0</v>
      </c>
      <c r="AR95" s="5" t="str">
        <f t="shared" ref="AR95" si="128">IF(NOT(AO95),"",IF(AP95,"",IF(NOT(AI95),AN95,RIGHT(AN95,LEN(AN95)-SEARCH("'",AN95,1)))))</f>
        <v/>
      </c>
      <c r="AS95" s="5" t="b">
        <f>(LEN(AR95)&gt;0)</f>
        <v>0</v>
      </c>
      <c r="AT95" s="5" t="b">
        <f t="shared" ref="AT95" si="129">NOT(AJ95)</f>
        <v>1</v>
      </c>
      <c r="AU95" s="5" t="b">
        <f>ISNUMBER(SEARCH(".",AR95,1))</f>
        <v>0</v>
      </c>
      <c r="AV95" s="6">
        <f t="shared" ref="AV95" si="130">IF(AS95,IF(AJ95,IF(AU95,VALUE(SUBSTITUTE(AR95, """", "")),VALUE(SUBSTITUTE(AR95, """", "."))),VALUE(AR95)),0)</f>
        <v>0</v>
      </c>
      <c r="AW95" s="6">
        <f t="shared" ref="AW95" si="131">AM95*3600+AQ95*60+AV95</f>
        <v>10.379999999999999</v>
      </c>
      <c r="AX95" s="6">
        <f>AW95/3600</f>
        <v>2.8833333333333332E-3</v>
      </c>
      <c r="AY95" s="6">
        <f>_xlfn.FLOOR.MATH((AX95))</f>
        <v>0</v>
      </c>
      <c r="AZ95" s="6">
        <f>(AW95-3600*AY95)/60</f>
        <v>0.17299999999999999</v>
      </c>
      <c r="BA95" s="6">
        <f>_xlfn.FLOOR.MATH((AZ95))</f>
        <v>0</v>
      </c>
      <c r="BB95" s="6">
        <f>AW95-3600*AY95-60*BA95</f>
        <v>10.379999999999999</v>
      </c>
      <c r="BC95" s="6">
        <f>AX95*IF(AE95&lt;0,-1,1)</f>
        <v>2.8833333333333332E-3</v>
      </c>
      <c r="BD95" s="7" t="str">
        <f>CONCATENATE(AF95,TEXT(AY95,"00"),"°",TEXT(BA95,"00"),"'",TEXT(BB95,"00.00"), " [", CONCATENATE(AF95,TEXT(AY95,"00"),"°",TEXT(AZ95,"00.00")),"]", "  (", AF95,TEXT(AX95,"00.0000"),"°)")</f>
        <v>00°00'10.38 [00°00.17]  (00.0029°)</v>
      </c>
      <c r="BI95" s="1"/>
      <c r="BJ95" s="1"/>
    </row>
    <row r="96" spans="1:62" ht="17.25" customHeight="1" thickTop="1" thickBot="1" x14ac:dyDescent="0.3">
      <c r="A96" s="17"/>
      <c r="B96" s="17"/>
      <c r="C96" s="17"/>
      <c r="D96" s="17"/>
      <c r="E96" s="17"/>
      <c r="F96" s="1"/>
      <c r="G96" s="1"/>
      <c r="H96" s="497" t="s">
        <v>390</v>
      </c>
      <c r="I96" s="498"/>
      <c r="J96" s="498"/>
      <c r="K96" s="498"/>
      <c r="L96" s="498"/>
      <c r="M96" s="498"/>
      <c r="N96" s="499"/>
      <c r="O96" s="362">
        <f>AD96</f>
        <v>2.8480966452515944E-3</v>
      </c>
      <c r="P96" s="362"/>
      <c r="Q96" s="362"/>
      <c r="R96" s="362"/>
      <c r="S96" s="1" t="s">
        <v>125</v>
      </c>
      <c r="U96" s="279" t="str">
        <f>AC96</f>
        <v>+00°00.1709 (+00.1709')</v>
      </c>
      <c r="V96" s="279"/>
      <c r="W96" s="279"/>
      <c r="X96" s="279"/>
      <c r="Y96" s="279"/>
      <c r="Z96" s="279"/>
      <c r="AC96" s="28" t="str">
        <f>AO96</f>
        <v>+00°00.1709 (+00.1709')</v>
      </c>
      <c r="AD96" s="28">
        <f>AF96</f>
        <v>2.8480966452515944E-3</v>
      </c>
      <c r="AE96" s="31" t="s">
        <v>87</v>
      </c>
      <c r="AF96" s="17">
        <f>O95*COS(R91)</f>
        <v>2.8480966452515944E-3</v>
      </c>
      <c r="AG96" s="17"/>
      <c r="AH96" s="17"/>
      <c r="AI96" s="17"/>
      <c r="AJ96" s="22">
        <f>SIGN(AD96)</f>
        <v>1</v>
      </c>
      <c r="AK96" s="22" t="str">
        <f>IF(AJ96&lt;0,"-","+")</f>
        <v>+</v>
      </c>
      <c r="AL96" s="17">
        <f>ABS(AD96)*3600</f>
        <v>10.25314792290574</v>
      </c>
      <c r="AM96" s="17">
        <f>_xlfn.FLOOR.MATH(AL96/3600)</f>
        <v>0</v>
      </c>
      <c r="AN96" s="17">
        <f>(AL96-3600*AM96)/60</f>
        <v>0.17088579871509565</v>
      </c>
      <c r="AO96" s="17" t="str">
        <f>CONCATENATE(AK96,TEXT(AM96, "00"),"°",TEXT(AN96, "00.0000"), " (", CONCATENATE(AK96,TEXT(AM96*60 + AN96, "00.0000"),"'"), ")")</f>
        <v>+00°00.1709 (+00.1709')</v>
      </c>
      <c r="AP96" s="17"/>
      <c r="AU96" s="17"/>
    </row>
    <row r="97" spans="1:47" ht="17.25" customHeight="1" thickTop="1" x14ac:dyDescent="0.25">
      <c r="A97" s="17"/>
      <c r="B97" s="17"/>
      <c r="C97" s="17"/>
      <c r="D97" s="17"/>
      <c r="E97" s="17"/>
      <c r="F97" s="1"/>
      <c r="G97" s="1"/>
      <c r="H97" s="156"/>
      <c r="I97" s="156"/>
      <c r="J97" s="156"/>
      <c r="K97" s="156"/>
      <c r="L97" s="156"/>
      <c r="M97" s="156"/>
      <c r="N97" s="156"/>
      <c r="O97" s="156"/>
      <c r="P97" s="156"/>
      <c r="Q97" s="156"/>
      <c r="R97" s="156"/>
      <c r="S97" s="156"/>
      <c r="T97" s="156"/>
      <c r="U97" s="156"/>
      <c r="V97" s="156"/>
      <c r="W97" s="156"/>
      <c r="X97" s="156"/>
      <c r="Y97" s="156"/>
      <c r="Z97" s="156"/>
      <c r="AE97" s="31"/>
      <c r="AF97" s="17"/>
      <c r="AG97" s="17"/>
      <c r="AH97" s="17"/>
      <c r="AI97" s="17"/>
      <c r="AL97" s="17"/>
      <c r="AM97" s="17"/>
      <c r="AN97" s="17"/>
      <c r="AO97" s="17"/>
      <c r="AP97" s="17"/>
      <c r="AU97" s="17"/>
    </row>
    <row r="98" spans="1:47" ht="17.25" customHeight="1" x14ac:dyDescent="0.25">
      <c r="A98"/>
      <c r="B98"/>
      <c r="C98"/>
      <c r="D98" s="178"/>
      <c r="F98" s="1"/>
      <c r="G98" s="1"/>
      <c r="H98" s="17"/>
      <c r="I98" s="17"/>
      <c r="J98" s="17"/>
      <c r="K98" s="17"/>
      <c r="L98" s="17"/>
      <c r="M98" s="17"/>
      <c r="N98" s="17"/>
      <c r="O98" s="17"/>
      <c r="S98" s="492" t="s">
        <v>340</v>
      </c>
      <c r="T98" s="493"/>
      <c r="U98" s="494"/>
      <c r="Y98" s="17"/>
      <c r="Z98" s="17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</row>
    <row r="99" spans="1:47" ht="17.25" customHeight="1" x14ac:dyDescent="0.25">
      <c r="A99"/>
      <c r="B99"/>
      <c r="C99"/>
      <c r="D99" s="178"/>
      <c r="F99" s="1"/>
      <c r="G99" s="1"/>
      <c r="H99" s="280" t="s">
        <v>171</v>
      </c>
      <c r="I99" s="280"/>
      <c r="J99" s="280"/>
      <c r="K99" s="280"/>
      <c r="L99" s="280"/>
      <c r="M99" s="280"/>
      <c r="N99" s="280"/>
      <c r="O99" s="500">
        <f>S99</f>
        <v>10</v>
      </c>
      <c r="P99" s="501"/>
      <c r="Q99" s="501"/>
      <c r="R99" s="501"/>
      <c r="S99" s="276">
        <v>10</v>
      </c>
      <c r="T99" s="277"/>
      <c r="U99" s="278"/>
      <c r="Y99" s="17"/>
      <c r="Z99" s="17"/>
      <c r="AC99" s="28">
        <f>O91</f>
        <v>8.9666666666666668</v>
      </c>
      <c r="AD99" s="28">
        <f>AC99</f>
        <v>8.9666666666666668</v>
      </c>
      <c r="AE99" s="31" t="s">
        <v>218</v>
      </c>
      <c r="AF99" s="1">
        <f>(1/(TAN((AD99+(7.31/(AD99+4.4))) * D135)))</f>
        <v>5.9670953924690071</v>
      </c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</row>
    <row r="100" spans="1:47" ht="17.25" customHeight="1" thickBot="1" x14ac:dyDescent="0.3">
      <c r="A100"/>
      <c r="B100"/>
      <c r="C100"/>
      <c r="D100" s="178"/>
      <c r="E100" s="17"/>
      <c r="F100" s="1"/>
      <c r="G100" s="1"/>
      <c r="H100" s="280" t="s">
        <v>172</v>
      </c>
      <c r="I100" s="280"/>
      <c r="J100" s="280"/>
      <c r="K100" s="280"/>
      <c r="L100" s="280"/>
      <c r="M100" s="280"/>
      <c r="N100" s="280"/>
      <c r="O100" s="500">
        <f>S100</f>
        <v>1010</v>
      </c>
      <c r="P100" s="501"/>
      <c r="Q100" s="501"/>
      <c r="R100" s="501"/>
      <c r="S100" s="276">
        <v>1010</v>
      </c>
      <c r="T100" s="277"/>
      <c r="U100" s="278"/>
      <c r="Y100" s="17"/>
      <c r="Z100" s="17"/>
      <c r="AE100" s="31" t="s">
        <v>219</v>
      </c>
      <c r="AF100" s="1">
        <f>(0.28 * O100 / (273 + O99))</f>
        <v>0.99929328621908131</v>
      </c>
      <c r="AG100" s="1"/>
      <c r="AH100" s="1"/>
      <c r="AJ100" s="68" t="s">
        <v>182</v>
      </c>
      <c r="AK100" s="68" t="s">
        <v>182</v>
      </c>
      <c r="AL100" s="68" t="s">
        <v>112</v>
      </c>
      <c r="AM100" s="68" t="s">
        <v>125</v>
      </c>
      <c r="AN100" s="68" t="s">
        <v>137</v>
      </c>
      <c r="AO100" s="1"/>
      <c r="AP100" s="1"/>
      <c r="AQ100" s="1"/>
      <c r="AR100" s="1"/>
      <c r="AS100" s="1"/>
      <c r="AT100" s="1"/>
    </row>
    <row r="101" spans="1:47" ht="17.25" customHeight="1" thickTop="1" thickBot="1" x14ac:dyDescent="0.3">
      <c r="A101"/>
      <c r="B101"/>
      <c r="C101"/>
      <c r="D101" s="178"/>
      <c r="E101" s="17"/>
      <c r="F101" s="1"/>
      <c r="G101" s="1"/>
      <c r="H101" s="497" t="s">
        <v>391</v>
      </c>
      <c r="I101" s="498"/>
      <c r="J101" s="498"/>
      <c r="K101" s="498"/>
      <c r="L101" s="498"/>
      <c r="M101" s="498"/>
      <c r="N101" s="499"/>
      <c r="O101" s="362">
        <f>AD101</f>
        <v>9.9381306065384881E-2</v>
      </c>
      <c r="P101" s="362"/>
      <c r="Q101" s="362"/>
      <c r="R101" s="362"/>
      <c r="S101" s="1" t="s">
        <v>125</v>
      </c>
      <c r="U101" s="279" t="str">
        <f>AC101</f>
        <v>+00°05.9629 (+05.9629')</v>
      </c>
      <c r="V101" s="279"/>
      <c r="W101" s="279"/>
      <c r="X101" s="279"/>
      <c r="Y101" s="279"/>
      <c r="Z101" s="279"/>
      <c r="AC101" s="28" t="str">
        <f>AO101</f>
        <v>+00°05.9629 (+05.9629')</v>
      </c>
      <c r="AD101" s="28">
        <f>AF101</f>
        <v>9.9381306065384881E-2</v>
      </c>
      <c r="AE101" s="31" t="s">
        <v>85</v>
      </c>
      <c r="AF101" s="17">
        <f>AF99*AF100/60</f>
        <v>9.9381306065384881E-2</v>
      </c>
      <c r="AG101" s="17"/>
      <c r="AH101" s="17"/>
      <c r="AJ101" s="22">
        <f>SIGN(AD101)</f>
        <v>1</v>
      </c>
      <c r="AK101" s="22" t="str">
        <f>IF(AJ101&lt;0,"-","+")</f>
        <v>+</v>
      </c>
      <c r="AL101" s="17">
        <f>ABS(AD101)*3600</f>
        <v>357.77270183538559</v>
      </c>
      <c r="AM101" s="17">
        <f>_xlfn.FLOOR.MATH(AL101/3600)</f>
        <v>0</v>
      </c>
      <c r="AN101" s="17">
        <f>(AL101-3600*AM101)/60</f>
        <v>5.9628783639230933</v>
      </c>
      <c r="AO101" s="17" t="str">
        <f>CONCATENATE(AK101,TEXT(AM101, "00"),"°",TEXT(AN101, "00.0000"), " (", CONCATENATE(AK101,TEXT(AM101*60 + AN101, "00.0000"),"'"), ")")</f>
        <v>+00°05.9629 (+05.9629')</v>
      </c>
      <c r="AP101" s="1"/>
      <c r="AQ101" s="1"/>
      <c r="AR101" s="1"/>
      <c r="AS101" s="1"/>
      <c r="AT101" s="1"/>
    </row>
    <row r="102" spans="1:47" ht="17.25" customHeight="1" thickTop="1" x14ac:dyDescent="0.25">
      <c r="A102"/>
      <c r="B102"/>
      <c r="C102"/>
      <c r="D102" s="178"/>
      <c r="E102" s="17"/>
      <c r="F102" s="1"/>
      <c r="G102" s="1"/>
      <c r="H102" s="81"/>
      <c r="I102" s="81"/>
      <c r="J102" s="81"/>
      <c r="K102" s="81"/>
      <c r="L102" s="81"/>
      <c r="M102" s="81"/>
      <c r="N102" s="81"/>
      <c r="O102" s="81"/>
      <c r="Y102" s="17"/>
      <c r="Z102" s="17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</row>
    <row r="103" spans="1:47" ht="17.25" customHeight="1" x14ac:dyDescent="0.25">
      <c r="A103" s="17"/>
      <c r="B103" s="17"/>
      <c r="C103" s="17"/>
      <c r="D103" s="17"/>
      <c r="E103" s="17"/>
      <c r="F103" s="1"/>
      <c r="G103" s="1"/>
      <c r="H103" s="280" t="s">
        <v>226</v>
      </c>
      <c r="I103" s="280"/>
      <c r="J103" s="280"/>
      <c r="K103" s="280"/>
      <c r="L103" s="280"/>
      <c r="M103" s="280"/>
      <c r="N103" s="280"/>
      <c r="O103" s="462">
        <f>J26</f>
        <v>0.53333333333333333</v>
      </c>
      <c r="P103" s="462"/>
      <c r="Q103" s="462"/>
      <c r="R103" s="462"/>
      <c r="AE103" s="31" t="s">
        <v>183</v>
      </c>
      <c r="AF103" s="31" t="s">
        <v>184</v>
      </c>
      <c r="AG103" s="31" t="s">
        <v>185</v>
      </c>
      <c r="AH103" s="17"/>
      <c r="AI103" s="17"/>
      <c r="AJ103" s="17"/>
      <c r="AK103" s="17"/>
      <c r="AL103" s="17"/>
      <c r="AM103" s="17"/>
      <c r="AN103" s="17"/>
      <c r="AO103" s="17"/>
      <c r="AP103" s="17"/>
    </row>
    <row r="104" spans="1:47" ht="17.25" customHeight="1" thickBot="1" x14ac:dyDescent="0.3">
      <c r="B104" s="17"/>
      <c r="C104" s="17"/>
      <c r="D104" s="17"/>
      <c r="H104" s="280" t="s">
        <v>179</v>
      </c>
      <c r="I104" s="280"/>
      <c r="J104" s="280"/>
      <c r="K104" s="280"/>
      <c r="L104" s="280"/>
      <c r="M104" s="280"/>
      <c r="N104" s="280"/>
      <c r="O104" s="462" t="str">
        <f>J21</f>
        <v>BordInf</v>
      </c>
      <c r="P104" s="462"/>
      <c r="Q104" s="462"/>
      <c r="R104" s="462"/>
      <c r="AE104" s="1" t="b">
        <f>(O104=AF21)</f>
        <v>1</v>
      </c>
      <c r="AF104" s="1" t="b">
        <f>(O104=AG21)</f>
        <v>0</v>
      </c>
      <c r="AG104" s="1" t="b">
        <f>(O104=AH21)</f>
        <v>0</v>
      </c>
      <c r="AH104" s="1"/>
      <c r="AI104"/>
      <c r="AJ104" s="68" t="s">
        <v>182</v>
      </c>
      <c r="AK104" s="68" t="s">
        <v>182</v>
      </c>
      <c r="AL104" s="68" t="s">
        <v>112</v>
      </c>
      <c r="AM104" s="68" t="s">
        <v>125</v>
      </c>
      <c r="AN104" s="68" t="s">
        <v>137</v>
      </c>
      <c r="AO104" s="1"/>
      <c r="AP104" s="1"/>
      <c r="AQ104" s="1"/>
      <c r="AR104" s="1"/>
      <c r="AS104" s="1"/>
      <c r="AT104" s="17"/>
    </row>
    <row r="105" spans="1:47" ht="17.25" customHeight="1" thickTop="1" thickBot="1" x14ac:dyDescent="0.3">
      <c r="H105" s="502" t="s">
        <v>180</v>
      </c>
      <c r="I105" s="503"/>
      <c r="J105" s="503"/>
      <c r="K105" s="503"/>
      <c r="L105" s="503"/>
      <c r="M105" s="503"/>
      <c r="N105" s="504"/>
      <c r="O105" s="505">
        <f>AD105</f>
        <v>0</v>
      </c>
      <c r="P105" s="505"/>
      <c r="Q105" s="505"/>
      <c r="R105" s="505"/>
      <c r="S105" s="1" t="s">
        <v>125</v>
      </c>
      <c r="U105" s="279" t="str">
        <f>AC105</f>
        <v>+00°00.0000 (+00.0000')</v>
      </c>
      <c r="V105" s="279"/>
      <c r="W105" s="279"/>
      <c r="X105" s="279"/>
      <c r="Y105" s="279"/>
      <c r="Z105" s="279"/>
      <c r="AC105" s="28" t="str">
        <f>AO105</f>
        <v>+00°00.0000 (+00.0000')</v>
      </c>
      <c r="AD105" s="28">
        <f>SUM(AE105:AG105)</f>
        <v>0</v>
      </c>
      <c r="AE105" s="1">
        <v>0</v>
      </c>
      <c r="AF105" s="1">
        <f>IF(AF104,-0.5*O103,0)</f>
        <v>0</v>
      </c>
      <c r="AG105" s="1">
        <f>IF(AG104,-0.5*O103,0)</f>
        <v>0</v>
      </c>
      <c r="AH105" s="1"/>
      <c r="AI105"/>
      <c r="AJ105" s="22">
        <f>SIGN(AD105)</f>
        <v>0</v>
      </c>
      <c r="AK105" s="22" t="str">
        <f>IF(AJ105&lt;0,"-","+")</f>
        <v>+</v>
      </c>
      <c r="AL105" s="17">
        <f>ABS(AD105)*3600</f>
        <v>0</v>
      </c>
      <c r="AM105" s="17">
        <f>_xlfn.FLOOR.MATH(AL105/3600)</f>
        <v>0</v>
      </c>
      <c r="AN105" s="17">
        <f>(AL105-3600*AM105)/60</f>
        <v>0</v>
      </c>
      <c r="AO105" s="17" t="str">
        <f>CONCATENATE(AK105,TEXT(AM105, "00"),"°",TEXT(AN105, "00.0000"), " (", CONCATENATE(AK105,TEXT(AM105*60 + AN105, "00.0000"),"'"), ")")</f>
        <v>+00°00.0000 (+00.0000')</v>
      </c>
      <c r="AP105" s="1"/>
      <c r="AQ105" s="1"/>
      <c r="AR105" s="1"/>
      <c r="AS105" s="1"/>
      <c r="AT105" s="17"/>
    </row>
    <row r="106" spans="1:47" ht="17.25" customHeight="1" thickTop="1" x14ac:dyDescent="0.25">
      <c r="E106" s="89"/>
      <c r="F106" s="89"/>
      <c r="G106" s="89"/>
      <c r="H106" s="88"/>
      <c r="I106" s="88"/>
      <c r="J106" s="88"/>
      <c r="K106" s="88"/>
      <c r="L106" s="88"/>
      <c r="M106" s="88"/>
      <c r="N106" s="88"/>
      <c r="O106" s="88"/>
      <c r="P106" s="88"/>
      <c r="Q106" s="88"/>
      <c r="R106" s="88"/>
      <c r="S106" s="88"/>
      <c r="T106" s="88"/>
      <c r="U106" s="88"/>
      <c r="V106" s="88"/>
      <c r="W106" s="88"/>
      <c r="X106" s="88"/>
      <c r="Y106" s="88"/>
      <c r="Z106" s="88"/>
      <c r="AE106" s="1"/>
      <c r="AF106" s="1"/>
      <c r="AG106" s="1"/>
      <c r="AH106" s="1"/>
      <c r="AI106" s="88"/>
      <c r="AL106" s="17"/>
      <c r="AM106" s="17"/>
      <c r="AN106" s="17"/>
      <c r="AO106" s="17"/>
      <c r="AP106" s="1"/>
      <c r="AQ106" s="1"/>
      <c r="AR106" s="1"/>
      <c r="AS106" s="1"/>
      <c r="AT106" s="17"/>
    </row>
    <row r="107" spans="1:47" ht="17.25" customHeight="1" x14ac:dyDescent="0.25">
      <c r="C107" s="89"/>
      <c r="E107" s="89"/>
      <c r="F107" s="89"/>
      <c r="G107" s="477" t="s">
        <v>311</v>
      </c>
      <c r="H107" s="478"/>
      <c r="I107" s="478"/>
      <c r="J107" s="478"/>
      <c r="K107" s="478"/>
      <c r="L107" s="478"/>
      <c r="M107" s="478"/>
      <c r="N107" s="478"/>
      <c r="O107" s="478"/>
      <c r="P107" s="478"/>
      <c r="Q107" s="478"/>
      <c r="R107" s="478"/>
      <c r="S107" s="479"/>
      <c r="T107" s="88"/>
      <c r="U107" s="88"/>
      <c r="V107" s="88"/>
      <c r="W107" s="88"/>
      <c r="X107" s="88"/>
      <c r="Y107" s="88"/>
      <c r="Z107" s="88"/>
      <c r="AE107" s="1"/>
      <c r="AF107" s="1"/>
      <c r="AG107" s="1"/>
      <c r="AH107" s="1"/>
      <c r="AI107" s="88"/>
      <c r="AL107" s="17"/>
      <c r="AM107" s="17"/>
      <c r="AN107" s="17"/>
      <c r="AO107" s="17"/>
      <c r="AP107" s="1"/>
      <c r="AQ107" s="1"/>
      <c r="AR107" s="1"/>
      <c r="AS107" s="1"/>
      <c r="AT107" s="17"/>
    </row>
    <row r="108" spans="1:47" ht="17.25" customHeight="1" x14ac:dyDescent="0.25">
      <c r="C108" s="89"/>
      <c r="E108" s="89"/>
      <c r="F108" s="89"/>
      <c r="G108" s="456" t="s">
        <v>327</v>
      </c>
      <c r="H108" s="457"/>
      <c r="I108" s="486" t="s">
        <v>317</v>
      </c>
      <c r="J108" s="487"/>
      <c r="K108" s="487"/>
      <c r="L108" s="487"/>
      <c r="M108" s="487"/>
      <c r="N108" s="488"/>
      <c r="O108" s="516">
        <f>(O96-O101-O89+O103/2) * 60</f>
        <v>10.208007434792004</v>
      </c>
      <c r="P108" s="284"/>
      <c r="Q108" s="284"/>
      <c r="R108" s="284"/>
      <c r="S108" s="451" t="s">
        <v>312</v>
      </c>
      <c r="T108" s="88"/>
      <c r="U108" s="88"/>
      <c r="V108" s="88"/>
      <c r="W108" s="88"/>
      <c r="X108" s="88"/>
      <c r="Y108" s="88"/>
      <c r="Z108" s="88"/>
      <c r="AE108" s="1"/>
      <c r="AF108" s="1"/>
      <c r="AG108" s="1"/>
      <c r="AH108" s="1"/>
      <c r="AI108" s="88"/>
      <c r="AL108" s="17"/>
      <c r="AM108" s="17"/>
      <c r="AN108" s="17"/>
      <c r="AO108" s="17"/>
      <c r="AP108" s="1"/>
      <c r="AQ108" s="1"/>
      <c r="AR108" s="1"/>
      <c r="AS108" s="1"/>
      <c r="AT108" s="17"/>
    </row>
    <row r="109" spans="1:47" ht="17.25" customHeight="1" x14ac:dyDescent="0.25">
      <c r="C109" s="89"/>
      <c r="E109" s="89"/>
      <c r="F109" s="89"/>
      <c r="G109" s="458"/>
      <c r="H109" s="459"/>
      <c r="I109" s="489" t="s">
        <v>321</v>
      </c>
      <c r="J109" s="490"/>
      <c r="K109" s="490"/>
      <c r="L109" s="490"/>
      <c r="M109" s="490"/>
      <c r="N109" s="491"/>
      <c r="O109" s="517"/>
      <c r="P109" s="285"/>
      <c r="Q109" s="285"/>
      <c r="R109" s="285"/>
      <c r="S109" s="452"/>
      <c r="T109" s="88"/>
      <c r="U109" s="88"/>
      <c r="V109" s="88"/>
      <c r="W109" s="88"/>
      <c r="X109" s="88"/>
      <c r="Y109" s="88"/>
      <c r="Z109" s="88"/>
      <c r="AE109" s="1"/>
      <c r="AF109" s="1"/>
      <c r="AG109" s="1"/>
      <c r="AH109" s="1"/>
      <c r="AI109" s="88"/>
      <c r="AL109" s="17"/>
      <c r="AM109" s="17"/>
      <c r="AN109" s="17"/>
      <c r="AO109" s="17"/>
      <c r="AP109" s="1"/>
      <c r="AQ109" s="1"/>
      <c r="AR109" s="1"/>
      <c r="AS109" s="1"/>
      <c r="AT109" s="17"/>
    </row>
    <row r="110" spans="1:47" ht="17.25" customHeight="1" x14ac:dyDescent="0.25">
      <c r="C110" s="89"/>
      <c r="E110" s="89"/>
      <c r="F110" s="89"/>
      <c r="G110" s="89"/>
      <c r="H110" s="88"/>
      <c r="I110" s="486" t="s">
        <v>318</v>
      </c>
      <c r="J110" s="487"/>
      <c r="K110" s="487"/>
      <c r="L110" s="487"/>
      <c r="M110" s="487"/>
      <c r="N110" s="488"/>
      <c r="O110" s="284">
        <f>(O96-O101+O103/2)*60</f>
        <v>10.208007434792004</v>
      </c>
      <c r="P110" s="284"/>
      <c r="Q110" s="284"/>
      <c r="R110" s="284"/>
      <c r="S110" s="451" t="s">
        <v>312</v>
      </c>
      <c r="T110" s="88"/>
      <c r="U110" s="88"/>
      <c r="V110" s="88"/>
      <c r="W110" s="88"/>
      <c r="X110" s="88"/>
      <c r="Y110" s="88"/>
      <c r="Z110" s="88"/>
      <c r="AE110" s="1"/>
      <c r="AF110" s="1"/>
      <c r="AG110" s="1"/>
      <c r="AH110" s="1"/>
      <c r="AI110" s="88"/>
      <c r="AL110" s="17"/>
      <c r="AM110" s="17"/>
      <c r="AN110" s="17"/>
      <c r="AO110" s="17"/>
      <c r="AP110" s="1"/>
      <c r="AQ110" s="1"/>
      <c r="AR110" s="1"/>
      <c r="AS110" s="1"/>
      <c r="AT110" s="17"/>
    </row>
    <row r="111" spans="1:47" ht="17.25" customHeight="1" x14ac:dyDescent="0.25">
      <c r="C111" s="89"/>
      <c r="E111" s="89"/>
      <c r="F111" s="89"/>
      <c r="G111" s="89"/>
      <c r="H111" s="88"/>
      <c r="I111" s="453" t="s">
        <v>319</v>
      </c>
      <c r="J111" s="454"/>
      <c r="K111" s="454"/>
      <c r="L111" s="454"/>
      <c r="M111" s="454"/>
      <c r="N111" s="455"/>
      <c r="O111" s="285"/>
      <c r="P111" s="285"/>
      <c r="Q111" s="285"/>
      <c r="R111" s="285"/>
      <c r="S111" s="452"/>
      <c r="T111" s="88"/>
      <c r="U111" s="88"/>
      <c r="V111" s="88"/>
      <c r="W111" s="88"/>
      <c r="X111" s="88"/>
      <c r="Y111" s="88"/>
      <c r="Z111" s="88"/>
      <c r="AE111" s="1"/>
      <c r="AF111" s="1"/>
      <c r="AG111" s="1"/>
      <c r="AH111" s="1"/>
      <c r="AI111" s="88"/>
      <c r="AL111" s="17"/>
      <c r="AM111" s="17"/>
      <c r="AN111" s="17"/>
      <c r="AO111" s="17"/>
      <c r="AP111" s="1"/>
      <c r="AQ111" s="1"/>
      <c r="AR111" s="1"/>
      <c r="AS111" s="1"/>
      <c r="AT111" s="17"/>
    </row>
    <row r="112" spans="1:47" ht="17.25" customHeight="1" x14ac:dyDescent="0.25">
      <c r="C112" s="89"/>
      <c r="E112" s="89"/>
      <c r="F112" s="89"/>
      <c r="G112" s="89"/>
      <c r="H112" s="88"/>
      <c r="I112" s="513" t="s">
        <v>180</v>
      </c>
      <c r="J112" s="513"/>
      <c r="K112" s="513"/>
      <c r="L112" s="513"/>
      <c r="M112" s="513"/>
      <c r="N112" s="513"/>
      <c r="O112" s="514">
        <f>O105*60</f>
        <v>0</v>
      </c>
      <c r="P112" s="515"/>
      <c r="Q112" s="515"/>
      <c r="R112" s="515"/>
      <c r="S112" s="148" t="s">
        <v>312</v>
      </c>
      <c r="T112" s="88"/>
      <c r="U112" s="88"/>
      <c r="V112" s="88"/>
      <c r="W112" s="88"/>
      <c r="X112" s="88"/>
      <c r="Y112" s="88"/>
      <c r="Z112" s="88"/>
      <c r="AE112" s="1"/>
      <c r="AF112" s="1"/>
      <c r="AG112" s="1"/>
      <c r="AH112" s="1"/>
      <c r="AI112" s="88"/>
      <c r="AL112" s="17"/>
      <c r="AM112" s="17"/>
      <c r="AN112" s="17"/>
      <c r="AO112" s="17"/>
      <c r="AP112" s="1"/>
      <c r="AQ112" s="1"/>
      <c r="AR112" s="1"/>
      <c r="AS112" s="1"/>
      <c r="AT112" s="17"/>
    </row>
    <row r="113" spans="2:56" ht="17.25" customHeight="1" thickBot="1" x14ac:dyDescent="0.3">
      <c r="C113" s="89"/>
      <c r="H113" s="81"/>
      <c r="I113" s="81"/>
      <c r="J113" s="81"/>
      <c r="K113" s="81"/>
      <c r="L113" s="81"/>
      <c r="M113" s="81"/>
      <c r="N113" s="81"/>
      <c r="O113" s="81"/>
      <c r="P113" s="81"/>
      <c r="Q113" s="81"/>
      <c r="R113" s="81"/>
      <c r="AE113" s="1"/>
      <c r="AF113" s="1"/>
      <c r="AG113" s="1"/>
      <c r="AH113" s="1"/>
      <c r="AI113"/>
      <c r="AJ113" t="s">
        <v>309</v>
      </c>
      <c r="AK113" t="s">
        <v>309</v>
      </c>
      <c r="AL113" t="s">
        <v>309</v>
      </c>
      <c r="AM113" t="s">
        <v>309</v>
      </c>
      <c r="AN113" s="1" t="s">
        <v>309</v>
      </c>
      <c r="AO113" s="1" t="s">
        <v>309</v>
      </c>
      <c r="AP113" s="1"/>
      <c r="AQ113" s="1"/>
      <c r="AR113" s="1"/>
      <c r="AS113" s="1"/>
      <c r="AT113" s="17"/>
    </row>
    <row r="114" spans="2:56" ht="17.25" customHeight="1" thickTop="1" thickBot="1" x14ac:dyDescent="0.3">
      <c r="H114" s="506" t="s">
        <v>392</v>
      </c>
      <c r="I114" s="507"/>
      <c r="J114" s="507"/>
      <c r="K114" s="507"/>
      <c r="L114" s="507"/>
      <c r="M114" s="507"/>
      <c r="N114" s="508"/>
      <c r="O114" s="294">
        <f>AD114</f>
        <v>9.1368001239132006</v>
      </c>
      <c r="P114" s="362"/>
      <c r="Q114" s="362"/>
      <c r="R114" s="362"/>
      <c r="S114" s="1" t="s">
        <v>125</v>
      </c>
      <c r="U114" s="279" t="str">
        <f>AC115</f>
        <v>09°08'12.48 [09°08.21]  (09.1368°)</v>
      </c>
      <c r="V114" s="279"/>
      <c r="W114" s="279"/>
      <c r="X114" s="279"/>
      <c r="Y114" s="279"/>
      <c r="Z114" s="279"/>
      <c r="AC114" s="28" t="str">
        <f>AO114</f>
        <v>+09°08.2080 (+548.2080')</v>
      </c>
      <c r="AD114" s="28">
        <f>AF114</f>
        <v>9.1368001239132006</v>
      </c>
      <c r="AE114" s="68" t="s">
        <v>178</v>
      </c>
      <c r="AF114" s="62">
        <f>O91 - O101 + O96 +O103/2</f>
        <v>9.1368001239132006</v>
      </c>
      <c r="AG114" s="1"/>
      <c r="AH114" s="1"/>
      <c r="AI114"/>
      <c r="AJ114" s="22">
        <f>SIGN(AD114)</f>
        <v>1</v>
      </c>
      <c r="AK114" s="22" t="str">
        <f>IF(AJ114&lt;0,"-","+")</f>
        <v>+</v>
      </c>
      <c r="AL114" s="17">
        <f>ABS(AD114)*3600</f>
        <v>32892.480446087524</v>
      </c>
      <c r="AM114" s="17">
        <f>_xlfn.FLOOR.MATH(AL114/3600)</f>
        <v>9</v>
      </c>
      <c r="AN114" s="17">
        <f>(AL114-3600*AM114)/60</f>
        <v>8.208007434792064</v>
      </c>
      <c r="AO114" s="17" t="str">
        <f>CONCATENATE(AK114,TEXT(AM114, "00"),"°",TEXT(AN114, "00.0000"), " (", CONCATENATE(AK114,TEXT(AM114*60 + AN114, "00.0000"),"'"), ")")</f>
        <v>+09°08.2080 (+548.2080')</v>
      </c>
      <c r="AP114" s="1"/>
      <c r="AQ114" s="1"/>
      <c r="AR114" s="1"/>
      <c r="AS114" s="1"/>
      <c r="AT114" s="17"/>
    </row>
    <row r="115" spans="2:56" ht="17.25" customHeight="1" thickTop="1" x14ac:dyDescent="0.25">
      <c r="AB115" s="18">
        <f>AD114</f>
        <v>9.1368001239132006</v>
      </c>
      <c r="AC115" s="14" t="str">
        <f>BD115</f>
        <v>09°08'12.48 [09°08.21]  (09.1368°)</v>
      </c>
      <c r="AD115" s="7">
        <f>BC115</f>
        <v>9.1368001239132006</v>
      </c>
      <c r="AE115" s="5">
        <f>IF(LEFT(TRIM(AB115),1)="-",-1,IF(LEFT(TRIM(AB115),1)="+",1, 0))</f>
        <v>0</v>
      </c>
      <c r="AF115" s="5" t="str">
        <f>IF(AE115&gt;0,"+",IF(AE115&lt;0,"-",""))</f>
        <v/>
      </c>
      <c r="AG115" s="5">
        <f>IF(ABS(AE115)&gt;0,RIGHT(AB115,LEN(AB115)-1),AB115)</f>
        <v>9.1368001239132006</v>
      </c>
      <c r="AH115" s="5" t="b">
        <f>ISNUMBER(SEARCH("°",AG115,1))</f>
        <v>0</v>
      </c>
      <c r="AI115" s="5" t="b">
        <f>ISNUMBER(SEARCH("'",AG115,1))</f>
        <v>0</v>
      </c>
      <c r="AJ115" s="5" t="b">
        <f>ISNUMBER(SEARCH("""",AG115,1))</f>
        <v>0</v>
      </c>
      <c r="AK115" s="5" t="b">
        <f>NOT(OR(AH115,AI115,AJ115))</f>
        <v>1</v>
      </c>
      <c r="AL115" s="5" t="b">
        <f t="shared" ref="AL115" si="132">OR(AK115,AH115)</f>
        <v>1</v>
      </c>
      <c r="AM115" s="6">
        <f>IF(AK115,VALUE(AG115),IF(AH115,LEFT(AG115,SEARCH("°",AG115,1)-1),0))</f>
        <v>9.1368001239132006</v>
      </c>
      <c r="AN115" s="5" t="str">
        <f>IF(AK115,"",IF(AH115,RIGHT(AG115,LEN(AG115)-SEARCH("°",AG115,1)),AG115))</f>
        <v/>
      </c>
      <c r="AO115" s="5" t="b">
        <f>(LEN(AN115)&gt;0)</f>
        <v>0</v>
      </c>
      <c r="AP115" s="5" t="b">
        <f>NOT(OR(AI115,AJ115))</f>
        <v>1</v>
      </c>
      <c r="AQ115" s="6">
        <f t="shared" ref="AQ115" si="133">IF(NOT(AO115),0,IF(AP115,VALUE(AN115),IF(NOT(AI115),0,VALUE(LEFT(AN115,SEARCH("'",AN115,1)-1)))))</f>
        <v>0</v>
      </c>
      <c r="AR115" s="5" t="str">
        <f t="shared" ref="AR115" si="134">IF(NOT(AO115),"",IF(AP115,"",IF(NOT(AI115),AN115,RIGHT(AN115,LEN(AN115)-SEARCH("'",AN115,1)))))</f>
        <v/>
      </c>
      <c r="AS115" s="5" t="b">
        <f>(LEN(AR115)&gt;0)</f>
        <v>0</v>
      </c>
      <c r="AT115" s="5" t="b">
        <f t="shared" ref="AT115" si="135">NOT(AJ115)</f>
        <v>1</v>
      </c>
      <c r="AU115" s="5" t="b">
        <f>ISNUMBER(SEARCH(".",AR115,1))</f>
        <v>0</v>
      </c>
      <c r="AV115" s="6">
        <f t="shared" ref="AV115" si="136">IF(AS115,IF(AJ115,IF(AU115,VALUE(SUBSTITUTE(AR115, """", "")),VALUE(SUBSTITUTE(AR115, """", "."))),VALUE(AR115)),0)</f>
        <v>0</v>
      </c>
      <c r="AW115" s="6">
        <f t="shared" ref="AW115" si="137">AM115*3600+AQ115*60+AV115</f>
        <v>32892.480446087524</v>
      </c>
      <c r="AX115" s="6">
        <f>AW115/3600</f>
        <v>9.1368001239132006</v>
      </c>
      <c r="AY115" s="6">
        <f>_xlfn.FLOOR.MATH((AX115))</f>
        <v>9</v>
      </c>
      <c r="AZ115" s="6">
        <f>(AW115-3600*AY115)/60</f>
        <v>8.208007434792064</v>
      </c>
      <c r="BA115" s="6">
        <f>_xlfn.FLOOR.MATH((AZ115))</f>
        <v>8</v>
      </c>
      <c r="BB115" s="6">
        <f>AW115-3600*AY115-60*BA115</f>
        <v>12.480446087523887</v>
      </c>
      <c r="BC115" s="6">
        <f>AX115*IF(AE115&lt;0,-1,1)</f>
        <v>9.1368001239132006</v>
      </c>
      <c r="BD115" s="7" t="str">
        <f>CONCATENATE(AF115,TEXT(AY115,"00"),"°",TEXT(BA115,"00"),"'",TEXT(BB115,"00.00"), " [", CONCATENATE(AF115,TEXT(AY115,"00"),"°",TEXT(AZ115,"00.00")),"]", "  (", AF115,TEXT(AX115,"00.0000"),"°)")</f>
        <v>09°08'12.48 [09°08.21]  (09.1368°)</v>
      </c>
    </row>
    <row r="116" spans="2:56" ht="17.25" customHeight="1" x14ac:dyDescent="0.25">
      <c r="F116" s="334" t="s">
        <v>169</v>
      </c>
      <c r="G116" s="334"/>
      <c r="H116" s="334"/>
      <c r="I116" s="334"/>
      <c r="J116" s="362">
        <f>IF(G85=AF85,O121,"---")</f>
        <v>9.1383333333333336</v>
      </c>
      <c r="K116" s="362"/>
      <c r="L116" s="362"/>
      <c r="R116" s="72" t="s">
        <v>196</v>
      </c>
      <c r="S116" s="1" t="s">
        <v>54</v>
      </c>
      <c r="AC116" s="14"/>
      <c r="AD116" s="7"/>
      <c r="AE116" s="3" t="s">
        <v>57</v>
      </c>
      <c r="AF116" s="3" t="s">
        <v>57</v>
      </c>
      <c r="AG116" s="3" t="s">
        <v>304</v>
      </c>
      <c r="AH116" s="3" t="s">
        <v>120</v>
      </c>
      <c r="AI116" s="3" t="s">
        <v>121</v>
      </c>
      <c r="AJ116" s="3" t="s">
        <v>122</v>
      </c>
      <c r="AK116" s="3" t="s">
        <v>123</v>
      </c>
      <c r="AL116" s="3" t="s">
        <v>124</v>
      </c>
      <c r="AM116" s="3" t="s">
        <v>125</v>
      </c>
      <c r="AN116" s="3" t="s">
        <v>101</v>
      </c>
      <c r="AO116" s="3" t="s">
        <v>129</v>
      </c>
      <c r="AP116" s="3" t="s">
        <v>128</v>
      </c>
      <c r="AQ116" s="3" t="s">
        <v>126</v>
      </c>
      <c r="AR116" s="3" t="s">
        <v>127</v>
      </c>
      <c r="AS116" s="3" t="s">
        <v>129</v>
      </c>
      <c r="AT116" s="3" t="s">
        <v>128</v>
      </c>
      <c r="AU116" s="3" t="s">
        <v>130</v>
      </c>
      <c r="AV116" s="3" t="s">
        <v>112</v>
      </c>
      <c r="AW116" s="3" t="s">
        <v>117</v>
      </c>
      <c r="AX116" s="3" t="s">
        <v>143</v>
      </c>
      <c r="AY116" s="3" t="s">
        <v>149</v>
      </c>
      <c r="AZ116" s="3" t="s">
        <v>131</v>
      </c>
      <c r="BA116" s="3" t="s">
        <v>150</v>
      </c>
      <c r="BB116" s="3" t="s">
        <v>112</v>
      </c>
      <c r="BC116" s="3" t="s">
        <v>308</v>
      </c>
      <c r="BD116" s="3" t="s">
        <v>151</v>
      </c>
    </row>
    <row r="117" spans="2:56" ht="17.25" customHeight="1" thickBot="1" x14ac:dyDescent="0.3">
      <c r="R117" s="73" t="s">
        <v>192</v>
      </c>
      <c r="S117" s="1" t="s">
        <v>194</v>
      </c>
      <c r="AB117" s="18" t="str">
        <f>N119</f>
        <v>0°10.3</v>
      </c>
      <c r="AC117" s="14" t="str">
        <f>BD117</f>
        <v>00°10'18.00 [00°10.30]  (00.1717°)</v>
      </c>
      <c r="AD117" s="7">
        <f>BC117</f>
        <v>0.17166666666666666</v>
      </c>
      <c r="AE117" s="5">
        <f>IF(LEFT(TRIM(AB117),1)="-",-1,IF(LEFT(TRIM(AB117),1)="+",1, 0))</f>
        <v>0</v>
      </c>
      <c r="AF117" s="5" t="str">
        <f>IF(AE117&gt;0,"+",IF(AE117&lt;0,"-",""))</f>
        <v/>
      </c>
      <c r="AG117" s="5" t="str">
        <f>IF(ABS(AE117)&gt;0,RIGHT(AB117,LEN(AB117)-1),AB117)</f>
        <v>0°10.3</v>
      </c>
      <c r="AH117" s="5" t="b">
        <f>ISNUMBER(SEARCH("°",AG117,1))</f>
        <v>1</v>
      </c>
      <c r="AI117" s="5" t="b">
        <f>ISNUMBER(SEARCH("'",AG117,1))</f>
        <v>0</v>
      </c>
      <c r="AJ117" s="5" t="b">
        <f>ISNUMBER(SEARCH("""",AG117,1))</f>
        <v>0</v>
      </c>
      <c r="AK117" s="5" t="b">
        <f>NOT(OR(AH117,AI117,AJ117))</f>
        <v>0</v>
      </c>
      <c r="AL117" s="5" t="b">
        <f t="shared" ref="AL117" si="138">OR(AK117,AH117)</f>
        <v>1</v>
      </c>
      <c r="AM117" s="6" t="str">
        <f>IF(AK117,VALUE(AG117),IF(AH117,LEFT(AG117,SEARCH("°",AG117,1)-1),0))</f>
        <v>0</v>
      </c>
      <c r="AN117" s="5" t="str">
        <f>IF(AK117,"",IF(AH117,RIGHT(AG117,LEN(AG117)-SEARCH("°",AG117,1)),AG117))</f>
        <v>10.3</v>
      </c>
      <c r="AO117" s="5" t="b">
        <f>(LEN(AN117)&gt;0)</f>
        <v>1</v>
      </c>
      <c r="AP117" s="5" t="b">
        <f>NOT(OR(AI117,AJ117))</f>
        <v>1</v>
      </c>
      <c r="AQ117" s="6">
        <f t="shared" ref="AQ117" si="139">IF(NOT(AO117),0,IF(AP117,VALUE(AN117),IF(NOT(AI117),0,VALUE(LEFT(AN117,SEARCH("'",AN117,1)-1)))))</f>
        <v>10.3</v>
      </c>
      <c r="AR117" s="5" t="str">
        <f t="shared" ref="AR117" si="140">IF(NOT(AO117),"",IF(AP117,"",IF(NOT(AI117),AN117,RIGHT(AN117,LEN(AN117)-SEARCH("'",AN117,1)))))</f>
        <v/>
      </c>
      <c r="AS117" s="5" t="b">
        <f>(LEN(AR117)&gt;0)</f>
        <v>0</v>
      </c>
      <c r="AT117" s="5" t="b">
        <f t="shared" ref="AT117" si="141">NOT(AJ117)</f>
        <v>1</v>
      </c>
      <c r="AU117" s="5" t="b">
        <f>ISNUMBER(SEARCH(".",AR117,1))</f>
        <v>0</v>
      </c>
      <c r="AV117" s="6">
        <f t="shared" ref="AV117" si="142">IF(AS117,IF(AJ117,IF(AU117,VALUE(SUBSTITUTE(AR117, """", "")),VALUE(SUBSTITUTE(AR117, """", "."))),VALUE(AR117)),0)</f>
        <v>0</v>
      </c>
      <c r="AW117" s="6">
        <f t="shared" ref="AW117" si="143">AM117*3600+AQ117*60+AV117</f>
        <v>618</v>
      </c>
      <c r="AX117" s="6">
        <f>AW117/3600</f>
        <v>0.17166666666666666</v>
      </c>
      <c r="AY117" s="6">
        <f>_xlfn.FLOOR.MATH((AX117))</f>
        <v>0</v>
      </c>
      <c r="AZ117" s="6">
        <f>(AW117-3600*AY117)/60</f>
        <v>10.3</v>
      </c>
      <c r="BA117" s="6">
        <f>_xlfn.FLOOR.MATH((AZ117))</f>
        <v>10</v>
      </c>
      <c r="BB117" s="6">
        <f>AW117-3600*AY117-60*BA117</f>
        <v>18</v>
      </c>
      <c r="BC117" s="6">
        <f>AX117*IF(AE117&lt;0,-1,1)</f>
        <v>0.17166666666666666</v>
      </c>
      <c r="BD117" s="7" t="str">
        <f>CONCATENATE(AF117,TEXT(AY117,"00"),"°",TEXT(BA117,"00"),"'",TEXT(BB117,"00.00"), " [", CONCATENATE(AF117,TEXT(AY117,"00"),"°",TEXT(AZ117,"00.00")),"]", "  (", AF117,TEXT(AX117,"00.0000"),"°)")</f>
        <v>00°10'18.00 [00°10.30]  (00.1717°)</v>
      </c>
    </row>
    <row r="118" spans="2:56" ht="17.25" customHeight="1" thickTop="1" thickBot="1" x14ac:dyDescent="0.3">
      <c r="H118" s="1" t="s">
        <v>181</v>
      </c>
      <c r="I118" s="71" t="s">
        <v>186</v>
      </c>
      <c r="J118" s="1" t="s">
        <v>164</v>
      </c>
      <c r="K118" s="71" t="s">
        <v>189</v>
      </c>
      <c r="L118" s="1" t="s">
        <v>163</v>
      </c>
      <c r="N118" s="71" t="s">
        <v>190</v>
      </c>
      <c r="Q118" s="71" t="s">
        <v>191</v>
      </c>
      <c r="R118" s="74" t="s">
        <v>193</v>
      </c>
      <c r="S118" s="1" t="s">
        <v>195</v>
      </c>
      <c r="V118" s="279" t="str">
        <f>AC117</f>
        <v>00°10'18.00 [00°10.30]  (00.1717°)</v>
      </c>
      <c r="W118" s="279"/>
      <c r="X118" s="279"/>
      <c r="Y118" s="279"/>
      <c r="Z118" s="279"/>
      <c r="AA118" s="279"/>
      <c r="AB118" s="18">
        <f>R119</f>
        <v>0</v>
      </c>
      <c r="AC118" s="19" t="str">
        <f>AZ118</f>
        <v>+00°00'00.00 [+00°00.00] - (+00.0000°)</v>
      </c>
      <c r="AD118" s="20">
        <f>AG118*AD119</f>
        <v>0</v>
      </c>
      <c r="AE118" s="31" t="s">
        <v>197</v>
      </c>
      <c r="AF118" s="27" t="b">
        <f>ISNUMBER(SEARCH("-",AB118,1))</f>
        <v>0</v>
      </c>
      <c r="AG118" s="81">
        <f>IF(AF118,-1,1)</f>
        <v>1</v>
      </c>
      <c r="AH118" s="81" t="str">
        <f>IF(AF118,"-","+")</f>
        <v>+</v>
      </c>
      <c r="AI118" s="81"/>
      <c r="AJ118" s="81"/>
      <c r="AK118" s="81"/>
      <c r="AL118" s="81"/>
      <c r="AM118" s="81"/>
      <c r="AN118" s="81"/>
      <c r="AO118" s="81"/>
      <c r="AP118" s="81"/>
      <c r="AQ118" s="81"/>
      <c r="AR118" s="81"/>
      <c r="AS118" s="81"/>
      <c r="AT118" s="81"/>
      <c r="AU118" s="81"/>
      <c r="AV118" s="81"/>
      <c r="AW118" s="81"/>
      <c r="AX118" s="81"/>
      <c r="AY118" s="81"/>
      <c r="AZ118" s="81" t="str">
        <f>CONCATENATE(AH118,TEXT(AV119,"00"),"°",TEXT(AX119,"00"),"'",TEXT(AY119,"00.00"), " [", CONCATENATE(AH118,TEXT(AV119,"00"),"°",TEXT(AW119,"00.00")),"]", " - (", AH118,TEXT(AU119,"00.0000"),"°)")</f>
        <v>+00°00'00.00 [+00°00.00] - (+00.0000°)</v>
      </c>
      <c r="BA118" s="81"/>
      <c r="BB118" s="81"/>
    </row>
    <row r="119" spans="2:56" ht="17.25" customHeight="1" thickTop="1" thickBot="1" x14ac:dyDescent="0.3">
      <c r="I119" s="71"/>
      <c r="J119" s="77">
        <f>O87</f>
        <v>8.9666666666666668</v>
      </c>
      <c r="K119" s="71" t="s">
        <v>189</v>
      </c>
      <c r="L119" s="78">
        <f>O88</f>
        <v>0</v>
      </c>
      <c r="N119" s="512" t="s">
        <v>396</v>
      </c>
      <c r="O119" s="512"/>
      <c r="P119" s="512"/>
      <c r="Q119" s="71" t="s">
        <v>191</v>
      </c>
      <c r="R119" s="86">
        <v>0</v>
      </c>
      <c r="V119" s="279" t="str">
        <f>AC118</f>
        <v>+00°00'00.00 [+00°00.00] - (+00.0000°)</v>
      </c>
      <c r="W119" s="279"/>
      <c r="X119" s="279"/>
      <c r="Y119" s="279"/>
      <c r="Z119" s="279"/>
      <c r="AA119" s="279"/>
      <c r="AB119" s="18">
        <f>IF(AF118,RIGHT(AB118,LEN(AB118)-SEARCH("-",AB118,1)),AB118)</f>
        <v>0</v>
      </c>
      <c r="AC119" s="19" t="str">
        <f>AZ119</f>
        <v>00°00'00.00 [00°00.00] - (00.0000°)</v>
      </c>
      <c r="AD119" s="20">
        <f>AU119</f>
        <v>0</v>
      </c>
      <c r="AE119" s="27" t="b">
        <f t="shared" ref="AE119" si="144">ISNUMBER(SEARCH("°",AB119,1))</f>
        <v>0</v>
      </c>
      <c r="AF119" s="27" t="b">
        <f t="shared" ref="AF119" si="145">ISNUMBER(SEARCH("'",AB119,1))</f>
        <v>0</v>
      </c>
      <c r="AG119" s="27" t="b">
        <f t="shared" ref="AG119" si="146">ISNUMBER(SEARCH("""",AB119,1))</f>
        <v>0</v>
      </c>
      <c r="AH119" s="27" t="b">
        <f t="shared" ref="AH119" si="147">NOT(OR(AE119,AF119,AG119))</f>
        <v>1</v>
      </c>
      <c r="AI119" s="27" t="b">
        <f t="shared" ref="AI119" si="148">OR(AH119,AE119)</f>
        <v>1</v>
      </c>
      <c r="AJ119" s="26">
        <f t="shared" ref="AJ119" si="149">IF(AH119,VALUE(AB119),IF(AE119,LEFT(AB119,SEARCH("°",AB119,1)-1),0))</f>
        <v>0</v>
      </c>
      <c r="AK119" s="27" t="str">
        <f t="shared" ref="AK119" si="150">IF(AH119,"",IF(AE119,RIGHT(AB119,LEN(AB119)-SEARCH("°",AB119,1)),AB119))</f>
        <v/>
      </c>
      <c r="AL119" s="27" t="b">
        <f>(LEN(AK119)&gt;0)</f>
        <v>0</v>
      </c>
      <c r="AM119" s="27" t="b">
        <f>NOT(OR(AF119,AG119))</f>
        <v>1</v>
      </c>
      <c r="AN119" s="26">
        <f>IF(NOT(AL119),0,IF(AM119,VALUE(AK119),IF(NOT(AF119),0,VALUE(LEFT(AK119,SEARCH("'",AK119,1)-1)))))</f>
        <v>0</v>
      </c>
      <c r="AO119" s="27" t="str">
        <f>IF(NOT(AL119),"",IF(AM119,"",IF(NOT(AF119),AK119,RIGHT(AK119,LEN(AK119)-SEARCH("'",AK119,1)))))</f>
        <v/>
      </c>
      <c r="AP119" s="27" t="b">
        <f>(LEN(AO119)&gt;0)</f>
        <v>0</v>
      </c>
      <c r="AQ119" s="27" t="b">
        <f>NOT(AG119)</f>
        <v>1</v>
      </c>
      <c r="AR119" s="27" t="b">
        <f>ISNUMBER(SEARCH(".",AO119,1))</f>
        <v>0</v>
      </c>
      <c r="AS119" s="26">
        <f>IF(AP119,IF(AG119,IF(AR119,VALUE(SUBSTITUTE(AO119, """", "")),VALUE(SUBSTITUTE(AO119, """", "."))),VALUE(AO119)),0)</f>
        <v>0</v>
      </c>
      <c r="AT119" s="26">
        <f>AJ119*3600+AN119*60+AS119</f>
        <v>0</v>
      </c>
      <c r="AU119" s="26">
        <f>AT119/3600</f>
        <v>0</v>
      </c>
      <c r="AV119" s="26">
        <f>_xlfn.FLOOR.MATH((AU119))</f>
        <v>0</v>
      </c>
      <c r="AW119" s="26">
        <f>(AT119-3600*AV119)/60</f>
        <v>0</v>
      </c>
      <c r="AX119" s="26">
        <f>_xlfn.FLOOR.MATH((AW119))</f>
        <v>0</v>
      </c>
      <c r="AY119" s="26">
        <f>AT119-3600*AV119-60*AX119</f>
        <v>0</v>
      </c>
      <c r="AZ119" s="20" t="str">
        <f>CONCATENATE(TEXT(AV119,"00"),"°",TEXT(AX119,"00"),"'",TEXT(AY119,"00.00"), " [", CONCATENATE(TEXT(AV119,"00"),"°",TEXT(AW119,"00.00")),"]", " - (", TEXT(AU119,"00.0000"),"°)")</f>
        <v>00°00'00.00 [00°00.00] - (00.0000°)</v>
      </c>
    </row>
    <row r="120" spans="2:56" ht="17.25" customHeight="1" thickTop="1" x14ac:dyDescent="0.25">
      <c r="I120" s="71"/>
      <c r="K120" s="71"/>
      <c r="N120" s="71"/>
      <c r="Q120" s="71"/>
      <c r="R120" s="75"/>
      <c r="AE120" s="17"/>
      <c r="AF120" s="17"/>
      <c r="AG120" s="17"/>
      <c r="AH120" s="17"/>
      <c r="AI120" s="17"/>
      <c r="AJ120" s="17"/>
      <c r="AK120" s="17"/>
      <c r="AL120" s="17"/>
      <c r="AM120" s="17"/>
      <c r="AN120" s="17"/>
      <c r="AO120" s="17"/>
      <c r="AP120" s="17"/>
    </row>
    <row r="121" spans="2:56" ht="17.25" customHeight="1" thickBot="1" x14ac:dyDescent="0.3">
      <c r="H121" s="506" t="s">
        <v>395</v>
      </c>
      <c r="I121" s="507"/>
      <c r="J121" s="507"/>
      <c r="K121" s="507"/>
      <c r="L121" s="507"/>
      <c r="M121" s="507"/>
      <c r="N121" s="508"/>
      <c r="O121" s="294">
        <f>O87-O88+AD117+AD118</f>
        <v>9.1383333333333336</v>
      </c>
      <c r="P121" s="362"/>
      <c r="Q121" s="362"/>
      <c r="R121" s="362"/>
      <c r="AE121" s="17"/>
      <c r="AF121" s="17"/>
      <c r="AG121" s="17"/>
      <c r="AH121" s="17"/>
      <c r="AI121" s="17"/>
      <c r="AJ121" s="17"/>
      <c r="AK121" s="17"/>
      <c r="AL121" s="17"/>
      <c r="AM121" s="17"/>
      <c r="AN121" s="17"/>
      <c r="AO121" s="17"/>
      <c r="AP121" s="17"/>
    </row>
    <row r="122" spans="2:56" ht="17.25" customHeight="1" thickBot="1" x14ac:dyDescent="0.3">
      <c r="D122" s="211"/>
      <c r="AE122" s="17"/>
      <c r="AF122" s="17"/>
      <c r="AG122" s="17"/>
      <c r="AH122" s="17"/>
      <c r="AI122" s="17"/>
      <c r="AJ122" s="17"/>
      <c r="AK122" s="17"/>
      <c r="AL122" s="17"/>
      <c r="AM122" s="17"/>
      <c r="AN122" s="17"/>
      <c r="AO122" s="17"/>
      <c r="AP122" s="17"/>
      <c r="AV122" s="48"/>
      <c r="AW122" s="48"/>
      <c r="AX122" s="48"/>
      <c r="AY122" s="48"/>
      <c r="AZ122" s="48"/>
      <c r="BA122" s="48"/>
      <c r="BB122" s="49"/>
      <c r="BC122" s="50"/>
    </row>
    <row r="123" spans="2:56" ht="17.25" customHeight="1" thickBot="1" x14ac:dyDescent="0.3">
      <c r="B123" s="47" t="s">
        <v>73</v>
      </c>
      <c r="C123" s="48"/>
      <c r="D123" s="210"/>
      <c r="E123" s="48"/>
      <c r="F123" s="48"/>
      <c r="G123" s="48"/>
      <c r="H123" s="48"/>
      <c r="I123" s="48"/>
      <c r="J123" s="48"/>
      <c r="K123" s="48"/>
      <c r="L123" s="48"/>
      <c r="M123" s="48"/>
      <c r="N123" s="48"/>
      <c r="O123" s="48"/>
      <c r="P123" s="48"/>
      <c r="Q123" s="48"/>
      <c r="R123" s="48"/>
      <c r="S123" s="48"/>
      <c r="T123" s="48"/>
      <c r="U123" s="48"/>
      <c r="V123" s="48"/>
      <c r="W123" s="48"/>
      <c r="X123" s="48"/>
      <c r="Y123" s="48"/>
      <c r="Z123" s="48"/>
      <c r="AA123" s="48"/>
      <c r="AB123" s="48"/>
      <c r="AC123" s="48"/>
      <c r="AD123" s="48"/>
      <c r="AE123" s="48"/>
      <c r="AF123" s="48"/>
      <c r="AG123" s="48"/>
      <c r="AH123" s="48"/>
      <c r="AI123" s="48"/>
      <c r="AJ123" s="48"/>
      <c r="AK123" s="48"/>
      <c r="AL123" s="48"/>
      <c r="AM123" s="48"/>
      <c r="AN123" s="48"/>
      <c r="AO123" s="48"/>
      <c r="AP123" s="48"/>
      <c r="AQ123" s="48"/>
      <c r="AR123" s="48"/>
      <c r="AS123" s="48"/>
      <c r="AT123" s="48"/>
      <c r="AU123" s="48"/>
    </row>
    <row r="124" spans="2:56" ht="17.25" customHeight="1" x14ac:dyDescent="0.25">
      <c r="C124" s="1"/>
      <c r="D124" s="1"/>
      <c r="E124" s="1"/>
      <c r="F124" s="1"/>
      <c r="G124" s="1"/>
      <c r="O124" s="476" t="s">
        <v>198</v>
      </c>
      <c r="P124" s="476"/>
      <c r="Q124" s="476"/>
      <c r="R124" s="476"/>
      <c r="S124" s="476"/>
      <c r="T124" s="476"/>
      <c r="U124" s="476"/>
      <c r="V124" s="476"/>
      <c r="W124" s="476"/>
      <c r="X124" s="476"/>
      <c r="Y124" s="476"/>
      <c r="Z124" s="476"/>
      <c r="AA124" s="476"/>
    </row>
    <row r="125" spans="2:56" ht="17.25" customHeight="1" x14ac:dyDescent="0.25">
      <c r="C125" s="178"/>
      <c r="D125" s="178"/>
      <c r="E125" s="550" t="s">
        <v>28</v>
      </c>
      <c r="F125" s="551"/>
      <c r="G125" s="551"/>
      <c r="H125" s="551"/>
      <c r="I125" s="391">
        <f>AD126</f>
        <v>9.1194575860472469</v>
      </c>
      <c r="J125" s="391"/>
      <c r="K125" s="391"/>
      <c r="L125" s="391"/>
      <c r="M125" s="391"/>
      <c r="O125" s="281" t="s">
        <v>199</v>
      </c>
      <c r="P125" s="281"/>
      <c r="Q125" s="281">
        <f>D</f>
        <v>-11.98176</v>
      </c>
      <c r="R125" s="281"/>
      <c r="S125" s="281"/>
      <c r="T125" s="519" t="s">
        <v>125</v>
      </c>
      <c r="U125" s="520">
        <f>Q125*$D$135</f>
        <v>-0.20912116218375576</v>
      </c>
      <c r="V125" s="521"/>
      <c r="W125" s="522"/>
      <c r="X125" s="519" t="s">
        <v>170</v>
      </c>
      <c r="AE125" s="79" t="s">
        <v>201</v>
      </c>
      <c r="AF125" s="22">
        <f>SIN(U125)*SIN(U126)+COS(U125)*COS(U126)*COS(U127)</f>
        <v>0.15849338281117148</v>
      </c>
    </row>
    <row r="126" spans="2:56" ht="17.25" customHeight="1" thickBot="1" x14ac:dyDescent="0.3">
      <c r="C126" s="178"/>
      <c r="D126" s="178"/>
      <c r="E126" s="552"/>
      <c r="F126" s="553"/>
      <c r="G126" s="553"/>
      <c r="H126" s="553"/>
      <c r="I126" s="391"/>
      <c r="J126" s="391"/>
      <c r="K126" s="391"/>
      <c r="L126" s="391"/>
      <c r="M126" s="391"/>
      <c r="N126" s="149" t="s">
        <v>328</v>
      </c>
      <c r="O126" s="281" t="s">
        <v>200</v>
      </c>
      <c r="P126" s="281"/>
      <c r="Q126" s="281">
        <f>L</f>
        <v>48.866666666666667</v>
      </c>
      <c r="R126" s="281"/>
      <c r="S126" s="281"/>
      <c r="T126" s="519"/>
      <c r="U126" s="520">
        <f>Q126*$D$135</f>
        <v>0.85288422780789575</v>
      </c>
      <c r="V126" s="521"/>
      <c r="W126" s="522"/>
      <c r="X126" s="519"/>
      <c r="AD126" s="28">
        <f>AG126</f>
        <v>9.1194575860472469</v>
      </c>
      <c r="AE126" s="31" t="s">
        <v>202</v>
      </c>
      <c r="AF126" s="22">
        <f>ASIN(AF125)</f>
        <v>0.15916456087249856</v>
      </c>
      <c r="AG126" s="22">
        <f>AF126*$D$136</f>
        <v>9.1194575860472469</v>
      </c>
    </row>
    <row r="127" spans="2:56" ht="17.25" customHeight="1" thickTop="1" thickBot="1" x14ac:dyDescent="0.3">
      <c r="C127" s="178"/>
      <c r="D127" s="178"/>
      <c r="E127" s="554"/>
      <c r="F127" s="555"/>
      <c r="G127" s="555"/>
      <c r="H127" s="555"/>
      <c r="I127" s="279" t="str">
        <f>AC129</f>
        <v>09°07'10.05 [09°07.17]  (09.1195°)</v>
      </c>
      <c r="J127" s="279"/>
      <c r="K127" s="279"/>
      <c r="L127" s="279"/>
      <c r="M127" s="279"/>
      <c r="O127" s="281" t="s">
        <v>71</v>
      </c>
      <c r="P127" s="281"/>
      <c r="Q127" s="281">
        <f>F80</f>
        <v>60.705613333333361</v>
      </c>
      <c r="R127" s="281"/>
      <c r="S127" s="281"/>
      <c r="T127" s="519"/>
      <c r="U127" s="520">
        <f>Q127*$D$135</f>
        <v>1.0595128271092371</v>
      </c>
      <c r="V127" s="521"/>
      <c r="W127" s="522"/>
      <c r="X127" s="519"/>
    </row>
    <row r="128" spans="2:56" ht="17.25" customHeight="1" thickTop="1" x14ac:dyDescent="0.25">
      <c r="C128" s="178"/>
      <c r="D128" s="178"/>
      <c r="E128" s="1"/>
      <c r="F128" s="1"/>
      <c r="G128" s="1"/>
      <c r="AC128" s="14"/>
      <c r="AD128" s="7"/>
      <c r="AE128" s="3" t="s">
        <v>57</v>
      </c>
      <c r="AF128" s="3" t="s">
        <v>57</v>
      </c>
      <c r="AG128" s="3" t="s">
        <v>304</v>
      </c>
      <c r="AH128" s="3" t="s">
        <v>120</v>
      </c>
      <c r="AI128" s="3" t="s">
        <v>121</v>
      </c>
      <c r="AJ128" s="3" t="s">
        <v>122</v>
      </c>
      <c r="AK128" s="3" t="s">
        <v>123</v>
      </c>
      <c r="AL128" s="3" t="s">
        <v>124</v>
      </c>
      <c r="AM128" s="3" t="s">
        <v>125</v>
      </c>
      <c r="AN128" s="3" t="s">
        <v>101</v>
      </c>
      <c r="AO128" s="3" t="s">
        <v>129</v>
      </c>
      <c r="AP128" s="3" t="s">
        <v>128</v>
      </c>
      <c r="AQ128" s="3" t="s">
        <v>126</v>
      </c>
      <c r="AR128" s="3" t="s">
        <v>127</v>
      </c>
      <c r="AS128" s="3" t="s">
        <v>129</v>
      </c>
      <c r="AT128" s="3" t="s">
        <v>128</v>
      </c>
      <c r="AU128" s="3" t="s">
        <v>130</v>
      </c>
      <c r="AV128" s="3" t="s">
        <v>112</v>
      </c>
      <c r="AW128" s="3" t="s">
        <v>117</v>
      </c>
      <c r="AX128" s="3" t="s">
        <v>143</v>
      </c>
      <c r="AY128" s="3" t="s">
        <v>149</v>
      </c>
      <c r="AZ128" s="3" t="s">
        <v>131</v>
      </c>
      <c r="BA128" s="3" t="s">
        <v>150</v>
      </c>
      <c r="BB128" s="3" t="s">
        <v>112</v>
      </c>
      <c r="BC128" s="3" t="s">
        <v>308</v>
      </c>
      <c r="BD128" s="3" t="s">
        <v>151</v>
      </c>
    </row>
    <row r="129" spans="1:56" ht="17.25" customHeight="1" x14ac:dyDescent="0.25">
      <c r="C129" s="178"/>
      <c r="D129" s="178"/>
      <c r="E129" s="550" t="s">
        <v>36</v>
      </c>
      <c r="F129" s="551"/>
      <c r="G129" s="551"/>
      <c r="H129" s="551"/>
      <c r="I129" s="391">
        <f>F84</f>
        <v>9.1383333333333336</v>
      </c>
      <c r="J129" s="391"/>
      <c r="K129" s="391"/>
      <c r="L129" s="391"/>
      <c r="M129" s="391"/>
      <c r="AB129" s="18">
        <f>A</f>
        <v>9.1194575860472469</v>
      </c>
      <c r="AC129" s="14" t="str">
        <f>BD129</f>
        <v>09°07'10.05 [09°07.17]  (09.1195°)</v>
      </c>
      <c r="AD129" s="7">
        <f>BC129</f>
        <v>9.1194575860472469</v>
      </c>
      <c r="AE129" s="5">
        <f>IF(LEFT(TRIM(AB129),1)="-",-1,IF(LEFT(TRIM(AB129),1)="+",1, 0))</f>
        <v>0</v>
      </c>
      <c r="AF129" s="5" t="str">
        <f>IF(AE129&gt;0,"+",IF(AE129&lt;0,"-",""))</f>
        <v/>
      </c>
      <c r="AG129" s="5">
        <f>IF(ABS(AE129)&gt;0,RIGHT(AB129,LEN(AB129)-1),AB129)</f>
        <v>9.1194575860472469</v>
      </c>
      <c r="AH129" s="5" t="b">
        <f>ISNUMBER(SEARCH("°",AG129,1))</f>
        <v>0</v>
      </c>
      <c r="AI129" s="5" t="b">
        <f>ISNUMBER(SEARCH("'",AG129,1))</f>
        <v>0</v>
      </c>
      <c r="AJ129" s="5" t="b">
        <f>ISNUMBER(SEARCH("""",AG129,1))</f>
        <v>0</v>
      </c>
      <c r="AK129" s="5" t="b">
        <f>NOT(OR(AH129,AI129,AJ129))</f>
        <v>1</v>
      </c>
      <c r="AL129" s="5" t="b">
        <f t="shared" ref="AL129" si="151">OR(AK129,AH129)</f>
        <v>1</v>
      </c>
      <c r="AM129" s="6">
        <f>IF(AK129,VALUE(AG129),IF(AH129,LEFT(AG129,SEARCH("°",AG129,1)-1),0))</f>
        <v>9.1194575860472469</v>
      </c>
      <c r="AN129" s="5" t="str">
        <f>IF(AK129,"",IF(AH129,RIGHT(AG129,LEN(AG129)-SEARCH("°",AG129,1)),AG129))</f>
        <v/>
      </c>
      <c r="AO129" s="5" t="b">
        <f>(LEN(AN129)&gt;0)</f>
        <v>0</v>
      </c>
      <c r="AP129" s="5" t="b">
        <f>NOT(OR(AI129,AJ129))</f>
        <v>1</v>
      </c>
      <c r="AQ129" s="6">
        <f t="shared" ref="AQ129" si="152">IF(NOT(AO129),0,IF(AP129,VALUE(AN129),IF(NOT(AI129),0,VALUE(LEFT(AN129,SEARCH("'",AN129,1)-1)))))</f>
        <v>0</v>
      </c>
      <c r="AR129" s="5" t="str">
        <f t="shared" ref="AR129" si="153">IF(NOT(AO129),"",IF(AP129,"",IF(NOT(AI129),AN129,RIGHT(AN129,LEN(AN129)-SEARCH("'",AN129,1)))))</f>
        <v/>
      </c>
      <c r="AS129" s="5" t="b">
        <f>(LEN(AR129)&gt;0)</f>
        <v>0</v>
      </c>
      <c r="AT129" s="5" t="b">
        <f t="shared" ref="AT129" si="154">NOT(AJ129)</f>
        <v>1</v>
      </c>
      <c r="AU129" s="5" t="b">
        <f>ISNUMBER(SEARCH(".",AR129,1))</f>
        <v>0</v>
      </c>
      <c r="AV129" s="6">
        <f t="shared" ref="AV129" si="155">IF(AS129,IF(AJ129,IF(AU129,VALUE(SUBSTITUTE(AR129, """", "")),VALUE(SUBSTITUTE(AR129, """", "."))),VALUE(AR129)),0)</f>
        <v>0</v>
      </c>
      <c r="AW129" s="6">
        <f t="shared" ref="AW129" si="156">AM129*3600+AQ129*60+AV129</f>
        <v>32830.047309770089</v>
      </c>
      <c r="AX129" s="6">
        <f>AW129/3600</f>
        <v>9.1194575860472469</v>
      </c>
      <c r="AY129" s="6">
        <f>_xlfn.FLOOR.MATH((AX129))</f>
        <v>9</v>
      </c>
      <c r="AZ129" s="6">
        <f>(AW129-3600*AY129)/60</f>
        <v>7.1674551628348127</v>
      </c>
      <c r="BA129" s="6">
        <f>_xlfn.FLOOR.MATH((AZ129))</f>
        <v>7</v>
      </c>
      <c r="BB129" s="6">
        <f>AW129-3600*AY129-60*BA129</f>
        <v>10.047309770088759</v>
      </c>
      <c r="BC129" s="6">
        <f>AX129*IF(AE129&lt;0,-1,1)</f>
        <v>9.1194575860472469</v>
      </c>
      <c r="BD129" s="7" t="str">
        <f>CONCATENATE(AF129,TEXT(AY129,"00"),"°",TEXT(BA129,"00"),"'",TEXT(BB129,"00.00"), " [", CONCATENATE(AF129,TEXT(AY129,"00"),"°",TEXT(AZ129,"00.00")),"]", "  (", AF129,TEXT(AX129,"00.0000"),"°)")</f>
        <v>09°07'10.05 [09°07.17]  (09.1195°)</v>
      </c>
    </row>
    <row r="130" spans="1:56" ht="17.25" customHeight="1" thickBot="1" x14ac:dyDescent="0.3">
      <c r="C130" s="178"/>
      <c r="D130" s="178"/>
      <c r="E130" s="552"/>
      <c r="F130" s="553"/>
      <c r="G130" s="553"/>
      <c r="H130" s="553"/>
      <c r="I130" s="391"/>
      <c r="J130" s="391"/>
      <c r="K130" s="391"/>
      <c r="L130" s="391"/>
      <c r="M130" s="391"/>
      <c r="O130" s="509" t="s">
        <v>38</v>
      </c>
      <c r="P130" s="510"/>
      <c r="Q130" s="510"/>
      <c r="R130" s="510"/>
      <c r="S130" s="511"/>
      <c r="T130" s="150">
        <f>I129-A</f>
        <v>1.8875747286086764E-2</v>
      </c>
      <c r="U130" s="151" t="s">
        <v>39</v>
      </c>
      <c r="V130" s="203">
        <f>T130*60</f>
        <v>1.1325448371652058</v>
      </c>
      <c r="W130" s="151" t="s">
        <v>254</v>
      </c>
      <c r="X130" s="99"/>
      <c r="Y130" s="526" t="str">
        <f>IF(T130&gt;0,"Vers Pg", "Oppose de Pg")</f>
        <v>Vers Pg</v>
      </c>
      <c r="Z130" s="526"/>
      <c r="AB130" s="18">
        <f>I129</f>
        <v>9.1383333333333336</v>
      </c>
      <c r="AC130" s="19" t="str">
        <f>AZ130</f>
        <v>09°08'18.00 [09°08.30] - (09.1383°)</v>
      </c>
      <c r="AD130" s="37">
        <f>I129</f>
        <v>9.1383333333333336</v>
      </c>
      <c r="AE130" s="27" t="b">
        <f t="shared" ref="AE130" si="157">ISNUMBER(SEARCH("°",AB130,1))</f>
        <v>0</v>
      </c>
      <c r="AF130" s="27" t="b">
        <f t="shared" ref="AF130" si="158">ISNUMBER(SEARCH("'",AB130,1))</f>
        <v>0</v>
      </c>
      <c r="AG130" s="27" t="b">
        <f t="shared" ref="AG130" si="159">ISNUMBER(SEARCH("""",AB130,1))</f>
        <v>0</v>
      </c>
      <c r="AH130" s="27" t="b">
        <f t="shared" ref="AH130" si="160">NOT(OR(AE130,AF130,AG130))</f>
        <v>1</v>
      </c>
      <c r="AI130" s="27" t="b">
        <f t="shared" ref="AI130" si="161">OR(AH130,AE130)</f>
        <v>1</v>
      </c>
      <c r="AJ130" s="26">
        <f t="shared" ref="AJ130" si="162">IF(AH130,VALUE(AB130),IF(AE130,LEFT(AB130,SEARCH("°",AB130,1)-1),0))</f>
        <v>9.1383333333333336</v>
      </c>
      <c r="AK130" s="27" t="str">
        <f t="shared" ref="AK130" si="163">IF(AH130,"",IF(AE130,RIGHT(AB130,LEN(AB130)-SEARCH("°",AB130,1)),AB130))</f>
        <v/>
      </c>
      <c r="AL130" s="27" t="b">
        <f>(LEN(AK130)&gt;0)</f>
        <v>0</v>
      </c>
      <c r="AM130" s="27" t="b">
        <f>NOT(OR(AF130,AG130))</f>
        <v>1</v>
      </c>
      <c r="AN130" s="26">
        <f>IF(NOT(AL130),0,IF(AM130,VALUE(AK130),IF(NOT(AF130),0,VALUE(LEFT(AK130,SEARCH("'",AK130,1)-1)))))</f>
        <v>0</v>
      </c>
      <c r="AO130" s="27" t="str">
        <f>IF(NOT(AL130),"",IF(AM130,"",IF(NOT(AF130),AK130,RIGHT(AK130,LEN(AK130)-SEARCH("'",AK130,1)))))</f>
        <v/>
      </c>
      <c r="AP130" s="27" t="b">
        <f>(LEN(AO130)&gt;0)</f>
        <v>0</v>
      </c>
      <c r="AQ130" s="27" t="b">
        <f>NOT(AG130)</f>
        <v>1</v>
      </c>
      <c r="AR130" s="27" t="b">
        <f>ISNUMBER(SEARCH(".",AO130,1))</f>
        <v>0</v>
      </c>
      <c r="AS130" s="26">
        <f>IF(AP130,IF(AG130,IF(AR130,VALUE(SUBSTITUTE(AO130, """", "")),VALUE(SUBSTITUTE(AO130, """", "."))),VALUE(AO130)),0)</f>
        <v>0</v>
      </c>
      <c r="AT130" s="26">
        <f>AJ130*3600+AN130*60+AS130</f>
        <v>32898</v>
      </c>
      <c r="AU130" s="26">
        <f>AT130/3600</f>
        <v>9.1383333333333336</v>
      </c>
      <c r="AV130" s="26">
        <f>_xlfn.FLOOR.MATH((AU130))</f>
        <v>9</v>
      </c>
      <c r="AW130" s="26">
        <f>(AT130-3600*AV130)/60</f>
        <v>8.3000000000000007</v>
      </c>
      <c r="AX130" s="26">
        <f>_xlfn.FLOOR.MATH((AW130))</f>
        <v>8</v>
      </c>
      <c r="AY130" s="26">
        <f>AT130-3600*AV130-60*AX130</f>
        <v>18</v>
      </c>
      <c r="AZ130" s="20" t="str">
        <f>CONCATENATE(TEXT(AV130,"00"),"°",TEXT(AX130,"00"),"'",TEXT(AY130,"00.00"), " [", CONCATENATE(TEXT(AV130,"00"),"°",TEXT(AW130,"00.00")),"]", " - (", TEXT(AU130,"00.0000"),"°)")</f>
        <v>09°08'18.00 [09°08.30] - (09.1383°)</v>
      </c>
    </row>
    <row r="131" spans="1:56" ht="17.25" customHeight="1" thickTop="1" thickBot="1" x14ac:dyDescent="0.3">
      <c r="C131" s="178"/>
      <c r="D131" s="178"/>
      <c r="E131" s="554"/>
      <c r="F131" s="555"/>
      <c r="G131" s="555"/>
      <c r="H131" s="555"/>
      <c r="I131" s="279" t="str">
        <f>AC130</f>
        <v>09°08'18.00 [09°08.30] - (09.1383°)</v>
      </c>
      <c r="J131" s="279"/>
      <c r="K131" s="279"/>
      <c r="L131" s="279"/>
      <c r="M131" s="279"/>
    </row>
    <row r="132" spans="1:56" ht="17.25" customHeight="1" thickTop="1" x14ac:dyDescent="0.25">
      <c r="C132" s="178"/>
      <c r="D132" s="178"/>
      <c r="E132" s="1"/>
      <c r="F132" s="1"/>
      <c r="G132" s="1"/>
      <c r="T132"/>
      <c r="U132"/>
      <c r="V132"/>
      <c r="W132"/>
      <c r="X132"/>
      <c r="Y132"/>
    </row>
    <row r="133" spans="1:56" ht="17.25" customHeight="1" thickBot="1" x14ac:dyDescent="0.3">
      <c r="C133" s="1"/>
      <c r="D133" s="1"/>
      <c r="E133" s="1"/>
      <c r="F133" s="1"/>
      <c r="T133"/>
      <c r="U133"/>
      <c r="V133"/>
      <c r="W133"/>
      <c r="X133"/>
      <c r="Y133"/>
    </row>
    <row r="134" spans="1:56" ht="17.25" customHeight="1" x14ac:dyDescent="0.25">
      <c r="A134" s="559" t="s">
        <v>232</v>
      </c>
      <c r="B134" s="560"/>
      <c r="C134" s="560"/>
      <c r="D134" s="561"/>
      <c r="E134" s="1"/>
      <c r="F134" s="1"/>
      <c r="G134" s="1"/>
      <c r="T134"/>
      <c r="U134"/>
      <c r="V134"/>
      <c r="W134"/>
      <c r="X134"/>
      <c r="Y134"/>
    </row>
    <row r="135" spans="1:56" ht="17.25" customHeight="1" x14ac:dyDescent="0.25">
      <c r="A135" s="207" t="s">
        <v>104</v>
      </c>
      <c r="B135" s="205" t="s">
        <v>211</v>
      </c>
      <c r="C135" s="206" t="s">
        <v>457</v>
      </c>
      <c r="D135" s="243">
        <f>PI()/180</f>
        <v>1.7453292519943295E-2</v>
      </c>
      <c r="E135" s="1"/>
      <c r="AE135" s="79" t="s">
        <v>204</v>
      </c>
      <c r="AF135" s="22">
        <f>(SIN(U137)-SIN(U138)*SIN(AF126))/(COS(U138)*COS(AF126))</f>
        <v>-0.50342581608754189</v>
      </c>
    </row>
    <row r="136" spans="1:56" ht="17.25" customHeight="1" thickBot="1" x14ac:dyDescent="0.3">
      <c r="A136" s="43" t="s">
        <v>213</v>
      </c>
      <c r="B136" s="208" t="s">
        <v>211</v>
      </c>
      <c r="C136" s="209" t="s">
        <v>458</v>
      </c>
      <c r="D136" s="244">
        <f>180/PI()</f>
        <v>57.295779513082323</v>
      </c>
      <c r="E136" s="1"/>
      <c r="F136" s="1"/>
      <c r="G136" s="1"/>
      <c r="O136" s="495" t="s">
        <v>203</v>
      </c>
      <c r="P136" s="496"/>
      <c r="Q136" s="496"/>
      <c r="R136" s="496"/>
      <c r="S136" s="496"/>
      <c r="T136" s="496"/>
      <c r="U136" s="496"/>
      <c r="V136" s="496"/>
      <c r="W136" s="496"/>
      <c r="X136" s="496"/>
      <c r="Y136" s="496"/>
      <c r="Z136" s="496"/>
      <c r="AA136" s="496"/>
      <c r="AD136" s="28">
        <f>AG136</f>
        <v>120.22691017551041</v>
      </c>
      <c r="AE136" s="31" t="s">
        <v>205</v>
      </c>
      <c r="AF136" s="22">
        <f>ACOS(AF135)</f>
        <v>2.0983554320621303</v>
      </c>
      <c r="AG136" s="22">
        <f>AF136*$D$136</f>
        <v>120.22691017551041</v>
      </c>
    </row>
    <row r="137" spans="1:56" ht="17.25" customHeight="1" x14ac:dyDescent="0.25">
      <c r="A137" s="178"/>
      <c r="B137" s="178"/>
      <c r="C137" s="178"/>
      <c r="D137" s="178"/>
      <c r="E137" s="550" t="s">
        <v>214</v>
      </c>
      <c r="F137" s="551"/>
      <c r="G137" s="551"/>
      <c r="H137" s="556"/>
      <c r="I137" s="340">
        <f>AD136</f>
        <v>120.22691017551041</v>
      </c>
      <c r="J137" s="340"/>
      <c r="K137" s="340"/>
      <c r="L137" s="340"/>
      <c r="M137" s="374"/>
      <c r="O137" s="281" t="s">
        <v>199</v>
      </c>
      <c r="P137" s="281"/>
      <c r="Q137" s="281">
        <f>D</f>
        <v>-11.98176</v>
      </c>
      <c r="R137" s="281"/>
      <c r="S137" s="281"/>
      <c r="T137" s="519" t="s">
        <v>125</v>
      </c>
      <c r="U137" s="281">
        <f>Q137*$D$135</f>
        <v>-0.20912116218375576</v>
      </c>
      <c r="V137" s="281"/>
      <c r="W137" s="281"/>
      <c r="X137" s="519" t="s">
        <v>170</v>
      </c>
    </row>
    <row r="138" spans="1:56" ht="17.25" customHeight="1" thickBot="1" x14ac:dyDescent="0.3">
      <c r="C138" s="178"/>
      <c r="D138" s="178"/>
      <c r="E138" s="552"/>
      <c r="F138" s="553"/>
      <c r="G138" s="553"/>
      <c r="H138" s="557"/>
      <c r="I138" s="523"/>
      <c r="J138" s="523"/>
      <c r="K138" s="523"/>
      <c r="L138" s="523"/>
      <c r="M138" s="524"/>
      <c r="N138" s="149" t="s">
        <v>328</v>
      </c>
      <c r="O138" s="281" t="s">
        <v>200</v>
      </c>
      <c r="P138" s="281"/>
      <c r="Q138" s="281">
        <f>L</f>
        <v>48.866666666666667</v>
      </c>
      <c r="R138" s="281"/>
      <c r="S138" s="281"/>
      <c r="T138" s="519"/>
      <c r="U138" s="281">
        <f>Q138*$D$135</f>
        <v>0.85288422780789575</v>
      </c>
      <c r="V138" s="281"/>
      <c r="W138" s="281"/>
      <c r="X138" s="519"/>
    </row>
    <row r="139" spans="1:56" ht="17.25" customHeight="1" thickTop="1" thickBot="1" x14ac:dyDescent="0.3">
      <c r="C139" s="178"/>
      <c r="D139" s="178"/>
      <c r="E139" s="554"/>
      <c r="F139" s="555"/>
      <c r="G139" s="555"/>
      <c r="H139" s="558"/>
      <c r="I139" s="525" t="str">
        <f>AC140</f>
        <v>120°13'36.88 [120°13.61]  (120.2269°)</v>
      </c>
      <c r="J139" s="357"/>
      <c r="K139" s="357"/>
      <c r="L139" s="357"/>
      <c r="M139" s="357"/>
      <c r="O139" s="281" t="s">
        <v>71</v>
      </c>
      <c r="P139" s="281"/>
      <c r="Q139" s="281">
        <f>F80</f>
        <v>60.705613333333361</v>
      </c>
      <c r="R139" s="281"/>
      <c r="S139" s="281"/>
      <c r="T139" s="519"/>
      <c r="U139" s="281">
        <f>Q139*$D$135</f>
        <v>1.0595128271092371</v>
      </c>
      <c r="V139" s="281"/>
      <c r="W139" s="281"/>
      <c r="X139" s="519"/>
      <c r="AC139" s="14"/>
      <c r="AD139" s="7"/>
      <c r="AE139" s="3" t="s">
        <v>57</v>
      </c>
      <c r="AF139" s="3" t="s">
        <v>57</v>
      </c>
      <c r="AG139" s="3" t="s">
        <v>304</v>
      </c>
      <c r="AH139" s="3" t="s">
        <v>120</v>
      </c>
      <c r="AI139" s="3" t="s">
        <v>121</v>
      </c>
      <c r="AJ139" s="3" t="s">
        <v>122</v>
      </c>
      <c r="AK139" s="3" t="s">
        <v>123</v>
      </c>
      <c r="AL139" s="3" t="s">
        <v>124</v>
      </c>
      <c r="AM139" s="3" t="s">
        <v>125</v>
      </c>
      <c r="AN139" s="3" t="s">
        <v>101</v>
      </c>
      <c r="AO139" s="3" t="s">
        <v>129</v>
      </c>
      <c r="AP139" s="3" t="s">
        <v>128</v>
      </c>
      <c r="AQ139" s="3" t="s">
        <v>126</v>
      </c>
      <c r="AR139" s="3" t="s">
        <v>127</v>
      </c>
      <c r="AS139" s="3" t="s">
        <v>129</v>
      </c>
      <c r="AT139" s="3" t="s">
        <v>128</v>
      </c>
      <c r="AU139" s="3" t="s">
        <v>130</v>
      </c>
      <c r="AV139" s="3" t="s">
        <v>112</v>
      </c>
      <c r="AW139" s="3" t="s">
        <v>117</v>
      </c>
      <c r="AX139" s="3" t="s">
        <v>143</v>
      </c>
      <c r="AY139" s="3" t="s">
        <v>149</v>
      </c>
      <c r="AZ139" s="3" t="s">
        <v>131</v>
      </c>
      <c r="BA139" s="3" t="s">
        <v>150</v>
      </c>
      <c r="BB139" s="3" t="s">
        <v>112</v>
      </c>
      <c r="BC139" s="3" t="s">
        <v>308</v>
      </c>
      <c r="BD139" s="3" t="s">
        <v>151</v>
      </c>
    </row>
    <row r="140" spans="1:56" ht="17.25" customHeight="1" thickTop="1" x14ac:dyDescent="0.25">
      <c r="C140" s="178"/>
      <c r="D140" s="178"/>
      <c r="E140" s="1"/>
      <c r="F140" s="1"/>
      <c r="G140" s="1"/>
      <c r="AB140" s="18">
        <f>I137</f>
        <v>120.22691017551041</v>
      </c>
      <c r="AC140" s="14" t="str">
        <f>BD140</f>
        <v>120°13'36.88 [120°13.61]  (120.2269°)</v>
      </c>
      <c r="AD140" s="7">
        <f>BC140</f>
        <v>120.2269101755104</v>
      </c>
      <c r="AE140" s="5">
        <f>IF(LEFT(TRIM(AB140),1)="-",-1,IF(LEFT(TRIM(AB140),1)="+",1, 0))</f>
        <v>0</v>
      </c>
      <c r="AF140" s="5" t="str">
        <f>IF(AE140&gt;0,"+",IF(AE140&lt;0,"-",""))</f>
        <v/>
      </c>
      <c r="AG140" s="5">
        <f>IF(ABS(AE140)&gt;0,RIGHT(AB140,LEN(AB140)-1),AB140)</f>
        <v>120.22691017551041</v>
      </c>
      <c r="AH140" s="5" t="b">
        <f>ISNUMBER(SEARCH("°",AG140,1))</f>
        <v>0</v>
      </c>
      <c r="AI140" s="5" t="b">
        <f>ISNUMBER(SEARCH("'",AG140,1))</f>
        <v>0</v>
      </c>
      <c r="AJ140" s="5" t="b">
        <f>ISNUMBER(SEARCH("""",AG140,1))</f>
        <v>0</v>
      </c>
      <c r="AK140" s="5" t="b">
        <f>NOT(OR(AH140,AI140,AJ140))</f>
        <v>1</v>
      </c>
      <c r="AL140" s="5" t="b">
        <f t="shared" ref="AL140" si="164">OR(AK140,AH140)</f>
        <v>1</v>
      </c>
      <c r="AM140" s="6">
        <f>IF(AK140,VALUE(AG140),IF(AH140,LEFT(AG140,SEARCH("°",AG140,1)-1),0))</f>
        <v>120.22691017551041</v>
      </c>
      <c r="AN140" s="5" t="str">
        <f>IF(AK140,"",IF(AH140,RIGHT(AG140,LEN(AG140)-SEARCH("°",AG140,1)),AG140))</f>
        <v/>
      </c>
      <c r="AO140" s="5" t="b">
        <f>(LEN(AN140)&gt;0)</f>
        <v>0</v>
      </c>
      <c r="AP140" s="5" t="b">
        <f>NOT(OR(AI140,AJ140))</f>
        <v>1</v>
      </c>
      <c r="AQ140" s="6">
        <f t="shared" ref="AQ140" si="165">IF(NOT(AO140),0,IF(AP140,VALUE(AN140),IF(NOT(AI140),0,VALUE(LEFT(AN140,SEARCH("'",AN140,1)-1)))))</f>
        <v>0</v>
      </c>
      <c r="AR140" s="5" t="str">
        <f t="shared" ref="AR140" si="166">IF(NOT(AO140),"",IF(AP140,"",IF(NOT(AI140),AN140,RIGHT(AN140,LEN(AN140)-SEARCH("'",AN140,1)))))</f>
        <v/>
      </c>
      <c r="AS140" s="5" t="b">
        <f>(LEN(AR140)&gt;0)</f>
        <v>0</v>
      </c>
      <c r="AT140" s="5" t="b">
        <f t="shared" ref="AT140" si="167">NOT(AJ140)</f>
        <v>1</v>
      </c>
      <c r="AU140" s="5" t="b">
        <f>ISNUMBER(SEARCH(".",AR140,1))</f>
        <v>0</v>
      </c>
      <c r="AV140" s="6">
        <f t="shared" ref="AV140" si="168">IF(AS140,IF(AJ140,IF(AU140,VALUE(SUBSTITUTE(AR140, """", "")),VALUE(SUBSTITUTE(AR140, """", "."))),VALUE(AR140)),0)</f>
        <v>0</v>
      </c>
      <c r="AW140" s="6">
        <f t="shared" ref="AW140" si="169">AM140*3600+AQ140*60+AV140</f>
        <v>432816.87663183745</v>
      </c>
      <c r="AX140" s="6">
        <f>AW140/3600</f>
        <v>120.2269101755104</v>
      </c>
      <c r="AY140" s="6">
        <f>_xlfn.FLOOR.MATH((AX140))</f>
        <v>120</v>
      </c>
      <c r="AZ140" s="6">
        <f>(AW140-3600*AY140)/60</f>
        <v>13.614610530624244</v>
      </c>
      <c r="BA140" s="6">
        <f>_xlfn.FLOOR.MATH((AZ140))</f>
        <v>13</v>
      </c>
      <c r="BB140" s="6">
        <f>AW140-3600*AY140-60*BA140</f>
        <v>36.876631837454624</v>
      </c>
      <c r="BC140" s="6">
        <f>AX140*IF(AE140&lt;0,-1,1)</f>
        <v>120.2269101755104</v>
      </c>
      <c r="BD140" s="7" t="str">
        <f>CONCATENATE(AF140,TEXT(AY140,"00"),"°",TEXT(BA140,"00"),"'",TEXT(BB140,"00.00"), " [", CONCATENATE(AF140,TEXT(AY140,"00"),"°",TEXT(AZ140,"00.00")),"]", "  (", AF140,TEXT(AX140,"00.0000"),"°)")</f>
        <v>120°13'36.88 [120°13.61]  (120.2269°)</v>
      </c>
    </row>
    <row r="141" spans="1:56" ht="17.25" customHeight="1" x14ac:dyDescent="0.25">
      <c r="C141" s="1"/>
      <c r="D141" s="1"/>
      <c r="F141" s="59"/>
      <c r="G141" s="59"/>
      <c r="H141" s="59"/>
      <c r="I141" s="540" t="s">
        <v>393</v>
      </c>
      <c r="J141" s="541"/>
      <c r="K141" s="541"/>
      <c r="L141" s="541"/>
      <c r="M141" s="541"/>
      <c r="N141" s="542"/>
      <c r="O141" s="540" t="s">
        <v>394</v>
      </c>
      <c r="P141" s="541"/>
      <c r="Q141" s="541"/>
      <c r="R141" s="541"/>
      <c r="S141" s="541"/>
      <c r="T141" s="542"/>
      <c r="AB141" s="18">
        <f>T147</f>
        <v>239.7730898244896</v>
      </c>
      <c r="AC141" s="19" t="str">
        <f>AZ141</f>
        <v>239°46'23.12 [239°46.39] - (239.7731°)</v>
      </c>
      <c r="AD141" s="37">
        <f>I140</f>
        <v>0</v>
      </c>
      <c r="AE141" s="27" t="b">
        <f t="shared" ref="AE141" si="170">ISNUMBER(SEARCH("°",AB141,1))</f>
        <v>0</v>
      </c>
      <c r="AF141" s="27" t="b">
        <f t="shared" ref="AF141" si="171">ISNUMBER(SEARCH("'",AB141,1))</f>
        <v>0</v>
      </c>
      <c r="AG141" s="27" t="b">
        <f t="shared" ref="AG141" si="172">ISNUMBER(SEARCH("""",AB141,1))</f>
        <v>0</v>
      </c>
      <c r="AH141" s="27" t="b">
        <f t="shared" ref="AH141" si="173">NOT(OR(AE141,AF141,AG141))</f>
        <v>1</v>
      </c>
      <c r="AI141" s="27" t="b">
        <f t="shared" ref="AI141" si="174">OR(AH141,AE141)</f>
        <v>1</v>
      </c>
      <c r="AJ141" s="26">
        <f t="shared" ref="AJ141" si="175">IF(AH141,VALUE(AB141),IF(AE141,LEFT(AB141,SEARCH("°",AB141,1)-1),0))</f>
        <v>239.7730898244896</v>
      </c>
      <c r="AK141" s="27" t="str">
        <f t="shared" ref="AK141" si="176">IF(AH141,"",IF(AE141,RIGHT(AB141,LEN(AB141)-SEARCH("°",AB141,1)),AB141))</f>
        <v/>
      </c>
      <c r="AL141" s="27" t="b">
        <f>(LEN(AK141)&gt;0)</f>
        <v>0</v>
      </c>
      <c r="AM141" s="27" t="b">
        <f>NOT(OR(AF141,AG141))</f>
        <v>1</v>
      </c>
      <c r="AN141" s="26">
        <f>IF(NOT(AL141),0,IF(AM141,VALUE(AK141),IF(NOT(AF141),0,VALUE(LEFT(AK141,SEARCH("'",AK141,1)-1)))))</f>
        <v>0</v>
      </c>
      <c r="AO141" s="27" t="str">
        <f>IF(NOT(AL141),"",IF(AM141,"",IF(NOT(AF141),AK141,RIGHT(AK141,LEN(AK141)-SEARCH("'",AK141,1)))))</f>
        <v/>
      </c>
      <c r="AP141" s="27" t="b">
        <f>(LEN(AO141)&gt;0)</f>
        <v>0</v>
      </c>
      <c r="AQ141" s="27" t="b">
        <f>NOT(AG141)</f>
        <v>1</v>
      </c>
      <c r="AR141" s="27" t="b">
        <f>ISNUMBER(SEARCH(".",AO141,1))</f>
        <v>0</v>
      </c>
      <c r="AS141" s="26">
        <f>IF(AP141,IF(AG141,IF(AR141,VALUE(SUBSTITUTE(AO141, """", "")),VALUE(SUBSTITUTE(AO141, """", "."))),VALUE(AO141)),0)</f>
        <v>0</v>
      </c>
      <c r="AT141" s="26">
        <f>AJ141*3600+AN141*60+AS141</f>
        <v>863183.12336816255</v>
      </c>
      <c r="AU141" s="26">
        <f>AT141/3600</f>
        <v>239.7730898244896</v>
      </c>
      <c r="AV141" s="26">
        <f>_xlfn.FLOOR.MATH((AU141))</f>
        <v>239</v>
      </c>
      <c r="AW141" s="26">
        <f>(AT141-3600*AV141)/60</f>
        <v>46.38538946937576</v>
      </c>
      <c r="AX141" s="26">
        <f>_xlfn.FLOOR.MATH((AW141))</f>
        <v>46</v>
      </c>
      <c r="AY141" s="26">
        <f>AT141-3600*AV141-60*AX141</f>
        <v>23.123368162545376</v>
      </c>
      <c r="AZ141" s="20" t="str">
        <f>CONCATENATE(TEXT(AV141,"00"),"°",TEXT(AX141,"00"),"'",TEXT(AY141,"00.00"), " [", CONCATENATE(TEXT(AV141,"00"),"°",TEXT(AW141,"00.00")),"]", " - (", TEXT(AU141,"00.0000"),"°)")</f>
        <v>239°46'23.12 [239°46.39] - (239.7731°)</v>
      </c>
    </row>
    <row r="142" spans="1:56" ht="17.25" customHeight="1" x14ac:dyDescent="0.25">
      <c r="F142" s="59"/>
      <c r="G142" s="59"/>
      <c r="H142" s="59"/>
      <c r="I142" s="274"/>
      <c r="J142" s="530" t="s">
        <v>329</v>
      </c>
      <c r="K142" s="531"/>
      <c r="L142" s="532"/>
      <c r="M142" s="536" t="s">
        <v>330</v>
      </c>
      <c r="N142" s="537"/>
      <c r="O142" s="274"/>
      <c r="P142" s="530" t="s">
        <v>329</v>
      </c>
      <c r="Q142" s="531"/>
      <c r="R142" s="532"/>
      <c r="S142" s="536" t="s">
        <v>331</v>
      </c>
      <c r="T142" s="537"/>
    </row>
    <row r="143" spans="1:56" ht="17.25" customHeight="1" x14ac:dyDescent="0.25">
      <c r="F143" s="59"/>
      <c r="G143" s="59"/>
      <c r="H143" s="59"/>
      <c r="I143" s="275"/>
      <c r="J143" s="533" t="s">
        <v>207</v>
      </c>
      <c r="K143" s="534"/>
      <c r="L143" s="535"/>
      <c r="M143" s="538" t="s">
        <v>208</v>
      </c>
      <c r="N143" s="539"/>
      <c r="O143" s="275"/>
      <c r="P143" s="533" t="s">
        <v>207</v>
      </c>
      <c r="Q143" s="534"/>
      <c r="R143" s="535"/>
      <c r="S143" s="538" t="s">
        <v>210</v>
      </c>
      <c r="T143" s="539"/>
    </row>
    <row r="144" spans="1:56" ht="17.25" customHeight="1" x14ac:dyDescent="0.25">
      <c r="F144" s="81"/>
      <c r="G144" s="81"/>
      <c r="H144" s="81"/>
      <c r="I144" s="81"/>
      <c r="J144" s="81"/>
      <c r="K144" s="81"/>
      <c r="Q144" s="81"/>
      <c r="R144" s="81"/>
      <c r="S144" s="81"/>
      <c r="T144" s="449"/>
      <c r="U144" s="449"/>
      <c r="V144" s="449"/>
      <c r="W144" s="81"/>
      <c r="X144" s="449"/>
      <c r="Y144" s="449"/>
      <c r="Z144" s="449"/>
    </row>
    <row r="145" spans="6:26" ht="17.25" customHeight="1" x14ac:dyDescent="0.25">
      <c r="F145" s="81"/>
      <c r="N145" s="543"/>
      <c r="O145" s="543"/>
      <c r="Q145" s="449"/>
      <c r="R145" s="449"/>
      <c r="S145" s="449"/>
      <c r="T145" s="449"/>
      <c r="U145" s="449"/>
      <c r="V145" s="449"/>
      <c r="W145" s="81"/>
      <c r="X145" s="449"/>
      <c r="Y145" s="449"/>
      <c r="Z145" s="449"/>
    </row>
    <row r="146" spans="6:26" ht="17.25" customHeight="1" x14ac:dyDescent="0.25">
      <c r="I146" s="281" t="s">
        <v>200</v>
      </c>
      <c r="J146" s="281"/>
      <c r="K146" s="154">
        <f>L</f>
        <v>48.866666666666667</v>
      </c>
      <c r="L146" s="362" t="str">
        <f>CONCATENATE("Sens: ",IF(Q138&gt;0,"Nord","Sud"))</f>
        <v>Sens: Nord</v>
      </c>
      <c r="M146" s="362"/>
    </row>
    <row r="147" spans="6:26" ht="17.25" customHeight="1" thickBot="1" x14ac:dyDescent="0.3">
      <c r="I147" s="281" t="s">
        <v>71</v>
      </c>
      <c r="J147" s="281"/>
      <c r="K147" s="154">
        <f>Q139</f>
        <v>60.705613333333361</v>
      </c>
      <c r="L147" s="362" t="str">
        <f>CONCATENATE("Is &gt; 180? ", IF(Q139&gt;180,"Y", "N"))</f>
        <v>Is &gt; 180? N</v>
      </c>
      <c r="M147" s="362"/>
      <c r="O147" s="509" t="s">
        <v>215</v>
      </c>
      <c r="P147" s="510"/>
      <c r="Q147" s="510"/>
      <c r="R147" s="510"/>
      <c r="S147" s="510"/>
      <c r="T147" s="528">
        <f>ABS(IF(Q126&gt;0,IF(Q127&gt;180,I137,360-I137),IF(Q127&gt;180,180-I137,180+I137)))</f>
        <v>239.7730898244896</v>
      </c>
      <c r="U147" s="529"/>
      <c r="V147" s="151" t="s">
        <v>39</v>
      </c>
      <c r="W147" s="99"/>
    </row>
    <row r="148" spans="6:26" ht="17.25" customHeight="1" thickTop="1" thickBot="1" x14ac:dyDescent="0.3">
      <c r="I148" s="520" t="s">
        <v>332</v>
      </c>
      <c r="J148" s="521"/>
      <c r="K148" s="527"/>
      <c r="L148" s="362" t="str">
        <f>IF(K146&gt;0,IF(K147&gt;180,M142,M143),IF(K147&gt;180,S142,S143))</f>
        <v>Zn = 360 - Z</v>
      </c>
      <c r="M148" s="362"/>
      <c r="T148" s="279" t="str">
        <f>AC141</f>
        <v>239°46'23.12 [239°46.39] - (239.7731°)</v>
      </c>
      <c r="U148" s="279"/>
      <c r="V148" s="279"/>
      <c r="W148" s="279"/>
      <c r="X148" s="279"/>
      <c r="Y148" s="279"/>
    </row>
    <row r="149" spans="6:26" ht="17.25" customHeight="1" thickTop="1" x14ac:dyDescent="0.25"/>
  </sheetData>
  <dataConsolidate/>
  <mergeCells count="279">
    <mergeCell ref="E137:H139"/>
    <mergeCell ref="A134:D134"/>
    <mergeCell ref="G1:Y2"/>
    <mergeCell ref="C8:D8"/>
    <mergeCell ref="C9:D11"/>
    <mergeCell ref="G3:I4"/>
    <mergeCell ref="J3:L4"/>
    <mergeCell ref="C1:F4"/>
    <mergeCell ref="L61:M61"/>
    <mergeCell ref="C62:F62"/>
    <mergeCell ref="F61:H61"/>
    <mergeCell ref="F76:K76"/>
    <mergeCell ref="V74:Y75"/>
    <mergeCell ref="U74:U75"/>
    <mergeCell ref="P74:P75"/>
    <mergeCell ref="P72:T73"/>
    <mergeCell ref="U72:Y73"/>
    <mergeCell ref="I72:L73"/>
    <mergeCell ref="F72:H73"/>
    <mergeCell ref="M72:O73"/>
    <mergeCell ref="L148:M148"/>
    <mergeCell ref="I148:K148"/>
    <mergeCell ref="T147:U147"/>
    <mergeCell ref="J142:L142"/>
    <mergeCell ref="J143:L143"/>
    <mergeCell ref="M142:N142"/>
    <mergeCell ref="M143:N143"/>
    <mergeCell ref="P142:R142"/>
    <mergeCell ref="P143:R143"/>
    <mergeCell ref="S142:T142"/>
    <mergeCell ref="S143:T143"/>
    <mergeCell ref="Q145:S145"/>
    <mergeCell ref="O147:S147"/>
    <mergeCell ref="T144:V144"/>
    <mergeCell ref="T145:V145"/>
    <mergeCell ref="T148:Y148"/>
    <mergeCell ref="X145:Z145"/>
    <mergeCell ref="I146:J146"/>
    <mergeCell ref="I147:J147"/>
    <mergeCell ref="N145:O145"/>
    <mergeCell ref="L146:M146"/>
    <mergeCell ref="L147:M147"/>
    <mergeCell ref="Q127:S127"/>
    <mergeCell ref="T125:T127"/>
    <mergeCell ref="I127:M127"/>
    <mergeCell ref="I137:M138"/>
    <mergeCell ref="I139:M139"/>
    <mergeCell ref="I129:M130"/>
    <mergeCell ref="I131:M131"/>
    <mergeCell ref="I125:M126"/>
    <mergeCell ref="O141:T141"/>
    <mergeCell ref="I141:N141"/>
    <mergeCell ref="X137:X139"/>
    <mergeCell ref="O138:P138"/>
    <mergeCell ref="Q138:S138"/>
    <mergeCell ref="U138:W138"/>
    <mergeCell ref="O139:P139"/>
    <mergeCell ref="Q139:S139"/>
    <mergeCell ref="U139:W139"/>
    <mergeCell ref="U125:W125"/>
    <mergeCell ref="U126:W126"/>
    <mergeCell ref="U127:W127"/>
    <mergeCell ref="O137:P137"/>
    <mergeCell ref="Q137:S137"/>
    <mergeCell ref="T137:T139"/>
    <mergeCell ref="O125:P125"/>
    <mergeCell ref="O126:P126"/>
    <mergeCell ref="O127:P127"/>
    <mergeCell ref="O130:S130"/>
    <mergeCell ref="F116:I116"/>
    <mergeCell ref="H103:N103"/>
    <mergeCell ref="J116:L116"/>
    <mergeCell ref="N119:P119"/>
    <mergeCell ref="H104:N104"/>
    <mergeCell ref="I112:N112"/>
    <mergeCell ref="O112:R112"/>
    <mergeCell ref="U89:Z89"/>
    <mergeCell ref="O108:R109"/>
    <mergeCell ref="U96:Z96"/>
    <mergeCell ref="H91:N91"/>
    <mergeCell ref="O89:R89"/>
    <mergeCell ref="H95:N95"/>
    <mergeCell ref="X125:X127"/>
    <mergeCell ref="Y130:Z130"/>
    <mergeCell ref="E125:H127"/>
    <mergeCell ref="E129:H131"/>
    <mergeCell ref="Q125:S125"/>
    <mergeCell ref="Q126:S126"/>
    <mergeCell ref="H96:N96"/>
    <mergeCell ref="O96:R96"/>
    <mergeCell ref="O99:R99"/>
    <mergeCell ref="O100:R100"/>
    <mergeCell ref="H101:N101"/>
    <mergeCell ref="O101:R101"/>
    <mergeCell ref="H105:N105"/>
    <mergeCell ref="O105:R105"/>
    <mergeCell ref="H114:N114"/>
    <mergeCell ref="O114:R114"/>
    <mergeCell ref="H121:N121"/>
    <mergeCell ref="O121:R121"/>
    <mergeCell ref="I74:L75"/>
    <mergeCell ref="F74:H75"/>
    <mergeCell ref="I66:L69"/>
    <mergeCell ref="Q74:T75"/>
    <mergeCell ref="M64:O65"/>
    <mergeCell ref="O124:AA124"/>
    <mergeCell ref="G107:S107"/>
    <mergeCell ref="S108:S109"/>
    <mergeCell ref="U101:Z101"/>
    <mergeCell ref="H89:N89"/>
    <mergeCell ref="N81:Q81"/>
    <mergeCell ref="F84:H84"/>
    <mergeCell ref="M93:P93"/>
    <mergeCell ref="M94:P94"/>
    <mergeCell ref="O95:R95"/>
    <mergeCell ref="C85:F85"/>
    <mergeCell ref="R91:S91"/>
    <mergeCell ref="I108:N108"/>
    <mergeCell ref="I110:N110"/>
    <mergeCell ref="I109:N109"/>
    <mergeCell ref="S98:U98"/>
    <mergeCell ref="I81:L81"/>
    <mergeCell ref="H88:N88"/>
    <mergeCell ref="M74:O75"/>
    <mergeCell ref="E9:H10"/>
    <mergeCell ref="I9:K10"/>
    <mergeCell ref="L9:P10"/>
    <mergeCell ref="M18:O18"/>
    <mergeCell ref="M17:O17"/>
    <mergeCell ref="E32:H33"/>
    <mergeCell ref="X144:Z144"/>
    <mergeCell ref="U54:Y55"/>
    <mergeCell ref="P48:P49"/>
    <mergeCell ref="Q48:T49"/>
    <mergeCell ref="I48:L51"/>
    <mergeCell ref="M48:O49"/>
    <mergeCell ref="M50:O51"/>
    <mergeCell ref="P50:P51"/>
    <mergeCell ref="Q50:T51"/>
    <mergeCell ref="O91:P91"/>
    <mergeCell ref="F56:H57"/>
    <mergeCell ref="V56:Y57"/>
    <mergeCell ref="S110:S111"/>
    <mergeCell ref="I111:N111"/>
    <mergeCell ref="G108:H109"/>
    <mergeCell ref="M80:O80"/>
    <mergeCell ref="F80:H80"/>
    <mergeCell ref="H87:N87"/>
    <mergeCell ref="P16:X16"/>
    <mergeCell ref="C14:I14"/>
    <mergeCell ref="J14:L14"/>
    <mergeCell ref="M14:O14"/>
    <mergeCell ref="P14:X14"/>
    <mergeCell ref="C15:I15"/>
    <mergeCell ref="J15:L15"/>
    <mergeCell ref="M15:O15"/>
    <mergeCell ref="P15:X15"/>
    <mergeCell ref="P58:T58"/>
    <mergeCell ref="V9:Y10"/>
    <mergeCell ref="U50:Y51"/>
    <mergeCell ref="M21:O21"/>
    <mergeCell ref="J21:L21"/>
    <mergeCell ref="O34:X35"/>
    <mergeCell ref="O39:X40"/>
    <mergeCell ref="F34:H35"/>
    <mergeCell ref="F39:H40"/>
    <mergeCell ref="E37:H38"/>
    <mergeCell ref="F46:H47"/>
    <mergeCell ref="P29:X29"/>
    <mergeCell ref="M19:O19"/>
    <mergeCell ref="J34:N35"/>
    <mergeCell ref="S28:X28"/>
    <mergeCell ref="P24:R24"/>
    <mergeCell ref="P28:R28"/>
    <mergeCell ref="I11:K11"/>
    <mergeCell ref="M46:O47"/>
    <mergeCell ref="C44:F44"/>
    <mergeCell ref="G44:I44"/>
    <mergeCell ref="C16:I16"/>
    <mergeCell ref="J16:L16"/>
    <mergeCell ref="M16:O16"/>
    <mergeCell ref="U56:U57"/>
    <mergeCell ref="F54:H55"/>
    <mergeCell ref="P19:X19"/>
    <mergeCell ref="J39:N40"/>
    <mergeCell ref="P46:T47"/>
    <mergeCell ref="P56:P57"/>
    <mergeCell ref="Q56:T57"/>
    <mergeCell ref="P54:T55"/>
    <mergeCell ref="I46:L47"/>
    <mergeCell ref="P25:X25"/>
    <mergeCell ref="S24:X24"/>
    <mergeCell ref="J19:L19"/>
    <mergeCell ref="D23:I25"/>
    <mergeCell ref="F58:K58"/>
    <mergeCell ref="I56:L57"/>
    <mergeCell ref="M56:O57"/>
    <mergeCell ref="I54:L55"/>
    <mergeCell ref="M54:O55"/>
    <mergeCell ref="C18:I18"/>
    <mergeCell ref="C17:I17"/>
    <mergeCell ref="C21:I21"/>
    <mergeCell ref="C20:I20"/>
    <mergeCell ref="J20:L20"/>
    <mergeCell ref="A34:C34"/>
    <mergeCell ref="C19:I19"/>
    <mergeCell ref="C22:D22"/>
    <mergeCell ref="E8:G8"/>
    <mergeCell ref="E11:F11"/>
    <mergeCell ref="U48:Y49"/>
    <mergeCell ref="M20:O20"/>
    <mergeCell ref="F43:H43"/>
    <mergeCell ref="I34:I35"/>
    <mergeCell ref="F52:K52"/>
    <mergeCell ref="C26:I29"/>
    <mergeCell ref="J22:L25"/>
    <mergeCell ref="M22:O25"/>
    <mergeCell ref="P22:R23"/>
    <mergeCell ref="J26:L29"/>
    <mergeCell ref="M26:O29"/>
    <mergeCell ref="P26:R27"/>
    <mergeCell ref="I39:I40"/>
    <mergeCell ref="G11:H11"/>
    <mergeCell ref="V11:Y11"/>
    <mergeCell ref="L11:P11"/>
    <mergeCell ref="Q11:U11"/>
    <mergeCell ref="J18:L18"/>
    <mergeCell ref="J17:L17"/>
    <mergeCell ref="F48:H51"/>
    <mergeCell ref="P18:X18"/>
    <mergeCell ref="Q9:U10"/>
    <mergeCell ref="U58:Y58"/>
    <mergeCell ref="U76:Y76"/>
    <mergeCell ref="P76:T76"/>
    <mergeCell ref="J86:L86"/>
    <mergeCell ref="S84:U84"/>
    <mergeCell ref="V84:Z84"/>
    <mergeCell ref="I64:L65"/>
    <mergeCell ref="F64:H65"/>
    <mergeCell ref="M68:O69"/>
    <mergeCell ref="M66:O67"/>
    <mergeCell ref="G62:I62"/>
    <mergeCell ref="P64:T65"/>
    <mergeCell ref="P66:P67"/>
    <mergeCell ref="Q66:T67"/>
    <mergeCell ref="P68:P69"/>
    <mergeCell ref="Q68:T69"/>
    <mergeCell ref="J80:L80"/>
    <mergeCell ref="G85:I85"/>
    <mergeCell ref="I82:N82"/>
    <mergeCell ref="F86:I86"/>
    <mergeCell ref="F70:K70"/>
    <mergeCell ref="F66:H69"/>
    <mergeCell ref="U66:Z67"/>
    <mergeCell ref="U68:Z69"/>
    <mergeCell ref="D84:E84"/>
    <mergeCell ref="I142:I143"/>
    <mergeCell ref="O142:O143"/>
    <mergeCell ref="S99:U99"/>
    <mergeCell ref="S100:U100"/>
    <mergeCell ref="U87:Z87"/>
    <mergeCell ref="H99:N99"/>
    <mergeCell ref="O87:R87"/>
    <mergeCell ref="C81:H81"/>
    <mergeCell ref="V118:AA118"/>
    <mergeCell ref="V119:AA119"/>
    <mergeCell ref="O110:R111"/>
    <mergeCell ref="U114:Z114"/>
    <mergeCell ref="U105:Z105"/>
    <mergeCell ref="U88:Z88"/>
    <mergeCell ref="M90:P90"/>
    <mergeCell ref="U91:Z91"/>
    <mergeCell ref="U95:Z95"/>
    <mergeCell ref="O88:R88"/>
    <mergeCell ref="H100:N100"/>
    <mergeCell ref="O103:R103"/>
    <mergeCell ref="O104:R104"/>
    <mergeCell ref="U137:W137"/>
    <mergeCell ref="O136:AA136"/>
  </mergeCells>
  <dataValidations count="6">
    <dataValidation type="list" allowBlank="1" showInputMessage="1" showErrorMessage="1" sqref="M20:O20" xr:uid="{00000000-0002-0000-0000-000000000000}">
      <formula1>$AF$20:$AH$20</formula1>
    </dataValidation>
    <dataValidation type="list" allowBlank="1" showInputMessage="1" showErrorMessage="1" sqref="G44:I44 G62:I62" xr:uid="{00000000-0002-0000-0000-000001000000}">
      <formula1>$AF$44:$AF$45</formula1>
    </dataValidation>
    <dataValidation type="list" allowBlank="1" showInputMessage="1" showErrorMessage="1" sqref="I34:I35 P79 P48:P51 U56:U57 P56:P57 U79" xr:uid="{00000000-0002-0000-0000-000002000000}">
      <formula1>$A$36:$A$37</formula1>
    </dataValidation>
    <dataValidation type="list" allowBlank="1" showInputMessage="1" showErrorMessage="1" sqref="M41 U74:U75 P74:P75 P66:P69 R41 I39 I41" xr:uid="{00000000-0002-0000-0000-000003000000}">
      <formula1>$B$36:$B$37</formula1>
    </dataValidation>
    <dataValidation type="list" allowBlank="1" showInputMessage="1" showErrorMessage="1" sqref="M21:O21" xr:uid="{00000000-0002-0000-0000-000004000000}">
      <formula1>$AF$21:$AH$21</formula1>
    </dataValidation>
    <dataValidation type="list" allowBlank="1" showInputMessage="1" showErrorMessage="1" sqref="G85:I85" xr:uid="{00000000-0002-0000-0000-000005000000}">
      <formula1>$AF$85:$AF$86</formula1>
    </dataValidation>
  </dataValidations>
  <printOptions horizontalCentered="1" verticalCentered="1"/>
  <pageMargins left="0.25" right="0.25" top="0.1" bottom="0.1" header="0.3" footer="0.3"/>
  <pageSetup paperSize="9" scale="6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BN149"/>
  <sheetViews>
    <sheetView topLeftCell="A121" zoomScaleNormal="100" workbookViewId="0">
      <selection activeCell="D134" sqref="D134"/>
    </sheetView>
  </sheetViews>
  <sheetFormatPr defaultColWidth="5.140625" defaultRowHeight="17.25" customHeight="1" outlineLevelCol="1" x14ac:dyDescent="0.25"/>
  <cols>
    <col min="1" max="2" width="6.42578125" style="1" customWidth="1"/>
    <col min="3" max="6" width="7" style="179" customWidth="1"/>
    <col min="7" max="8" width="7" style="1" customWidth="1"/>
    <col min="9" max="26" width="6.42578125" style="1" customWidth="1"/>
    <col min="27" max="27" width="19" style="18" customWidth="1" outlineLevel="1"/>
    <col min="28" max="28" width="42.7109375" style="28" customWidth="1" outlineLevel="1"/>
    <col min="29" max="29" width="23.7109375" style="28" customWidth="1" outlineLevel="1"/>
    <col min="30" max="37" width="19" style="22" customWidth="1" outlineLevel="1"/>
    <col min="38" max="38" width="19" style="29" customWidth="1" outlineLevel="1"/>
    <col min="39" max="45" width="19" style="22" customWidth="1" outlineLevel="1"/>
    <col min="46" max="65" width="15.85546875" style="22" customWidth="1" outlineLevel="1"/>
    <col min="66" max="16384" width="5.140625" style="1"/>
  </cols>
  <sheetData>
    <row r="1" spans="1:66" ht="17.25" customHeight="1" x14ac:dyDescent="0.25">
      <c r="C1" s="568" t="s">
        <v>382</v>
      </c>
      <c r="D1" s="568"/>
      <c r="E1" s="568"/>
      <c r="F1" s="568"/>
      <c r="G1" s="562" t="s">
        <v>383</v>
      </c>
      <c r="H1" s="562"/>
      <c r="I1" s="562"/>
      <c r="J1" s="562"/>
      <c r="K1" s="562"/>
      <c r="L1" s="562"/>
      <c r="M1" s="562"/>
      <c r="N1" s="562"/>
      <c r="O1" s="562"/>
      <c r="P1" s="562"/>
      <c r="Q1" s="562"/>
      <c r="R1" s="562"/>
      <c r="S1" s="562"/>
      <c r="T1" s="562"/>
      <c r="U1" s="562"/>
      <c r="V1" s="562"/>
      <c r="W1" s="562"/>
      <c r="X1" s="562"/>
      <c r="Y1" s="562"/>
      <c r="AA1" s="1"/>
      <c r="AB1" s="18"/>
      <c r="AD1" s="28"/>
      <c r="AL1" s="22"/>
      <c r="AM1" s="29"/>
      <c r="BN1" s="22"/>
    </row>
    <row r="2" spans="1:66" ht="17.25" customHeight="1" x14ac:dyDescent="0.25">
      <c r="C2" s="568"/>
      <c r="D2" s="568"/>
      <c r="E2" s="568"/>
      <c r="F2" s="568"/>
      <c r="G2" s="562"/>
      <c r="H2" s="562"/>
      <c r="I2" s="562"/>
      <c r="J2" s="562"/>
      <c r="K2" s="562"/>
      <c r="L2" s="562"/>
      <c r="M2" s="562"/>
      <c r="N2" s="562"/>
      <c r="O2" s="562"/>
      <c r="P2" s="562"/>
      <c r="Q2" s="562"/>
      <c r="R2" s="562"/>
      <c r="S2" s="562"/>
      <c r="T2" s="562"/>
      <c r="U2" s="562"/>
      <c r="V2" s="562"/>
      <c r="W2" s="562"/>
      <c r="X2" s="562"/>
      <c r="Y2" s="562"/>
      <c r="AA2" s="1"/>
      <c r="AB2" s="18"/>
      <c r="AD2" s="28"/>
      <c r="AL2" s="22"/>
      <c r="AM2" s="29"/>
      <c r="BN2" s="22"/>
    </row>
    <row r="3" spans="1:66" ht="17.25" customHeight="1" x14ac:dyDescent="0.25">
      <c r="C3" s="568"/>
      <c r="D3" s="568"/>
      <c r="E3" s="568"/>
      <c r="F3" s="568"/>
      <c r="G3" s="388" t="s">
        <v>387</v>
      </c>
      <c r="H3" s="388"/>
      <c r="I3" s="388"/>
      <c r="J3" s="567" t="s">
        <v>386</v>
      </c>
      <c r="K3" s="567"/>
      <c r="L3" s="567"/>
      <c r="AA3" s="1"/>
      <c r="AB3" s="18"/>
      <c r="AD3" s="28"/>
      <c r="AL3" s="22"/>
      <c r="AM3" s="29"/>
      <c r="BN3" s="22"/>
    </row>
    <row r="4" spans="1:66" ht="17.25" customHeight="1" x14ac:dyDescent="0.25">
      <c r="C4" s="568"/>
      <c r="D4" s="568"/>
      <c r="E4" s="568"/>
      <c r="F4" s="568"/>
      <c r="G4" s="343"/>
      <c r="H4" s="343"/>
      <c r="I4" s="343"/>
      <c r="J4" s="383"/>
      <c r="K4" s="383"/>
      <c r="L4" s="383"/>
      <c r="AA4" s="1"/>
      <c r="AB4" s="18"/>
      <c r="AD4" s="28"/>
      <c r="AL4" s="22"/>
      <c r="AM4" s="29"/>
      <c r="BN4" s="22"/>
    </row>
    <row r="5" spans="1:66" ht="17.25" customHeight="1" x14ac:dyDescent="0.25">
      <c r="C5" s="196"/>
      <c r="D5" s="196"/>
      <c r="E5" s="196"/>
      <c r="F5" s="196"/>
      <c r="G5" s="196"/>
      <c r="AA5" s="1"/>
      <c r="AB5" s="18"/>
      <c r="AD5" s="28"/>
      <c r="AL5" s="22"/>
      <c r="AM5" s="29"/>
      <c r="BN5" s="22"/>
    </row>
    <row r="6" spans="1:66" ht="17.25" customHeight="1" thickBot="1" x14ac:dyDescent="0.3">
      <c r="C6" s="196"/>
      <c r="D6" s="196"/>
      <c r="E6" s="196"/>
      <c r="F6" s="196"/>
      <c r="G6" s="196"/>
      <c r="AA6" s="1"/>
      <c r="AB6" s="18"/>
      <c r="AD6" s="28"/>
      <c r="AL6" s="22"/>
      <c r="AM6" s="29"/>
      <c r="BN6" s="22"/>
    </row>
    <row r="7" spans="1:66" ht="17.25" customHeight="1" thickBot="1" x14ac:dyDescent="0.3">
      <c r="B7" s="47" t="s">
        <v>1</v>
      </c>
      <c r="C7" s="157"/>
      <c r="D7" s="48"/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  <c r="AA7" s="48"/>
      <c r="AB7" s="48"/>
      <c r="AC7" s="48"/>
      <c r="AD7" s="48"/>
      <c r="AE7" s="48"/>
      <c r="AF7" s="48"/>
      <c r="AG7" s="48"/>
      <c r="AH7" s="48"/>
      <c r="AI7" s="48"/>
      <c r="AJ7" s="48"/>
      <c r="AK7" s="48"/>
      <c r="AL7" s="48"/>
      <c r="AM7" s="48"/>
      <c r="AN7" s="48"/>
      <c r="AO7" s="48"/>
      <c r="AP7" s="48"/>
      <c r="AQ7" s="48"/>
      <c r="AR7" s="48"/>
      <c r="AS7" s="48"/>
      <c r="AT7" s="48"/>
      <c r="AU7" s="48"/>
      <c r="AV7" s="48"/>
      <c r="AW7" s="48"/>
      <c r="AX7" s="48"/>
      <c r="AY7" s="48"/>
      <c r="AZ7" s="48"/>
      <c r="BA7" s="49"/>
    </row>
    <row r="8" spans="1:66" ht="17.25" customHeight="1" x14ac:dyDescent="0.25">
      <c r="C8" s="158" t="s">
        <v>2</v>
      </c>
      <c r="D8" s="354" t="s">
        <v>333</v>
      </c>
      <c r="E8" s="355"/>
      <c r="F8" s="355"/>
      <c r="G8" s="179"/>
      <c r="AB8" s="19"/>
      <c r="AC8" s="20"/>
      <c r="AD8" s="21" t="s">
        <v>132</v>
      </c>
      <c r="AE8" s="21" t="s">
        <v>12</v>
      </c>
      <c r="AF8" s="21" t="s">
        <v>133</v>
      </c>
      <c r="AG8" s="21" t="s">
        <v>129</v>
      </c>
      <c r="AH8" s="21" t="s">
        <v>132</v>
      </c>
      <c r="AI8" s="21" t="s">
        <v>137</v>
      </c>
      <c r="AJ8" s="21" t="s">
        <v>138</v>
      </c>
      <c r="AK8" s="21" t="s">
        <v>129</v>
      </c>
      <c r="AL8" s="21" t="s">
        <v>112</v>
      </c>
      <c r="AM8" s="21" t="s">
        <v>117</v>
      </c>
      <c r="AN8" s="21" t="s">
        <v>144</v>
      </c>
      <c r="AO8" s="21" t="s">
        <v>131</v>
      </c>
      <c r="AP8" s="21" t="s">
        <v>152</v>
      </c>
      <c r="AQ8" s="21" t="s">
        <v>150</v>
      </c>
      <c r="AR8" s="21" t="s">
        <v>112</v>
      </c>
      <c r="AS8" s="21" t="s">
        <v>151</v>
      </c>
      <c r="AT8" s="30"/>
      <c r="AU8" s="30"/>
    </row>
    <row r="9" spans="1:66" ht="17.25" customHeight="1" thickBot="1" x14ac:dyDescent="0.3">
      <c r="C9" s="574" t="s">
        <v>12</v>
      </c>
      <c r="D9" s="296" t="s">
        <v>3</v>
      </c>
      <c r="E9" s="297"/>
      <c r="F9" s="297"/>
      <c r="G9" s="298"/>
      <c r="H9" s="399" t="s">
        <v>336</v>
      </c>
      <c r="I9" s="399"/>
      <c r="J9" s="399"/>
      <c r="K9" s="399" t="s">
        <v>337</v>
      </c>
      <c r="L9" s="399"/>
      <c r="M9" s="399"/>
      <c r="N9" s="399"/>
      <c r="O9" s="399"/>
      <c r="P9" s="399" t="s">
        <v>338</v>
      </c>
      <c r="Q9" s="399"/>
      <c r="R9" s="399"/>
      <c r="S9" s="399"/>
      <c r="T9" s="399"/>
      <c r="U9" s="417" t="s">
        <v>335</v>
      </c>
      <c r="V9" s="418"/>
      <c r="W9" s="418"/>
      <c r="X9" s="419"/>
      <c r="AA9" s="202" t="s">
        <v>370</v>
      </c>
      <c r="AB9" s="180" t="str">
        <f>AS9</f>
        <v>17:08:23.00 [17:08.38] - (17.1397)</v>
      </c>
      <c r="AC9" s="23">
        <f>AN9</f>
        <v>17.139722222222222</v>
      </c>
      <c r="AD9" s="24" t="b">
        <f t="shared" ref="AD9:AD10" si="0">ISNUMBER(SEARCH(":",AA9,1))</f>
        <v>1</v>
      </c>
      <c r="AE9" s="25">
        <f t="shared" ref="AE9:AE10" si="1">IF(AD9, VALUE(LEFT(AA9,SEARCH(":",AA9,1)-1)),VALUE(AA9))</f>
        <v>17</v>
      </c>
      <c r="AF9" s="25" t="str">
        <f t="shared" ref="AF9:AF10" si="2">IF(AD9, RIGHT(AA9,LEN(AA9)-SEARCH(":",AA9,1)),"")</f>
        <v>08:23</v>
      </c>
      <c r="AG9" s="24" t="b">
        <f>(LEN(AF9)&gt;0)</f>
        <v>1</v>
      </c>
      <c r="AH9" s="24" t="b">
        <f>ISNUMBER(SEARCH(":",AF9,1))</f>
        <v>1</v>
      </c>
      <c r="AI9" s="25">
        <f>IF(NOT(AG9),0,IF(AH9, VALUE(LEFT(AF9,SEARCH(":",AF9,1)-1)),VALUE(AF9)))</f>
        <v>8</v>
      </c>
      <c r="AJ9" s="25" t="str">
        <f>IF(AH9, RIGHT(AF9,LEN(AF9)-SEARCH(":",AF9,1)),"")</f>
        <v>23</v>
      </c>
      <c r="AK9" s="24" t="b">
        <f>(LEN(AJ9)&gt;0)</f>
        <v>1</v>
      </c>
      <c r="AL9" s="25">
        <f>IF(AK9,VALUE(AJ9),0)</f>
        <v>23</v>
      </c>
      <c r="AM9" s="26">
        <f>AE9*3600+AI9*60+AL9</f>
        <v>61703</v>
      </c>
      <c r="AN9" s="26">
        <f>AM9/3600</f>
        <v>17.139722222222222</v>
      </c>
      <c r="AO9" s="26">
        <f>(AM9-3600*INT(AN9))/60</f>
        <v>8.3833333333333329</v>
      </c>
      <c r="AP9" s="25">
        <f>_xlfn.FLOOR.MATH(AN9)</f>
        <v>17</v>
      </c>
      <c r="AQ9" s="25">
        <f>_xlfn.FLOOR.MATH(AO9)</f>
        <v>8</v>
      </c>
      <c r="AR9" s="25">
        <f>_xlfn.FLOOR.MATH(AM9-AP9*3600-AQ9*60)</f>
        <v>23</v>
      </c>
      <c r="AS9" s="20" t="str">
        <f>CONCATENATE(TEXT(AP9,"00"),":",TEXT(AQ9,"00"),":",TEXT(AR9,"00.00"), " [", CONCATENATE(TEXT(AP9,"00"),":",TEXT(AO9,"00.00")),"]", " - (", TEXT(AN9,"00.0000"),")")</f>
        <v>17:08:23.00 [17:08.38] - (17.1397)</v>
      </c>
      <c r="AT9" s="30"/>
      <c r="AU9" s="178"/>
      <c r="AV9" s="17"/>
      <c r="AW9" s="17"/>
      <c r="AX9" s="17"/>
      <c r="AY9" s="17"/>
      <c r="AZ9" s="17"/>
    </row>
    <row r="10" spans="1:66" ht="17.25" customHeight="1" x14ac:dyDescent="0.25">
      <c r="A10" s="1" t="s">
        <v>66</v>
      </c>
      <c r="B10" s="1" t="s">
        <v>67</v>
      </c>
      <c r="C10" s="575"/>
      <c r="D10" s="299"/>
      <c r="E10" s="300"/>
      <c r="F10" s="300"/>
      <c r="G10" s="301"/>
      <c r="H10" s="399"/>
      <c r="I10" s="399"/>
      <c r="J10" s="399"/>
      <c r="K10" s="399"/>
      <c r="L10" s="399"/>
      <c r="M10" s="399"/>
      <c r="N10" s="399"/>
      <c r="O10" s="399"/>
      <c r="P10" s="399"/>
      <c r="Q10" s="399"/>
      <c r="R10" s="399"/>
      <c r="S10" s="399"/>
      <c r="T10" s="399"/>
      <c r="U10" s="420"/>
      <c r="V10" s="421"/>
      <c r="W10" s="421"/>
      <c r="X10" s="422"/>
      <c r="AA10" s="18" t="str">
        <f>CONCATENATE("00:",U11)</f>
        <v>00:0</v>
      </c>
      <c r="AB10" s="180" t="str">
        <f>AS10</f>
        <v>00:00:00.00 [00:00.00] - (00.0000)</v>
      </c>
      <c r="AC10" s="23">
        <f>AN10</f>
        <v>0</v>
      </c>
      <c r="AD10" s="24" t="b">
        <f t="shared" si="0"/>
        <v>1</v>
      </c>
      <c r="AE10" s="25">
        <f t="shared" si="1"/>
        <v>0</v>
      </c>
      <c r="AF10" s="25" t="str">
        <f t="shared" si="2"/>
        <v>0</v>
      </c>
      <c r="AG10" s="24" t="b">
        <f>(LEN(AF10)&gt;0)</f>
        <v>1</v>
      </c>
      <c r="AH10" s="24" t="b">
        <f>ISNUMBER(SEARCH(":",AF10,1))</f>
        <v>0</v>
      </c>
      <c r="AI10" s="25">
        <f>IF(NOT(AG10),0,IF(AH10, VALUE(LEFT(AF10,SEARCH(":",AF10,1)-1)),VALUE(AF10)))</f>
        <v>0</v>
      </c>
      <c r="AJ10" s="25" t="str">
        <f>IF(AH10, RIGHT(AF10,LEN(AF10)-SEARCH(":",AF10,1)),"")</f>
        <v/>
      </c>
      <c r="AK10" s="24" t="b">
        <f>(LEN(AJ10)&gt;0)</f>
        <v>0</v>
      </c>
      <c r="AL10" s="25">
        <f>IF(AK10,VALUE(AJ10),0)</f>
        <v>0</v>
      </c>
      <c r="AM10" s="26">
        <f>AE10*3600+AI10*60+AL10</f>
        <v>0</v>
      </c>
      <c r="AN10" s="26">
        <f>AM10/3600</f>
        <v>0</v>
      </c>
      <c r="AO10" s="26">
        <f>(AM10-3600*INT(AN10))/60</f>
        <v>0</v>
      </c>
      <c r="AP10" s="25">
        <f>_xlfn.FLOOR.MATH(AN10)</f>
        <v>0</v>
      </c>
      <c r="AQ10" s="25">
        <f>_xlfn.FLOOR.MATH(AO10)</f>
        <v>0</v>
      </c>
      <c r="AR10" s="25">
        <f>_xlfn.FLOOR.MATH(AM10-AP10*3600-AQ10*60)</f>
        <v>0</v>
      </c>
      <c r="AS10" s="20" t="str">
        <f>CONCATENATE(TEXT(AP10,"00"),":",TEXT(AQ10,"00"),":",TEXT(AR10,"00.00"), " [", CONCATENATE(TEXT(AP10,"00"),":",TEXT(AO10,"00.00")),"]", " - (", TEXT(AN10,"00.0000"),")")</f>
        <v>00:00:00.00 [00:00.00] - (00.0000)</v>
      </c>
      <c r="AT10" s="17"/>
      <c r="AU10" s="17"/>
      <c r="AV10" s="17"/>
      <c r="AW10" s="17"/>
      <c r="AX10" s="17"/>
      <c r="AY10" s="17"/>
      <c r="AZ10" s="17"/>
    </row>
    <row r="11" spans="1:66" ht="17.25" customHeight="1" x14ac:dyDescent="0.25">
      <c r="C11" s="576"/>
      <c r="D11" s="356">
        <f>AC12</f>
        <v>16.14</v>
      </c>
      <c r="E11" s="356"/>
      <c r="F11" s="391" t="str">
        <f>AB12</f>
        <v>16:08:24</v>
      </c>
      <c r="G11" s="391"/>
      <c r="H11" s="433">
        <v>0.71415509259259258</v>
      </c>
      <c r="I11" s="433"/>
      <c r="J11" s="433"/>
      <c r="K11" s="393">
        <v>-1</v>
      </c>
      <c r="L11" s="393"/>
      <c r="M11" s="393"/>
      <c r="N11" s="393"/>
      <c r="O11" s="393"/>
      <c r="P11" s="393">
        <v>1</v>
      </c>
      <c r="Q11" s="393"/>
      <c r="R11" s="393"/>
      <c r="S11" s="393"/>
      <c r="T11" s="394"/>
      <c r="U11" s="392" t="s">
        <v>334</v>
      </c>
      <c r="V11" s="392"/>
      <c r="W11" s="392"/>
      <c r="X11" s="392"/>
      <c r="AD11" s="31" t="s">
        <v>42</v>
      </c>
      <c r="AE11" s="31" t="s">
        <v>43</v>
      </c>
      <c r="AF11" s="31" t="s">
        <v>44</v>
      </c>
      <c r="AG11" s="31" t="s">
        <v>45</v>
      </c>
      <c r="AH11" s="31" t="s">
        <v>46</v>
      </c>
      <c r="AI11" s="32" t="s">
        <v>47</v>
      </c>
      <c r="AJ11" s="31" t="s">
        <v>49</v>
      </c>
      <c r="AK11" s="31" t="s">
        <v>40</v>
      </c>
      <c r="AL11" s="31" t="s">
        <v>50</v>
      </c>
      <c r="AM11" s="31" t="s">
        <v>48</v>
      </c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</row>
    <row r="12" spans="1:66" ht="17.25" customHeight="1" thickBot="1" x14ac:dyDescent="0.3">
      <c r="C12" s="33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AB12" s="28" t="str">
        <f>AM12</f>
        <v>16:08:24</v>
      </c>
      <c r="AC12" s="34">
        <f>AI12</f>
        <v>16.14</v>
      </c>
      <c r="AD12" s="22">
        <f>AC9</f>
        <v>17.139722222222222</v>
      </c>
      <c r="AE12" s="22">
        <f>K11</f>
        <v>-1</v>
      </c>
      <c r="AF12" s="22">
        <f>P11/3600</f>
        <v>2.7777777777777778E-4</v>
      </c>
      <c r="AG12" s="22">
        <f>AC10</f>
        <v>0</v>
      </c>
      <c r="AH12" s="22">
        <f>(AD12+AE12+AF12+AG12)*3600</f>
        <v>58104</v>
      </c>
      <c r="AI12" s="22">
        <f>AD12+AE12+AF12+AG12</f>
        <v>16.14</v>
      </c>
      <c r="AJ12" s="22">
        <f>INT(AI12)</f>
        <v>16</v>
      </c>
      <c r="AK12" s="22">
        <f>INT((AH12-AJ12*3600)/60)</f>
        <v>8</v>
      </c>
      <c r="AL12" s="29">
        <f>AH12-AJ12*3600-AK12*60</f>
        <v>24</v>
      </c>
      <c r="AM12" s="22" t="str">
        <f>CONCATENATE(TEXT(AJ12,"00"),":",TEXT(AK12,"00"),":",TEXT(AL12,"00"))</f>
        <v>16:08:24</v>
      </c>
      <c r="AQ12" s="17"/>
      <c r="AR12" s="17"/>
      <c r="AS12" s="17"/>
      <c r="AT12" s="17"/>
      <c r="AU12" s="17"/>
      <c r="AV12" s="17"/>
      <c r="AW12" s="17"/>
      <c r="AX12" s="17"/>
      <c r="AY12" s="17"/>
      <c r="AZ12" s="17"/>
    </row>
    <row r="13" spans="1:66" ht="17.25" customHeight="1" thickBot="1" x14ac:dyDescent="0.3">
      <c r="B13" s="47" t="s">
        <v>24</v>
      </c>
      <c r="C13" s="48"/>
      <c r="D13" s="48"/>
      <c r="E13" s="48"/>
      <c r="F13" s="48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  <c r="AA13" s="48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48"/>
      <c r="AS13" s="48"/>
      <c r="AT13" s="48"/>
      <c r="AU13" s="48"/>
      <c r="AV13" s="48"/>
      <c r="AW13" s="48"/>
      <c r="AX13" s="48"/>
      <c r="AY13" s="48"/>
      <c r="AZ13" s="48"/>
      <c r="BA13" s="49"/>
    </row>
    <row r="14" spans="1:66" ht="17.25" customHeight="1" thickTop="1" thickBot="1" x14ac:dyDescent="0.3">
      <c r="B14" s="178"/>
      <c r="C14" s="440" t="s">
        <v>376</v>
      </c>
      <c r="D14" s="441"/>
      <c r="E14" s="441"/>
      <c r="F14" s="441"/>
      <c r="G14" s="441"/>
      <c r="H14" s="442"/>
      <c r="I14" s="362">
        <f>AC14</f>
        <v>0.83333333333333337</v>
      </c>
      <c r="J14" s="395"/>
      <c r="K14" s="395"/>
      <c r="L14" s="443" t="s">
        <v>377</v>
      </c>
      <c r="M14" s="444"/>
      <c r="N14" s="444"/>
      <c r="O14" s="279" t="str">
        <f>AB14</f>
        <v>00°50'00.00 [00°50.00]  (00.8333°)</v>
      </c>
      <c r="P14" s="279"/>
      <c r="Q14" s="279"/>
      <c r="R14" s="279"/>
      <c r="S14" s="279"/>
      <c r="T14" s="279"/>
      <c r="U14" s="279"/>
      <c r="V14" s="279"/>
      <c r="W14" s="279"/>
      <c r="X14" s="17"/>
      <c r="AA14" s="18" t="str">
        <f>L14</f>
        <v>50'</v>
      </c>
      <c r="AB14" s="14" t="str">
        <f>BC14</f>
        <v>00°50'00.00 [00°50.00]  (00.8333°)</v>
      </c>
      <c r="AC14" s="7">
        <f>BB14</f>
        <v>0.83333333333333337</v>
      </c>
      <c r="AD14" s="5">
        <f>IF(LEFT(TRIM(AA14),1)="-",-1,IF(LEFT(TRIM(AA14),1)="+",1, 0))</f>
        <v>0</v>
      </c>
      <c r="AE14" s="5" t="str">
        <f>IF(AD14&gt;0,"+",IF(AD14&lt;0,"-",""))</f>
        <v/>
      </c>
      <c r="AF14" s="5" t="str">
        <f>IF(ABS(AD14)&gt;0,RIGHT(AA14,LEN(AA14)-1),AA14)</f>
        <v>50'</v>
      </c>
      <c r="AG14" s="5" t="b">
        <f>ISNUMBER(SEARCH("°",AF14,1))</f>
        <v>0</v>
      </c>
      <c r="AH14" s="5" t="b">
        <f>ISNUMBER(SEARCH("'",AF14,1))</f>
        <v>1</v>
      </c>
      <c r="AI14" s="5" t="b">
        <f>ISNUMBER(SEARCH("""",AF14,1))</f>
        <v>0</v>
      </c>
      <c r="AJ14" s="5" t="b">
        <f>NOT(OR(AG14,AH14,AI14))</f>
        <v>0</v>
      </c>
      <c r="AK14" s="5" t="b">
        <f t="shared" ref="AK14:AK16" si="3">OR(AJ14,AG14)</f>
        <v>0</v>
      </c>
      <c r="AL14" s="6">
        <f>IF(AJ14,VALUE(AF14),IF(AG14,LEFT(AF14,SEARCH("°",AF14,1)-1),0))</f>
        <v>0</v>
      </c>
      <c r="AM14" s="5" t="str">
        <f>IF(AJ14,"",IF(AG14,RIGHT(AF14,LEN(AF14)-SEARCH("°",AF14,1)),AF14))</f>
        <v>50'</v>
      </c>
      <c r="AN14" s="5" t="b">
        <f>(LEN(AM14)&gt;0)</f>
        <v>1</v>
      </c>
      <c r="AO14" s="5" t="b">
        <f>NOT(OR(AH14,AI14))</f>
        <v>0</v>
      </c>
      <c r="AP14" s="6">
        <f t="shared" ref="AP14:AP16" si="4">IF(NOT(AN14),0,IF(AO14,VALUE(AM14),IF(NOT(AH14),0,VALUE(LEFT(AM14,SEARCH("'",AM14,1)-1)))))</f>
        <v>50</v>
      </c>
      <c r="AQ14" s="5" t="str">
        <f t="shared" ref="AQ14:AQ16" si="5">IF(NOT(AN14),"",IF(AO14,"",IF(NOT(AH14),AM14,RIGHT(AM14,LEN(AM14)-SEARCH("'",AM14,1)))))</f>
        <v/>
      </c>
      <c r="AR14" s="5" t="b">
        <f>(LEN(AQ14)&gt;0)</f>
        <v>0</v>
      </c>
      <c r="AS14" s="5" t="b">
        <f t="shared" ref="AS14:AS16" si="6">NOT(AI14)</f>
        <v>1</v>
      </c>
      <c r="AT14" s="5" t="b">
        <f>ISNUMBER(SEARCH(".",AQ14,1))</f>
        <v>0</v>
      </c>
      <c r="AU14" s="6">
        <f t="shared" ref="AU14:AU16" si="7">IF(AR14,IF(AI14,IF(AT14,VALUE(SUBSTITUTE(AQ14, """", "")),VALUE(SUBSTITUTE(AQ14, """", "."))),VALUE(AQ14)),0)</f>
        <v>0</v>
      </c>
      <c r="AV14" s="6">
        <f t="shared" ref="AV14:AV16" si="8">AL14*3600+AP14*60+AU14</f>
        <v>3000</v>
      </c>
      <c r="AW14" s="6">
        <f>AV14/3600</f>
        <v>0.83333333333333337</v>
      </c>
      <c r="AX14" s="6">
        <f>_xlfn.FLOOR.MATH((AW14))</f>
        <v>0</v>
      </c>
      <c r="AY14" s="6">
        <f>(AV14-3600*AX14)/60</f>
        <v>50</v>
      </c>
      <c r="AZ14" s="6">
        <f>_xlfn.FLOOR.MATH((AY14))</f>
        <v>50</v>
      </c>
      <c r="BA14" s="6">
        <f>AV14-3600*AX14-60*AZ14</f>
        <v>0</v>
      </c>
      <c r="BB14" s="6">
        <f>AW14*IF(AD14&lt;0,-1,1)</f>
        <v>0.83333333333333337</v>
      </c>
      <c r="BC14" s="7" t="str">
        <f>CONCATENATE(AE14,TEXT(AX14,"00"),"°",TEXT(AZ14,"00"),"'",TEXT(BA14,"00.00"), " [", CONCATENATE(AE14,TEXT(AX14,"00"),"°",TEXT(AY14,"00.00")),"]", "  (", AE14,TEXT(AW14,"00.0000"),"°)")</f>
        <v>00°50'00.00 [00°50.00]  (00.8333°)</v>
      </c>
    </row>
    <row r="15" spans="1:66" ht="17.25" customHeight="1" thickTop="1" thickBot="1" x14ac:dyDescent="0.3">
      <c r="C15" s="436" t="s">
        <v>375</v>
      </c>
      <c r="D15" s="436"/>
      <c r="E15" s="436"/>
      <c r="F15" s="436"/>
      <c r="G15" s="436"/>
      <c r="H15" s="436"/>
      <c r="I15" s="445">
        <f>AC15</f>
        <v>18.766666666666666</v>
      </c>
      <c r="J15" s="446"/>
      <c r="K15" s="446"/>
      <c r="L15" s="439" t="s">
        <v>378</v>
      </c>
      <c r="M15" s="428"/>
      <c r="N15" s="429"/>
      <c r="O15" s="279" t="str">
        <f>AB15</f>
        <v>18°46'00.00 [18°46.00]  (18.7667°)</v>
      </c>
      <c r="P15" s="279"/>
      <c r="Q15" s="279"/>
      <c r="R15" s="279"/>
      <c r="S15" s="279"/>
      <c r="T15" s="279"/>
      <c r="U15" s="279"/>
      <c r="V15" s="279"/>
      <c r="W15" s="279"/>
      <c r="X15" s="17"/>
      <c r="AA15" s="18" t="str">
        <f>L15</f>
        <v>18°46'</v>
      </c>
      <c r="AB15" s="14" t="str">
        <f>BC15</f>
        <v>18°46'00.00 [18°46.00]  (18.7667°)</v>
      </c>
      <c r="AC15" s="7">
        <f>BB15</f>
        <v>18.766666666666666</v>
      </c>
      <c r="AD15" s="5">
        <f>IF(LEFT(TRIM(AA15),1)="-",-1,IF(LEFT(TRIM(AA15),1)="+",1, 0))</f>
        <v>0</v>
      </c>
      <c r="AE15" s="5" t="str">
        <f>IF(AD15&gt;0,"+",IF(AD15&lt;0,"-",""))</f>
        <v/>
      </c>
      <c r="AF15" s="5" t="str">
        <f>IF(ABS(AD15)&gt;0,RIGHT(AA15,LEN(AA15)-1),AA15)</f>
        <v>18°46'</v>
      </c>
      <c r="AG15" s="5" t="b">
        <f>ISNUMBER(SEARCH("°",AF15,1))</f>
        <v>1</v>
      </c>
      <c r="AH15" s="5" t="b">
        <f>ISNUMBER(SEARCH("'",AF15,1))</f>
        <v>1</v>
      </c>
      <c r="AI15" s="5" t="b">
        <f>ISNUMBER(SEARCH("""",AF15,1))</f>
        <v>0</v>
      </c>
      <c r="AJ15" s="5" t="b">
        <f>NOT(OR(AG15,AH15,AI15))</f>
        <v>0</v>
      </c>
      <c r="AK15" s="5" t="b">
        <f t="shared" si="3"/>
        <v>1</v>
      </c>
      <c r="AL15" s="6" t="str">
        <f>IF(AJ15,VALUE(AF15),IF(AG15,LEFT(AF15,SEARCH("°",AF15,1)-1),0))</f>
        <v>18</v>
      </c>
      <c r="AM15" s="5" t="str">
        <f>IF(AJ15,"",IF(AG15,RIGHT(AF15,LEN(AF15)-SEARCH("°",AF15,1)),AF15))</f>
        <v>46'</v>
      </c>
      <c r="AN15" s="5" t="b">
        <f>(LEN(AM15)&gt;0)</f>
        <v>1</v>
      </c>
      <c r="AO15" s="5" t="b">
        <f>NOT(OR(AH15,AI15))</f>
        <v>0</v>
      </c>
      <c r="AP15" s="6">
        <f t="shared" si="4"/>
        <v>46</v>
      </c>
      <c r="AQ15" s="5" t="str">
        <f t="shared" si="5"/>
        <v/>
      </c>
      <c r="AR15" s="5" t="b">
        <f>(LEN(AQ15)&gt;0)</f>
        <v>0</v>
      </c>
      <c r="AS15" s="5" t="b">
        <f t="shared" si="6"/>
        <v>1</v>
      </c>
      <c r="AT15" s="5" t="b">
        <f>ISNUMBER(SEARCH(".",AQ15,1))</f>
        <v>0</v>
      </c>
      <c r="AU15" s="6">
        <f t="shared" si="7"/>
        <v>0</v>
      </c>
      <c r="AV15" s="6">
        <f t="shared" si="8"/>
        <v>67560</v>
      </c>
      <c r="AW15" s="6">
        <f>AV15/3600</f>
        <v>18.766666666666666</v>
      </c>
      <c r="AX15" s="6">
        <f>_xlfn.FLOOR.MATH((AW15))</f>
        <v>18</v>
      </c>
      <c r="AY15" s="6">
        <f>(AV15-3600*AX15)/60</f>
        <v>46</v>
      </c>
      <c r="AZ15" s="6">
        <f>_xlfn.FLOOR.MATH((AY15))</f>
        <v>46</v>
      </c>
      <c r="BA15" s="6">
        <f>AV15-3600*AX15-60*AZ15</f>
        <v>0</v>
      </c>
      <c r="BB15" s="6">
        <f>AW15*IF(AD15&lt;0,-1,1)</f>
        <v>18.766666666666666</v>
      </c>
      <c r="BC15" s="7" t="str">
        <f>CONCATENATE(AE15,TEXT(AX15,"00"),"°",TEXT(AZ15,"00"),"'",TEXT(BA15,"00.00"), " [", CONCATENATE(AE15,TEXT(AX15,"00"),"°",TEXT(AY15,"00.00")),"]", "  (", AE15,TEXT(AW15,"00.0000"),"°)")</f>
        <v>18°46'00.00 [18°46.00]  (18.7667°)</v>
      </c>
    </row>
    <row r="16" spans="1:66" ht="17.25" customHeight="1" thickTop="1" thickBot="1" x14ac:dyDescent="0.3">
      <c r="C16" s="436" t="s">
        <v>375</v>
      </c>
      <c r="D16" s="436"/>
      <c r="E16" s="436"/>
      <c r="F16" s="436"/>
      <c r="G16" s="436"/>
      <c r="H16" s="436"/>
      <c r="I16" s="445">
        <f>AC16</f>
        <v>8.9666666666666668</v>
      </c>
      <c r="J16" s="446"/>
      <c r="K16" s="446"/>
      <c r="L16" s="439">
        <f>(AC15-AC14)/2</f>
        <v>8.9666666666666668</v>
      </c>
      <c r="M16" s="428"/>
      <c r="N16" s="429"/>
      <c r="O16" s="279" t="str">
        <f>AB16</f>
        <v>08°58'00.00 [08°58.00]  (08.9667°)</v>
      </c>
      <c r="P16" s="279"/>
      <c r="Q16" s="279"/>
      <c r="R16" s="279"/>
      <c r="S16" s="279"/>
      <c r="T16" s="279"/>
      <c r="U16" s="279"/>
      <c r="V16" s="279"/>
      <c r="W16" s="279"/>
      <c r="X16" s="17"/>
      <c r="AA16" s="18">
        <f>L16</f>
        <v>8.9666666666666668</v>
      </c>
      <c r="AB16" s="14" t="str">
        <f>BC16</f>
        <v>08°58'00.00 [08°58.00]  (08.9667°)</v>
      </c>
      <c r="AC16" s="7">
        <f>BB16</f>
        <v>8.9666666666666668</v>
      </c>
      <c r="AD16" s="5">
        <f>IF(LEFT(TRIM(AA16),1)="-",-1,IF(LEFT(TRIM(AA16),1)="+",1, 0))</f>
        <v>0</v>
      </c>
      <c r="AE16" s="5" t="str">
        <f>IF(AD16&gt;0,"+",IF(AD16&lt;0,"-",""))</f>
        <v/>
      </c>
      <c r="AF16" s="5">
        <f>IF(ABS(AD16)&gt;0,RIGHT(AA16,LEN(AA16)-1),AA16)</f>
        <v>8.9666666666666668</v>
      </c>
      <c r="AG16" s="5" t="b">
        <f>ISNUMBER(SEARCH("°",AF16,1))</f>
        <v>0</v>
      </c>
      <c r="AH16" s="5" t="b">
        <f>ISNUMBER(SEARCH("'",AF16,1))</f>
        <v>0</v>
      </c>
      <c r="AI16" s="5" t="b">
        <f>ISNUMBER(SEARCH("""",AF16,1))</f>
        <v>0</v>
      </c>
      <c r="AJ16" s="5" t="b">
        <f>NOT(OR(AG16,AH16,AI16))</f>
        <v>1</v>
      </c>
      <c r="AK16" s="5" t="b">
        <f t="shared" si="3"/>
        <v>1</v>
      </c>
      <c r="AL16" s="6">
        <f>IF(AJ16,VALUE(AF16),IF(AG16,LEFT(AF16,SEARCH("°",AF16,1)-1),0))</f>
        <v>8.9666666666666668</v>
      </c>
      <c r="AM16" s="5" t="str">
        <f>IF(AJ16,"",IF(AG16,RIGHT(AF16,LEN(AF16)-SEARCH("°",AF16,1)),AF16))</f>
        <v/>
      </c>
      <c r="AN16" s="5" t="b">
        <f>(LEN(AM16)&gt;0)</f>
        <v>0</v>
      </c>
      <c r="AO16" s="5" t="b">
        <f>NOT(OR(AH16,AI16))</f>
        <v>1</v>
      </c>
      <c r="AP16" s="6">
        <f t="shared" si="4"/>
        <v>0</v>
      </c>
      <c r="AQ16" s="5" t="str">
        <f t="shared" si="5"/>
        <v/>
      </c>
      <c r="AR16" s="5" t="b">
        <f>(LEN(AQ16)&gt;0)</f>
        <v>0</v>
      </c>
      <c r="AS16" s="5" t="b">
        <f t="shared" si="6"/>
        <v>1</v>
      </c>
      <c r="AT16" s="5" t="b">
        <f>ISNUMBER(SEARCH(".",AQ16,1))</f>
        <v>0</v>
      </c>
      <c r="AU16" s="6">
        <f t="shared" si="7"/>
        <v>0</v>
      </c>
      <c r="AV16" s="6">
        <f t="shared" si="8"/>
        <v>32280</v>
      </c>
      <c r="AW16" s="6">
        <f>AV16/3600</f>
        <v>8.9666666666666668</v>
      </c>
      <c r="AX16" s="6">
        <f>_xlfn.FLOOR.MATH((AW16))</f>
        <v>8</v>
      </c>
      <c r="AY16" s="6">
        <f>(AV16-3600*AX16)/60</f>
        <v>58</v>
      </c>
      <c r="AZ16" s="6">
        <f>_xlfn.FLOOR.MATH((AY16))</f>
        <v>58</v>
      </c>
      <c r="BA16" s="6">
        <f>AV16-3600*AX16-60*AZ16</f>
        <v>0</v>
      </c>
      <c r="BB16" s="6">
        <f>AW16*IF(AD16&lt;0,-1,1)</f>
        <v>8.9666666666666668</v>
      </c>
      <c r="BC16" s="7" t="str">
        <f>CONCATENATE(AE16,TEXT(AX16,"00"),"°",TEXT(AZ16,"00"),"'",TEXT(BA16,"00.00"), " [", CONCATENATE(AE16,TEXT(AX16,"00"),"°",TEXT(AY16,"00.00")),"]", "  (", AE16,TEXT(AW16,"00.0000"),"°)")</f>
        <v>08°58'00.00 [08°58.00]  (08.9667°)</v>
      </c>
    </row>
    <row r="17" spans="2:55" ht="17.25" customHeight="1" thickTop="1" thickBot="1" x14ac:dyDescent="0.3">
      <c r="C17" s="406" t="s">
        <v>25</v>
      </c>
      <c r="D17" s="406"/>
      <c r="E17" s="406"/>
      <c r="F17" s="406"/>
      <c r="G17" s="406"/>
      <c r="H17" s="406"/>
      <c r="I17" s="396">
        <f>L17</f>
        <v>0</v>
      </c>
      <c r="J17" s="395"/>
      <c r="K17" s="395"/>
      <c r="L17" s="444">
        <v>0</v>
      </c>
      <c r="M17" s="444"/>
      <c r="N17" s="444"/>
      <c r="O17" s="17"/>
      <c r="P17" s="17"/>
      <c r="Q17" s="17"/>
      <c r="R17" s="17"/>
      <c r="S17" s="17"/>
      <c r="T17" s="17"/>
      <c r="U17" s="17"/>
      <c r="V17" s="17"/>
      <c r="W17" s="17"/>
      <c r="X17" s="17"/>
      <c r="AB17" s="14"/>
      <c r="AC17" s="7"/>
      <c r="AD17" s="3" t="s">
        <v>57</v>
      </c>
      <c r="AE17" s="3" t="s">
        <v>57</v>
      </c>
      <c r="AF17" s="3" t="s">
        <v>304</v>
      </c>
      <c r="AG17" s="3" t="s">
        <v>120</v>
      </c>
      <c r="AH17" s="3" t="s">
        <v>121</v>
      </c>
      <c r="AI17" s="3" t="s">
        <v>122</v>
      </c>
      <c r="AJ17" s="3" t="s">
        <v>123</v>
      </c>
      <c r="AK17" s="3" t="s">
        <v>124</v>
      </c>
      <c r="AL17" s="3" t="s">
        <v>125</v>
      </c>
      <c r="AM17" s="3" t="s">
        <v>101</v>
      </c>
      <c r="AN17" s="3" t="s">
        <v>129</v>
      </c>
      <c r="AO17" s="3" t="s">
        <v>128</v>
      </c>
      <c r="AP17" s="3" t="s">
        <v>126</v>
      </c>
      <c r="AQ17" s="3" t="s">
        <v>127</v>
      </c>
      <c r="AR17" s="3" t="s">
        <v>129</v>
      </c>
      <c r="AS17" s="3" t="s">
        <v>128</v>
      </c>
      <c r="AT17" s="3" t="s">
        <v>130</v>
      </c>
      <c r="AU17" s="3" t="s">
        <v>112</v>
      </c>
      <c r="AV17" s="3" t="s">
        <v>117</v>
      </c>
      <c r="AW17" s="3" t="s">
        <v>143</v>
      </c>
      <c r="AX17" s="3" t="s">
        <v>149</v>
      </c>
      <c r="AY17" s="3" t="s">
        <v>131</v>
      </c>
      <c r="AZ17" s="3" t="s">
        <v>150</v>
      </c>
      <c r="BA17" s="3" t="s">
        <v>112</v>
      </c>
      <c r="BB17" s="3" t="s">
        <v>308</v>
      </c>
      <c r="BC17" s="3" t="s">
        <v>151</v>
      </c>
    </row>
    <row r="18" spans="2:55" ht="17.25" customHeight="1" thickTop="1" thickBot="1" x14ac:dyDescent="0.3">
      <c r="B18" s="178"/>
      <c r="C18" s="403" t="s">
        <v>26</v>
      </c>
      <c r="D18" s="404"/>
      <c r="E18" s="404"/>
      <c r="F18" s="404"/>
      <c r="G18" s="404"/>
      <c r="H18" s="405"/>
      <c r="I18" s="362">
        <f>AC18</f>
        <v>0</v>
      </c>
      <c r="J18" s="395"/>
      <c r="K18" s="395"/>
      <c r="L18" s="443">
        <v>0</v>
      </c>
      <c r="M18" s="444"/>
      <c r="N18" s="444"/>
      <c r="O18" s="279" t="str">
        <f>AB18</f>
        <v>00°00'00.00 [00°00.00]  (00.0000°)</v>
      </c>
      <c r="P18" s="279"/>
      <c r="Q18" s="279"/>
      <c r="R18" s="279"/>
      <c r="S18" s="279"/>
      <c r="T18" s="279"/>
      <c r="U18" s="279"/>
      <c r="V18" s="279"/>
      <c r="W18" s="279"/>
      <c r="X18" s="17"/>
      <c r="AA18" s="18">
        <f>L18</f>
        <v>0</v>
      </c>
      <c r="AB18" s="14" t="str">
        <f>BC18</f>
        <v>00°00'00.00 [00°00.00]  (00.0000°)</v>
      </c>
      <c r="AC18" s="7">
        <f>BB18</f>
        <v>0</v>
      </c>
      <c r="AD18" s="5">
        <f>IF(LEFT(TRIM(AA18),1)="-",-1,IF(LEFT(TRIM(AA18),1)="+",1, 0))</f>
        <v>0</v>
      </c>
      <c r="AE18" s="5" t="str">
        <f>IF(AD18&gt;0,"+",IF(AD18&lt;0,"-",""))</f>
        <v/>
      </c>
      <c r="AF18" s="5">
        <f>IF(ABS(AD18)&gt;0,RIGHT(AA18,LEN(AA18)-1),AA18)</f>
        <v>0</v>
      </c>
      <c r="AG18" s="5" t="b">
        <f>ISNUMBER(SEARCH("°",AF18,1))</f>
        <v>0</v>
      </c>
      <c r="AH18" s="5" t="b">
        <f>ISNUMBER(SEARCH("'",AF18,1))</f>
        <v>0</v>
      </c>
      <c r="AI18" s="5" t="b">
        <f>ISNUMBER(SEARCH("""",AF18,1))</f>
        <v>0</v>
      </c>
      <c r="AJ18" s="5" t="b">
        <f>NOT(OR(AG18,AH18,AI18))</f>
        <v>1</v>
      </c>
      <c r="AK18" s="5" t="b">
        <f t="shared" ref="AK18:AK19" si="9">OR(AJ18,AG18)</f>
        <v>1</v>
      </c>
      <c r="AL18" s="6">
        <f>IF(AJ18,VALUE(AF18),IF(AG18,LEFT(AF18,SEARCH("°",AF18,1)-1),0))</f>
        <v>0</v>
      </c>
      <c r="AM18" s="5" t="str">
        <f>IF(AJ18,"",IF(AG18,RIGHT(AF18,LEN(AF18)-SEARCH("°",AF18,1)),AF18))</f>
        <v/>
      </c>
      <c r="AN18" s="5" t="b">
        <f>(LEN(AM18)&gt;0)</f>
        <v>0</v>
      </c>
      <c r="AO18" s="5" t="b">
        <f>NOT(OR(AH18,AI18))</f>
        <v>1</v>
      </c>
      <c r="AP18" s="6">
        <f t="shared" ref="AP18:AP19" si="10">IF(NOT(AN18),0,IF(AO18,VALUE(AM18),IF(NOT(AH18),0,VALUE(LEFT(AM18,SEARCH("'",AM18,1)-1)))))</f>
        <v>0</v>
      </c>
      <c r="AQ18" s="5" t="str">
        <f t="shared" ref="AQ18:AQ19" si="11">IF(NOT(AN18),"",IF(AO18,"",IF(NOT(AH18),AM18,RIGHT(AM18,LEN(AM18)-SEARCH("'",AM18,1)))))</f>
        <v/>
      </c>
      <c r="AR18" s="5" t="b">
        <f>(LEN(AQ18)&gt;0)</f>
        <v>0</v>
      </c>
      <c r="AS18" s="5" t="b">
        <f t="shared" ref="AS18:AS19" si="12">NOT(AI18)</f>
        <v>1</v>
      </c>
      <c r="AT18" s="5" t="b">
        <f>ISNUMBER(SEARCH(".",AQ18,1))</f>
        <v>0</v>
      </c>
      <c r="AU18" s="6">
        <f t="shared" ref="AU18:AU19" si="13">IF(AR18,IF(AI18,IF(AT18,VALUE(SUBSTITUTE(AQ18, """", "")),VALUE(SUBSTITUTE(AQ18, """", "."))),VALUE(AQ18)),0)</f>
        <v>0</v>
      </c>
      <c r="AV18" s="6">
        <f t="shared" ref="AV18:AV19" si="14">AL18*3600+AP18*60+AU18</f>
        <v>0</v>
      </c>
      <c r="AW18" s="6">
        <f>AV18/3600</f>
        <v>0</v>
      </c>
      <c r="AX18" s="6">
        <f>_xlfn.FLOOR.MATH((AW18))</f>
        <v>0</v>
      </c>
      <c r="AY18" s="6">
        <f>(AV18-3600*AX18)/60</f>
        <v>0</v>
      </c>
      <c r="AZ18" s="6">
        <f>_xlfn.FLOOR.MATH((AY18))</f>
        <v>0</v>
      </c>
      <c r="BA18" s="6">
        <f>AV18-3600*AX18-60*AZ18</f>
        <v>0</v>
      </c>
      <c r="BB18" s="6">
        <f>AW18*IF(AD18&lt;0,-1,1)</f>
        <v>0</v>
      </c>
      <c r="BC18" s="7" t="str">
        <f>CONCATENATE(AE18,TEXT(AX18,"00"),"°",TEXT(AZ18,"00"),"'",TEXT(BA18,"00.00"), " [", CONCATENATE(AE18,TEXT(AX18,"00"),"°",TEXT(AY18,"00.00")),"]", "  (", AE18,TEXT(AW18,"00.0000"),"°)")</f>
        <v>00°00'00.00 [00°00.00]  (00.0000°)</v>
      </c>
    </row>
    <row r="19" spans="2:55" ht="17.25" customHeight="1" thickTop="1" thickBot="1" x14ac:dyDescent="0.3">
      <c r="C19" s="413" t="s">
        <v>37</v>
      </c>
      <c r="D19" s="413"/>
      <c r="E19" s="413"/>
      <c r="F19" s="413"/>
      <c r="G19" s="413"/>
      <c r="H19" s="413"/>
      <c r="I19" s="445">
        <f>AC19</f>
        <v>8.9666666666666668</v>
      </c>
      <c r="J19" s="446"/>
      <c r="K19" s="446"/>
      <c r="L19" s="427">
        <f>AA16</f>
        <v>8.9666666666666668</v>
      </c>
      <c r="M19" s="428"/>
      <c r="N19" s="429"/>
      <c r="O19" s="279" t="str">
        <f>AB19</f>
        <v>08°58'00.00 [08°58.00]  (08.9667°)</v>
      </c>
      <c r="P19" s="279"/>
      <c r="Q19" s="279"/>
      <c r="R19" s="279"/>
      <c r="S19" s="279"/>
      <c r="T19" s="279"/>
      <c r="U19" s="279"/>
      <c r="V19" s="279"/>
      <c r="W19" s="279"/>
      <c r="X19" s="17"/>
      <c r="AA19" s="18">
        <f>L19</f>
        <v>8.9666666666666668</v>
      </c>
      <c r="AB19" s="14" t="str">
        <f>BC19</f>
        <v>08°58'00.00 [08°58.00]  (08.9667°)</v>
      </c>
      <c r="AC19" s="7">
        <f>BB19</f>
        <v>8.9666666666666668</v>
      </c>
      <c r="AD19" s="5">
        <f>IF(LEFT(TRIM(AA19),1)="-",-1,IF(LEFT(TRIM(AA19),1)="+",1, 0))</f>
        <v>0</v>
      </c>
      <c r="AE19" s="5" t="str">
        <f>IF(AD19&gt;0,"+",IF(AD19&lt;0,"-",""))</f>
        <v/>
      </c>
      <c r="AF19" s="5">
        <f>IF(ABS(AD19)&gt;0,RIGHT(AA19,LEN(AA19)-1),AA19)</f>
        <v>8.9666666666666668</v>
      </c>
      <c r="AG19" s="5" t="b">
        <f>ISNUMBER(SEARCH("°",AF19,1))</f>
        <v>0</v>
      </c>
      <c r="AH19" s="5" t="b">
        <f>ISNUMBER(SEARCH("'",AF19,1))</f>
        <v>0</v>
      </c>
      <c r="AI19" s="5" t="b">
        <f>ISNUMBER(SEARCH("""",AF19,1))</f>
        <v>0</v>
      </c>
      <c r="AJ19" s="5" t="b">
        <f>NOT(OR(AG19,AH19,AI19))</f>
        <v>1</v>
      </c>
      <c r="AK19" s="5" t="b">
        <f t="shared" si="9"/>
        <v>1</v>
      </c>
      <c r="AL19" s="6">
        <f>IF(AJ19,VALUE(AF19),IF(AG19,LEFT(AF19,SEARCH("°",AF19,1)-1),0))</f>
        <v>8.9666666666666668</v>
      </c>
      <c r="AM19" s="5" t="str">
        <f>IF(AJ19,"",IF(AG19,RIGHT(AF19,LEN(AF19)-SEARCH("°",AF19,1)),AF19))</f>
        <v/>
      </c>
      <c r="AN19" s="5" t="b">
        <f>(LEN(AM19)&gt;0)</f>
        <v>0</v>
      </c>
      <c r="AO19" s="5" t="b">
        <f>NOT(OR(AH19,AI19))</f>
        <v>1</v>
      </c>
      <c r="AP19" s="6">
        <f t="shared" si="10"/>
        <v>0</v>
      </c>
      <c r="AQ19" s="5" t="str">
        <f t="shared" si="11"/>
        <v/>
      </c>
      <c r="AR19" s="5" t="b">
        <f>(LEN(AQ19)&gt;0)</f>
        <v>0</v>
      </c>
      <c r="AS19" s="5" t="b">
        <f t="shared" si="12"/>
        <v>1</v>
      </c>
      <c r="AT19" s="5" t="b">
        <f>ISNUMBER(SEARCH(".",AQ19,1))</f>
        <v>0</v>
      </c>
      <c r="AU19" s="6">
        <f t="shared" si="13"/>
        <v>0</v>
      </c>
      <c r="AV19" s="6">
        <f t="shared" si="14"/>
        <v>32280</v>
      </c>
      <c r="AW19" s="6">
        <f>AV19/3600</f>
        <v>8.9666666666666668</v>
      </c>
      <c r="AX19" s="6">
        <f>_xlfn.FLOOR.MATH((AW19))</f>
        <v>8</v>
      </c>
      <c r="AY19" s="6">
        <f>(AV19-3600*AX19)/60</f>
        <v>58</v>
      </c>
      <c r="AZ19" s="6">
        <f>_xlfn.FLOOR.MATH((AY19))</f>
        <v>58</v>
      </c>
      <c r="BA19" s="6">
        <f>AV19-3600*AX19-60*AZ19</f>
        <v>0</v>
      </c>
      <c r="BB19" s="6">
        <f>AW19*IF(AD19&lt;0,-1,1)</f>
        <v>8.9666666666666668</v>
      </c>
      <c r="BC19" s="7" t="str">
        <f>CONCATENATE(AE19,TEXT(AX19,"00"),"°",TEXT(AZ19,"00"),"'",TEXT(BA19,"00.00"), " [", CONCATENATE(AE19,TEXT(AX19,"00"),"°",TEXT(AY19,"00.00")),"]", "  (", AE19,TEXT(AW19,"00.0000"),"°)")</f>
        <v>08°58'00.00 [08°58.00]  (08.9667°)</v>
      </c>
    </row>
    <row r="20" spans="2:55" ht="17.25" customHeight="1" thickTop="1" x14ac:dyDescent="0.25">
      <c r="C20" s="406" t="s">
        <v>51</v>
      </c>
      <c r="D20" s="406"/>
      <c r="E20" s="406"/>
      <c r="F20" s="406"/>
      <c r="G20" s="406"/>
      <c r="H20" s="406"/>
      <c r="I20" s="407" t="str">
        <f>L20</f>
        <v>Lune</v>
      </c>
      <c r="J20" s="408"/>
      <c r="K20" s="409"/>
      <c r="L20" s="359" t="s">
        <v>54</v>
      </c>
      <c r="M20" s="360"/>
      <c r="N20" s="361"/>
      <c r="O20" s="17"/>
      <c r="P20" s="17"/>
      <c r="Q20" s="17"/>
      <c r="R20" s="17"/>
      <c r="S20" s="17"/>
      <c r="T20" s="17"/>
      <c r="U20" s="17"/>
      <c r="V20" s="17"/>
      <c r="W20" s="17"/>
      <c r="X20" s="17"/>
      <c r="AD20" s="31" t="s">
        <v>55</v>
      </c>
      <c r="AE20" s="35" t="s">
        <v>52</v>
      </c>
      <c r="AF20" s="35" t="s">
        <v>53</v>
      </c>
      <c r="AG20" s="35" t="s">
        <v>54</v>
      </c>
    </row>
    <row r="21" spans="2:55" ht="17.25" customHeight="1" x14ac:dyDescent="0.25">
      <c r="C21" s="406" t="s">
        <v>158</v>
      </c>
      <c r="D21" s="406"/>
      <c r="E21" s="406"/>
      <c r="F21" s="406"/>
      <c r="G21" s="406"/>
      <c r="H21" s="406"/>
      <c r="I21" s="280" t="str">
        <f>IF(L20=AF20,AG21,L21)</f>
        <v>BordInf</v>
      </c>
      <c r="J21" s="280"/>
      <c r="K21" s="280"/>
      <c r="L21" s="423" t="s">
        <v>159</v>
      </c>
      <c r="M21" s="423"/>
      <c r="N21" s="423"/>
      <c r="O21" s="17"/>
      <c r="P21" s="17"/>
      <c r="Q21" s="17"/>
      <c r="R21" s="17"/>
      <c r="S21" s="17"/>
      <c r="T21" s="17"/>
      <c r="U21" s="17"/>
      <c r="V21" s="17"/>
      <c r="W21" s="17"/>
      <c r="X21" s="17"/>
      <c r="AD21" s="31" t="s">
        <v>222</v>
      </c>
      <c r="AE21" s="35" t="s">
        <v>159</v>
      </c>
      <c r="AF21" s="35" t="s">
        <v>160</v>
      </c>
      <c r="AG21" s="35" t="s">
        <v>161</v>
      </c>
    </row>
    <row r="22" spans="2:55" ht="17.25" customHeight="1" x14ac:dyDescent="0.25">
      <c r="C22" s="544" t="s">
        <v>461</v>
      </c>
      <c r="D22" s="545"/>
      <c r="E22" s="259"/>
      <c r="F22" s="259"/>
      <c r="G22" s="259"/>
      <c r="H22" s="260"/>
      <c r="I22" s="373">
        <f>AC24</f>
        <v>0.9</v>
      </c>
      <c r="J22" s="340"/>
      <c r="K22" s="374"/>
      <c r="L22" s="380" t="str">
        <f>O24</f>
        <v>54'</v>
      </c>
      <c r="M22" s="381"/>
      <c r="N22" s="381"/>
      <c r="O22" s="386" t="s">
        <v>221</v>
      </c>
      <c r="P22" s="386"/>
      <c r="Q22" s="386"/>
      <c r="R22" s="17"/>
      <c r="S22" s="17"/>
      <c r="T22" s="17"/>
      <c r="U22" s="17"/>
      <c r="V22" s="17"/>
      <c r="W22" s="17"/>
      <c r="X22" s="17"/>
      <c r="AD22" s="31" t="s">
        <v>223</v>
      </c>
      <c r="AE22" s="87" t="s">
        <v>188</v>
      </c>
      <c r="AF22" s="87" t="s">
        <v>224</v>
      </c>
      <c r="AG22" s="87" t="s">
        <v>225</v>
      </c>
    </row>
    <row r="23" spans="2:55" ht="17.25" customHeight="1" thickBot="1" x14ac:dyDescent="0.3">
      <c r="C23" s="261"/>
      <c r="D23" s="546" t="s">
        <v>462</v>
      </c>
      <c r="E23" s="546"/>
      <c r="F23" s="546"/>
      <c r="G23" s="546"/>
      <c r="H23" s="547"/>
      <c r="I23" s="375"/>
      <c r="J23" s="343"/>
      <c r="K23" s="376"/>
      <c r="L23" s="382"/>
      <c r="M23" s="383"/>
      <c r="N23" s="383"/>
      <c r="O23" s="386"/>
      <c r="P23" s="386"/>
      <c r="Q23" s="386"/>
      <c r="R23" s="17"/>
      <c r="S23" s="17"/>
      <c r="T23" s="17"/>
      <c r="U23" s="17"/>
      <c r="V23" s="17"/>
      <c r="W23" s="17"/>
      <c r="X23" s="17"/>
      <c r="AD23" s="31" t="s">
        <v>227</v>
      </c>
      <c r="AE23" s="87" t="s">
        <v>187</v>
      </c>
      <c r="AF23" s="87" t="s">
        <v>224</v>
      </c>
      <c r="AG23" s="87" t="s">
        <v>228</v>
      </c>
    </row>
    <row r="24" spans="2:55" ht="17.25" customHeight="1" thickTop="1" thickBot="1" x14ac:dyDescent="0.3">
      <c r="C24" s="261"/>
      <c r="D24" s="546"/>
      <c r="E24" s="546"/>
      <c r="F24" s="546"/>
      <c r="G24" s="546"/>
      <c r="H24" s="547"/>
      <c r="I24" s="375"/>
      <c r="J24" s="343"/>
      <c r="K24" s="376"/>
      <c r="L24" s="382"/>
      <c r="M24" s="383"/>
      <c r="N24" s="383"/>
      <c r="O24" s="432" t="str">
        <f>HLOOKUP(L20,AE20:AG23,3,FALSE)</f>
        <v>54'</v>
      </c>
      <c r="P24" s="432"/>
      <c r="Q24" s="432"/>
      <c r="R24" s="430" t="str">
        <f>AB24</f>
        <v>00°54'00.00 [00°54.00]  (00.9000°)</v>
      </c>
      <c r="S24" s="430"/>
      <c r="T24" s="430"/>
      <c r="U24" s="430"/>
      <c r="V24" s="430"/>
      <c r="W24" s="431"/>
      <c r="X24" s="17"/>
      <c r="AA24" s="18" t="str">
        <f>O24</f>
        <v>54'</v>
      </c>
      <c r="AB24" s="14" t="str">
        <f>BC24</f>
        <v>00°54'00.00 [00°54.00]  (00.9000°)</v>
      </c>
      <c r="AC24" s="7">
        <f>BB24</f>
        <v>0.9</v>
      </c>
      <c r="AD24" s="5">
        <f>IF(LEFT(TRIM(AA24),1)="-",-1,IF(LEFT(TRIM(AA24),1)="+",1, 0))</f>
        <v>0</v>
      </c>
      <c r="AE24" s="5" t="str">
        <f>IF(AD24&gt;0,"+",IF(AD24&lt;0,"-",""))</f>
        <v/>
      </c>
      <c r="AF24" s="5" t="str">
        <f>IF(ABS(AD24)&gt;0,RIGHT(AA24,LEN(AA24)-1),AA24)</f>
        <v>54'</v>
      </c>
      <c r="AG24" s="5" t="b">
        <f>ISNUMBER(SEARCH("°",AF24,1))</f>
        <v>0</v>
      </c>
      <c r="AH24" s="5" t="b">
        <f>ISNUMBER(SEARCH("'",AF24,1))</f>
        <v>1</v>
      </c>
      <c r="AI24" s="5" t="b">
        <f>ISNUMBER(SEARCH("""",AF24,1))</f>
        <v>0</v>
      </c>
      <c r="AJ24" s="5" t="b">
        <f>NOT(OR(AG24,AH24,AI24))</f>
        <v>0</v>
      </c>
      <c r="AK24" s="5" t="b">
        <f t="shared" ref="AK24:AK25" si="15">OR(AJ24,AG24)</f>
        <v>0</v>
      </c>
      <c r="AL24" s="6">
        <f>IF(AJ24,VALUE(AF24),IF(AG24,LEFT(AF24,SEARCH("°",AF24,1)-1),0))</f>
        <v>0</v>
      </c>
      <c r="AM24" s="5" t="str">
        <f>IF(AJ24,"",IF(AG24,RIGHT(AF24,LEN(AF24)-SEARCH("°",AF24,1)),AF24))</f>
        <v>54'</v>
      </c>
      <c r="AN24" s="5" t="b">
        <f>(LEN(AM24)&gt;0)</f>
        <v>1</v>
      </c>
      <c r="AO24" s="5" t="b">
        <f>NOT(OR(AH24,AI24))</f>
        <v>0</v>
      </c>
      <c r="AP24" s="6">
        <f t="shared" ref="AP24:AP25" si="16">IF(NOT(AN24),0,IF(AO24,VALUE(AM24),IF(NOT(AH24),0,VALUE(LEFT(AM24,SEARCH("'",AM24,1)-1)))))</f>
        <v>54</v>
      </c>
      <c r="AQ24" s="5" t="str">
        <f t="shared" ref="AQ24:AQ25" si="17">IF(NOT(AN24),"",IF(AO24,"",IF(NOT(AH24),AM24,RIGHT(AM24,LEN(AM24)-SEARCH("'",AM24,1)))))</f>
        <v/>
      </c>
      <c r="AR24" s="5" t="b">
        <f>(LEN(AQ24)&gt;0)</f>
        <v>0</v>
      </c>
      <c r="AS24" s="5" t="b">
        <f t="shared" ref="AS24:AS25" si="18">NOT(AI24)</f>
        <v>1</v>
      </c>
      <c r="AT24" s="5" t="b">
        <f>ISNUMBER(SEARCH(".",AQ24,1))</f>
        <v>0</v>
      </c>
      <c r="AU24" s="6">
        <f t="shared" ref="AU24:AU25" si="19">IF(AR24,IF(AI24,IF(AT24,VALUE(SUBSTITUTE(AQ24, """", "")),VALUE(SUBSTITUTE(AQ24, """", "."))),VALUE(AQ24)),0)</f>
        <v>0</v>
      </c>
      <c r="AV24" s="6">
        <f t="shared" ref="AV24:AV25" si="20">AL24*3600+AP24*60+AU24</f>
        <v>3240</v>
      </c>
      <c r="AW24" s="6">
        <f>AV24/3600</f>
        <v>0.9</v>
      </c>
      <c r="AX24" s="6">
        <f>_xlfn.FLOOR.MATH((AW24))</f>
        <v>0</v>
      </c>
      <c r="AY24" s="6">
        <f>(AV24-3600*AX24)/60</f>
        <v>54</v>
      </c>
      <c r="AZ24" s="6">
        <f>_xlfn.FLOOR.MATH((AY24))</f>
        <v>54</v>
      </c>
      <c r="BA24" s="6">
        <f>AV24-3600*AX24-60*AZ24</f>
        <v>0</v>
      </c>
      <c r="BB24" s="6">
        <f>AW24*IF(AD24&lt;0,-1,1)</f>
        <v>0.9</v>
      </c>
      <c r="BC24" s="7" t="str">
        <f>CONCATENATE(AE24,TEXT(AX24,"00"),"°",TEXT(AZ24,"00"),"'",TEXT(BA24,"00.00"), " [", CONCATENATE(AE24,TEXT(AX24,"00"),"°",TEXT(AY24,"00.00")),"]", "  (", AE24,TEXT(AW24,"00.0000"),"°)")</f>
        <v>00°54'00.00 [00°54.00]  (00.9000°)</v>
      </c>
    </row>
    <row r="25" spans="2:55" ht="17.25" customHeight="1" thickTop="1" thickBot="1" x14ac:dyDescent="0.3">
      <c r="C25" s="262"/>
      <c r="D25" s="548"/>
      <c r="E25" s="548"/>
      <c r="F25" s="548"/>
      <c r="G25" s="548"/>
      <c r="H25" s="549"/>
      <c r="I25" s="377"/>
      <c r="J25" s="378"/>
      <c r="K25" s="379"/>
      <c r="L25" s="384"/>
      <c r="M25" s="385"/>
      <c r="N25" s="385"/>
      <c r="O25" s="447" t="str">
        <f>AB25</f>
        <v>00°54'00.00 [00°54.00]  (00.9000°)</v>
      </c>
      <c r="P25" s="447"/>
      <c r="Q25" s="447"/>
      <c r="R25" s="279"/>
      <c r="S25" s="279"/>
      <c r="T25" s="279"/>
      <c r="U25" s="279"/>
      <c r="V25" s="279"/>
      <c r="W25" s="279"/>
      <c r="X25" s="17"/>
      <c r="AA25" s="18" t="str">
        <f>L22</f>
        <v>54'</v>
      </c>
      <c r="AB25" s="14" t="str">
        <f>BC25</f>
        <v>00°54'00.00 [00°54.00]  (00.9000°)</v>
      </c>
      <c r="AC25" s="7">
        <f>BB25</f>
        <v>0.9</v>
      </c>
      <c r="AD25" s="5">
        <f>IF(LEFT(TRIM(AA25),1)="-",-1,IF(LEFT(TRIM(AA25),1)="+",1, 0))</f>
        <v>0</v>
      </c>
      <c r="AE25" s="5" t="str">
        <f>IF(AD25&gt;0,"+",IF(AD25&lt;0,"-",""))</f>
        <v/>
      </c>
      <c r="AF25" s="5" t="str">
        <f>IF(ABS(AD25)&gt;0,RIGHT(AA25,LEN(AA25)-1),AA25)</f>
        <v>54'</v>
      </c>
      <c r="AG25" s="5" t="b">
        <f>ISNUMBER(SEARCH("°",AF25,1))</f>
        <v>0</v>
      </c>
      <c r="AH25" s="5" t="b">
        <f>ISNUMBER(SEARCH("'",AF25,1))</f>
        <v>1</v>
      </c>
      <c r="AI25" s="5" t="b">
        <f>ISNUMBER(SEARCH("""",AF25,1))</f>
        <v>0</v>
      </c>
      <c r="AJ25" s="5" t="b">
        <f>NOT(OR(AG25,AH25,AI25))</f>
        <v>0</v>
      </c>
      <c r="AK25" s="5" t="b">
        <f t="shared" si="15"/>
        <v>0</v>
      </c>
      <c r="AL25" s="6">
        <f>IF(AJ25,VALUE(AF25),IF(AG25,LEFT(AF25,SEARCH("°",AF25,1)-1),0))</f>
        <v>0</v>
      </c>
      <c r="AM25" s="5" t="str">
        <f>IF(AJ25,"",IF(AG25,RIGHT(AF25,LEN(AF25)-SEARCH("°",AF25,1)),AF25))</f>
        <v>54'</v>
      </c>
      <c r="AN25" s="5" t="b">
        <f>(LEN(AM25)&gt;0)</f>
        <v>1</v>
      </c>
      <c r="AO25" s="5" t="b">
        <f>NOT(OR(AH25,AI25))</f>
        <v>0</v>
      </c>
      <c r="AP25" s="6">
        <f t="shared" si="16"/>
        <v>54</v>
      </c>
      <c r="AQ25" s="5" t="str">
        <f t="shared" si="17"/>
        <v/>
      </c>
      <c r="AR25" s="5" t="b">
        <f>(LEN(AQ25)&gt;0)</f>
        <v>0</v>
      </c>
      <c r="AS25" s="5" t="b">
        <f t="shared" si="18"/>
        <v>1</v>
      </c>
      <c r="AT25" s="5" t="b">
        <f>ISNUMBER(SEARCH(".",AQ25,1))</f>
        <v>0</v>
      </c>
      <c r="AU25" s="6">
        <f t="shared" si="19"/>
        <v>0</v>
      </c>
      <c r="AV25" s="6">
        <f t="shared" si="20"/>
        <v>3240</v>
      </c>
      <c r="AW25" s="6">
        <f>AV25/3600</f>
        <v>0.9</v>
      </c>
      <c r="AX25" s="6">
        <f>_xlfn.FLOOR.MATH((AW25))</f>
        <v>0</v>
      </c>
      <c r="AY25" s="6">
        <f>(AV25-3600*AX25)/60</f>
        <v>54</v>
      </c>
      <c r="AZ25" s="6">
        <f>_xlfn.FLOOR.MATH((AY25))</f>
        <v>54</v>
      </c>
      <c r="BA25" s="6">
        <f>AV25-3600*AX25-60*AZ25</f>
        <v>0</v>
      </c>
      <c r="BB25" s="6">
        <f>AW25*IF(AD25&lt;0,-1,1)</f>
        <v>0.9</v>
      </c>
      <c r="BC25" s="7" t="str">
        <f>CONCATENATE(AE25,TEXT(AX25,"00"),"°",TEXT(AZ25,"00"),"'",TEXT(BA25,"00.00"), " [", CONCATENATE(AE25,TEXT(AX25,"00"),"°",TEXT(AY25,"00.00")),"]", "  (", AE25,TEXT(AW25,"00.0000"),"°)")</f>
        <v>00°54'00.00 [00°54.00]  (00.9000°)</v>
      </c>
    </row>
    <row r="26" spans="2:55" ht="17.25" customHeight="1" thickTop="1" x14ac:dyDescent="0.25">
      <c r="C26" s="364" t="s">
        <v>226</v>
      </c>
      <c r="D26" s="365"/>
      <c r="E26" s="365"/>
      <c r="F26" s="365"/>
      <c r="G26" s="365"/>
      <c r="H26" s="366"/>
      <c r="I26" s="387">
        <f>AC29</f>
        <v>0.16666666666666666</v>
      </c>
      <c r="J26" s="388"/>
      <c r="K26" s="389"/>
      <c r="L26" s="380" t="str">
        <f>O28</f>
        <v>10'</v>
      </c>
      <c r="M26" s="381"/>
      <c r="N26" s="381"/>
      <c r="O26" s="390" t="s">
        <v>221</v>
      </c>
      <c r="P26" s="390"/>
      <c r="Q26" s="390"/>
      <c r="R26" s="178"/>
      <c r="S26" s="178"/>
      <c r="T26" s="178"/>
      <c r="U26" s="178"/>
      <c r="V26" s="178"/>
      <c r="W26" s="178"/>
      <c r="X26" s="17"/>
      <c r="AB26" s="19"/>
      <c r="AC26" s="20"/>
      <c r="AD26" s="178"/>
      <c r="AE26" s="178"/>
      <c r="AF26" s="178"/>
      <c r="AG26" s="178"/>
      <c r="AH26" s="178"/>
      <c r="AI26" s="178"/>
      <c r="AJ26" s="178"/>
      <c r="AK26" s="178"/>
      <c r="AL26" s="178"/>
      <c r="AM26" s="178"/>
      <c r="AN26" s="178"/>
      <c r="AO26" s="178"/>
      <c r="AP26" s="178"/>
      <c r="AQ26" s="178"/>
      <c r="AR26" s="178"/>
      <c r="AS26" s="178"/>
      <c r="AT26" s="178"/>
      <c r="AU26" s="178"/>
      <c r="AV26" s="178"/>
      <c r="AW26" s="178"/>
      <c r="AX26" s="178"/>
      <c r="AY26" s="178"/>
      <c r="AZ26" s="178"/>
    </row>
    <row r="27" spans="2:55" ht="17.25" customHeight="1" thickBot="1" x14ac:dyDescent="0.3">
      <c r="C27" s="367"/>
      <c r="D27" s="368"/>
      <c r="E27" s="368"/>
      <c r="F27" s="368"/>
      <c r="G27" s="368"/>
      <c r="H27" s="369"/>
      <c r="I27" s="375"/>
      <c r="J27" s="343"/>
      <c r="K27" s="376"/>
      <c r="L27" s="382"/>
      <c r="M27" s="383"/>
      <c r="N27" s="383"/>
      <c r="O27" s="390"/>
      <c r="P27" s="390"/>
      <c r="Q27" s="390"/>
      <c r="R27" s="178"/>
      <c r="S27" s="178"/>
      <c r="T27" s="178"/>
      <c r="U27" s="178"/>
      <c r="V27" s="178"/>
      <c r="W27" s="178"/>
      <c r="X27" s="17"/>
      <c r="AB27" s="19"/>
      <c r="AC27" s="20"/>
      <c r="AD27" s="178"/>
      <c r="AE27" s="178"/>
      <c r="AF27" s="178"/>
      <c r="AG27" s="178"/>
      <c r="AH27" s="178"/>
      <c r="AI27" s="178"/>
      <c r="AJ27" s="178"/>
      <c r="AK27" s="178"/>
      <c r="AL27" s="178"/>
      <c r="AM27" s="178"/>
      <c r="AN27" s="178"/>
      <c r="AO27" s="178"/>
      <c r="AP27" s="178"/>
      <c r="AQ27" s="178"/>
      <c r="AR27" s="178"/>
      <c r="AS27" s="178"/>
      <c r="AT27" s="178"/>
      <c r="AU27" s="178"/>
      <c r="AV27" s="178"/>
      <c r="AW27" s="178"/>
      <c r="AX27" s="178"/>
      <c r="AY27" s="178"/>
      <c r="AZ27" s="178"/>
    </row>
    <row r="28" spans="2:55" ht="17.25" customHeight="1" thickTop="1" thickBot="1" x14ac:dyDescent="0.3">
      <c r="C28" s="367"/>
      <c r="D28" s="368"/>
      <c r="E28" s="368"/>
      <c r="F28" s="368"/>
      <c r="G28" s="368"/>
      <c r="H28" s="369"/>
      <c r="I28" s="375"/>
      <c r="J28" s="343"/>
      <c r="K28" s="376"/>
      <c r="L28" s="382"/>
      <c r="M28" s="383"/>
      <c r="N28" s="383"/>
      <c r="O28" s="432" t="str">
        <f>HLOOKUP(L20,AE20:AG23,4,FALSE)</f>
        <v>10'</v>
      </c>
      <c r="P28" s="432"/>
      <c r="Q28" s="432"/>
      <c r="R28" s="430" t="str">
        <f>AB28</f>
        <v>00°10'00.00 [00°10.00]  (00.1667°)</v>
      </c>
      <c r="S28" s="430"/>
      <c r="T28" s="430"/>
      <c r="U28" s="430"/>
      <c r="V28" s="430"/>
      <c r="W28" s="431"/>
      <c r="X28" s="17"/>
      <c r="AA28" s="18" t="str">
        <f>O28</f>
        <v>10'</v>
      </c>
      <c r="AB28" s="14" t="str">
        <f>BC28</f>
        <v>00°10'00.00 [00°10.00]  (00.1667°)</v>
      </c>
      <c r="AC28" s="7">
        <f>BB28</f>
        <v>0.16666666666666666</v>
      </c>
      <c r="AD28" s="5">
        <f>IF(LEFT(TRIM(AA28),1)="-",-1,IF(LEFT(TRIM(AA28),1)="+",1, 0))</f>
        <v>0</v>
      </c>
      <c r="AE28" s="5" t="str">
        <f>IF(AD28&gt;0,"+",IF(AD28&lt;0,"-",""))</f>
        <v/>
      </c>
      <c r="AF28" s="5" t="str">
        <f>IF(ABS(AD28)&gt;0,RIGHT(AA28,LEN(AA28)-1),AA28)</f>
        <v>10'</v>
      </c>
      <c r="AG28" s="5" t="b">
        <f>ISNUMBER(SEARCH("°",AF28,1))</f>
        <v>0</v>
      </c>
      <c r="AH28" s="5" t="b">
        <f>ISNUMBER(SEARCH("'",AF28,1))</f>
        <v>1</v>
      </c>
      <c r="AI28" s="5" t="b">
        <f>ISNUMBER(SEARCH("""",AF28,1))</f>
        <v>0</v>
      </c>
      <c r="AJ28" s="5" t="b">
        <f>NOT(OR(AG28,AH28,AI28))</f>
        <v>0</v>
      </c>
      <c r="AK28" s="5" t="b">
        <f t="shared" ref="AK28:AK29" si="21">OR(AJ28,AG28)</f>
        <v>0</v>
      </c>
      <c r="AL28" s="6">
        <f>IF(AJ28,VALUE(AF28),IF(AG28,LEFT(AF28,SEARCH("°",AF28,1)-1),0))</f>
        <v>0</v>
      </c>
      <c r="AM28" s="5" t="str">
        <f>IF(AJ28,"",IF(AG28,RIGHT(AF28,LEN(AF28)-SEARCH("°",AF28,1)),AF28))</f>
        <v>10'</v>
      </c>
      <c r="AN28" s="5" t="b">
        <f>(LEN(AM28)&gt;0)</f>
        <v>1</v>
      </c>
      <c r="AO28" s="5" t="b">
        <f>NOT(OR(AH28,AI28))</f>
        <v>0</v>
      </c>
      <c r="AP28" s="6">
        <f t="shared" ref="AP28:AP29" si="22">IF(NOT(AN28),0,IF(AO28,VALUE(AM28),IF(NOT(AH28),0,VALUE(LEFT(AM28,SEARCH("'",AM28,1)-1)))))</f>
        <v>10</v>
      </c>
      <c r="AQ28" s="5" t="str">
        <f t="shared" ref="AQ28:AQ29" si="23">IF(NOT(AN28),"",IF(AO28,"",IF(NOT(AH28),AM28,RIGHT(AM28,LEN(AM28)-SEARCH("'",AM28,1)))))</f>
        <v/>
      </c>
      <c r="AR28" s="5" t="b">
        <f>(LEN(AQ28)&gt;0)</f>
        <v>0</v>
      </c>
      <c r="AS28" s="5" t="b">
        <f t="shared" ref="AS28:AS29" si="24">NOT(AI28)</f>
        <v>1</v>
      </c>
      <c r="AT28" s="5" t="b">
        <f>ISNUMBER(SEARCH(".",AQ28,1))</f>
        <v>0</v>
      </c>
      <c r="AU28" s="6">
        <f t="shared" ref="AU28:AU29" si="25">IF(AR28,IF(AI28,IF(AT28,VALUE(SUBSTITUTE(AQ28, """", "")),VALUE(SUBSTITUTE(AQ28, """", "."))),VALUE(AQ28)),0)</f>
        <v>0</v>
      </c>
      <c r="AV28" s="6">
        <f t="shared" ref="AV28:AV29" si="26">AL28*3600+AP28*60+AU28</f>
        <v>600</v>
      </c>
      <c r="AW28" s="6">
        <f>AV28/3600</f>
        <v>0.16666666666666666</v>
      </c>
      <c r="AX28" s="6">
        <f>_xlfn.FLOOR.MATH((AW28))</f>
        <v>0</v>
      </c>
      <c r="AY28" s="6">
        <f>(AV28-3600*AX28)/60</f>
        <v>10</v>
      </c>
      <c r="AZ28" s="6">
        <f>_xlfn.FLOOR.MATH((AY28))</f>
        <v>10</v>
      </c>
      <c r="BA28" s="6">
        <f>AV28-3600*AX28-60*AZ28</f>
        <v>0</v>
      </c>
      <c r="BB28" s="6">
        <f>AW28*IF(AD28&lt;0,-1,1)</f>
        <v>0.16666666666666666</v>
      </c>
      <c r="BC28" s="7" t="str">
        <f>CONCATENATE(AE28,TEXT(AX28,"00"),"°",TEXT(AZ28,"00"),"'",TEXT(BA28,"00.00"), " [", CONCATENATE(AE28,TEXT(AX28,"00"),"°",TEXT(AY28,"00.00")),"]", "  (", AE28,TEXT(AW28,"00.0000"),"°)")</f>
        <v>00°10'00.00 [00°10.00]  (00.1667°)</v>
      </c>
    </row>
    <row r="29" spans="2:55" ht="17.25" customHeight="1" thickTop="1" thickBot="1" x14ac:dyDescent="0.3">
      <c r="C29" s="370"/>
      <c r="D29" s="371"/>
      <c r="E29" s="371"/>
      <c r="F29" s="371"/>
      <c r="G29" s="371"/>
      <c r="H29" s="372"/>
      <c r="I29" s="377"/>
      <c r="J29" s="378"/>
      <c r="K29" s="379"/>
      <c r="L29" s="384"/>
      <c r="M29" s="385"/>
      <c r="N29" s="385"/>
      <c r="O29" s="426" t="str">
        <f>AB29</f>
        <v>00°10'00.00 [00°10.00]  (00.1667°)</v>
      </c>
      <c r="P29" s="426"/>
      <c r="Q29" s="426"/>
      <c r="R29" s="279"/>
      <c r="S29" s="279"/>
      <c r="T29" s="279"/>
      <c r="U29" s="279"/>
      <c r="V29" s="279"/>
      <c r="W29" s="279"/>
      <c r="X29" s="17"/>
      <c r="AA29" s="18" t="str">
        <f>L26</f>
        <v>10'</v>
      </c>
      <c r="AB29" s="14" t="str">
        <f>BC29</f>
        <v>00°10'00.00 [00°10.00]  (00.1667°)</v>
      </c>
      <c r="AC29" s="7">
        <f>BB29</f>
        <v>0.16666666666666666</v>
      </c>
      <c r="AD29" s="5">
        <f>IF(LEFT(TRIM(AA29),1)="-",-1,IF(LEFT(TRIM(AA29),1)="+",1, 0))</f>
        <v>0</v>
      </c>
      <c r="AE29" s="5" t="str">
        <f>IF(AD29&gt;0,"+",IF(AD29&lt;0,"-",""))</f>
        <v/>
      </c>
      <c r="AF29" s="5" t="str">
        <f>IF(ABS(AD29)&gt;0,RIGHT(AA29,LEN(AA29)-1),AA29)</f>
        <v>10'</v>
      </c>
      <c r="AG29" s="5" t="b">
        <f>ISNUMBER(SEARCH("°",AF29,1))</f>
        <v>0</v>
      </c>
      <c r="AH29" s="5" t="b">
        <f>ISNUMBER(SEARCH("'",AF29,1))</f>
        <v>1</v>
      </c>
      <c r="AI29" s="5" t="b">
        <f>ISNUMBER(SEARCH("""",AF29,1))</f>
        <v>0</v>
      </c>
      <c r="AJ29" s="5" t="b">
        <f>NOT(OR(AG29,AH29,AI29))</f>
        <v>0</v>
      </c>
      <c r="AK29" s="5" t="b">
        <f t="shared" si="21"/>
        <v>0</v>
      </c>
      <c r="AL29" s="6">
        <f>IF(AJ29,VALUE(AF29),IF(AG29,LEFT(AF29,SEARCH("°",AF29,1)-1),0))</f>
        <v>0</v>
      </c>
      <c r="AM29" s="5" t="str">
        <f>IF(AJ29,"",IF(AG29,RIGHT(AF29,LEN(AF29)-SEARCH("°",AF29,1)),AF29))</f>
        <v>10'</v>
      </c>
      <c r="AN29" s="5" t="b">
        <f>(LEN(AM29)&gt;0)</f>
        <v>1</v>
      </c>
      <c r="AO29" s="5" t="b">
        <f>NOT(OR(AH29,AI29))</f>
        <v>0</v>
      </c>
      <c r="AP29" s="6">
        <f t="shared" si="22"/>
        <v>10</v>
      </c>
      <c r="AQ29" s="5" t="str">
        <f t="shared" si="23"/>
        <v/>
      </c>
      <c r="AR29" s="5" t="b">
        <f>(LEN(AQ29)&gt;0)</f>
        <v>0</v>
      </c>
      <c r="AS29" s="5" t="b">
        <f t="shared" si="24"/>
        <v>1</v>
      </c>
      <c r="AT29" s="5" t="b">
        <f>ISNUMBER(SEARCH(".",AQ29,1))</f>
        <v>0</v>
      </c>
      <c r="AU29" s="6">
        <f t="shared" si="25"/>
        <v>0</v>
      </c>
      <c r="AV29" s="6">
        <f t="shared" si="26"/>
        <v>600</v>
      </c>
      <c r="AW29" s="6">
        <f>AV29/3600</f>
        <v>0.16666666666666666</v>
      </c>
      <c r="AX29" s="6">
        <f>_xlfn.FLOOR.MATH((AW29))</f>
        <v>0</v>
      </c>
      <c r="AY29" s="6">
        <f>(AV29-3600*AX29)/60</f>
        <v>10</v>
      </c>
      <c r="AZ29" s="6">
        <f>_xlfn.FLOOR.MATH((AY29))</f>
        <v>10</v>
      </c>
      <c r="BA29" s="6">
        <f>AV29-3600*AX29-60*AZ29</f>
        <v>0</v>
      </c>
      <c r="BB29" s="6">
        <f>AW29*IF(AD29&lt;0,-1,1)</f>
        <v>0.16666666666666666</v>
      </c>
      <c r="BC29" s="7" t="str">
        <f>CONCATENATE(AE29,TEXT(AX29,"00"),"°",TEXT(AZ29,"00"),"'",TEXT(BA29,"00.00"), " [", CONCATENATE(AE29,TEXT(AX29,"00"),"°",TEXT(AY29,"00.00")),"]", "  (", AE29,TEXT(AW29,"00.0000"),"°)")</f>
        <v>00°10'00.00 [00°10.00]  (00.1667°)</v>
      </c>
    </row>
    <row r="30" spans="2:55" ht="17.25" customHeight="1" thickTop="1" thickBot="1" x14ac:dyDescent="0.3"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</row>
    <row r="31" spans="2:55" ht="17.25" customHeight="1" thickBot="1" x14ac:dyDescent="0.3">
      <c r="B31" s="47" t="s">
        <v>23</v>
      </c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48"/>
      <c r="AF31" s="48"/>
      <c r="AG31" s="48"/>
      <c r="AH31" s="48"/>
      <c r="AI31" s="48"/>
      <c r="AJ31" s="48"/>
      <c r="AK31" s="48"/>
      <c r="AL31" s="48"/>
      <c r="AM31" s="48"/>
      <c r="AN31" s="48"/>
      <c r="AO31" s="48"/>
      <c r="AP31" s="48"/>
      <c r="AQ31" s="48"/>
      <c r="AR31" s="48"/>
      <c r="AS31" s="48"/>
      <c r="AT31" s="48"/>
      <c r="AU31" s="48"/>
      <c r="AV31" s="48"/>
      <c r="AW31" s="48"/>
      <c r="AX31" s="48"/>
      <c r="AY31" s="48"/>
      <c r="AZ31" s="48"/>
      <c r="BA31" s="49"/>
    </row>
    <row r="32" spans="2:55" ht="17.25" customHeight="1" x14ac:dyDescent="0.25">
      <c r="C32" s="17"/>
      <c r="D32" s="448" t="s">
        <v>8</v>
      </c>
      <c r="E32" s="448"/>
      <c r="F32" s="448"/>
      <c r="G32" s="448"/>
      <c r="H32" s="17"/>
      <c r="I32" s="17"/>
      <c r="J32" s="17"/>
      <c r="K32" s="17"/>
      <c r="L32" s="17"/>
      <c r="M32" s="36"/>
      <c r="N32" s="36"/>
      <c r="O32" s="36"/>
      <c r="P32" s="36"/>
      <c r="Q32" s="36"/>
      <c r="R32" s="36"/>
      <c r="S32" s="36"/>
      <c r="T32" s="36"/>
      <c r="U32" s="36"/>
      <c r="AB32" s="14"/>
      <c r="AC32" s="7"/>
      <c r="AD32" s="3" t="s">
        <v>57</v>
      </c>
      <c r="AE32" s="3" t="s">
        <v>57</v>
      </c>
      <c r="AF32" s="3" t="s">
        <v>304</v>
      </c>
      <c r="AG32" s="3" t="s">
        <v>120</v>
      </c>
      <c r="AH32" s="3" t="s">
        <v>121</v>
      </c>
      <c r="AI32" s="3" t="s">
        <v>122</v>
      </c>
      <c r="AJ32" s="3" t="s">
        <v>123</v>
      </c>
      <c r="AK32" s="3" t="s">
        <v>124</v>
      </c>
      <c r="AL32" s="3" t="s">
        <v>125</v>
      </c>
      <c r="AM32" s="3" t="s">
        <v>101</v>
      </c>
      <c r="AN32" s="3" t="s">
        <v>129</v>
      </c>
      <c r="AO32" s="3" t="s">
        <v>128</v>
      </c>
      <c r="AP32" s="3" t="s">
        <v>126</v>
      </c>
      <c r="AQ32" s="3" t="s">
        <v>127</v>
      </c>
      <c r="AR32" s="3" t="s">
        <v>129</v>
      </c>
      <c r="AS32" s="3" t="s">
        <v>128</v>
      </c>
      <c r="AT32" s="3" t="s">
        <v>130</v>
      </c>
      <c r="AU32" s="3" t="s">
        <v>112</v>
      </c>
      <c r="AV32" s="3" t="s">
        <v>117</v>
      </c>
      <c r="AW32" s="3" t="s">
        <v>143</v>
      </c>
      <c r="AX32" s="3" t="s">
        <v>149</v>
      </c>
      <c r="AY32" s="3" t="s">
        <v>131</v>
      </c>
      <c r="AZ32" s="3" t="s">
        <v>150</v>
      </c>
      <c r="BA32" s="3" t="s">
        <v>112</v>
      </c>
      <c r="BB32" s="3" t="s">
        <v>308</v>
      </c>
      <c r="BC32" s="3" t="s">
        <v>151</v>
      </c>
    </row>
    <row r="33" spans="1:65" ht="17.25" customHeight="1" thickBot="1" x14ac:dyDescent="0.3">
      <c r="C33" s="17"/>
      <c r="D33" s="448"/>
      <c r="E33" s="448"/>
      <c r="F33" s="448"/>
      <c r="G33" s="448"/>
      <c r="H33" s="17"/>
      <c r="I33" s="17"/>
      <c r="J33" s="17"/>
      <c r="K33" s="17"/>
      <c r="L33" s="17"/>
      <c r="M33" s="36"/>
      <c r="N33" s="36"/>
      <c r="O33" s="36"/>
      <c r="P33" s="36"/>
      <c r="Q33" s="36"/>
      <c r="R33" s="36"/>
      <c r="S33" s="36"/>
      <c r="T33" s="36"/>
      <c r="U33" s="36"/>
      <c r="AA33" s="18" t="str">
        <f>IF(VLOOKUP(H34,$A$36:$C$37,3)&gt;0,AA34,CONCATENATE("-",AA34))</f>
        <v>48°52'</v>
      </c>
      <c r="AB33" s="14" t="str">
        <f>BC33</f>
        <v>48°52'00.00 [48°52.00]  (48.8667°)</v>
      </c>
      <c r="AC33" s="7">
        <f>BB33</f>
        <v>48.866666666666667</v>
      </c>
      <c r="AD33" s="5">
        <f>IF(LEFT(TRIM(AA33),1)="-",-1,IF(LEFT(TRIM(AA33),1)="+",1, 0))</f>
        <v>0</v>
      </c>
      <c r="AE33" s="5" t="str">
        <f>IF(AD33&gt;0,"+",IF(AD33&lt;0,"-",""))</f>
        <v/>
      </c>
      <c r="AF33" s="5" t="str">
        <f>IF(ABS(AD33)&gt;0,RIGHT(AA33,LEN(AA33)-1),AA33)</f>
        <v>48°52'</v>
      </c>
      <c r="AG33" s="5" t="b">
        <f>ISNUMBER(SEARCH("°",AF33,1))</f>
        <v>1</v>
      </c>
      <c r="AH33" s="5" t="b">
        <f>ISNUMBER(SEARCH("'",AF33,1))</f>
        <v>1</v>
      </c>
      <c r="AI33" s="5" t="b">
        <f>ISNUMBER(SEARCH("""",AF33,1))</f>
        <v>0</v>
      </c>
      <c r="AJ33" s="5" t="b">
        <f>NOT(OR(AG33,AH33,AI33))</f>
        <v>0</v>
      </c>
      <c r="AK33" s="5" t="b">
        <f t="shared" ref="AK33" si="27">OR(AJ33,AG33)</f>
        <v>1</v>
      </c>
      <c r="AL33" s="6" t="str">
        <f>IF(AJ33,VALUE(AF33),IF(AG33,LEFT(AF33,SEARCH("°",AF33,1)-1),0))</f>
        <v>48</v>
      </c>
      <c r="AM33" s="5" t="str">
        <f>IF(AJ33,"",IF(AG33,RIGHT(AF33,LEN(AF33)-SEARCH("°",AF33,1)),AF33))</f>
        <v>52'</v>
      </c>
      <c r="AN33" s="5" t="b">
        <f>(LEN(AM33)&gt;0)</f>
        <v>1</v>
      </c>
      <c r="AO33" s="5" t="b">
        <f>NOT(OR(AH33,AI33))</f>
        <v>0</v>
      </c>
      <c r="AP33" s="6">
        <f t="shared" ref="AP33" si="28">IF(NOT(AN33),0,IF(AO33,VALUE(AM33),IF(NOT(AH33),0,VALUE(LEFT(AM33,SEARCH("'",AM33,1)-1)))))</f>
        <v>52</v>
      </c>
      <c r="AQ33" s="5" t="str">
        <f t="shared" ref="AQ33" si="29">IF(NOT(AN33),"",IF(AO33,"",IF(NOT(AH33),AM33,RIGHT(AM33,LEN(AM33)-SEARCH("'",AM33,1)))))</f>
        <v/>
      </c>
      <c r="AR33" s="5" t="b">
        <f>(LEN(AQ33)&gt;0)</f>
        <v>0</v>
      </c>
      <c r="AS33" s="5" t="b">
        <f t="shared" ref="AS33" si="30">NOT(AI33)</f>
        <v>1</v>
      </c>
      <c r="AT33" s="5" t="b">
        <f>ISNUMBER(SEARCH(".",AQ33,1))</f>
        <v>0</v>
      </c>
      <c r="AU33" s="6">
        <f t="shared" ref="AU33" si="31">IF(AR33,IF(AI33,IF(AT33,VALUE(SUBSTITUTE(AQ33, """", "")),VALUE(SUBSTITUTE(AQ33, """", "."))),VALUE(AQ33)),0)</f>
        <v>0</v>
      </c>
      <c r="AV33" s="6">
        <f t="shared" ref="AV33" si="32">AL33*3600+AP33*60+AU33</f>
        <v>175920</v>
      </c>
      <c r="AW33" s="6">
        <f>AV33/3600</f>
        <v>48.866666666666667</v>
      </c>
      <c r="AX33" s="6">
        <f>_xlfn.FLOOR.MATH((AW33))</f>
        <v>48</v>
      </c>
      <c r="AY33" s="6">
        <f>(AV33-3600*AX33)/60</f>
        <v>52</v>
      </c>
      <c r="AZ33" s="6">
        <f>_xlfn.FLOOR.MATH((AY33))</f>
        <v>52</v>
      </c>
      <c r="BA33" s="6">
        <f>AV33-3600*AX33-60*AZ33</f>
        <v>0</v>
      </c>
      <c r="BB33" s="6">
        <f>AW33*IF(AD33&lt;0,-1,1)</f>
        <v>48.866666666666667</v>
      </c>
      <c r="BC33" s="7" t="str">
        <f>CONCATENATE(AE33,TEXT(AX33,"00"),"°",TEXT(AZ33,"00"),"'",TEXT(BA33,"00.00"), " [", CONCATENATE(AE33,TEXT(AX33,"00"),"°",TEXT(AY33,"00.00")),"]", "  (", AE33,TEXT(AW33,"00.0000"),"°)")</f>
        <v>48°52'00.00 [48°52.00]  (48.8667°)</v>
      </c>
    </row>
    <row r="34" spans="1:65" ht="17.25" customHeight="1" thickTop="1" thickBot="1" x14ac:dyDescent="0.3">
      <c r="A34" s="410" t="s">
        <v>56</v>
      </c>
      <c r="B34" s="411"/>
      <c r="C34" s="412"/>
      <c r="D34" s="17"/>
      <c r="E34" s="398">
        <f>AC33</f>
        <v>48.866666666666667</v>
      </c>
      <c r="F34" s="424"/>
      <c r="G34" s="424"/>
      <c r="H34" s="363" t="s">
        <v>4</v>
      </c>
      <c r="I34" s="414" t="s">
        <v>371</v>
      </c>
      <c r="J34" s="363"/>
      <c r="K34" s="363"/>
      <c r="L34" s="363"/>
      <c r="M34" s="363"/>
      <c r="N34" s="357" t="str">
        <f>AB33</f>
        <v>48°52'00.00 [48°52.00]  (48.8667°)</v>
      </c>
      <c r="O34" s="357"/>
      <c r="P34" s="357"/>
      <c r="Q34" s="357"/>
      <c r="R34" s="357"/>
      <c r="S34" s="357"/>
      <c r="T34" s="357"/>
      <c r="U34" s="357"/>
      <c r="V34" s="357"/>
      <c r="W34" s="357"/>
      <c r="X34" s="36"/>
      <c r="Y34" s="36"/>
      <c r="AA34" s="18" t="str">
        <f>I34</f>
        <v>48°52'</v>
      </c>
      <c r="AC34" s="37"/>
      <c r="AD34" s="178"/>
      <c r="AE34" s="178"/>
      <c r="AF34" s="178"/>
      <c r="AG34" s="178"/>
      <c r="AL34" s="22"/>
      <c r="AN34" s="29"/>
      <c r="AT34" s="38"/>
      <c r="AU34" s="38"/>
      <c r="AV34" s="39"/>
      <c r="AW34" s="39"/>
      <c r="AX34" s="178"/>
      <c r="AY34" s="178"/>
      <c r="AZ34" s="178"/>
      <c r="BA34" s="178"/>
      <c r="BB34" s="39"/>
      <c r="BC34" s="39"/>
      <c r="BD34" s="39"/>
      <c r="BE34" s="39"/>
      <c r="BF34" s="39"/>
      <c r="BG34" s="39"/>
      <c r="BH34" s="39"/>
      <c r="BI34" s="39"/>
      <c r="BJ34" s="39"/>
      <c r="BK34" s="39"/>
      <c r="BL34" s="39"/>
      <c r="BM34" s="39"/>
    </row>
    <row r="35" spans="1:65" ht="17.25" customHeight="1" thickTop="1" thickBot="1" x14ac:dyDescent="0.3">
      <c r="A35" s="40" t="s">
        <v>68</v>
      </c>
      <c r="B35" s="41" t="s">
        <v>69</v>
      </c>
      <c r="C35" s="42"/>
      <c r="D35" s="17"/>
      <c r="E35" s="424"/>
      <c r="F35" s="424"/>
      <c r="G35" s="424"/>
      <c r="H35" s="363"/>
      <c r="I35" s="363"/>
      <c r="J35" s="363"/>
      <c r="K35" s="363"/>
      <c r="L35" s="363"/>
      <c r="M35" s="363"/>
      <c r="N35" s="357"/>
      <c r="O35" s="357"/>
      <c r="P35" s="357"/>
      <c r="Q35" s="357"/>
      <c r="R35" s="357"/>
      <c r="S35" s="357"/>
      <c r="T35" s="357"/>
      <c r="U35" s="357"/>
      <c r="V35" s="357"/>
      <c r="W35" s="357"/>
      <c r="X35" s="36"/>
      <c r="Y35" s="36"/>
      <c r="AL35" s="22"/>
      <c r="AN35" s="29"/>
      <c r="AV35" s="39"/>
      <c r="AW35" s="39"/>
      <c r="AX35" s="39"/>
      <c r="AY35" s="39"/>
      <c r="AZ35" s="39"/>
      <c r="BA35" s="39"/>
      <c r="BB35" s="39"/>
      <c r="BC35" s="39"/>
      <c r="BD35" s="39"/>
      <c r="BE35" s="39"/>
      <c r="BF35" s="39"/>
      <c r="BG35" s="39"/>
      <c r="BH35" s="39"/>
      <c r="BI35" s="39"/>
      <c r="BJ35" s="39"/>
      <c r="BK35" s="39"/>
      <c r="BL35" s="39"/>
      <c r="BM35" s="39"/>
    </row>
    <row r="36" spans="1:65" ht="17.25" customHeight="1" thickTop="1" x14ac:dyDescent="0.25">
      <c r="A36" s="40" t="s">
        <v>4</v>
      </c>
      <c r="B36" s="41" t="s">
        <v>6</v>
      </c>
      <c r="C36" s="42">
        <v>1</v>
      </c>
      <c r="D36" s="17"/>
      <c r="E36" s="17"/>
      <c r="F36" s="17"/>
      <c r="G36" s="17"/>
      <c r="AD36" s="17"/>
      <c r="AE36" s="17"/>
      <c r="AF36" s="17"/>
      <c r="AG36" s="17"/>
      <c r="AH36" s="17"/>
      <c r="AI36" s="17"/>
      <c r="AJ36" s="17"/>
      <c r="AK36" s="17"/>
      <c r="AV36" s="39"/>
      <c r="AW36" s="39"/>
      <c r="AX36" s="39"/>
      <c r="AY36" s="39"/>
      <c r="AZ36" s="39"/>
      <c r="BA36" s="39"/>
      <c r="BB36" s="39"/>
      <c r="BC36" s="39"/>
      <c r="BD36" s="39"/>
      <c r="BE36" s="39"/>
      <c r="BF36" s="39"/>
      <c r="BG36" s="39"/>
      <c r="BH36" s="39"/>
      <c r="BI36" s="39"/>
      <c r="BJ36" s="39"/>
      <c r="BK36" s="39"/>
      <c r="BL36" s="39"/>
      <c r="BM36" s="39"/>
    </row>
    <row r="37" spans="1:65" ht="17.25" customHeight="1" thickBot="1" x14ac:dyDescent="0.3">
      <c r="A37" s="43" t="s">
        <v>5</v>
      </c>
      <c r="B37" s="44" t="s">
        <v>7</v>
      </c>
      <c r="C37" s="45">
        <v>-1</v>
      </c>
      <c r="D37" s="425" t="s">
        <v>9</v>
      </c>
      <c r="E37" s="425"/>
      <c r="F37" s="425"/>
      <c r="G37" s="425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AB37" s="14"/>
      <c r="AC37" s="7"/>
      <c r="AD37" s="3" t="s">
        <v>57</v>
      </c>
      <c r="AE37" s="3" t="s">
        <v>57</v>
      </c>
      <c r="AF37" s="3" t="s">
        <v>304</v>
      </c>
      <c r="AG37" s="3" t="s">
        <v>120</v>
      </c>
      <c r="AH37" s="3" t="s">
        <v>121</v>
      </c>
      <c r="AI37" s="3" t="s">
        <v>122</v>
      </c>
      <c r="AJ37" s="3" t="s">
        <v>123</v>
      </c>
      <c r="AK37" s="3" t="s">
        <v>124</v>
      </c>
      <c r="AL37" s="3" t="s">
        <v>125</v>
      </c>
      <c r="AM37" s="3" t="s">
        <v>101</v>
      </c>
      <c r="AN37" s="3" t="s">
        <v>129</v>
      </c>
      <c r="AO37" s="3" t="s">
        <v>128</v>
      </c>
      <c r="AP37" s="3" t="s">
        <v>126</v>
      </c>
      <c r="AQ37" s="3" t="s">
        <v>127</v>
      </c>
      <c r="AR37" s="3" t="s">
        <v>129</v>
      </c>
      <c r="AS37" s="3" t="s">
        <v>128</v>
      </c>
      <c r="AT37" s="3" t="s">
        <v>130</v>
      </c>
      <c r="AU37" s="3" t="s">
        <v>112</v>
      </c>
      <c r="AV37" s="3" t="s">
        <v>117</v>
      </c>
      <c r="AW37" s="3" t="s">
        <v>143</v>
      </c>
      <c r="AX37" s="3" t="s">
        <v>149</v>
      </c>
      <c r="AY37" s="3" t="s">
        <v>131</v>
      </c>
      <c r="AZ37" s="3" t="s">
        <v>150</v>
      </c>
      <c r="BA37" s="3" t="s">
        <v>112</v>
      </c>
      <c r="BB37" s="3" t="s">
        <v>308</v>
      </c>
      <c r="BC37" s="3" t="s">
        <v>151</v>
      </c>
      <c r="BD37" s="39"/>
      <c r="BE37" s="39"/>
      <c r="BF37" s="39"/>
      <c r="BG37" s="39"/>
      <c r="BH37" s="39"/>
      <c r="BI37" s="39"/>
      <c r="BJ37" s="39"/>
      <c r="BK37" s="39"/>
      <c r="BL37" s="39"/>
      <c r="BM37" s="39"/>
    </row>
    <row r="38" spans="1:65" ht="17.25" customHeight="1" thickBot="1" x14ac:dyDescent="0.3">
      <c r="C38" s="17"/>
      <c r="D38" s="425"/>
      <c r="E38" s="425"/>
      <c r="F38" s="425"/>
      <c r="G38" s="425"/>
      <c r="H38" s="36"/>
      <c r="I38" s="36"/>
      <c r="J38" s="36"/>
      <c r="K38" s="36"/>
      <c r="L38" s="17"/>
      <c r="M38" s="17"/>
      <c r="N38" s="36"/>
      <c r="O38" s="36"/>
      <c r="P38" s="36"/>
      <c r="Q38" s="36"/>
      <c r="R38" s="36"/>
      <c r="S38" s="36"/>
      <c r="T38" s="36"/>
      <c r="U38" s="36"/>
      <c r="AA38" s="18" t="str">
        <f>IF(VLOOKUP(H39,$A$36:$C$37,3)&gt;0,AA39,CONCATENATE("-",AA39))</f>
        <v>-2°05'</v>
      </c>
      <c r="AB38" s="14" t="str">
        <f>BC38</f>
        <v>-02°05'00.00 [-02°05.00]  (-02.0833°)</v>
      </c>
      <c r="AC38" s="7">
        <f>BB38</f>
        <v>-2.0833333333333335</v>
      </c>
      <c r="AD38" s="5">
        <f>IF(LEFT(TRIM(AA38),1)="-",-1,IF(LEFT(TRIM(AA38),1)="+",1, 0))</f>
        <v>-1</v>
      </c>
      <c r="AE38" s="5" t="str">
        <f>IF(AD38&gt;0,"+",IF(AD38&lt;0,"-",""))</f>
        <v>-</v>
      </c>
      <c r="AF38" s="5" t="str">
        <f>IF(ABS(AD38)&gt;0,RIGHT(AA38,LEN(AA38)-1),AA38)</f>
        <v>2°05'</v>
      </c>
      <c r="AG38" s="5" t="b">
        <f>ISNUMBER(SEARCH("°",AF38,1))</f>
        <v>1</v>
      </c>
      <c r="AH38" s="5" t="b">
        <f>ISNUMBER(SEARCH("'",AF38,1))</f>
        <v>1</v>
      </c>
      <c r="AI38" s="5" t="b">
        <f>ISNUMBER(SEARCH("""",AF38,1))</f>
        <v>0</v>
      </c>
      <c r="AJ38" s="5" t="b">
        <f>NOT(OR(AG38,AH38,AI38))</f>
        <v>0</v>
      </c>
      <c r="AK38" s="5" t="b">
        <f t="shared" ref="AK38" si="33">OR(AJ38,AG38)</f>
        <v>1</v>
      </c>
      <c r="AL38" s="6" t="str">
        <f>IF(AJ38,VALUE(AF38),IF(AG38,LEFT(AF38,SEARCH("°",AF38,1)-1),0))</f>
        <v>2</v>
      </c>
      <c r="AM38" s="5" t="str">
        <f>IF(AJ38,"",IF(AG38,RIGHT(AF38,LEN(AF38)-SEARCH("°",AF38,1)),AF38))</f>
        <v>05'</v>
      </c>
      <c r="AN38" s="5" t="b">
        <f>(LEN(AM38)&gt;0)</f>
        <v>1</v>
      </c>
      <c r="AO38" s="5" t="b">
        <f>NOT(OR(AH38,AI38))</f>
        <v>0</v>
      </c>
      <c r="AP38" s="6">
        <f t="shared" ref="AP38" si="34">IF(NOT(AN38),0,IF(AO38,VALUE(AM38),IF(NOT(AH38),0,VALUE(LEFT(AM38,SEARCH("'",AM38,1)-1)))))</f>
        <v>5</v>
      </c>
      <c r="AQ38" s="5" t="str">
        <f t="shared" ref="AQ38" si="35">IF(NOT(AN38),"",IF(AO38,"",IF(NOT(AH38),AM38,RIGHT(AM38,LEN(AM38)-SEARCH("'",AM38,1)))))</f>
        <v/>
      </c>
      <c r="AR38" s="5" t="b">
        <f>(LEN(AQ38)&gt;0)</f>
        <v>0</v>
      </c>
      <c r="AS38" s="5" t="b">
        <f t="shared" ref="AS38" si="36">NOT(AI38)</f>
        <v>1</v>
      </c>
      <c r="AT38" s="5" t="b">
        <f>ISNUMBER(SEARCH(".",AQ38,1))</f>
        <v>0</v>
      </c>
      <c r="AU38" s="6">
        <f t="shared" ref="AU38" si="37">IF(AR38,IF(AI38,IF(AT38,VALUE(SUBSTITUTE(AQ38, """", "")),VALUE(SUBSTITUTE(AQ38, """", "."))),VALUE(AQ38)),0)</f>
        <v>0</v>
      </c>
      <c r="AV38" s="6">
        <f t="shared" ref="AV38" si="38">AL38*3600+AP38*60+AU38</f>
        <v>7500</v>
      </c>
      <c r="AW38" s="6">
        <f>AV38/3600</f>
        <v>2.0833333333333335</v>
      </c>
      <c r="AX38" s="6">
        <f>_xlfn.FLOOR.MATH((AW38))</f>
        <v>2</v>
      </c>
      <c r="AY38" s="6">
        <f>(AV38-3600*AX38)/60</f>
        <v>5</v>
      </c>
      <c r="AZ38" s="6">
        <f>_xlfn.FLOOR.MATH((AY38))</f>
        <v>5</v>
      </c>
      <c r="BA38" s="6">
        <f>AV38-3600*AX38-60*AZ38</f>
        <v>0</v>
      </c>
      <c r="BB38" s="6">
        <f>AW38*IF(AD38&lt;0,-1,1)</f>
        <v>-2.0833333333333335</v>
      </c>
      <c r="BC38" s="7" t="str">
        <f>CONCATENATE(AE38,TEXT(AX38,"00"),"°",TEXT(AZ38,"00"),"'",TEXT(BA38,"00.00"), " [", CONCATENATE(AE38,TEXT(AX38,"00"),"°",TEXT(AY38,"00.00")),"]", "  (", AE38,TEXT(AW38,"00.0000"),"°)")</f>
        <v>-02°05'00.00 [-02°05.00]  (-02.0833°)</v>
      </c>
      <c r="BD38" s="39"/>
      <c r="BE38" s="39"/>
      <c r="BF38" s="39"/>
      <c r="BG38" s="39"/>
      <c r="BH38" s="39"/>
      <c r="BI38" s="39"/>
      <c r="BJ38" s="39"/>
      <c r="BK38" s="39"/>
      <c r="BL38" s="39"/>
      <c r="BM38" s="39"/>
    </row>
    <row r="39" spans="1:65" ht="17.25" customHeight="1" thickTop="1" thickBot="1" x14ac:dyDescent="0.3">
      <c r="B39" s="17"/>
      <c r="C39" s="46"/>
      <c r="D39" s="17"/>
      <c r="E39" s="398">
        <f>AC38</f>
        <v>-2.0833333333333335</v>
      </c>
      <c r="F39" s="424"/>
      <c r="G39" s="424"/>
      <c r="H39" s="363" t="s">
        <v>7</v>
      </c>
      <c r="I39" s="414" t="s">
        <v>372</v>
      </c>
      <c r="J39" s="363"/>
      <c r="K39" s="363"/>
      <c r="L39" s="363"/>
      <c r="M39" s="363"/>
      <c r="N39" s="357" t="str">
        <f>AB38</f>
        <v>-02°05'00.00 [-02°05.00]  (-02.0833°)</v>
      </c>
      <c r="O39" s="357"/>
      <c r="P39" s="357"/>
      <c r="Q39" s="357"/>
      <c r="R39" s="357"/>
      <c r="S39" s="357"/>
      <c r="T39" s="357"/>
      <c r="U39" s="357"/>
      <c r="V39" s="357"/>
      <c r="W39" s="357"/>
      <c r="X39" s="36"/>
      <c r="Y39" s="36"/>
      <c r="AA39" s="18" t="str">
        <f>I39</f>
        <v>2°05'</v>
      </c>
      <c r="AC39" s="37"/>
      <c r="AD39" s="178"/>
      <c r="AE39" s="178"/>
      <c r="AF39" s="178"/>
      <c r="AG39" s="178"/>
      <c r="AL39" s="22"/>
      <c r="AN39" s="29"/>
      <c r="AT39" s="38"/>
      <c r="AU39" s="38"/>
      <c r="AV39" s="39"/>
      <c r="AW39" s="39"/>
      <c r="AX39" s="178"/>
      <c r="AY39" s="178"/>
      <c r="AZ39" s="178"/>
      <c r="BA39" s="178"/>
    </row>
    <row r="40" spans="1:65" ht="17.25" customHeight="1" thickTop="1" thickBot="1" x14ac:dyDescent="0.3">
      <c r="C40" s="46"/>
      <c r="D40" s="17"/>
      <c r="E40" s="424"/>
      <c r="F40" s="424"/>
      <c r="G40" s="424"/>
      <c r="H40" s="363"/>
      <c r="I40" s="363"/>
      <c r="J40" s="363"/>
      <c r="K40" s="363"/>
      <c r="L40" s="363"/>
      <c r="M40" s="363"/>
      <c r="N40" s="357"/>
      <c r="O40" s="357"/>
      <c r="P40" s="357"/>
      <c r="Q40" s="357"/>
      <c r="R40" s="357"/>
      <c r="S40" s="357"/>
      <c r="T40" s="357"/>
      <c r="U40" s="357"/>
      <c r="V40" s="357"/>
      <c r="W40" s="357"/>
      <c r="X40" s="36"/>
      <c r="Y40" s="36"/>
      <c r="AL40" s="22"/>
      <c r="AN40" s="29"/>
    </row>
    <row r="41" spans="1:65" ht="17.25" customHeight="1" thickTop="1" x14ac:dyDescent="0.25">
      <c r="C41" s="46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AL41" s="22"/>
      <c r="AN41" s="29"/>
    </row>
    <row r="42" spans="1:65" ht="17.25" customHeight="1" thickBot="1" x14ac:dyDescent="0.3">
      <c r="AD42" s="17"/>
      <c r="AE42" s="17"/>
      <c r="AF42" s="17"/>
      <c r="AG42" s="17"/>
      <c r="AH42" s="17"/>
      <c r="AI42" s="17"/>
      <c r="AJ42" s="17"/>
      <c r="AK42" s="17"/>
    </row>
    <row r="43" spans="1:65" ht="17.25" customHeight="1" thickBot="1" x14ac:dyDescent="0.3">
      <c r="B43" s="47" t="s">
        <v>10</v>
      </c>
      <c r="C43" s="48"/>
      <c r="D43" s="48"/>
      <c r="E43" s="362">
        <f>IF(F44=AE44,E48,E56)</f>
        <v>-11.98176</v>
      </c>
      <c r="F43" s="362"/>
      <c r="G43" s="362"/>
      <c r="H43" s="48"/>
      <c r="I43" s="48"/>
      <c r="J43" s="48"/>
      <c r="K43" s="48"/>
      <c r="L43" s="48"/>
      <c r="M43" s="48"/>
      <c r="N43" s="48"/>
      <c r="O43" s="48"/>
      <c r="P43" s="48"/>
      <c r="Q43" s="48"/>
      <c r="R43" s="48"/>
      <c r="S43" s="48"/>
      <c r="T43" s="48"/>
      <c r="U43" s="48"/>
      <c r="V43" s="48"/>
      <c r="W43" s="48"/>
      <c r="X43" s="48"/>
      <c r="Y43" s="48"/>
      <c r="Z43" s="48"/>
      <c r="AA43" s="48"/>
      <c r="AB43" s="48"/>
      <c r="AC43" s="48"/>
      <c r="AD43" s="48"/>
      <c r="AE43" s="48"/>
      <c r="AF43" s="48"/>
      <c r="AG43" s="48"/>
      <c r="AH43" s="48"/>
      <c r="AI43" s="48"/>
      <c r="AJ43" s="48"/>
      <c r="AK43" s="48"/>
      <c r="AL43" s="48"/>
      <c r="AM43" s="48"/>
      <c r="AN43" s="48"/>
      <c r="AO43" s="48"/>
      <c r="AP43" s="48"/>
      <c r="AQ43" s="48"/>
      <c r="AR43" s="48"/>
      <c r="AS43" s="48"/>
      <c r="AT43" s="48"/>
      <c r="AU43" s="48"/>
      <c r="AV43" s="48"/>
      <c r="AW43" s="48"/>
      <c r="AX43" s="48"/>
      <c r="AY43" s="48"/>
      <c r="AZ43" s="48"/>
      <c r="BA43" s="49"/>
    </row>
    <row r="44" spans="1:65" s="50" customFormat="1" ht="17.25" customHeight="1" x14ac:dyDescent="0.25">
      <c r="C44" s="434" t="s">
        <v>58</v>
      </c>
      <c r="D44" s="434"/>
      <c r="E44" s="434"/>
      <c r="F44" s="435" t="s">
        <v>17</v>
      </c>
      <c r="G44" s="435"/>
      <c r="H44" s="435"/>
      <c r="AA44" s="51"/>
      <c r="AB44" s="52"/>
      <c r="AC44" s="52"/>
      <c r="AD44" s="53" t="s">
        <v>59</v>
      </c>
      <c r="AE44" s="54" t="s">
        <v>11</v>
      </c>
      <c r="AF44" s="55">
        <v>0</v>
      </c>
      <c r="AG44" s="55"/>
    </row>
    <row r="45" spans="1:65" ht="17.25" customHeight="1" x14ac:dyDescent="0.25">
      <c r="C45" s="56" t="s">
        <v>11</v>
      </c>
      <c r="D45" s="57"/>
      <c r="E45" s="57"/>
      <c r="F45" s="17"/>
      <c r="G45" s="17"/>
      <c r="H45" s="17"/>
      <c r="AE45" s="58" t="s">
        <v>17</v>
      </c>
      <c r="AF45" s="22">
        <v>1</v>
      </c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</row>
    <row r="46" spans="1:65" ht="17.25" customHeight="1" x14ac:dyDescent="0.25">
      <c r="E46" s="401" t="s">
        <v>10</v>
      </c>
      <c r="F46" s="401"/>
      <c r="G46" s="401"/>
      <c r="H46" s="401" t="s">
        <v>13</v>
      </c>
      <c r="I46" s="401"/>
      <c r="J46" s="401"/>
      <c r="K46" s="401"/>
      <c r="L46" s="402" t="s">
        <v>14</v>
      </c>
      <c r="M46" s="402"/>
      <c r="N46" s="402"/>
      <c r="O46" s="415" t="s">
        <v>18</v>
      </c>
      <c r="P46" s="415"/>
      <c r="Q46" s="415"/>
      <c r="R46" s="415"/>
      <c r="S46" s="415"/>
      <c r="T46" s="17"/>
      <c r="AB46" s="14"/>
      <c r="AC46" s="7"/>
      <c r="AD46" s="3" t="s">
        <v>57</v>
      </c>
      <c r="AE46" s="3" t="s">
        <v>57</v>
      </c>
      <c r="AF46" s="3" t="s">
        <v>304</v>
      </c>
      <c r="AG46" s="3" t="s">
        <v>120</v>
      </c>
      <c r="AH46" s="3" t="s">
        <v>121</v>
      </c>
      <c r="AI46" s="3" t="s">
        <v>122</v>
      </c>
      <c r="AJ46" s="3" t="s">
        <v>123</v>
      </c>
      <c r="AK46" s="3" t="s">
        <v>124</v>
      </c>
      <c r="AL46" s="3" t="s">
        <v>125</v>
      </c>
      <c r="AM46" s="3" t="s">
        <v>101</v>
      </c>
      <c r="AN46" s="3" t="s">
        <v>129</v>
      </c>
      <c r="AO46" s="3" t="s">
        <v>128</v>
      </c>
      <c r="AP46" s="3" t="s">
        <v>126</v>
      </c>
      <c r="AQ46" s="3" t="s">
        <v>127</v>
      </c>
      <c r="AR46" s="3" t="s">
        <v>129</v>
      </c>
      <c r="AS46" s="3" t="s">
        <v>128</v>
      </c>
      <c r="AT46" s="3" t="s">
        <v>130</v>
      </c>
      <c r="AU46" s="3" t="s">
        <v>112</v>
      </c>
      <c r="AV46" s="3" t="s">
        <v>117</v>
      </c>
      <c r="AW46" s="3" t="s">
        <v>143</v>
      </c>
      <c r="AX46" s="3" t="s">
        <v>149</v>
      </c>
      <c r="AY46" s="3" t="s">
        <v>131</v>
      </c>
      <c r="AZ46" s="3" t="s">
        <v>150</v>
      </c>
      <c r="BA46" s="3" t="s">
        <v>112</v>
      </c>
      <c r="BB46" s="3" t="s">
        <v>308</v>
      </c>
      <c r="BC46" s="3" t="s">
        <v>151</v>
      </c>
    </row>
    <row r="47" spans="1:65" ht="17.25" customHeight="1" thickBot="1" x14ac:dyDescent="0.3">
      <c r="E47" s="401"/>
      <c r="F47" s="401"/>
      <c r="G47" s="401"/>
      <c r="H47" s="401"/>
      <c r="I47" s="401"/>
      <c r="J47" s="401"/>
      <c r="K47" s="401"/>
      <c r="L47" s="402"/>
      <c r="M47" s="402"/>
      <c r="N47" s="402"/>
      <c r="O47" s="415"/>
      <c r="P47" s="415"/>
      <c r="Q47" s="415"/>
      <c r="R47" s="415"/>
      <c r="S47" s="415"/>
      <c r="T47" s="17"/>
      <c r="AA47" s="18" t="str">
        <f>IF(VLOOKUP(O48,$A$36:$C$37,3)&gt;0,AA48,CONCATENATE("-",AA48))</f>
        <v>23°08.5'</v>
      </c>
      <c r="AB47" s="14" t="str">
        <f>BC47</f>
        <v>23°08'30.00 [23°08.50]  (23.1417°)</v>
      </c>
      <c r="AC47" s="7">
        <f>BB47</f>
        <v>23.141666666666666</v>
      </c>
      <c r="AD47" s="5">
        <f>IF(LEFT(TRIM(AA47),1)="-",-1,IF(LEFT(TRIM(AA47),1)="+",1, 0))</f>
        <v>0</v>
      </c>
      <c r="AE47" s="5" t="str">
        <f>IF(AD47&gt;0,"+",IF(AD47&lt;0,"-",""))</f>
        <v/>
      </c>
      <c r="AF47" s="5" t="str">
        <f>IF(ABS(AD47)&gt;0,RIGHT(AA47,LEN(AA47)-1),AA47)</f>
        <v>23°08.5'</v>
      </c>
      <c r="AG47" s="5" t="b">
        <f>ISNUMBER(SEARCH("°",AF47,1))</f>
        <v>1</v>
      </c>
      <c r="AH47" s="5" t="b">
        <f>ISNUMBER(SEARCH("'",AF47,1))</f>
        <v>1</v>
      </c>
      <c r="AI47" s="5" t="b">
        <f>ISNUMBER(SEARCH("""",AF47,1))</f>
        <v>0</v>
      </c>
      <c r="AJ47" s="5" t="b">
        <f>NOT(OR(AG47,AH47,AI47))</f>
        <v>0</v>
      </c>
      <c r="AK47" s="5" t="b">
        <f t="shared" ref="AK47" si="39">OR(AJ47,AG47)</f>
        <v>1</v>
      </c>
      <c r="AL47" s="6" t="str">
        <f>IF(AJ47,VALUE(AF47),IF(AG47,LEFT(AF47,SEARCH("°",AF47,1)-1),0))</f>
        <v>23</v>
      </c>
      <c r="AM47" s="5" t="str">
        <f>IF(AJ47,"",IF(AG47,RIGHT(AF47,LEN(AF47)-SEARCH("°",AF47,1)),AF47))</f>
        <v>08.5'</v>
      </c>
      <c r="AN47" s="5" t="b">
        <f>(LEN(AM47)&gt;0)</f>
        <v>1</v>
      </c>
      <c r="AO47" s="5" t="b">
        <f>NOT(OR(AH47,AI47))</f>
        <v>0</v>
      </c>
      <c r="AP47" s="6">
        <f t="shared" ref="AP47" si="40">IF(NOT(AN47),0,IF(AO47,VALUE(AM47),IF(NOT(AH47),0,VALUE(LEFT(AM47,SEARCH("'",AM47,1)-1)))))</f>
        <v>8.5</v>
      </c>
      <c r="AQ47" s="5" t="str">
        <f t="shared" ref="AQ47" si="41">IF(NOT(AN47),"",IF(AO47,"",IF(NOT(AH47),AM47,RIGHT(AM47,LEN(AM47)-SEARCH("'",AM47,1)))))</f>
        <v/>
      </c>
      <c r="AR47" s="5" t="b">
        <f>(LEN(AQ47)&gt;0)</f>
        <v>0</v>
      </c>
      <c r="AS47" s="5" t="b">
        <f t="shared" ref="AS47" si="42">NOT(AI47)</f>
        <v>1</v>
      </c>
      <c r="AT47" s="5" t="b">
        <f>ISNUMBER(SEARCH(".",AQ47,1))</f>
        <v>0</v>
      </c>
      <c r="AU47" s="6">
        <f t="shared" ref="AU47" si="43">IF(AR47,IF(AI47,IF(AT47,VALUE(SUBSTITUTE(AQ47, """", "")),VALUE(SUBSTITUTE(AQ47, """", "."))),VALUE(AQ47)),0)</f>
        <v>0</v>
      </c>
      <c r="AV47" s="6">
        <f t="shared" ref="AV47" si="44">AL47*3600+AP47*60+AU47</f>
        <v>83310</v>
      </c>
      <c r="AW47" s="6">
        <f>AV47/3600</f>
        <v>23.141666666666666</v>
      </c>
      <c r="AX47" s="6">
        <f>_xlfn.FLOOR.MATH((AW47))</f>
        <v>23</v>
      </c>
      <c r="AY47" s="6">
        <f>(AV47-3600*AX47)/60</f>
        <v>8.5</v>
      </c>
      <c r="AZ47" s="6">
        <f>_xlfn.FLOOR.MATH((AY47))</f>
        <v>8</v>
      </c>
      <c r="BA47" s="6">
        <f>AV47-3600*AX47-60*AZ47</f>
        <v>30</v>
      </c>
      <c r="BB47" s="6">
        <f>AW47*IF(AD47&lt;0,-1,1)</f>
        <v>23.141666666666666</v>
      </c>
      <c r="BC47" s="7" t="str">
        <f>CONCATENATE(AE47,TEXT(AX47,"00"),"°",TEXT(AZ47,"00"),"'",TEXT(BA47,"00.00"), " [", CONCATENATE(AE47,TEXT(AX47,"00"),"°",TEXT(AY47,"00.00")),"]", "  (", AE47,TEXT(AW47,"00.0000"),"°)")</f>
        <v>23°08'30.00 [23°08.50]  (23.1417°)</v>
      </c>
    </row>
    <row r="48" spans="1:65" ht="17.25" customHeight="1" thickTop="1" thickBot="1" x14ac:dyDescent="0.3">
      <c r="D48" s="59"/>
      <c r="E48" s="397" t="str">
        <f>IF(F44=AE45,"---",AC51)</f>
        <v>---</v>
      </c>
      <c r="F48" s="397"/>
      <c r="G48" s="397"/>
      <c r="H48" s="321">
        <f>D11</f>
        <v>16.14</v>
      </c>
      <c r="I48" s="321"/>
      <c r="J48" s="321"/>
      <c r="K48" s="321"/>
      <c r="L48" s="307">
        <v>10</v>
      </c>
      <c r="M48" s="321"/>
      <c r="N48" s="321"/>
      <c r="O48" s="321" t="s">
        <v>4</v>
      </c>
      <c r="P48" s="416" t="s">
        <v>237</v>
      </c>
      <c r="Q48" s="321"/>
      <c r="R48" s="321"/>
      <c r="S48" s="321"/>
      <c r="T48" s="357" t="str">
        <f>AB47</f>
        <v>23°08'30.00 [23°08.50]  (23.1417°)</v>
      </c>
      <c r="U48" s="358"/>
      <c r="V48" s="358"/>
      <c r="W48" s="358"/>
      <c r="X48" s="358"/>
      <c r="AA48" s="18" t="str">
        <f>P48</f>
        <v>23°08.5'</v>
      </c>
      <c r="AC48" s="37"/>
      <c r="AD48" s="21"/>
      <c r="AG48" s="21"/>
      <c r="AL48" s="22"/>
      <c r="AN48" s="29"/>
      <c r="AT48" s="38"/>
      <c r="AU48" s="38"/>
      <c r="AV48" s="39"/>
      <c r="AW48" s="39"/>
      <c r="AX48" s="178"/>
      <c r="AY48" s="178"/>
      <c r="AZ48" s="178"/>
      <c r="BA48" s="178"/>
    </row>
    <row r="49" spans="1:66" ht="17.25" customHeight="1" thickTop="1" thickBot="1" x14ac:dyDescent="0.3">
      <c r="E49" s="398"/>
      <c r="F49" s="398"/>
      <c r="G49" s="398"/>
      <c r="H49" s="363"/>
      <c r="I49" s="363"/>
      <c r="J49" s="363"/>
      <c r="K49" s="363"/>
      <c r="L49" s="400"/>
      <c r="M49" s="363"/>
      <c r="N49" s="363"/>
      <c r="O49" s="363"/>
      <c r="P49" s="363"/>
      <c r="Q49" s="363"/>
      <c r="R49" s="363"/>
      <c r="S49" s="363"/>
      <c r="T49" s="358"/>
      <c r="U49" s="358"/>
      <c r="V49" s="358"/>
      <c r="W49" s="358"/>
      <c r="X49" s="358"/>
      <c r="AA49" s="18" t="str">
        <f>IF(VLOOKUP(O50,$A$36:$C$37,3)&gt;0,AA50,CONCATENATE("-",AA50))</f>
        <v>23°08.3'</v>
      </c>
      <c r="AB49" s="14" t="str">
        <f>BC49</f>
        <v>23°08'18.00 [23°08.30]  (23.1383°)</v>
      </c>
      <c r="AC49" s="7">
        <f>BB49</f>
        <v>23.138333333333332</v>
      </c>
      <c r="AD49" s="5">
        <f>IF(LEFT(TRIM(AA49),1)="-",-1,IF(LEFT(TRIM(AA49),1)="+",1, 0))</f>
        <v>0</v>
      </c>
      <c r="AE49" s="5" t="str">
        <f>IF(AD49&gt;0,"+",IF(AD49&lt;0,"-",""))</f>
        <v/>
      </c>
      <c r="AF49" s="5" t="str">
        <f>IF(ABS(AD49)&gt;0,RIGHT(AA49,LEN(AA49)-1),AA49)</f>
        <v>23°08.3'</v>
      </c>
      <c r="AG49" s="5" t="b">
        <f>ISNUMBER(SEARCH("°",AF49,1))</f>
        <v>1</v>
      </c>
      <c r="AH49" s="5" t="b">
        <f>ISNUMBER(SEARCH("'",AF49,1))</f>
        <v>1</v>
      </c>
      <c r="AI49" s="5" t="b">
        <f>ISNUMBER(SEARCH("""",AF49,1))</f>
        <v>0</v>
      </c>
      <c r="AJ49" s="5" t="b">
        <f>NOT(OR(AG49,AH49,AI49))</f>
        <v>0</v>
      </c>
      <c r="AK49" s="5" t="b">
        <f t="shared" ref="AK49" si="45">OR(AJ49,AG49)</f>
        <v>1</v>
      </c>
      <c r="AL49" s="6" t="str">
        <f>IF(AJ49,VALUE(AF49),IF(AG49,LEFT(AF49,SEARCH("°",AF49,1)-1),0))</f>
        <v>23</v>
      </c>
      <c r="AM49" s="5" t="str">
        <f>IF(AJ49,"",IF(AG49,RIGHT(AF49,LEN(AF49)-SEARCH("°",AF49,1)),AF49))</f>
        <v>08.3'</v>
      </c>
      <c r="AN49" s="5" t="b">
        <f>(LEN(AM49)&gt;0)</f>
        <v>1</v>
      </c>
      <c r="AO49" s="5" t="b">
        <f>NOT(OR(AH49,AI49))</f>
        <v>0</v>
      </c>
      <c r="AP49" s="6">
        <f t="shared" ref="AP49" si="46">IF(NOT(AN49),0,IF(AO49,VALUE(AM49),IF(NOT(AH49),0,VALUE(LEFT(AM49,SEARCH("'",AM49,1)-1)))))</f>
        <v>8.3000000000000007</v>
      </c>
      <c r="AQ49" s="5" t="str">
        <f t="shared" ref="AQ49" si="47">IF(NOT(AN49),"",IF(AO49,"",IF(NOT(AH49),AM49,RIGHT(AM49,LEN(AM49)-SEARCH("'",AM49,1)))))</f>
        <v/>
      </c>
      <c r="AR49" s="5" t="b">
        <f>(LEN(AQ49)&gt;0)</f>
        <v>0</v>
      </c>
      <c r="AS49" s="5" t="b">
        <f t="shared" ref="AS49" si="48">NOT(AI49)</f>
        <v>1</v>
      </c>
      <c r="AT49" s="5" t="b">
        <f>ISNUMBER(SEARCH(".",AQ49,1))</f>
        <v>0</v>
      </c>
      <c r="AU49" s="6">
        <f t="shared" ref="AU49" si="49">IF(AR49,IF(AI49,IF(AT49,VALUE(SUBSTITUTE(AQ49, """", "")),VALUE(SUBSTITUTE(AQ49, """", "."))),VALUE(AQ49)),0)</f>
        <v>0</v>
      </c>
      <c r="AV49" s="6">
        <f t="shared" ref="AV49" si="50">AL49*3600+AP49*60+AU49</f>
        <v>83298</v>
      </c>
      <c r="AW49" s="6">
        <f>AV49/3600</f>
        <v>23.138333333333332</v>
      </c>
      <c r="AX49" s="6">
        <f>_xlfn.FLOOR.MATH((AW49))</f>
        <v>23</v>
      </c>
      <c r="AY49" s="6">
        <f>(AV49-3600*AX49)/60</f>
        <v>8.3000000000000007</v>
      </c>
      <c r="AZ49" s="6">
        <f>_xlfn.FLOOR.MATH((AY49))</f>
        <v>8</v>
      </c>
      <c r="BA49" s="6">
        <f>AV49-3600*AX49-60*AZ49</f>
        <v>18</v>
      </c>
      <c r="BB49" s="6">
        <f>AW49*IF(AD49&lt;0,-1,1)</f>
        <v>23.138333333333332</v>
      </c>
      <c r="BC49" s="7" t="str">
        <f>CONCATENATE(AE49,TEXT(AX49,"00"),"°",TEXT(AZ49,"00"),"'",TEXT(BA49,"00.00"), " [", CONCATENATE(AE49,TEXT(AX49,"00"),"°",TEXT(AY49,"00.00")),"]", "  (", AE49,TEXT(AW49,"00.0000"),"°)")</f>
        <v>23°08'18.00 [23°08.30]  (23.1383°)</v>
      </c>
    </row>
    <row r="50" spans="1:66" ht="17.25" customHeight="1" thickTop="1" thickBot="1" x14ac:dyDescent="0.3">
      <c r="E50" s="398"/>
      <c r="F50" s="398"/>
      <c r="G50" s="398"/>
      <c r="H50" s="363"/>
      <c r="I50" s="363"/>
      <c r="J50" s="363"/>
      <c r="K50" s="363"/>
      <c r="L50" s="400">
        <v>11</v>
      </c>
      <c r="M50" s="363"/>
      <c r="N50" s="363"/>
      <c r="O50" s="363" t="s">
        <v>4</v>
      </c>
      <c r="P50" s="414" t="s">
        <v>238</v>
      </c>
      <c r="Q50" s="363"/>
      <c r="R50" s="363"/>
      <c r="S50" s="363"/>
      <c r="T50" s="357" t="str">
        <f>AB49</f>
        <v>23°08'18.00 [23°08.30]  (23.1383°)</v>
      </c>
      <c r="U50" s="358"/>
      <c r="V50" s="358"/>
      <c r="W50" s="358"/>
      <c r="X50" s="358"/>
      <c r="AA50" s="18" t="str">
        <f>P50</f>
        <v>23°08.3'</v>
      </c>
      <c r="AD50" s="31" t="s">
        <v>62</v>
      </c>
      <c r="AE50" s="31" t="s">
        <v>61</v>
      </c>
      <c r="AF50" s="31" t="s">
        <v>63</v>
      </c>
      <c r="AG50" s="31" t="s">
        <v>60</v>
      </c>
      <c r="AL50" s="22"/>
      <c r="AN50" s="29"/>
      <c r="AT50" s="38"/>
      <c r="AU50" s="38"/>
      <c r="AV50" s="39"/>
      <c r="AW50" s="39"/>
      <c r="AX50" s="178"/>
      <c r="AY50" s="178"/>
      <c r="AZ50" s="178"/>
    </row>
    <row r="51" spans="1:66" ht="17.25" customHeight="1" thickTop="1" thickBot="1" x14ac:dyDescent="0.3">
      <c r="E51" s="398"/>
      <c r="F51" s="398"/>
      <c r="G51" s="398"/>
      <c r="H51" s="363"/>
      <c r="I51" s="363"/>
      <c r="J51" s="363"/>
      <c r="K51" s="363"/>
      <c r="L51" s="400"/>
      <c r="M51" s="363"/>
      <c r="N51" s="363"/>
      <c r="O51" s="363"/>
      <c r="P51" s="363"/>
      <c r="Q51" s="363"/>
      <c r="R51" s="363"/>
      <c r="S51" s="363"/>
      <c r="T51" s="358"/>
      <c r="U51" s="358"/>
      <c r="V51" s="358"/>
      <c r="W51" s="358"/>
      <c r="X51" s="358"/>
      <c r="AC51" s="37">
        <f>AG51</f>
        <v>23.121199999999995</v>
      </c>
      <c r="AD51" s="22">
        <f>L50-L48</f>
        <v>1</v>
      </c>
      <c r="AE51" s="22">
        <f>AC49-AC47</f>
        <v>-3.3333333333338544E-3</v>
      </c>
      <c r="AF51" s="22">
        <f>H48-L48</f>
        <v>6.1400000000000006</v>
      </c>
      <c r="AG51" s="22">
        <f>AC47+AF51*AE51</f>
        <v>23.121199999999995</v>
      </c>
      <c r="AH51" s="60"/>
      <c r="AI51" s="31"/>
      <c r="AJ51" s="31"/>
      <c r="AK51" s="31"/>
      <c r="AL51" s="31"/>
      <c r="AM51" s="31"/>
      <c r="AN51" s="17"/>
      <c r="AO51" s="17"/>
      <c r="AP51" s="17"/>
      <c r="AQ51" s="17"/>
      <c r="AR51" s="17"/>
      <c r="AS51" s="17"/>
      <c r="AT51" s="17"/>
    </row>
    <row r="52" spans="1:66" ht="17.25" customHeight="1" thickTop="1" thickBot="1" x14ac:dyDescent="0.3">
      <c r="E52" s="279" t="str">
        <f>AB52</f>
        <v>23°07'16.32 [23°07.27]  (23.1212°)</v>
      </c>
      <c r="F52" s="279"/>
      <c r="G52" s="279"/>
      <c r="H52" s="279"/>
      <c r="I52" s="279"/>
      <c r="J52" s="279"/>
      <c r="Z52" s="17"/>
      <c r="AA52" s="18">
        <f>AC51</f>
        <v>23.121199999999995</v>
      </c>
      <c r="AB52" s="14" t="str">
        <f>BC52</f>
        <v>23°07'16.32 [23°07.27]  (23.1212°)</v>
      </c>
      <c r="AC52" s="7">
        <f>BB52</f>
        <v>23.121199999999995</v>
      </c>
      <c r="AD52" s="5">
        <f>IF(LEFT(TRIM(AA52),1)="-",-1,IF(LEFT(TRIM(AA52),1)="+",1, 0))</f>
        <v>0</v>
      </c>
      <c r="AE52" s="5" t="str">
        <f>IF(AD52&gt;0,"+",IF(AD52&lt;0,"-",""))</f>
        <v/>
      </c>
      <c r="AF52" s="5">
        <f>IF(ABS(AD52)&gt;0,RIGHT(AA52,LEN(AA52)-1),AA52)</f>
        <v>23.121199999999995</v>
      </c>
      <c r="AG52" s="5" t="b">
        <f>ISNUMBER(SEARCH("°",AF52,1))</f>
        <v>0</v>
      </c>
      <c r="AH52" s="5" t="b">
        <f>ISNUMBER(SEARCH("'",AF52,1))</f>
        <v>0</v>
      </c>
      <c r="AI52" s="5" t="b">
        <f>ISNUMBER(SEARCH("""",AF52,1))</f>
        <v>0</v>
      </c>
      <c r="AJ52" s="5" t="b">
        <f>NOT(OR(AG52,AH52,AI52))</f>
        <v>1</v>
      </c>
      <c r="AK52" s="5" t="b">
        <f t="shared" ref="AK52" si="51">OR(AJ52,AG52)</f>
        <v>1</v>
      </c>
      <c r="AL52" s="6">
        <f>IF(AJ52,VALUE(AF52),IF(AG52,LEFT(AF52,SEARCH("°",AF52,1)-1),0))</f>
        <v>23.121199999999995</v>
      </c>
      <c r="AM52" s="5" t="str">
        <f>IF(AJ52,"",IF(AG52,RIGHT(AF52,LEN(AF52)-SEARCH("°",AF52,1)),AF52))</f>
        <v/>
      </c>
      <c r="AN52" s="5" t="b">
        <f>(LEN(AM52)&gt;0)</f>
        <v>0</v>
      </c>
      <c r="AO52" s="5" t="b">
        <f>NOT(OR(AH52,AI52))</f>
        <v>1</v>
      </c>
      <c r="AP52" s="6">
        <f t="shared" ref="AP52" si="52">IF(NOT(AN52),0,IF(AO52,VALUE(AM52),IF(NOT(AH52),0,VALUE(LEFT(AM52,SEARCH("'",AM52,1)-1)))))</f>
        <v>0</v>
      </c>
      <c r="AQ52" s="5" t="str">
        <f t="shared" ref="AQ52" si="53">IF(NOT(AN52),"",IF(AO52,"",IF(NOT(AH52),AM52,RIGHT(AM52,LEN(AM52)-SEARCH("'",AM52,1)))))</f>
        <v/>
      </c>
      <c r="AR52" s="5" t="b">
        <f>(LEN(AQ52)&gt;0)</f>
        <v>0</v>
      </c>
      <c r="AS52" s="5" t="b">
        <f t="shared" ref="AS52" si="54">NOT(AI52)</f>
        <v>1</v>
      </c>
      <c r="AT52" s="5" t="b">
        <f>ISNUMBER(SEARCH(".",AQ52,1))</f>
        <v>0</v>
      </c>
      <c r="AU52" s="6">
        <f t="shared" ref="AU52" si="55">IF(AR52,IF(AI52,IF(AT52,VALUE(SUBSTITUTE(AQ52, """", "")),VALUE(SUBSTITUTE(AQ52, """", "."))),VALUE(AQ52)),0)</f>
        <v>0</v>
      </c>
      <c r="AV52" s="6">
        <f t="shared" ref="AV52" si="56">AL52*3600+AP52*60+AU52</f>
        <v>83236.319999999978</v>
      </c>
      <c r="AW52" s="6">
        <f>AV52/3600</f>
        <v>23.121199999999995</v>
      </c>
      <c r="AX52" s="6">
        <f>_xlfn.FLOOR.MATH((AW52))</f>
        <v>23</v>
      </c>
      <c r="AY52" s="6">
        <f>(AV52-3600*AX52)/60</f>
        <v>7.2719999999996316</v>
      </c>
      <c r="AZ52" s="6">
        <f>_xlfn.FLOOR.MATH((AY52))</f>
        <v>7</v>
      </c>
      <c r="BA52" s="6">
        <f>AV52-3600*AX52-60*AZ52</f>
        <v>16.319999999977881</v>
      </c>
      <c r="BB52" s="6">
        <f>AW52*IF(AD52&lt;0,-1,1)</f>
        <v>23.121199999999995</v>
      </c>
      <c r="BC52" s="7" t="str">
        <f>CONCATENATE(AE52,TEXT(AX52,"00"),"°",TEXT(AZ52,"00"),"'",TEXT(BA52,"00.00"), " [", CONCATENATE(AE52,TEXT(AX52,"00"),"°",TEXT(AY52,"00.00")),"]", "  (", AE52,TEXT(AW52,"00.0000"),"°)")</f>
        <v>23°07'16.32 [23°07.27]  (23.1212°)</v>
      </c>
    </row>
    <row r="53" spans="1:66" ht="17.25" customHeight="1" thickTop="1" x14ac:dyDescent="0.25">
      <c r="C53" s="56" t="s">
        <v>17</v>
      </c>
      <c r="D53" s="57"/>
      <c r="E53" s="57"/>
      <c r="F53" s="17"/>
      <c r="G53" s="17"/>
      <c r="H53" s="17"/>
      <c r="Z53" s="17"/>
    </row>
    <row r="54" spans="1:66" ht="17.25" customHeight="1" x14ac:dyDescent="0.25">
      <c r="C54" s="17"/>
      <c r="D54" s="17"/>
      <c r="E54" s="401" t="s">
        <v>10</v>
      </c>
      <c r="F54" s="401"/>
      <c r="G54" s="401"/>
      <c r="H54" s="401" t="s">
        <v>13</v>
      </c>
      <c r="I54" s="401"/>
      <c r="J54" s="401"/>
      <c r="K54" s="401"/>
      <c r="L54" s="402" t="s">
        <v>14</v>
      </c>
      <c r="M54" s="402"/>
      <c r="N54" s="402"/>
      <c r="O54" s="415" t="s">
        <v>20</v>
      </c>
      <c r="P54" s="415"/>
      <c r="Q54" s="415"/>
      <c r="R54" s="415"/>
      <c r="S54" s="415"/>
      <c r="T54" s="415" t="s">
        <v>19</v>
      </c>
      <c r="U54" s="415"/>
      <c r="V54" s="415"/>
      <c r="W54" s="415"/>
      <c r="X54" s="415"/>
      <c r="Z54" s="17"/>
      <c r="AB54" s="14"/>
      <c r="AC54" s="7"/>
      <c r="AD54" s="3" t="s">
        <v>57</v>
      </c>
      <c r="AE54" s="3" t="s">
        <v>57</v>
      </c>
      <c r="AF54" s="3" t="s">
        <v>304</v>
      </c>
      <c r="AG54" s="3" t="s">
        <v>120</v>
      </c>
      <c r="AH54" s="3" t="s">
        <v>121</v>
      </c>
      <c r="AI54" s="3" t="s">
        <v>122</v>
      </c>
      <c r="AJ54" s="3" t="s">
        <v>123</v>
      </c>
      <c r="AK54" s="3" t="s">
        <v>124</v>
      </c>
      <c r="AL54" s="3" t="s">
        <v>125</v>
      </c>
      <c r="AM54" s="3" t="s">
        <v>101</v>
      </c>
      <c r="AN54" s="3" t="s">
        <v>129</v>
      </c>
      <c r="AO54" s="3" t="s">
        <v>128</v>
      </c>
      <c r="AP54" s="3" t="s">
        <v>126</v>
      </c>
      <c r="AQ54" s="3" t="s">
        <v>127</v>
      </c>
      <c r="AR54" s="3" t="s">
        <v>129</v>
      </c>
      <c r="AS54" s="3" t="s">
        <v>128</v>
      </c>
      <c r="AT54" s="3" t="s">
        <v>130</v>
      </c>
      <c r="AU54" s="3" t="s">
        <v>112</v>
      </c>
      <c r="AV54" s="3" t="s">
        <v>117</v>
      </c>
      <c r="AW54" s="3" t="s">
        <v>143</v>
      </c>
      <c r="AX54" s="3" t="s">
        <v>149</v>
      </c>
      <c r="AY54" s="3" t="s">
        <v>131</v>
      </c>
      <c r="AZ54" s="3" t="s">
        <v>150</v>
      </c>
      <c r="BA54" s="3" t="s">
        <v>112</v>
      </c>
      <c r="BB54" s="3" t="s">
        <v>308</v>
      </c>
      <c r="BC54" s="3" t="s">
        <v>151</v>
      </c>
    </row>
    <row r="55" spans="1:66" ht="17.25" customHeight="1" x14ac:dyDescent="0.25">
      <c r="E55" s="401"/>
      <c r="F55" s="401"/>
      <c r="G55" s="401"/>
      <c r="H55" s="401"/>
      <c r="I55" s="401"/>
      <c r="J55" s="401"/>
      <c r="K55" s="401"/>
      <c r="L55" s="402"/>
      <c r="M55" s="402"/>
      <c r="N55" s="402"/>
      <c r="O55" s="415"/>
      <c r="P55" s="415"/>
      <c r="Q55" s="415"/>
      <c r="R55" s="415"/>
      <c r="S55" s="415"/>
      <c r="T55" s="415"/>
      <c r="U55" s="415"/>
      <c r="V55" s="415"/>
      <c r="W55" s="415"/>
      <c r="X55" s="415"/>
      <c r="Y55" s="17"/>
      <c r="Z55" s="17"/>
      <c r="AA55" s="18" t="str">
        <f>IF(VLOOKUP(O56,$A$36:$C$37,3)&gt;0,AA56,CONCATENATE("-",AA56))</f>
        <v>-12.24°</v>
      </c>
      <c r="AB55" s="14" t="str">
        <f>BC55</f>
        <v>-12°14'24.00 [-12°14.40]  (-12.2400°)</v>
      </c>
      <c r="AC55" s="7">
        <f>BB55</f>
        <v>-12.24</v>
      </c>
      <c r="AD55" s="5">
        <f>IF(LEFT(TRIM(AA55),1)="-",-1,IF(LEFT(TRIM(AA55),1)="+",1, 0))</f>
        <v>-1</v>
      </c>
      <c r="AE55" s="5" t="str">
        <f>IF(AD55&gt;0,"+",IF(AD55&lt;0,"-",""))</f>
        <v>-</v>
      </c>
      <c r="AF55" s="5" t="str">
        <f>IF(ABS(AD55)&gt;0,RIGHT(AA55,LEN(AA55)-1),AA55)</f>
        <v>12.24°</v>
      </c>
      <c r="AG55" s="5" t="b">
        <f>ISNUMBER(SEARCH("°",AF55,1))</f>
        <v>1</v>
      </c>
      <c r="AH55" s="5" t="b">
        <f>ISNUMBER(SEARCH("'",AF55,1))</f>
        <v>0</v>
      </c>
      <c r="AI55" s="5" t="b">
        <f>ISNUMBER(SEARCH("""",AF55,1))</f>
        <v>0</v>
      </c>
      <c r="AJ55" s="5" t="b">
        <f>NOT(OR(AG55,AH55,AI55))</f>
        <v>0</v>
      </c>
      <c r="AK55" s="5" t="b">
        <f t="shared" ref="AK55" si="57">OR(AJ55,AG55)</f>
        <v>1</v>
      </c>
      <c r="AL55" s="6" t="str">
        <f>IF(AJ55,VALUE(AF55),IF(AG55,LEFT(AF55,SEARCH("°",AF55,1)-1),0))</f>
        <v>12.24</v>
      </c>
      <c r="AM55" s="5" t="str">
        <f>IF(AJ55,"",IF(AG55,RIGHT(AF55,LEN(AF55)-SEARCH("°",AF55,1)),AF55))</f>
        <v/>
      </c>
      <c r="AN55" s="5" t="b">
        <f>(LEN(AM55)&gt;0)</f>
        <v>0</v>
      </c>
      <c r="AO55" s="5" t="b">
        <f>NOT(OR(AH55,AI55))</f>
        <v>1</v>
      </c>
      <c r="AP55" s="6">
        <f t="shared" ref="AP55" si="58">IF(NOT(AN55),0,IF(AO55,VALUE(AM55),IF(NOT(AH55),0,VALUE(LEFT(AM55,SEARCH("'",AM55,1)-1)))))</f>
        <v>0</v>
      </c>
      <c r="AQ55" s="5" t="str">
        <f t="shared" ref="AQ55" si="59">IF(NOT(AN55),"",IF(AO55,"",IF(NOT(AH55),AM55,RIGHT(AM55,LEN(AM55)-SEARCH("'",AM55,1)))))</f>
        <v/>
      </c>
      <c r="AR55" s="5" t="b">
        <f>(LEN(AQ55)&gt;0)</f>
        <v>0</v>
      </c>
      <c r="AS55" s="5" t="b">
        <f t="shared" ref="AS55" si="60">NOT(AI55)</f>
        <v>1</v>
      </c>
      <c r="AT55" s="5" t="b">
        <f>ISNUMBER(SEARCH(".",AQ55,1))</f>
        <v>0</v>
      </c>
      <c r="AU55" s="6">
        <f t="shared" ref="AU55" si="61">IF(AR55,IF(AI55,IF(AT55,VALUE(SUBSTITUTE(AQ55, """", "")),VALUE(SUBSTITUTE(AQ55, """", "."))),VALUE(AQ55)),0)</f>
        <v>0</v>
      </c>
      <c r="AV55" s="6">
        <f t="shared" ref="AV55" si="62">AL55*3600+AP55*60+AU55</f>
        <v>44064</v>
      </c>
      <c r="AW55" s="6">
        <f>AV55/3600</f>
        <v>12.24</v>
      </c>
      <c r="AX55" s="6">
        <f>_xlfn.FLOOR.MATH((AW55))</f>
        <v>12</v>
      </c>
      <c r="AY55" s="6">
        <f>(AV55-3600*AX55)/60</f>
        <v>14.4</v>
      </c>
      <c r="AZ55" s="6">
        <f>_xlfn.FLOOR.MATH((AY55))</f>
        <v>14</v>
      </c>
      <c r="BA55" s="6">
        <f>AV55-3600*AX55-60*AZ55</f>
        <v>24</v>
      </c>
      <c r="BB55" s="6">
        <f>AW55*IF(AD55&lt;0,-1,1)</f>
        <v>-12.24</v>
      </c>
      <c r="BC55" s="7" t="str">
        <f>CONCATENATE(AE55,TEXT(AX55,"00"),"°",TEXT(AZ55,"00"),"'",TEXT(BA55,"00.00"), " [", CONCATENATE(AE55,TEXT(AX55,"00"),"°",TEXT(AY55,"00.00")),"]", "  (", AE55,TEXT(AW55,"00.0000"),"°)")</f>
        <v>-12°14'24.00 [-12°14.40]  (-12.2400°)</v>
      </c>
    </row>
    <row r="56" spans="1:66" ht="17.25" customHeight="1" x14ac:dyDescent="0.25">
      <c r="D56" s="59"/>
      <c r="E56" s="397">
        <f>IF(F44=AE45,AC58,"---")</f>
        <v>-11.98176</v>
      </c>
      <c r="F56" s="397"/>
      <c r="G56" s="397"/>
      <c r="H56" s="321">
        <f>D11</f>
        <v>16.14</v>
      </c>
      <c r="I56" s="321"/>
      <c r="J56" s="321"/>
      <c r="K56" s="321"/>
      <c r="L56" s="307">
        <v>0</v>
      </c>
      <c r="M56" s="321"/>
      <c r="N56" s="321"/>
      <c r="O56" s="321" t="s">
        <v>5</v>
      </c>
      <c r="P56" s="416" t="s">
        <v>373</v>
      </c>
      <c r="Q56" s="321"/>
      <c r="R56" s="321"/>
      <c r="S56" s="321"/>
      <c r="T56" s="321" t="s">
        <v>4</v>
      </c>
      <c r="U56" s="416" t="s">
        <v>315</v>
      </c>
      <c r="V56" s="321"/>
      <c r="W56" s="321"/>
      <c r="X56" s="321"/>
      <c r="Y56" s="17"/>
      <c r="AA56" s="18" t="str">
        <f>P56</f>
        <v>12.24°</v>
      </c>
      <c r="AC56" s="37"/>
      <c r="AD56" s="21"/>
      <c r="AG56" s="21"/>
      <c r="AL56" s="22"/>
      <c r="AN56" s="29"/>
      <c r="AT56" s="38"/>
      <c r="AU56" s="38"/>
      <c r="AV56" s="39"/>
      <c r="AW56" s="39"/>
      <c r="AX56" s="178"/>
      <c r="AY56" s="178"/>
      <c r="AZ56" s="178"/>
      <c r="BA56" s="178"/>
    </row>
    <row r="57" spans="1:66" ht="17.25" customHeight="1" collapsed="1" thickBot="1" x14ac:dyDescent="0.3">
      <c r="E57" s="398"/>
      <c r="F57" s="398"/>
      <c r="G57" s="398"/>
      <c r="H57" s="363"/>
      <c r="I57" s="363"/>
      <c r="J57" s="363"/>
      <c r="K57" s="363"/>
      <c r="L57" s="400"/>
      <c r="M57" s="363"/>
      <c r="N57" s="363"/>
      <c r="O57" s="363"/>
      <c r="P57" s="363"/>
      <c r="Q57" s="363"/>
      <c r="R57" s="363"/>
      <c r="S57" s="363"/>
      <c r="T57" s="363"/>
      <c r="U57" s="363"/>
      <c r="V57" s="363"/>
      <c r="W57" s="363"/>
      <c r="X57" s="363"/>
      <c r="Y57" s="17"/>
      <c r="AA57" s="18" t="str">
        <f>IF(VLOOKUP(T56,$A$36:$C$37,3)&gt;0,AA58,CONCATENATE("-",AA58))</f>
        <v>0°0.96'</v>
      </c>
      <c r="AB57" s="14" t="str">
        <f>BC57</f>
        <v>00°00'57.60 [00°00.96]  (00.0160°)</v>
      </c>
      <c r="AC57" s="7">
        <f>BB57</f>
        <v>1.5999999999999997E-2</v>
      </c>
      <c r="AD57" s="5">
        <f>IF(LEFT(TRIM(AA57),1)="-",-1,IF(LEFT(TRIM(AA57),1)="+",1, 0))</f>
        <v>0</v>
      </c>
      <c r="AE57" s="5" t="str">
        <f>IF(AD57&gt;0,"+",IF(AD57&lt;0,"-",""))</f>
        <v/>
      </c>
      <c r="AF57" s="5" t="str">
        <f>IF(ABS(AD57)&gt;0,RIGHT(AA57,LEN(AA57)-1),AA57)</f>
        <v>0°0.96'</v>
      </c>
      <c r="AG57" s="5" t="b">
        <f>ISNUMBER(SEARCH("°",AF57,1))</f>
        <v>1</v>
      </c>
      <c r="AH57" s="5" t="b">
        <f>ISNUMBER(SEARCH("'",AF57,1))</f>
        <v>1</v>
      </c>
      <c r="AI57" s="5" t="b">
        <f>ISNUMBER(SEARCH("""",AF57,1))</f>
        <v>0</v>
      </c>
      <c r="AJ57" s="5" t="b">
        <f>NOT(OR(AG57,AH57,AI57))</f>
        <v>0</v>
      </c>
      <c r="AK57" s="5" t="b">
        <f t="shared" ref="AK57" si="63">OR(AJ57,AG57)</f>
        <v>1</v>
      </c>
      <c r="AL57" s="6" t="str">
        <f>IF(AJ57,VALUE(AF57),IF(AG57,LEFT(AF57,SEARCH("°",AF57,1)-1),0))</f>
        <v>0</v>
      </c>
      <c r="AM57" s="5" t="str">
        <f>IF(AJ57,"",IF(AG57,RIGHT(AF57,LEN(AF57)-SEARCH("°",AF57,1)),AF57))</f>
        <v>0.96'</v>
      </c>
      <c r="AN57" s="5" t="b">
        <f>(LEN(AM57)&gt;0)</f>
        <v>1</v>
      </c>
      <c r="AO57" s="5" t="b">
        <f>NOT(OR(AH57,AI57))</f>
        <v>0</v>
      </c>
      <c r="AP57" s="6">
        <f t="shared" ref="AP57" si="64">IF(NOT(AN57),0,IF(AO57,VALUE(AM57),IF(NOT(AH57),0,VALUE(LEFT(AM57,SEARCH("'",AM57,1)-1)))))</f>
        <v>0.96</v>
      </c>
      <c r="AQ57" s="5" t="str">
        <f t="shared" ref="AQ57" si="65">IF(NOT(AN57),"",IF(AO57,"",IF(NOT(AH57),AM57,RIGHT(AM57,LEN(AM57)-SEARCH("'",AM57,1)))))</f>
        <v/>
      </c>
      <c r="AR57" s="5" t="b">
        <f>(LEN(AQ57)&gt;0)</f>
        <v>0</v>
      </c>
      <c r="AS57" s="5" t="b">
        <f t="shared" ref="AS57" si="66">NOT(AI57)</f>
        <v>1</v>
      </c>
      <c r="AT57" s="5" t="b">
        <f>ISNUMBER(SEARCH(".",AQ57,1))</f>
        <v>0</v>
      </c>
      <c r="AU57" s="6">
        <f t="shared" ref="AU57" si="67">IF(AR57,IF(AI57,IF(AT57,VALUE(SUBSTITUTE(AQ57, """", "")),VALUE(SUBSTITUTE(AQ57, """", "."))),VALUE(AQ57)),0)</f>
        <v>0</v>
      </c>
      <c r="AV57" s="6">
        <f t="shared" ref="AV57" si="68">AL57*3600+AP57*60+AU57</f>
        <v>57.599999999999994</v>
      </c>
      <c r="AW57" s="6">
        <f>AV57/3600</f>
        <v>1.5999999999999997E-2</v>
      </c>
      <c r="AX57" s="6">
        <f>_xlfn.FLOOR.MATH((AW57))</f>
        <v>0</v>
      </c>
      <c r="AY57" s="6">
        <f>(AV57-3600*AX57)/60</f>
        <v>0.95999999999999985</v>
      </c>
      <c r="AZ57" s="6">
        <f>_xlfn.FLOOR.MATH((AY57))</f>
        <v>0</v>
      </c>
      <c r="BA57" s="6">
        <f>AV57-3600*AX57-60*AZ57</f>
        <v>57.599999999999994</v>
      </c>
      <c r="BB57" s="6">
        <f>AW57*IF(AD57&lt;0,-1,1)</f>
        <v>1.5999999999999997E-2</v>
      </c>
      <c r="BC57" s="7" t="str">
        <f>CONCATENATE(AE57,TEXT(AX57,"00"),"°",TEXT(AZ57,"00"),"'",TEXT(BA57,"00.00"), " [", CONCATENATE(AE57,TEXT(AX57,"00"),"°",TEXT(AY57,"00.00")),"]", "  (", AE57,TEXT(AW57,"00.0000"),"°)")</f>
        <v>00°00'57.60 [00°00.96]  (00.0160°)</v>
      </c>
    </row>
    <row r="58" spans="1:66" ht="17.25" customHeight="1" thickTop="1" thickBot="1" x14ac:dyDescent="0.3">
      <c r="E58" s="279" t="str">
        <f>AB59</f>
        <v>-11°58'54.34 [-11°58.91]  (-11.9818°)</v>
      </c>
      <c r="F58" s="279"/>
      <c r="G58" s="279"/>
      <c r="H58" s="279"/>
      <c r="I58" s="279"/>
      <c r="J58" s="279"/>
      <c r="O58" s="279" t="str">
        <f>AB55</f>
        <v>-12°14'24.00 [-12°14.40]  (-12.2400°)</v>
      </c>
      <c r="P58" s="279"/>
      <c r="Q58" s="279"/>
      <c r="R58" s="279"/>
      <c r="S58" s="279"/>
      <c r="T58" s="279" t="str">
        <f>AB57</f>
        <v>00°00'57.60 [00°00.96]  (00.0160°)</v>
      </c>
      <c r="U58" s="287"/>
      <c r="V58" s="287"/>
      <c r="W58" s="287"/>
      <c r="X58" s="287"/>
      <c r="AA58" s="18" t="str">
        <f>U56</f>
        <v>0°0.96'</v>
      </c>
      <c r="AC58" s="37">
        <f>AE58</f>
        <v>-11.98176</v>
      </c>
      <c r="AD58" s="61" t="s">
        <v>154</v>
      </c>
      <c r="AE58" s="22">
        <f>AC55+(H56-L56)*AC57</f>
        <v>-11.98176</v>
      </c>
      <c r="AG58" s="21"/>
      <c r="AL58" s="22"/>
      <c r="AN58" s="29"/>
      <c r="AT58" s="38"/>
      <c r="AU58" s="38"/>
      <c r="AV58" s="39"/>
      <c r="AW58" s="39"/>
      <c r="AX58" s="178"/>
      <c r="AY58" s="178"/>
      <c r="AZ58" s="178"/>
      <c r="BA58" s="178"/>
    </row>
    <row r="59" spans="1:66" ht="17.25" customHeight="1" thickTop="1" x14ac:dyDescent="0.25">
      <c r="R59" s="17"/>
      <c r="S59" s="17"/>
      <c r="T59" s="17"/>
      <c r="U59" s="17"/>
      <c r="V59" s="17"/>
      <c r="W59" s="17"/>
      <c r="AA59" s="18">
        <f>AC58</f>
        <v>-11.98176</v>
      </c>
      <c r="AB59" s="14" t="str">
        <f>BC59</f>
        <v>-11°58'54.34 [-11°58.91]  (-11.9818°)</v>
      </c>
      <c r="AC59" s="7">
        <f>BB59</f>
        <v>-11.98176</v>
      </c>
      <c r="AD59" s="5">
        <f>IF(LEFT(TRIM(AA59),1)="-",-1,IF(LEFT(TRIM(AA59),1)="+",1, 0))</f>
        <v>-1</v>
      </c>
      <c r="AE59" s="5" t="str">
        <f>IF(AD59&gt;0,"+",IF(AD59&lt;0,"-",""))</f>
        <v>-</v>
      </c>
      <c r="AF59" s="5" t="str">
        <f>IF(ABS(AD59)&gt;0,RIGHT(AA59,LEN(AA59)-1),AA59)</f>
        <v>11.98176</v>
      </c>
      <c r="AG59" s="5" t="b">
        <f>ISNUMBER(SEARCH("°",AF59,1))</f>
        <v>0</v>
      </c>
      <c r="AH59" s="5" t="b">
        <f>ISNUMBER(SEARCH("'",AF59,1))</f>
        <v>0</v>
      </c>
      <c r="AI59" s="5" t="b">
        <f>ISNUMBER(SEARCH("""",AF59,1))</f>
        <v>0</v>
      </c>
      <c r="AJ59" s="5" t="b">
        <f>NOT(OR(AG59,AH59,AI59))</f>
        <v>1</v>
      </c>
      <c r="AK59" s="5" t="b">
        <f t="shared" ref="AK59" si="69">OR(AJ59,AG59)</f>
        <v>1</v>
      </c>
      <c r="AL59" s="6">
        <f>IF(AJ59,VALUE(AF59),IF(AG59,LEFT(AF59,SEARCH("°",AF59,1)-1),0))</f>
        <v>11.98176</v>
      </c>
      <c r="AM59" s="5" t="str">
        <f>IF(AJ59,"",IF(AG59,RIGHT(AF59,LEN(AF59)-SEARCH("°",AF59,1)),AF59))</f>
        <v/>
      </c>
      <c r="AN59" s="5" t="b">
        <f>(LEN(AM59)&gt;0)</f>
        <v>0</v>
      </c>
      <c r="AO59" s="5" t="b">
        <f>NOT(OR(AH59,AI59))</f>
        <v>1</v>
      </c>
      <c r="AP59" s="6">
        <f t="shared" ref="AP59" si="70">IF(NOT(AN59),0,IF(AO59,VALUE(AM59),IF(NOT(AH59),0,VALUE(LEFT(AM59,SEARCH("'",AM59,1)-1)))))</f>
        <v>0</v>
      </c>
      <c r="AQ59" s="5" t="str">
        <f t="shared" ref="AQ59" si="71">IF(NOT(AN59),"",IF(AO59,"",IF(NOT(AH59),AM59,RIGHT(AM59,LEN(AM59)-SEARCH("'",AM59,1)))))</f>
        <v/>
      </c>
      <c r="AR59" s="5" t="b">
        <f>(LEN(AQ59)&gt;0)</f>
        <v>0</v>
      </c>
      <c r="AS59" s="5" t="b">
        <f t="shared" ref="AS59" si="72">NOT(AI59)</f>
        <v>1</v>
      </c>
      <c r="AT59" s="5" t="b">
        <f>ISNUMBER(SEARCH(".",AQ59,1))</f>
        <v>0</v>
      </c>
      <c r="AU59" s="6">
        <f t="shared" ref="AU59" si="73">IF(AR59,IF(AI59,IF(AT59,VALUE(SUBSTITUTE(AQ59, """", "")),VALUE(SUBSTITUTE(AQ59, """", "."))),VALUE(AQ59)),0)</f>
        <v>0</v>
      </c>
      <c r="AV59" s="6">
        <f t="shared" ref="AV59" si="74">AL59*3600+AP59*60+AU59</f>
        <v>43134.335999999996</v>
      </c>
      <c r="AW59" s="6">
        <f>AV59/3600</f>
        <v>11.98176</v>
      </c>
      <c r="AX59" s="6">
        <f>_xlfn.FLOOR.MATH((AW59))</f>
        <v>11</v>
      </c>
      <c r="AY59" s="6">
        <f>(AV59-3600*AX59)/60</f>
        <v>58.905599999999929</v>
      </c>
      <c r="AZ59" s="6">
        <f>_xlfn.FLOOR.MATH((AY59))</f>
        <v>58</v>
      </c>
      <c r="BA59" s="6">
        <f>AV59-3600*AX59-60*AZ59</f>
        <v>54.335999999995693</v>
      </c>
      <c r="BB59" s="6">
        <f>AW59*IF(AD59&lt;0,-1,1)</f>
        <v>-11.98176</v>
      </c>
      <c r="BC59" s="7" t="str">
        <f>CONCATENATE(AE59,TEXT(AX59,"00"),"°",TEXT(AZ59,"00"),"'",TEXT(BA59,"00.00"), " [", CONCATENATE(AE59,TEXT(AX59,"00"),"°",TEXT(AY59,"00.00")),"]", "  (", AE59,TEXT(AW59,"00.0000"),"°)")</f>
        <v>-11°58'54.34 [-11°58.91]  (-11.9818°)</v>
      </c>
    </row>
    <row r="60" spans="1:66" ht="17.25" customHeight="1" thickBot="1" x14ac:dyDescent="0.3">
      <c r="R60" s="17"/>
      <c r="S60" s="17"/>
      <c r="T60" s="17"/>
      <c r="U60" s="17"/>
      <c r="V60" s="17"/>
      <c r="W60" s="17"/>
      <c r="AC60" s="37"/>
      <c r="AD60" s="17"/>
      <c r="AE60" s="62"/>
      <c r="AF60" s="17"/>
      <c r="AK60" s="17"/>
      <c r="AL60" s="17"/>
      <c r="AM60" s="17"/>
      <c r="AN60" s="17"/>
      <c r="AO60" s="17"/>
      <c r="AP60" s="17"/>
      <c r="AQ60" s="17"/>
      <c r="AR60" s="17"/>
      <c r="AS60" s="17"/>
      <c r="AT60" s="17"/>
    </row>
    <row r="61" spans="1:66" s="22" customFormat="1" ht="17.25" customHeight="1" thickBot="1" x14ac:dyDescent="0.3">
      <c r="A61" s="50"/>
      <c r="B61" s="47" t="s">
        <v>397</v>
      </c>
      <c r="C61" s="48"/>
      <c r="D61" s="48"/>
      <c r="E61" s="362">
        <f>IF(F62=AE62,E66,E74)</f>
        <v>418.62228000000005</v>
      </c>
      <c r="F61" s="362"/>
      <c r="G61" s="362"/>
      <c r="H61" s="48"/>
      <c r="I61" s="48"/>
      <c r="J61" s="48"/>
      <c r="K61" s="569">
        <f>E61-360</f>
        <v>58.622280000000046</v>
      </c>
      <c r="L61" s="569"/>
      <c r="M61" s="48" t="s">
        <v>39</v>
      </c>
      <c r="N61" s="48"/>
      <c r="O61" s="48"/>
      <c r="P61" s="48"/>
      <c r="Q61" s="48"/>
      <c r="R61" s="48"/>
      <c r="S61" s="48"/>
      <c r="T61" s="48"/>
      <c r="U61" s="48"/>
      <c r="V61" s="48"/>
      <c r="W61" s="48"/>
      <c r="X61" s="48"/>
      <c r="Y61" s="48"/>
      <c r="Z61" s="48"/>
      <c r="AA61" s="48"/>
      <c r="AB61" s="48"/>
      <c r="AC61" s="48"/>
      <c r="AD61" s="48"/>
      <c r="AE61" s="48"/>
      <c r="AF61" s="48"/>
      <c r="AG61" s="48"/>
      <c r="AH61" s="48"/>
      <c r="AI61" s="48"/>
      <c r="AJ61" s="48"/>
      <c r="AK61" s="48"/>
      <c r="AL61" s="48"/>
      <c r="AM61" s="48"/>
      <c r="AN61" s="48"/>
      <c r="AO61" s="48"/>
      <c r="AP61" s="48"/>
      <c r="AQ61" s="48"/>
      <c r="AR61" s="48"/>
      <c r="AS61" s="48"/>
      <c r="AT61" s="48"/>
      <c r="AU61" s="48"/>
      <c r="AV61" s="48"/>
      <c r="AW61" s="48"/>
      <c r="AX61" s="48"/>
      <c r="AY61" s="48"/>
      <c r="AZ61" s="48"/>
      <c r="BA61" s="49"/>
      <c r="BB61" s="50"/>
      <c r="BN61" s="1"/>
    </row>
    <row r="62" spans="1:66" s="22" customFormat="1" ht="17.25" customHeight="1" x14ac:dyDescent="0.25">
      <c r="A62" s="1"/>
      <c r="B62" s="50"/>
      <c r="C62" s="434" t="s">
        <v>58</v>
      </c>
      <c r="D62" s="434"/>
      <c r="E62" s="434"/>
      <c r="F62" s="435" t="s">
        <v>17</v>
      </c>
      <c r="G62" s="435"/>
      <c r="H62" s="435"/>
      <c r="I62" s="50"/>
      <c r="J62" s="50"/>
      <c r="K62" s="50"/>
      <c r="L62" s="50"/>
      <c r="M62" s="50"/>
      <c r="N62" s="50"/>
      <c r="O62" s="50"/>
      <c r="P62" s="50"/>
      <c r="Q62" s="50"/>
      <c r="R62" s="50"/>
      <c r="S62" s="50"/>
      <c r="T62" s="50"/>
      <c r="U62" s="50"/>
      <c r="V62" s="50"/>
      <c r="W62" s="50"/>
      <c r="X62" s="50"/>
      <c r="Y62" s="50"/>
      <c r="Z62" s="50"/>
      <c r="AA62" s="51"/>
      <c r="AB62" s="52"/>
      <c r="AC62" s="52"/>
      <c r="AD62" s="53" t="s">
        <v>59</v>
      </c>
      <c r="AE62" s="54" t="s">
        <v>11</v>
      </c>
      <c r="AF62" s="55">
        <v>0</v>
      </c>
      <c r="AG62" s="55"/>
      <c r="AH62" s="50"/>
      <c r="AI62" s="50"/>
      <c r="AJ62" s="50"/>
      <c r="AK62" s="50"/>
      <c r="AL62" s="50"/>
      <c r="AM62" s="50"/>
      <c r="AN62" s="50"/>
      <c r="AO62" s="50"/>
      <c r="AP62" s="50"/>
      <c r="AQ62" s="50"/>
      <c r="AR62" s="50"/>
      <c r="AS62" s="50"/>
      <c r="AT62" s="50"/>
      <c r="AU62" s="50"/>
      <c r="AV62" s="50"/>
      <c r="AW62" s="50"/>
      <c r="AX62" s="50"/>
      <c r="AY62" s="50"/>
      <c r="AZ62" s="50"/>
      <c r="BA62" s="50"/>
      <c r="BN62" s="1"/>
    </row>
    <row r="63" spans="1:66" s="22" customFormat="1" ht="17.25" customHeight="1" x14ac:dyDescent="0.25">
      <c r="A63" s="1"/>
      <c r="B63" s="1"/>
      <c r="C63" s="56" t="s">
        <v>11</v>
      </c>
      <c r="D63" s="57"/>
      <c r="E63" s="57"/>
      <c r="F63" s="17"/>
      <c r="G63" s="17"/>
      <c r="H63" s="17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8"/>
      <c r="AB63" s="28"/>
      <c r="AC63" s="28"/>
      <c r="AE63" s="58" t="s">
        <v>17</v>
      </c>
      <c r="AF63" s="22">
        <v>1</v>
      </c>
      <c r="AH63" s="17"/>
      <c r="AI63" s="17"/>
      <c r="AJ63" s="17"/>
      <c r="AK63" s="17"/>
      <c r="AL63" s="17"/>
      <c r="AM63" s="17"/>
      <c r="AN63" s="17"/>
      <c r="AO63" s="17"/>
      <c r="AP63" s="17"/>
      <c r="AQ63" s="17"/>
      <c r="AR63" s="17"/>
      <c r="AS63" s="17"/>
      <c r="AT63" s="17"/>
      <c r="BN63" s="1"/>
    </row>
    <row r="64" spans="1:66" s="22" customFormat="1" ht="17.25" customHeight="1" x14ac:dyDescent="0.25">
      <c r="A64" s="1"/>
      <c r="B64" s="1"/>
      <c r="C64" s="179"/>
      <c r="D64" s="179"/>
      <c r="E64" s="401" t="s">
        <v>10</v>
      </c>
      <c r="F64" s="401"/>
      <c r="G64" s="401"/>
      <c r="H64" s="401" t="s">
        <v>13</v>
      </c>
      <c r="I64" s="401"/>
      <c r="J64" s="401"/>
      <c r="K64" s="401"/>
      <c r="L64" s="402" t="s">
        <v>14</v>
      </c>
      <c r="M64" s="402"/>
      <c r="N64" s="402"/>
      <c r="O64" s="415" t="s">
        <v>18</v>
      </c>
      <c r="P64" s="415"/>
      <c r="Q64" s="415"/>
      <c r="R64" s="415"/>
      <c r="S64" s="415"/>
      <c r="T64" s="17"/>
      <c r="U64" s="1"/>
      <c r="V64" s="1"/>
      <c r="W64" s="1"/>
      <c r="X64" s="1"/>
      <c r="Y64" s="1"/>
      <c r="Z64" s="1"/>
      <c r="AA64" s="18"/>
      <c r="AB64" s="19"/>
      <c r="AC64" s="20"/>
      <c r="AL64" s="29"/>
      <c r="BN64" s="1"/>
    </row>
    <row r="65" spans="1:66" s="22" customFormat="1" ht="17.25" customHeight="1" thickBot="1" x14ac:dyDescent="0.3">
      <c r="A65" s="1"/>
      <c r="B65" s="1"/>
      <c r="C65" s="179"/>
      <c r="D65" s="179"/>
      <c r="E65" s="401"/>
      <c r="F65" s="401"/>
      <c r="G65" s="401"/>
      <c r="H65" s="401"/>
      <c r="I65" s="401"/>
      <c r="J65" s="401"/>
      <c r="K65" s="401"/>
      <c r="L65" s="402"/>
      <c r="M65" s="402"/>
      <c r="N65" s="402"/>
      <c r="O65" s="415"/>
      <c r="P65" s="415"/>
      <c r="Q65" s="415"/>
      <c r="R65" s="415"/>
      <c r="S65" s="415"/>
      <c r="T65" s="17"/>
      <c r="U65" s="1"/>
      <c r="V65" s="1"/>
      <c r="W65" s="1"/>
      <c r="X65" s="1"/>
      <c r="Y65" s="1"/>
      <c r="Z65" s="1"/>
      <c r="AA65" s="18" t="str">
        <f>P66</f>
        <v>329°03.9'</v>
      </c>
      <c r="AB65" s="14"/>
      <c r="AC65" s="7"/>
      <c r="AD65" s="3" t="s">
        <v>57</v>
      </c>
      <c r="AE65" s="3" t="s">
        <v>57</v>
      </c>
      <c r="AF65" s="3" t="s">
        <v>304</v>
      </c>
      <c r="AG65" s="3" t="s">
        <v>120</v>
      </c>
      <c r="AH65" s="3" t="s">
        <v>121</v>
      </c>
      <c r="AI65" s="3" t="s">
        <v>122</v>
      </c>
      <c r="AJ65" s="3" t="s">
        <v>123</v>
      </c>
      <c r="AK65" s="3" t="s">
        <v>124</v>
      </c>
      <c r="AL65" s="3" t="s">
        <v>125</v>
      </c>
      <c r="AM65" s="3" t="s">
        <v>101</v>
      </c>
      <c r="AN65" s="3" t="s">
        <v>129</v>
      </c>
      <c r="AO65" s="3" t="s">
        <v>128</v>
      </c>
      <c r="AP65" s="3" t="s">
        <v>126</v>
      </c>
      <c r="AQ65" s="3" t="s">
        <v>127</v>
      </c>
      <c r="AR65" s="3" t="s">
        <v>129</v>
      </c>
      <c r="AS65" s="3" t="s">
        <v>128</v>
      </c>
      <c r="AT65" s="3" t="s">
        <v>130</v>
      </c>
      <c r="AU65" s="3" t="s">
        <v>112</v>
      </c>
      <c r="AV65" s="3" t="s">
        <v>117</v>
      </c>
      <c r="AW65" s="3" t="s">
        <v>143</v>
      </c>
      <c r="AX65" s="3" t="s">
        <v>149</v>
      </c>
      <c r="AY65" s="3" t="s">
        <v>131</v>
      </c>
      <c r="AZ65" s="3" t="s">
        <v>150</v>
      </c>
      <c r="BA65" s="3" t="s">
        <v>112</v>
      </c>
      <c r="BB65" s="3" t="s">
        <v>308</v>
      </c>
      <c r="BC65" s="3" t="s">
        <v>151</v>
      </c>
      <c r="BN65" s="1"/>
    </row>
    <row r="66" spans="1:66" s="22" customFormat="1" ht="17.25" customHeight="1" thickTop="1" thickBot="1" x14ac:dyDescent="0.3">
      <c r="A66" s="1"/>
      <c r="B66" s="1"/>
      <c r="C66" s="179"/>
      <c r="D66" s="59"/>
      <c r="E66" s="397" t="str">
        <f>IF(F62=AE63,"---",AC71)</f>
        <v>---</v>
      </c>
      <c r="F66" s="397"/>
      <c r="G66" s="397"/>
      <c r="H66" s="321">
        <f>D11</f>
        <v>16.14</v>
      </c>
      <c r="I66" s="321"/>
      <c r="J66" s="321"/>
      <c r="K66" s="321"/>
      <c r="L66" s="307">
        <v>10</v>
      </c>
      <c r="M66" s="321"/>
      <c r="N66" s="321"/>
      <c r="O66" s="321" t="s">
        <v>6</v>
      </c>
      <c r="P66" s="416" t="s">
        <v>239</v>
      </c>
      <c r="Q66" s="321"/>
      <c r="R66" s="321"/>
      <c r="S66" s="321"/>
      <c r="T66" s="357" t="str">
        <f>AB66</f>
        <v>329°03'54.00 [329°03.90]  (329.0650°)</v>
      </c>
      <c r="U66" s="357"/>
      <c r="V66" s="357"/>
      <c r="W66" s="357"/>
      <c r="X66" s="357"/>
      <c r="Y66" s="357"/>
      <c r="Z66" s="1"/>
      <c r="AA66" s="18" t="str">
        <f>IF(VLOOKUP(O66,$B$36:$C$37,2)&gt;0,AA65,CONCATENATE("-",AA65))</f>
        <v>329°03.9'</v>
      </c>
      <c r="AB66" s="28" t="str">
        <f>BC66</f>
        <v>329°03'54.00 [329°03.90]  (329.0650°)</v>
      </c>
      <c r="AC66" s="37">
        <f>BB66</f>
        <v>329.065</v>
      </c>
      <c r="AD66" s="5">
        <f>IF(LEFT(TRIM(AA66),1)="-",-1,IF(LEFT(TRIM(AA66),1)="+",1, 0))</f>
        <v>0</v>
      </c>
      <c r="AE66" s="5" t="str">
        <f>IF(AD66&gt;0,"+",IF(AD66&lt;0,"-",""))</f>
        <v/>
      </c>
      <c r="AF66" s="5" t="str">
        <f>IF(ABS(AD66)&gt;0,RIGHT(AA66,LEN(AA66)-1),AA66)</f>
        <v>329°03.9'</v>
      </c>
      <c r="AG66" s="5" t="b">
        <f>ISNUMBER(SEARCH("°",AF66,1))</f>
        <v>1</v>
      </c>
      <c r="AH66" s="5" t="b">
        <f>ISNUMBER(SEARCH("'",AF66,1))</f>
        <v>1</v>
      </c>
      <c r="AI66" s="5" t="b">
        <f>ISNUMBER(SEARCH("""",AF66,1))</f>
        <v>0</v>
      </c>
      <c r="AJ66" s="5" t="b">
        <f>NOT(OR(AG66,AH66,AI66))</f>
        <v>0</v>
      </c>
      <c r="AK66" s="5" t="b">
        <f t="shared" ref="AK66" si="75">OR(AJ66,AG66)</f>
        <v>1</v>
      </c>
      <c r="AL66" s="6" t="str">
        <f>IF(AJ66,VALUE(AF66),IF(AG66,LEFT(AF66,SEARCH("°",AF66,1)-1),0))</f>
        <v>329</v>
      </c>
      <c r="AM66" s="5" t="str">
        <f>IF(AJ66,"",IF(AG66,RIGHT(AF66,LEN(AF66)-SEARCH("°",AF66,1)),AF66))</f>
        <v>03.9'</v>
      </c>
      <c r="AN66" s="5" t="b">
        <f>(LEN(AM66)&gt;0)</f>
        <v>1</v>
      </c>
      <c r="AO66" s="5" t="b">
        <f>NOT(OR(AH66,AI66))</f>
        <v>0</v>
      </c>
      <c r="AP66" s="6">
        <f t="shared" ref="AP66" si="76">IF(NOT(AN66),0,IF(AO66,VALUE(AM66),IF(NOT(AH66),0,VALUE(LEFT(AM66,SEARCH("'",AM66,1)-1)))))</f>
        <v>3.9</v>
      </c>
      <c r="AQ66" s="5" t="str">
        <f t="shared" ref="AQ66" si="77">IF(NOT(AN66),"",IF(AO66,"",IF(NOT(AH66),AM66,RIGHT(AM66,LEN(AM66)-SEARCH("'",AM66,1)))))</f>
        <v/>
      </c>
      <c r="AR66" s="5" t="b">
        <f>(LEN(AQ66)&gt;0)</f>
        <v>0</v>
      </c>
      <c r="AS66" s="5" t="b">
        <f t="shared" ref="AS66" si="78">NOT(AI66)</f>
        <v>1</v>
      </c>
      <c r="AT66" s="5" t="b">
        <f>ISNUMBER(SEARCH(".",AQ66,1))</f>
        <v>0</v>
      </c>
      <c r="AU66" s="6">
        <f t="shared" ref="AU66" si="79">IF(AR66,IF(AI66,IF(AT66,VALUE(SUBSTITUTE(AQ66, """", "")),VALUE(SUBSTITUTE(AQ66, """", "."))),VALUE(AQ66)),0)</f>
        <v>0</v>
      </c>
      <c r="AV66" s="6">
        <f t="shared" ref="AV66" si="80">AL66*3600+AP66*60+AU66</f>
        <v>1184634</v>
      </c>
      <c r="AW66" s="6">
        <f>AV66/3600</f>
        <v>329.065</v>
      </c>
      <c r="AX66" s="6">
        <f>_xlfn.FLOOR.MATH((AW66))</f>
        <v>329</v>
      </c>
      <c r="AY66" s="6">
        <f>(AV66-3600*AX66)/60</f>
        <v>3.9</v>
      </c>
      <c r="AZ66" s="6">
        <f>_xlfn.FLOOR.MATH((AY66))</f>
        <v>3</v>
      </c>
      <c r="BA66" s="6">
        <f>AV66-3600*AX66-60*AZ66</f>
        <v>54</v>
      </c>
      <c r="BB66" s="6">
        <f>AW66*IF(AD66&lt;0,-1,1)</f>
        <v>329.065</v>
      </c>
      <c r="BC66" s="7" t="str">
        <f>CONCATENATE(AE66,TEXT(AX66,"00"),"°",TEXT(AZ66,"00"),"'",TEXT(BA66,"00.00"), " [", CONCATENATE(AE66,TEXT(AX66,"00"),"°",TEXT(AY66,"00.00")),"]", "  (", AE66,TEXT(AW66,"00.0000"),"°)")</f>
        <v>329°03'54.00 [329°03.90]  (329.0650°)</v>
      </c>
      <c r="BN66" s="1"/>
    </row>
    <row r="67" spans="1:66" s="22" customFormat="1" ht="17.25" customHeight="1" thickTop="1" thickBot="1" x14ac:dyDescent="0.3">
      <c r="A67" s="1"/>
      <c r="B67" s="1"/>
      <c r="C67" s="179"/>
      <c r="D67" s="179"/>
      <c r="E67" s="398"/>
      <c r="F67" s="398"/>
      <c r="G67" s="398"/>
      <c r="H67" s="363"/>
      <c r="I67" s="363"/>
      <c r="J67" s="363"/>
      <c r="K67" s="363"/>
      <c r="L67" s="400"/>
      <c r="M67" s="363"/>
      <c r="N67" s="363"/>
      <c r="O67" s="363"/>
      <c r="P67" s="363"/>
      <c r="Q67" s="363"/>
      <c r="R67" s="363"/>
      <c r="S67" s="363"/>
      <c r="T67" s="357"/>
      <c r="U67" s="357"/>
      <c r="V67" s="357"/>
      <c r="W67" s="357"/>
      <c r="X67" s="357"/>
      <c r="Y67" s="357"/>
      <c r="Z67" s="1"/>
      <c r="AA67" s="18" t="str">
        <f>P68</f>
        <v>344°03.8'</v>
      </c>
      <c r="AB67" s="19"/>
      <c r="AC67" s="20"/>
      <c r="AD67" s="178"/>
      <c r="AE67" s="178"/>
      <c r="AF67" s="178"/>
      <c r="AG67" s="178"/>
      <c r="AH67" s="178"/>
      <c r="AI67" s="178"/>
      <c r="AJ67" s="178"/>
      <c r="AK67" s="178"/>
      <c r="AL67" s="178"/>
      <c r="AM67" s="178"/>
      <c r="AN67" s="178"/>
      <c r="AO67" s="178"/>
      <c r="AP67" s="178"/>
      <c r="AQ67" s="178"/>
      <c r="AR67" s="178"/>
      <c r="AS67" s="178"/>
      <c r="AT67" s="178"/>
      <c r="AU67" s="178"/>
      <c r="AV67" s="178"/>
      <c r="AW67" s="178"/>
      <c r="AX67" s="178"/>
      <c r="AY67" s="178"/>
      <c r="AZ67" s="178"/>
      <c r="BA67" s="178"/>
      <c r="BB67" s="178"/>
      <c r="BC67" s="178"/>
      <c r="BD67" s="178"/>
      <c r="BE67" s="178"/>
      <c r="BN67" s="1"/>
    </row>
    <row r="68" spans="1:66" s="22" customFormat="1" ht="17.25" customHeight="1" thickTop="1" thickBot="1" x14ac:dyDescent="0.3">
      <c r="A68" s="1"/>
      <c r="B68" s="1"/>
      <c r="C68" s="179"/>
      <c r="D68" s="179"/>
      <c r="E68" s="398"/>
      <c r="F68" s="398"/>
      <c r="G68" s="398"/>
      <c r="H68" s="363"/>
      <c r="I68" s="363"/>
      <c r="J68" s="363"/>
      <c r="K68" s="363"/>
      <c r="L68" s="400">
        <v>11</v>
      </c>
      <c r="M68" s="363"/>
      <c r="N68" s="363"/>
      <c r="O68" s="363" t="s">
        <v>6</v>
      </c>
      <c r="P68" s="414" t="s">
        <v>240</v>
      </c>
      <c r="Q68" s="363"/>
      <c r="R68" s="363"/>
      <c r="S68" s="363"/>
      <c r="T68" s="357" t="str">
        <f>AB68</f>
        <v>344°03'48.00 [344°03.80]  (344.0633°)</v>
      </c>
      <c r="U68" s="357"/>
      <c r="V68" s="357"/>
      <c r="W68" s="357"/>
      <c r="X68" s="357"/>
      <c r="Y68" s="357"/>
      <c r="Z68" s="1"/>
      <c r="AA68" s="18" t="str">
        <f>IF(VLOOKUP(O68,$B$36:$C$37,2)&gt;0,AA67,CONCATENATE("-",AA67))</f>
        <v>344°03.8'</v>
      </c>
      <c r="AB68" s="28" t="str">
        <f>BC68</f>
        <v>344°03'48.00 [344°03.80]  (344.0633°)</v>
      </c>
      <c r="AC68" s="37">
        <f>BB68</f>
        <v>344.06333333333333</v>
      </c>
      <c r="AD68" s="5">
        <f>IF(LEFT(TRIM(AA68),1)="-",-1,IF(LEFT(TRIM(AA68),1)="+",1, 0))</f>
        <v>0</v>
      </c>
      <c r="AE68" s="5" t="str">
        <f>IF(AD68&gt;0,"+",IF(AD68&lt;0,"-",""))</f>
        <v/>
      </c>
      <c r="AF68" s="5" t="str">
        <f>IF(ABS(AD68)&gt;0,RIGHT(AA68,LEN(AA68)-1),AA68)</f>
        <v>344°03.8'</v>
      </c>
      <c r="AG68" s="5" t="b">
        <f>ISNUMBER(SEARCH("°",AF68,1))</f>
        <v>1</v>
      </c>
      <c r="AH68" s="5" t="b">
        <f>ISNUMBER(SEARCH("'",AF68,1))</f>
        <v>1</v>
      </c>
      <c r="AI68" s="5" t="b">
        <f>ISNUMBER(SEARCH("""",AF68,1))</f>
        <v>0</v>
      </c>
      <c r="AJ68" s="5" t="b">
        <f>NOT(OR(AG68,AH68,AI68))</f>
        <v>0</v>
      </c>
      <c r="AK68" s="5" t="b">
        <f t="shared" ref="AK68" si="81">OR(AJ68,AG68)</f>
        <v>1</v>
      </c>
      <c r="AL68" s="6" t="str">
        <f>IF(AJ68,VALUE(AF68),IF(AG68,LEFT(AF68,SEARCH("°",AF68,1)-1),0))</f>
        <v>344</v>
      </c>
      <c r="AM68" s="5" t="str">
        <f>IF(AJ68,"",IF(AG68,RIGHT(AF68,LEN(AF68)-SEARCH("°",AF68,1)),AF68))</f>
        <v>03.8'</v>
      </c>
      <c r="AN68" s="5" t="b">
        <f>(LEN(AM68)&gt;0)</f>
        <v>1</v>
      </c>
      <c r="AO68" s="5" t="b">
        <f>NOT(OR(AH68,AI68))</f>
        <v>0</v>
      </c>
      <c r="AP68" s="6">
        <f t="shared" ref="AP68" si="82">IF(NOT(AN68),0,IF(AO68,VALUE(AM68),IF(NOT(AH68),0,VALUE(LEFT(AM68,SEARCH("'",AM68,1)-1)))))</f>
        <v>3.8</v>
      </c>
      <c r="AQ68" s="5" t="str">
        <f t="shared" ref="AQ68" si="83">IF(NOT(AN68),"",IF(AO68,"",IF(NOT(AH68),AM68,RIGHT(AM68,LEN(AM68)-SEARCH("'",AM68,1)))))</f>
        <v/>
      </c>
      <c r="AR68" s="5" t="b">
        <f>(LEN(AQ68)&gt;0)</f>
        <v>0</v>
      </c>
      <c r="AS68" s="5" t="b">
        <f t="shared" ref="AS68" si="84">NOT(AI68)</f>
        <v>1</v>
      </c>
      <c r="AT68" s="5" t="b">
        <f>ISNUMBER(SEARCH(".",AQ68,1))</f>
        <v>0</v>
      </c>
      <c r="AU68" s="6">
        <f t="shared" ref="AU68" si="85">IF(AR68,IF(AI68,IF(AT68,VALUE(SUBSTITUTE(AQ68, """", "")),VALUE(SUBSTITUTE(AQ68, """", "."))),VALUE(AQ68)),0)</f>
        <v>0</v>
      </c>
      <c r="AV68" s="6">
        <f t="shared" ref="AV68" si="86">AL68*3600+AP68*60+AU68</f>
        <v>1238628</v>
      </c>
      <c r="AW68" s="6">
        <f>AV68/3600</f>
        <v>344.06333333333333</v>
      </c>
      <c r="AX68" s="6">
        <f>_xlfn.FLOOR.MATH((AW68))</f>
        <v>344</v>
      </c>
      <c r="AY68" s="6">
        <f>(AV68-3600*AX68)/60</f>
        <v>3.8</v>
      </c>
      <c r="AZ68" s="6">
        <f>_xlfn.FLOOR.MATH((AY68))</f>
        <v>3</v>
      </c>
      <c r="BA68" s="6">
        <f>AV68-3600*AX68-60*AZ68</f>
        <v>48</v>
      </c>
      <c r="BB68" s="6">
        <f>AW68*IF(AD68&lt;0,-1,1)</f>
        <v>344.06333333333333</v>
      </c>
      <c r="BC68" s="7" t="str">
        <f>CONCATENATE(AE68,TEXT(AX68,"00"),"°",TEXT(AZ68,"00"),"'",TEXT(BA68,"00.00"), " [", CONCATENATE(AE68,TEXT(AX68,"00"),"°",TEXT(AY68,"00.00")),"]", "  (", AE68,TEXT(AW68,"00.0000"),"°)")</f>
        <v>344°03'48.00 [344°03.80]  (344.0633°)</v>
      </c>
      <c r="BN68" s="1"/>
    </row>
    <row r="69" spans="1:66" s="22" customFormat="1" ht="17.25" customHeight="1" thickTop="1" thickBot="1" x14ac:dyDescent="0.3">
      <c r="A69" s="1"/>
      <c r="B69" s="1"/>
      <c r="C69" s="179"/>
      <c r="D69" s="179"/>
      <c r="E69" s="398"/>
      <c r="F69" s="398"/>
      <c r="G69" s="398"/>
      <c r="H69" s="363"/>
      <c r="I69" s="363"/>
      <c r="J69" s="363"/>
      <c r="K69" s="363"/>
      <c r="L69" s="400"/>
      <c r="M69" s="363"/>
      <c r="N69" s="363"/>
      <c r="O69" s="363"/>
      <c r="P69" s="363"/>
      <c r="Q69" s="363"/>
      <c r="R69" s="363"/>
      <c r="S69" s="363"/>
      <c r="T69" s="357"/>
      <c r="U69" s="357"/>
      <c r="V69" s="357"/>
      <c r="W69" s="357"/>
      <c r="X69" s="357"/>
      <c r="Y69" s="357"/>
      <c r="Z69" s="1"/>
      <c r="AA69" s="18"/>
      <c r="AB69" s="28"/>
      <c r="AC69" s="28"/>
      <c r="AD69" s="31" t="s">
        <v>62</v>
      </c>
      <c r="AE69" s="31" t="s">
        <v>61</v>
      </c>
      <c r="AF69" s="31" t="s">
        <v>63</v>
      </c>
      <c r="AG69" s="31" t="s">
        <v>60</v>
      </c>
      <c r="AH69" s="178"/>
      <c r="AI69" s="178"/>
      <c r="AJ69" s="178"/>
      <c r="AK69" s="178"/>
      <c r="AL69" s="178"/>
      <c r="AM69" s="31"/>
      <c r="AN69" s="17"/>
      <c r="AO69" s="17"/>
      <c r="AP69" s="17"/>
      <c r="AQ69" s="17"/>
      <c r="AR69" s="17"/>
      <c r="AS69" s="17"/>
      <c r="AT69" s="17"/>
      <c r="BN69" s="1"/>
    </row>
    <row r="70" spans="1:66" s="22" customFormat="1" ht="17.25" customHeight="1" thickTop="1" thickBot="1" x14ac:dyDescent="0.3">
      <c r="A70" s="1"/>
      <c r="B70" s="1"/>
      <c r="C70" s="179"/>
      <c r="D70" s="179"/>
      <c r="E70" s="279" t="str">
        <f>AB71</f>
        <v>421°09'17.16 [421°09.29]  (421.1548°)</v>
      </c>
      <c r="F70" s="279"/>
      <c r="G70" s="279"/>
      <c r="H70" s="279"/>
      <c r="I70" s="279"/>
      <c r="J70" s="279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7"/>
      <c r="AA70" s="18"/>
      <c r="AB70" s="28"/>
      <c r="AC70" s="37">
        <f>AG70</f>
        <v>421.15476666666666</v>
      </c>
      <c r="AD70" s="22">
        <f>L68-L66</f>
        <v>1</v>
      </c>
      <c r="AE70" s="22">
        <f>AC68-AC66</f>
        <v>14.998333333333335</v>
      </c>
      <c r="AF70" s="22">
        <f>H66-L66</f>
        <v>6.1400000000000006</v>
      </c>
      <c r="AG70" s="22">
        <f>AC66+AF70*AE70</f>
        <v>421.15476666666666</v>
      </c>
      <c r="AH70" s="178"/>
      <c r="AI70" s="178"/>
      <c r="AJ70" s="178"/>
      <c r="AK70" s="178"/>
      <c r="AL70" s="178"/>
      <c r="AN70" s="17"/>
      <c r="AO70" s="17"/>
      <c r="AP70" s="17"/>
      <c r="AQ70" s="17"/>
      <c r="AR70" s="17"/>
      <c r="AS70" s="17"/>
      <c r="AT70" s="17"/>
      <c r="BN70" s="1"/>
    </row>
    <row r="71" spans="1:66" s="22" customFormat="1" ht="17.25" customHeight="1" thickTop="1" x14ac:dyDescent="0.25">
      <c r="A71" s="1"/>
      <c r="B71" s="1"/>
      <c r="C71" s="56" t="s">
        <v>17</v>
      </c>
      <c r="D71" s="57"/>
      <c r="E71" s="57"/>
      <c r="F71" s="17"/>
      <c r="G71" s="17"/>
      <c r="H71" s="17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7"/>
      <c r="AA71" s="18">
        <f>AC70</f>
        <v>421.15476666666666</v>
      </c>
      <c r="AB71" s="28" t="str">
        <f>BC71</f>
        <v>421°09'17.16 [421°09.29]  (421.1548°)</v>
      </c>
      <c r="AC71" s="37">
        <f>BB71</f>
        <v>421.15476666666666</v>
      </c>
      <c r="AD71" s="5">
        <f>IF(LEFT(TRIM(AA71),1)="-",-1,IF(LEFT(TRIM(AA71),1)="+",1, 0))</f>
        <v>0</v>
      </c>
      <c r="AE71" s="5" t="str">
        <f>IF(AD71&gt;0,"+",IF(AD71&lt;0,"-",""))</f>
        <v/>
      </c>
      <c r="AF71" s="5">
        <f>IF(ABS(AD71)&gt;0,RIGHT(AA71,LEN(AA71)-1),AA71)</f>
        <v>421.15476666666666</v>
      </c>
      <c r="AG71" s="5" t="b">
        <f>ISNUMBER(SEARCH("°",AF71,1))</f>
        <v>0</v>
      </c>
      <c r="AH71" s="5" t="b">
        <f>ISNUMBER(SEARCH("'",AF71,1))</f>
        <v>0</v>
      </c>
      <c r="AI71" s="5" t="b">
        <f>ISNUMBER(SEARCH("""",AF71,1))</f>
        <v>0</v>
      </c>
      <c r="AJ71" s="5" t="b">
        <f>NOT(OR(AG71,AH71,AI71))</f>
        <v>1</v>
      </c>
      <c r="AK71" s="5" t="b">
        <f t="shared" ref="AK71" si="87">OR(AJ71,AG71)</f>
        <v>1</v>
      </c>
      <c r="AL71" s="6">
        <f>IF(AJ71,VALUE(AF71),IF(AG71,LEFT(AF71,SEARCH("°",AF71,1)-1),0))</f>
        <v>421.15476666666666</v>
      </c>
      <c r="AM71" s="5" t="str">
        <f>IF(AJ71,"",IF(AG71,RIGHT(AF71,LEN(AF71)-SEARCH("°",AF71,1)),AF71))</f>
        <v/>
      </c>
      <c r="AN71" s="5" t="b">
        <f>(LEN(AM71)&gt;0)</f>
        <v>0</v>
      </c>
      <c r="AO71" s="5" t="b">
        <f>NOT(OR(AH71,AI71))</f>
        <v>1</v>
      </c>
      <c r="AP71" s="6">
        <f t="shared" ref="AP71" si="88">IF(NOT(AN71),0,IF(AO71,VALUE(AM71),IF(NOT(AH71),0,VALUE(LEFT(AM71,SEARCH("'",AM71,1)-1)))))</f>
        <v>0</v>
      </c>
      <c r="AQ71" s="5" t="str">
        <f t="shared" ref="AQ71" si="89">IF(NOT(AN71),"",IF(AO71,"",IF(NOT(AH71),AM71,RIGHT(AM71,LEN(AM71)-SEARCH("'",AM71,1)))))</f>
        <v/>
      </c>
      <c r="AR71" s="5" t="b">
        <f>(LEN(AQ71)&gt;0)</f>
        <v>0</v>
      </c>
      <c r="AS71" s="5" t="b">
        <f t="shared" ref="AS71" si="90">NOT(AI71)</f>
        <v>1</v>
      </c>
      <c r="AT71" s="5" t="b">
        <f>ISNUMBER(SEARCH(".",AQ71,1))</f>
        <v>0</v>
      </c>
      <c r="AU71" s="6">
        <f t="shared" ref="AU71" si="91">IF(AR71,IF(AI71,IF(AT71,VALUE(SUBSTITUTE(AQ71, """", "")),VALUE(SUBSTITUTE(AQ71, """", "."))),VALUE(AQ71)),0)</f>
        <v>0</v>
      </c>
      <c r="AV71" s="6">
        <f t="shared" ref="AV71" si="92">AL71*3600+AP71*60+AU71</f>
        <v>1516157.16</v>
      </c>
      <c r="AW71" s="6">
        <f>AV71/3600</f>
        <v>421.15476666666666</v>
      </c>
      <c r="AX71" s="6">
        <f>_xlfn.FLOOR.MATH((AW71))</f>
        <v>421</v>
      </c>
      <c r="AY71" s="6">
        <f>(AV71-3600*AX71)/60</f>
        <v>9.2859999999986034</v>
      </c>
      <c r="AZ71" s="6">
        <f>_xlfn.FLOOR.MATH((AY71))</f>
        <v>9</v>
      </c>
      <c r="BA71" s="6">
        <f>AV71-3600*AX71-60*AZ71</f>
        <v>17.159999999916181</v>
      </c>
      <c r="BB71" s="6">
        <f>AW71*IF(AD71&lt;0,-1,1)</f>
        <v>421.15476666666666</v>
      </c>
      <c r="BC71" s="7" t="str">
        <f>CONCATENATE(AE71,TEXT(AX71,"00"),"°",TEXT(AZ71,"00"),"'",TEXT(BA71,"00.00"), " [", CONCATENATE(AE71,TEXT(AX71,"00"),"°",TEXT(AY71,"00.00")),"]", "  (", AE71,TEXT(AW71,"00.0000"),"°)")</f>
        <v>421°09'17.16 [421°09.29]  (421.1548°)</v>
      </c>
      <c r="BN71" s="1"/>
    </row>
    <row r="72" spans="1:66" s="22" customFormat="1" ht="17.25" customHeight="1" x14ac:dyDescent="0.25">
      <c r="A72" s="1"/>
      <c r="B72" s="1"/>
      <c r="C72" s="17"/>
      <c r="D72" s="17"/>
      <c r="E72" s="401" t="s">
        <v>10</v>
      </c>
      <c r="F72" s="401"/>
      <c r="G72" s="401"/>
      <c r="H72" s="401" t="s">
        <v>13</v>
      </c>
      <c r="I72" s="401"/>
      <c r="J72" s="401"/>
      <c r="K72" s="401"/>
      <c r="L72" s="402" t="s">
        <v>14</v>
      </c>
      <c r="M72" s="402"/>
      <c r="N72" s="402"/>
      <c r="O72" s="415" t="s">
        <v>20</v>
      </c>
      <c r="P72" s="415"/>
      <c r="Q72" s="415"/>
      <c r="R72" s="415"/>
      <c r="S72" s="415"/>
      <c r="T72" s="415" t="s">
        <v>216</v>
      </c>
      <c r="U72" s="415"/>
      <c r="V72" s="415"/>
      <c r="W72" s="415"/>
      <c r="X72" s="415"/>
      <c r="Y72" s="1"/>
      <c r="Z72" s="17"/>
      <c r="AA72" s="18"/>
      <c r="AB72" s="14"/>
      <c r="AC72" s="7"/>
      <c r="AD72" s="3" t="s">
        <v>57</v>
      </c>
      <c r="AE72" s="3" t="s">
        <v>57</v>
      </c>
      <c r="AF72" s="3" t="s">
        <v>304</v>
      </c>
      <c r="AG72" s="3" t="s">
        <v>120</v>
      </c>
      <c r="AH72" s="3" t="s">
        <v>121</v>
      </c>
      <c r="AI72" s="3" t="s">
        <v>122</v>
      </c>
      <c r="AJ72" s="3" t="s">
        <v>123</v>
      </c>
      <c r="AK72" s="3" t="s">
        <v>124</v>
      </c>
      <c r="AL72" s="3" t="s">
        <v>125</v>
      </c>
      <c r="AM72" s="3" t="s">
        <v>101</v>
      </c>
      <c r="AN72" s="3" t="s">
        <v>129</v>
      </c>
      <c r="AO72" s="3" t="s">
        <v>128</v>
      </c>
      <c r="AP72" s="3" t="s">
        <v>126</v>
      </c>
      <c r="AQ72" s="3" t="s">
        <v>127</v>
      </c>
      <c r="AR72" s="3" t="s">
        <v>129</v>
      </c>
      <c r="AS72" s="3" t="s">
        <v>128</v>
      </c>
      <c r="AT72" s="3" t="s">
        <v>130</v>
      </c>
      <c r="AU72" s="3" t="s">
        <v>112</v>
      </c>
      <c r="AV72" s="3" t="s">
        <v>117</v>
      </c>
      <c r="AW72" s="3" t="s">
        <v>143</v>
      </c>
      <c r="AX72" s="3" t="s">
        <v>149</v>
      </c>
      <c r="AY72" s="3" t="s">
        <v>131</v>
      </c>
      <c r="AZ72" s="3" t="s">
        <v>150</v>
      </c>
      <c r="BA72" s="3" t="s">
        <v>112</v>
      </c>
      <c r="BB72" s="3" t="s">
        <v>308</v>
      </c>
      <c r="BC72" s="3" t="s">
        <v>151</v>
      </c>
      <c r="BN72" s="1"/>
    </row>
    <row r="73" spans="1:66" s="22" customFormat="1" ht="17.25" customHeight="1" collapsed="1" x14ac:dyDescent="0.25">
      <c r="A73" s="1"/>
      <c r="B73" s="1"/>
      <c r="C73" s="179"/>
      <c r="D73" s="179"/>
      <c r="E73" s="401"/>
      <c r="F73" s="401"/>
      <c r="G73" s="401"/>
      <c r="H73" s="401"/>
      <c r="I73" s="401"/>
      <c r="J73" s="401"/>
      <c r="K73" s="401"/>
      <c r="L73" s="402"/>
      <c r="M73" s="402"/>
      <c r="N73" s="402"/>
      <c r="O73" s="415"/>
      <c r="P73" s="415"/>
      <c r="Q73" s="415"/>
      <c r="R73" s="415"/>
      <c r="S73" s="415"/>
      <c r="T73" s="415"/>
      <c r="U73" s="415"/>
      <c r="V73" s="415"/>
      <c r="W73" s="415"/>
      <c r="X73" s="415"/>
      <c r="Y73" s="17"/>
      <c r="Z73" s="17"/>
      <c r="AA73" s="18" t="str">
        <f>IF(VLOOKUP(O74,$B$36:$C$37,2)&gt;0,AA74,CONCATENATE("-",AA74))</f>
        <v>176.49°</v>
      </c>
      <c r="AB73" s="14" t="str">
        <f>BC73</f>
        <v>176°29'24.00 [176°29.40]  (176.4900°)</v>
      </c>
      <c r="AC73" s="7">
        <f>BB73</f>
        <v>176.49</v>
      </c>
      <c r="AD73" s="5">
        <f>IF(LEFT(TRIM(AA73),1)="-",-1,IF(LEFT(TRIM(AA73),1)="+",1, 0))</f>
        <v>0</v>
      </c>
      <c r="AE73" s="5" t="str">
        <f>IF(AD73&gt;0,"+",IF(AD73&lt;0,"-",""))</f>
        <v/>
      </c>
      <c r="AF73" s="5" t="str">
        <f>IF(ABS(AD73)&gt;0,RIGHT(AA73,LEN(AA73)-1),AA73)</f>
        <v>176.49°</v>
      </c>
      <c r="AG73" s="5" t="b">
        <f>ISNUMBER(SEARCH("°",AF73,1))</f>
        <v>1</v>
      </c>
      <c r="AH73" s="5" t="b">
        <f>ISNUMBER(SEARCH("'",AF73,1))</f>
        <v>0</v>
      </c>
      <c r="AI73" s="5" t="b">
        <f>ISNUMBER(SEARCH("""",AF73,1))</f>
        <v>0</v>
      </c>
      <c r="AJ73" s="5" t="b">
        <f>NOT(OR(AG73,AH73,AI73))</f>
        <v>0</v>
      </c>
      <c r="AK73" s="5" t="b">
        <f t="shared" ref="AK73" si="93">OR(AJ73,AG73)</f>
        <v>1</v>
      </c>
      <c r="AL73" s="6" t="str">
        <f>IF(AJ73,VALUE(AF73),IF(AG73,LEFT(AF73,SEARCH("°",AF73,1)-1),0))</f>
        <v>176.49</v>
      </c>
      <c r="AM73" s="5" t="str">
        <f>IF(AJ73,"",IF(AG73,RIGHT(AF73,LEN(AF73)-SEARCH("°",AF73,1)),AF73))</f>
        <v/>
      </c>
      <c r="AN73" s="5" t="b">
        <f>(LEN(AM73)&gt;0)</f>
        <v>0</v>
      </c>
      <c r="AO73" s="5" t="b">
        <f>NOT(OR(AH73,AI73))</f>
        <v>1</v>
      </c>
      <c r="AP73" s="6">
        <f t="shared" ref="AP73" si="94">IF(NOT(AN73),0,IF(AO73,VALUE(AM73),IF(NOT(AH73),0,VALUE(LEFT(AM73,SEARCH("'",AM73,1)-1)))))</f>
        <v>0</v>
      </c>
      <c r="AQ73" s="5" t="str">
        <f t="shared" ref="AQ73" si="95">IF(NOT(AN73),"",IF(AO73,"",IF(NOT(AH73),AM73,RIGHT(AM73,LEN(AM73)-SEARCH("'",AM73,1)))))</f>
        <v/>
      </c>
      <c r="AR73" s="5" t="b">
        <f>(LEN(AQ73)&gt;0)</f>
        <v>0</v>
      </c>
      <c r="AS73" s="5" t="b">
        <f t="shared" ref="AS73" si="96">NOT(AI73)</f>
        <v>1</v>
      </c>
      <c r="AT73" s="5" t="b">
        <f>ISNUMBER(SEARCH(".",AQ73,1))</f>
        <v>0</v>
      </c>
      <c r="AU73" s="6">
        <f t="shared" ref="AU73" si="97">IF(AR73,IF(AI73,IF(AT73,VALUE(SUBSTITUTE(AQ73, """", "")),VALUE(SUBSTITUTE(AQ73, """", "."))),VALUE(AQ73)),0)</f>
        <v>0</v>
      </c>
      <c r="AV73" s="6">
        <f t="shared" ref="AV73" si="98">AL73*3600+AP73*60+AU73</f>
        <v>635364</v>
      </c>
      <c r="AW73" s="6">
        <f>AV73/3600</f>
        <v>176.49</v>
      </c>
      <c r="AX73" s="6">
        <f>_xlfn.FLOOR.MATH((AW73))</f>
        <v>176</v>
      </c>
      <c r="AY73" s="6">
        <f>(AV73-3600*AX73)/60</f>
        <v>29.4</v>
      </c>
      <c r="AZ73" s="6">
        <f>_xlfn.FLOOR.MATH((AY73))</f>
        <v>29</v>
      </c>
      <c r="BA73" s="6">
        <f>AV73-3600*AX73-60*AZ73</f>
        <v>24</v>
      </c>
      <c r="BB73" s="6">
        <f>AW73*IF(AD73&lt;0,-1,1)</f>
        <v>176.49</v>
      </c>
      <c r="BC73" s="7" t="str">
        <f>CONCATENATE(AE73,TEXT(AX73,"00"),"°",TEXT(AZ73,"00"),"'",TEXT(BA73,"00.00"), " [", CONCATENATE(AE73,TEXT(AX73,"00"),"°",TEXT(AY73,"00.00")),"]", "  (", AE73,TEXT(AW73,"00.0000"),"°)")</f>
        <v>176°29'24.00 [176°29.40]  (176.4900°)</v>
      </c>
      <c r="BN73" s="1"/>
    </row>
    <row r="74" spans="1:66" s="22" customFormat="1" ht="17.25" customHeight="1" x14ac:dyDescent="0.25">
      <c r="A74" s="1"/>
      <c r="B74" s="1"/>
      <c r="C74" s="179"/>
      <c r="D74" s="59"/>
      <c r="E74" s="397">
        <f>AC78</f>
        <v>418.62228000000005</v>
      </c>
      <c r="F74" s="397"/>
      <c r="G74" s="397"/>
      <c r="H74" s="321">
        <f>D11</f>
        <v>16.14</v>
      </c>
      <c r="I74" s="321"/>
      <c r="J74" s="321"/>
      <c r="K74" s="321"/>
      <c r="L74" s="307">
        <v>0</v>
      </c>
      <c r="M74" s="321"/>
      <c r="N74" s="321"/>
      <c r="O74" s="321" t="s">
        <v>6</v>
      </c>
      <c r="P74" s="416" t="s">
        <v>374</v>
      </c>
      <c r="Q74" s="321"/>
      <c r="R74" s="321"/>
      <c r="S74" s="321"/>
      <c r="T74" s="321" t="s">
        <v>6</v>
      </c>
      <c r="U74" s="416" t="s">
        <v>316</v>
      </c>
      <c r="V74" s="321"/>
      <c r="W74" s="321"/>
      <c r="X74" s="321"/>
      <c r="Y74" s="17"/>
      <c r="Z74" s="1"/>
      <c r="AA74" s="18" t="str">
        <f>P74</f>
        <v>176.49°</v>
      </c>
      <c r="AB74" s="28"/>
      <c r="AC74" s="37"/>
      <c r="AD74" s="178"/>
      <c r="AE74" s="178"/>
      <c r="AF74" s="178"/>
      <c r="AG74" s="178"/>
      <c r="AH74" s="178"/>
      <c r="AI74" s="178"/>
      <c r="AJ74" s="178"/>
      <c r="AK74" s="178"/>
      <c r="AL74" s="178"/>
      <c r="AM74" s="178"/>
      <c r="AN74" s="178"/>
      <c r="AO74" s="178"/>
      <c r="AT74" s="38"/>
      <c r="AU74" s="38"/>
      <c r="AV74" s="39"/>
      <c r="AW74" s="39"/>
      <c r="AX74" s="178"/>
      <c r="AY74" s="178"/>
      <c r="AZ74" s="178"/>
      <c r="BA74" s="178"/>
      <c r="BN74" s="1"/>
    </row>
    <row r="75" spans="1:66" s="22" customFormat="1" ht="17.25" customHeight="1" thickBot="1" x14ac:dyDescent="0.3">
      <c r="A75" s="1"/>
      <c r="B75" s="1"/>
      <c r="C75" s="179"/>
      <c r="D75" s="179"/>
      <c r="E75" s="398"/>
      <c r="F75" s="398"/>
      <c r="G75" s="398"/>
      <c r="H75" s="363"/>
      <c r="I75" s="363"/>
      <c r="J75" s="363"/>
      <c r="K75" s="363"/>
      <c r="L75" s="400"/>
      <c r="M75" s="363"/>
      <c r="N75" s="363"/>
      <c r="O75" s="363"/>
      <c r="P75" s="363"/>
      <c r="Q75" s="363"/>
      <c r="R75" s="363"/>
      <c r="S75" s="363"/>
      <c r="T75" s="363"/>
      <c r="U75" s="363"/>
      <c r="V75" s="363"/>
      <c r="W75" s="363"/>
      <c r="X75" s="363"/>
      <c r="Y75" s="17"/>
      <c r="Z75" s="1"/>
      <c r="AA75" s="18" t="str">
        <f>U74</f>
        <v>15.002°</v>
      </c>
      <c r="AB75" s="19"/>
      <c r="AC75" s="20"/>
      <c r="AD75" s="178"/>
      <c r="AE75" s="178"/>
      <c r="AF75" s="178"/>
      <c r="AG75" s="178"/>
      <c r="AH75" s="178"/>
      <c r="AI75" s="178"/>
      <c r="AJ75" s="178"/>
      <c r="AK75" s="178"/>
      <c r="AL75" s="178"/>
      <c r="AM75" s="178"/>
      <c r="AN75" s="178"/>
      <c r="AO75" s="178"/>
      <c r="AP75" s="178"/>
      <c r="AQ75" s="178"/>
      <c r="AR75" s="178"/>
      <c r="AS75" s="178"/>
      <c r="AT75" s="178"/>
      <c r="AU75" s="178"/>
      <c r="AV75" s="178"/>
      <c r="AW75" s="178"/>
      <c r="AX75" s="178"/>
      <c r="AY75" s="178"/>
      <c r="AZ75" s="178"/>
      <c r="BA75" s="178"/>
      <c r="BB75" s="178"/>
      <c r="BC75" s="178"/>
      <c r="BD75" s="178"/>
      <c r="BE75" s="178"/>
      <c r="BF75" s="178"/>
      <c r="BG75" s="178"/>
      <c r="BH75" s="178"/>
      <c r="BI75" s="178"/>
      <c r="BJ75" s="178"/>
      <c r="BN75" s="1"/>
    </row>
    <row r="76" spans="1:66" s="22" customFormat="1" ht="17.25" customHeight="1" thickTop="1" thickBot="1" x14ac:dyDescent="0.3">
      <c r="A76" s="1"/>
      <c r="B76" s="1"/>
      <c r="C76" s="179"/>
      <c r="D76" s="179"/>
      <c r="E76" s="279" t="str">
        <f>AB78</f>
        <v>418°37'20.21 [418°37.34]  (418.6223°)</v>
      </c>
      <c r="F76" s="279"/>
      <c r="G76" s="279"/>
      <c r="H76" s="279"/>
      <c r="I76" s="279"/>
      <c r="J76" s="279"/>
      <c r="K76" s="1"/>
      <c r="L76" s="1"/>
      <c r="M76" s="1"/>
      <c r="N76" s="1"/>
      <c r="O76" s="577" t="str">
        <f>AB73</f>
        <v>176°29'24.00 [176°29.40]  (176.4900°)</v>
      </c>
      <c r="P76" s="577"/>
      <c r="Q76" s="577"/>
      <c r="R76" s="577"/>
      <c r="S76" s="577"/>
      <c r="T76" s="577" t="str">
        <f>AB76</f>
        <v>15°00'07.20 [15°00.12]  (15.0020°)</v>
      </c>
      <c r="U76" s="578"/>
      <c r="V76" s="578"/>
      <c r="W76" s="578"/>
      <c r="X76" s="578"/>
      <c r="Y76" s="1"/>
      <c r="Z76" s="1"/>
      <c r="AA76" s="18" t="str">
        <f>IF(VLOOKUP(T74,$B$36:$C$37,2)&gt;0,AA75,CONCATENATE("-",AA75))</f>
        <v>15.002°</v>
      </c>
      <c r="AB76" s="14" t="str">
        <f>BC76</f>
        <v>15°00'07.20 [15°00.12]  (15.0020°)</v>
      </c>
      <c r="AC76" s="7">
        <f>BB76</f>
        <v>15.002000000000001</v>
      </c>
      <c r="AD76" s="5">
        <f>IF(LEFT(TRIM(AA76),1)="-",-1,IF(LEFT(TRIM(AA76),1)="+",1, 0))</f>
        <v>0</v>
      </c>
      <c r="AE76" s="5" t="str">
        <f>IF(AD76&gt;0,"+",IF(AD76&lt;0,"-",""))</f>
        <v/>
      </c>
      <c r="AF76" s="5" t="str">
        <f>IF(ABS(AD76)&gt;0,RIGHT(AA76,LEN(AA76)-1),AA76)</f>
        <v>15.002°</v>
      </c>
      <c r="AG76" s="5" t="b">
        <f>ISNUMBER(SEARCH("°",AF76,1))</f>
        <v>1</v>
      </c>
      <c r="AH76" s="5" t="b">
        <f>ISNUMBER(SEARCH("'",AF76,1))</f>
        <v>0</v>
      </c>
      <c r="AI76" s="5" t="b">
        <f>ISNUMBER(SEARCH("""",AF76,1))</f>
        <v>0</v>
      </c>
      <c r="AJ76" s="5" t="b">
        <f>NOT(OR(AG76,AH76,AI76))</f>
        <v>0</v>
      </c>
      <c r="AK76" s="5" t="b">
        <f t="shared" ref="AK76" si="99">OR(AJ76,AG76)</f>
        <v>1</v>
      </c>
      <c r="AL76" s="6" t="str">
        <f>IF(AJ76,VALUE(AF76),IF(AG76,LEFT(AF76,SEARCH("°",AF76,1)-1),0))</f>
        <v>15.002</v>
      </c>
      <c r="AM76" s="5" t="str">
        <f>IF(AJ76,"",IF(AG76,RIGHT(AF76,LEN(AF76)-SEARCH("°",AF76,1)),AF76))</f>
        <v/>
      </c>
      <c r="AN76" s="5" t="b">
        <f>(LEN(AM76)&gt;0)</f>
        <v>0</v>
      </c>
      <c r="AO76" s="5" t="b">
        <f>NOT(OR(AH76,AI76))</f>
        <v>1</v>
      </c>
      <c r="AP76" s="6">
        <f t="shared" ref="AP76" si="100">IF(NOT(AN76),0,IF(AO76,VALUE(AM76),IF(NOT(AH76),0,VALUE(LEFT(AM76,SEARCH("'",AM76,1)-1)))))</f>
        <v>0</v>
      </c>
      <c r="AQ76" s="5" t="str">
        <f t="shared" ref="AQ76" si="101">IF(NOT(AN76),"",IF(AO76,"",IF(NOT(AH76),AM76,RIGHT(AM76,LEN(AM76)-SEARCH("'",AM76,1)))))</f>
        <v/>
      </c>
      <c r="AR76" s="5" t="b">
        <f>(LEN(AQ76)&gt;0)</f>
        <v>0</v>
      </c>
      <c r="AS76" s="5" t="b">
        <f t="shared" ref="AS76" si="102">NOT(AI76)</f>
        <v>1</v>
      </c>
      <c r="AT76" s="5" t="b">
        <f>ISNUMBER(SEARCH(".",AQ76,1))</f>
        <v>0</v>
      </c>
      <c r="AU76" s="6">
        <f t="shared" ref="AU76" si="103">IF(AR76,IF(AI76,IF(AT76,VALUE(SUBSTITUTE(AQ76, """", "")),VALUE(SUBSTITUTE(AQ76, """", "."))),VALUE(AQ76)),0)</f>
        <v>0</v>
      </c>
      <c r="AV76" s="6">
        <f t="shared" ref="AV76" si="104">AL76*3600+AP76*60+AU76</f>
        <v>54007.200000000004</v>
      </c>
      <c r="AW76" s="6">
        <f>AV76/3600</f>
        <v>15.002000000000001</v>
      </c>
      <c r="AX76" s="6">
        <f>_xlfn.FLOOR.MATH((AW76))</f>
        <v>15</v>
      </c>
      <c r="AY76" s="6">
        <f>(AV76-3600*AX76)/60</f>
        <v>0.12000000000007276</v>
      </c>
      <c r="AZ76" s="6">
        <f>_xlfn.FLOOR.MATH((AY76))</f>
        <v>0</v>
      </c>
      <c r="BA76" s="6">
        <f>AV76-3600*AX76-60*AZ76</f>
        <v>7.2000000000043656</v>
      </c>
      <c r="BB76" s="6">
        <f>AW76*IF(AD76&lt;0,-1,1)</f>
        <v>15.002000000000001</v>
      </c>
      <c r="BC76" s="7" t="str">
        <f>CONCATENATE(AE76,TEXT(AX76,"00"),"°",TEXT(AZ76,"00"),"'",TEXT(BA76,"00.00"), " [", CONCATENATE(AE76,TEXT(AX76,"00"),"°",TEXT(AY76,"00.00")),"]", "  (", AE76,TEXT(AW76,"00.0000"),"°)")</f>
        <v>15°00'07.20 [15°00.12]  (15.0020°)</v>
      </c>
      <c r="BN76" s="1"/>
    </row>
    <row r="77" spans="1:66" s="22" customFormat="1" ht="17.25" customHeight="1" thickTop="1" x14ac:dyDescent="0.25">
      <c r="A77" s="1"/>
      <c r="B77" s="1"/>
      <c r="C77" s="179"/>
      <c r="D77" s="179"/>
      <c r="E77" s="179"/>
      <c r="F77" s="179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7"/>
      <c r="S77" s="17"/>
      <c r="T77" s="17"/>
      <c r="U77" s="17"/>
      <c r="V77" s="17"/>
      <c r="W77" s="17"/>
      <c r="X77" s="1"/>
      <c r="Y77" s="1"/>
      <c r="Z77" s="1"/>
      <c r="AA77" s="18"/>
      <c r="AB77" s="28"/>
      <c r="AC77" s="37"/>
      <c r="AD77" s="61" t="s">
        <v>154</v>
      </c>
      <c r="AE77" s="22">
        <f>AC73+(H74-L74)*AC76</f>
        <v>418.62228000000005</v>
      </c>
      <c r="AF77" s="178"/>
      <c r="AG77" s="178"/>
      <c r="AH77" s="178"/>
      <c r="AI77" s="178"/>
      <c r="AJ77" s="178"/>
      <c r="AK77" s="178"/>
      <c r="AL77" s="178"/>
      <c r="AM77" s="178"/>
      <c r="AN77" s="178"/>
      <c r="AO77" s="178"/>
      <c r="AP77" s="178"/>
      <c r="AQ77" s="178"/>
      <c r="AR77" s="178"/>
      <c r="AS77" s="178"/>
      <c r="AT77" s="178"/>
      <c r="AU77" s="178"/>
      <c r="AV77" s="178"/>
      <c r="AW77" s="178"/>
      <c r="AX77" s="178"/>
      <c r="AY77" s="178"/>
      <c r="AZ77" s="178"/>
      <c r="BA77" s="178"/>
      <c r="BB77" s="178"/>
      <c r="BC77" s="178"/>
      <c r="BD77" s="178"/>
      <c r="BE77" s="178"/>
      <c r="BN77" s="1"/>
    </row>
    <row r="78" spans="1:66" s="22" customFormat="1" ht="17.25" customHeight="1" x14ac:dyDescent="0.25">
      <c r="A78" s="1"/>
      <c r="B78" s="1"/>
      <c r="C78" s="179"/>
      <c r="D78" s="179"/>
      <c r="E78" s="179"/>
      <c r="F78" s="179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7"/>
      <c r="S78" s="17"/>
      <c r="T78" s="17"/>
      <c r="U78" s="17"/>
      <c r="V78" s="17"/>
      <c r="W78" s="1"/>
      <c r="X78" s="1"/>
      <c r="Y78" s="1"/>
      <c r="Z78" s="1"/>
      <c r="AA78" s="18">
        <f>AE77</f>
        <v>418.62228000000005</v>
      </c>
      <c r="AB78" s="14" t="str">
        <f>BC78</f>
        <v>418°37'20.21 [418°37.34]  (418.6223°)</v>
      </c>
      <c r="AC78" s="7">
        <f>BB78</f>
        <v>418.62228000000005</v>
      </c>
      <c r="AD78" s="5">
        <f>IF(LEFT(TRIM(AA78),1)="-",-1,IF(LEFT(TRIM(AA78),1)="+",1, 0))</f>
        <v>0</v>
      </c>
      <c r="AE78" s="5" t="str">
        <f>IF(AD78&gt;0,"+",IF(AD78&lt;0,"-",""))</f>
        <v/>
      </c>
      <c r="AF78" s="5">
        <f>IF(ABS(AD78)&gt;0,RIGHT(AA78,LEN(AA78)-1),AA78)</f>
        <v>418.62228000000005</v>
      </c>
      <c r="AG78" s="5" t="b">
        <f>ISNUMBER(SEARCH("°",AF78,1))</f>
        <v>0</v>
      </c>
      <c r="AH78" s="5" t="b">
        <f>ISNUMBER(SEARCH("'",AF78,1))</f>
        <v>0</v>
      </c>
      <c r="AI78" s="5" t="b">
        <f>ISNUMBER(SEARCH("""",AF78,1))</f>
        <v>0</v>
      </c>
      <c r="AJ78" s="5" t="b">
        <f>NOT(OR(AG78,AH78,AI78))</f>
        <v>1</v>
      </c>
      <c r="AK78" s="5" t="b">
        <f t="shared" ref="AK78" si="105">OR(AJ78,AG78)</f>
        <v>1</v>
      </c>
      <c r="AL78" s="6">
        <f>IF(AJ78,VALUE(AF78),IF(AG78,LEFT(AF78,SEARCH("°",AF78,1)-1),0))</f>
        <v>418.62228000000005</v>
      </c>
      <c r="AM78" s="5" t="str">
        <f>IF(AJ78,"",IF(AG78,RIGHT(AF78,LEN(AF78)-SEARCH("°",AF78,1)),AF78))</f>
        <v/>
      </c>
      <c r="AN78" s="5" t="b">
        <f>(LEN(AM78)&gt;0)</f>
        <v>0</v>
      </c>
      <c r="AO78" s="5" t="b">
        <f>NOT(OR(AH78,AI78))</f>
        <v>1</v>
      </c>
      <c r="AP78" s="6">
        <f t="shared" ref="AP78" si="106">IF(NOT(AN78),0,IF(AO78,VALUE(AM78),IF(NOT(AH78),0,VALUE(LEFT(AM78,SEARCH("'",AM78,1)-1)))))</f>
        <v>0</v>
      </c>
      <c r="AQ78" s="5" t="str">
        <f t="shared" ref="AQ78" si="107">IF(NOT(AN78),"",IF(AO78,"",IF(NOT(AH78),AM78,RIGHT(AM78,LEN(AM78)-SEARCH("'",AM78,1)))))</f>
        <v/>
      </c>
      <c r="AR78" s="5" t="b">
        <f>(LEN(AQ78)&gt;0)</f>
        <v>0</v>
      </c>
      <c r="AS78" s="5" t="b">
        <f t="shared" ref="AS78" si="108">NOT(AI78)</f>
        <v>1</v>
      </c>
      <c r="AT78" s="5" t="b">
        <f>ISNUMBER(SEARCH(".",AQ78,1))</f>
        <v>0</v>
      </c>
      <c r="AU78" s="6">
        <f t="shared" ref="AU78" si="109">IF(AR78,IF(AI78,IF(AT78,VALUE(SUBSTITUTE(AQ78, """", "")),VALUE(SUBSTITUTE(AQ78, """", "."))),VALUE(AQ78)),0)</f>
        <v>0</v>
      </c>
      <c r="AV78" s="6">
        <f t="shared" ref="AV78" si="110">AL78*3600+AP78*60+AU78</f>
        <v>1507040.2080000001</v>
      </c>
      <c r="AW78" s="6">
        <f>AV78/3600</f>
        <v>418.62228000000005</v>
      </c>
      <c r="AX78" s="6">
        <f>_xlfn.FLOOR.MATH((AW78))</f>
        <v>418</v>
      </c>
      <c r="AY78" s="6">
        <f>(AV78-3600*AX78)/60</f>
        <v>37.336800000001674</v>
      </c>
      <c r="AZ78" s="6">
        <f>_xlfn.FLOOR.MATH((AY78))</f>
        <v>37</v>
      </c>
      <c r="BA78" s="6">
        <f>AV78-3600*AX78-60*AZ78</f>
        <v>20.208000000100583</v>
      </c>
      <c r="BB78" s="6">
        <f>AW78*IF(AD78&lt;0,-1,1)</f>
        <v>418.62228000000005</v>
      </c>
      <c r="BC78" s="7" t="str">
        <f>CONCATENATE(AE78,TEXT(AX78,"00"),"°",TEXT(AZ78,"00"),"'",TEXT(BA78,"00.00"), " [", CONCATENATE(AE78,TEXT(AX78,"00"),"°",TEXT(AY78,"00.00")),"]", "  (", AE78,TEXT(AW78,"00.0000"),"°)")</f>
        <v>418°37'20.21 [418°37.34]  (418.6223°)</v>
      </c>
      <c r="BN78" s="1"/>
    </row>
    <row r="79" spans="1:66" ht="17.25" customHeight="1" thickBot="1" x14ac:dyDescent="0.3"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AD79" s="31"/>
      <c r="AE79" s="31"/>
      <c r="AF79" s="31"/>
      <c r="AG79" s="31"/>
      <c r="AH79" s="60"/>
      <c r="AI79" s="31"/>
      <c r="AJ79" s="31"/>
      <c r="AK79" s="31"/>
      <c r="AL79" s="31"/>
      <c r="AM79" s="31"/>
      <c r="AN79" s="63"/>
      <c r="AO79" s="31"/>
      <c r="AP79" s="31"/>
      <c r="AQ79" s="31"/>
      <c r="AR79" s="31"/>
      <c r="AS79" s="31"/>
      <c r="AT79" s="17"/>
    </row>
    <row r="80" spans="1:66" s="17" customFormat="1" ht="17.25" customHeight="1" thickBot="1" x14ac:dyDescent="0.3">
      <c r="A80" s="1"/>
      <c r="B80" s="47" t="s">
        <v>71</v>
      </c>
      <c r="C80" s="48"/>
      <c r="D80" s="48"/>
      <c r="E80" s="362">
        <f>H81</f>
        <v>56.538946666666732</v>
      </c>
      <c r="F80" s="362"/>
      <c r="G80" s="362"/>
      <c r="H80" s="48"/>
      <c r="I80" s="332" t="s">
        <v>157</v>
      </c>
      <c r="J80" s="332"/>
      <c r="K80" s="332"/>
      <c r="L80" s="460" t="str">
        <f>I20</f>
        <v>Lune</v>
      </c>
      <c r="M80" s="460"/>
      <c r="N80" s="460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  <c r="AA80" s="48"/>
      <c r="AB80" s="48"/>
      <c r="AC80" s="48"/>
      <c r="AD80" s="48"/>
      <c r="AE80" s="48"/>
      <c r="AF80" s="48"/>
      <c r="AG80" s="48"/>
      <c r="AH80" s="48"/>
      <c r="AI80" s="48"/>
      <c r="AJ80" s="48"/>
      <c r="AK80" s="48"/>
      <c r="AL80" s="48"/>
      <c r="AM80" s="48"/>
      <c r="AN80" s="48"/>
      <c r="AO80" s="48"/>
      <c r="AP80" s="48"/>
      <c r="AQ80" s="48"/>
      <c r="AR80" s="48"/>
      <c r="AS80" s="48"/>
      <c r="AT80" s="48"/>
      <c r="AU80" s="48"/>
      <c r="AV80" s="48"/>
      <c r="AW80" s="48"/>
      <c r="AX80" s="48"/>
      <c r="AY80" s="48"/>
      <c r="AZ80" s="48"/>
      <c r="BA80" s="49"/>
      <c r="BB80" s="50"/>
      <c r="BC80" s="39"/>
      <c r="BD80" s="39"/>
      <c r="BE80" s="39"/>
      <c r="BF80" s="39"/>
      <c r="BG80" s="39"/>
      <c r="BH80" s="39"/>
      <c r="BI80" s="39"/>
      <c r="BJ80" s="39"/>
      <c r="BK80" s="39"/>
      <c r="BL80" s="39"/>
      <c r="BM80" s="39"/>
    </row>
    <row r="81" spans="1:66" ht="17.25" customHeight="1" thickBot="1" x14ac:dyDescent="0.3">
      <c r="C81" s="282" t="s">
        <v>27</v>
      </c>
      <c r="D81" s="282"/>
      <c r="E81" s="282"/>
      <c r="F81" s="282"/>
      <c r="G81" s="283"/>
      <c r="H81" s="292">
        <f>AG82</f>
        <v>56.538946666666732</v>
      </c>
      <c r="I81" s="293"/>
      <c r="J81" s="293"/>
      <c r="K81" s="294"/>
      <c r="L81" s="64" t="s">
        <v>74</v>
      </c>
      <c r="M81" s="362">
        <f>AD82</f>
        <v>416.53894666666673</v>
      </c>
      <c r="N81" s="362"/>
      <c r="O81" s="362"/>
      <c r="P81" s="362"/>
      <c r="AD81" s="31" t="s">
        <v>75</v>
      </c>
      <c r="AE81" s="31" t="s">
        <v>57</v>
      </c>
      <c r="AF81" s="31" t="s">
        <v>76</v>
      </c>
      <c r="AG81" s="31" t="s">
        <v>77</v>
      </c>
      <c r="AH81" s="17"/>
      <c r="AI81" s="17"/>
      <c r="AJ81" s="17"/>
      <c r="AK81" s="17"/>
      <c r="AL81" s="17"/>
      <c r="AM81" s="17"/>
      <c r="AN81" s="17"/>
      <c r="AO81" s="17"/>
    </row>
    <row r="82" spans="1:66" ht="17.25" customHeight="1" thickTop="1" thickBot="1" x14ac:dyDescent="0.3">
      <c r="A82" s="17"/>
      <c r="C82" s="17"/>
      <c r="D82" s="17"/>
      <c r="E82" s="17"/>
      <c r="F82" s="17"/>
      <c r="G82" s="17"/>
      <c r="H82" s="287" t="str">
        <f>AB83</f>
        <v>56°32'20.21 [56°32.34]  (56.5389°)</v>
      </c>
      <c r="I82" s="287"/>
      <c r="J82" s="287"/>
      <c r="K82" s="287"/>
      <c r="L82" s="287"/>
      <c r="M82" s="287"/>
      <c r="AA82" s="65"/>
      <c r="AB82" s="19"/>
      <c r="AC82" s="19"/>
      <c r="AD82" s="62">
        <f>IF(I20=AF20,E39+#REF!+#REF!,E39+E61)</f>
        <v>416.53894666666673</v>
      </c>
      <c r="AE82" s="17">
        <f>SIGN(AD82)</f>
        <v>1</v>
      </c>
      <c r="AF82" s="17">
        <f>INT(ABS(AD82)/360)</f>
        <v>1</v>
      </c>
      <c r="AG82" s="17">
        <f>IF(AE82&lt;0,(1+AF82)*360+AD82,AD82-AF82*360)</f>
        <v>56.538946666666732</v>
      </c>
      <c r="AH82" s="17"/>
      <c r="AI82" s="17"/>
      <c r="AJ82" s="17"/>
      <c r="AK82" s="17"/>
      <c r="AL82" s="17"/>
      <c r="AM82" s="17"/>
      <c r="AN82" s="17"/>
      <c r="AO82" s="17"/>
      <c r="AP82" s="39"/>
      <c r="AQ82" s="39"/>
      <c r="AR82" s="39"/>
      <c r="AS82" s="39"/>
      <c r="AT82" s="39"/>
      <c r="AU82" s="39"/>
      <c r="AV82" s="39"/>
      <c r="AW82" s="39"/>
      <c r="AX82" s="39"/>
      <c r="AY82" s="39"/>
      <c r="AZ82" s="39"/>
      <c r="BA82" s="39"/>
    </row>
    <row r="83" spans="1:66" ht="17.25" customHeight="1" thickTop="1" thickBot="1" x14ac:dyDescent="0.3">
      <c r="B83" s="17"/>
      <c r="C83" s="1"/>
      <c r="D83" s="1"/>
      <c r="E83" s="1"/>
      <c r="F83" s="1"/>
      <c r="Z83" s="17"/>
      <c r="AA83" s="18">
        <f>AG82</f>
        <v>56.538946666666732</v>
      </c>
      <c r="AB83" s="14" t="str">
        <f>BC83</f>
        <v>56°32'20.21 [56°32.34]  (56.5389°)</v>
      </c>
      <c r="AC83" s="7">
        <f>BB83</f>
        <v>56.538946666666732</v>
      </c>
      <c r="AD83" s="5">
        <f>IF(LEFT(TRIM(AA83),1)="-",-1,IF(LEFT(TRIM(AA83),1)="+",1, 0))</f>
        <v>0</v>
      </c>
      <c r="AE83" s="5" t="str">
        <f>IF(AD83&gt;0,"+",IF(AD83&lt;0,"-",""))</f>
        <v/>
      </c>
      <c r="AF83" s="5">
        <f>IF(ABS(AD83)&gt;0,RIGHT(AA83,LEN(AA83)-1),AA83)</f>
        <v>56.538946666666732</v>
      </c>
      <c r="AG83" s="5" t="b">
        <f>ISNUMBER(SEARCH("°",AF83,1))</f>
        <v>0</v>
      </c>
      <c r="AH83" s="5" t="b">
        <f>ISNUMBER(SEARCH("'",AF83,1))</f>
        <v>0</v>
      </c>
      <c r="AI83" s="5" t="b">
        <f>ISNUMBER(SEARCH("""",AF83,1))</f>
        <v>0</v>
      </c>
      <c r="AJ83" s="5" t="b">
        <f>NOT(OR(AG83,AH83,AI83))</f>
        <v>1</v>
      </c>
      <c r="AK83" s="5" t="b">
        <f t="shared" ref="AK83" si="111">OR(AJ83,AG83)</f>
        <v>1</v>
      </c>
      <c r="AL83" s="6">
        <f>IF(AJ83,VALUE(AF83),IF(AG83,LEFT(AF83,SEARCH("°",AF83,1)-1),0))</f>
        <v>56.538946666666732</v>
      </c>
      <c r="AM83" s="5" t="str">
        <f>IF(AJ83,"",IF(AG83,RIGHT(AF83,LEN(AF83)-SEARCH("°",AF83,1)),AF83))</f>
        <v/>
      </c>
      <c r="AN83" s="5" t="b">
        <f>(LEN(AM83)&gt;0)</f>
        <v>0</v>
      </c>
      <c r="AO83" s="5" t="b">
        <f>NOT(OR(AH83,AI83))</f>
        <v>1</v>
      </c>
      <c r="AP83" s="6">
        <f t="shared" ref="AP83" si="112">IF(NOT(AN83),0,IF(AO83,VALUE(AM83),IF(NOT(AH83),0,VALUE(LEFT(AM83,SEARCH("'",AM83,1)-1)))))</f>
        <v>0</v>
      </c>
      <c r="AQ83" s="5" t="str">
        <f t="shared" ref="AQ83" si="113">IF(NOT(AN83),"",IF(AO83,"",IF(NOT(AH83),AM83,RIGHT(AM83,LEN(AM83)-SEARCH("'",AM83,1)))))</f>
        <v/>
      </c>
      <c r="AR83" s="5" t="b">
        <f>(LEN(AQ83)&gt;0)</f>
        <v>0</v>
      </c>
      <c r="AS83" s="5" t="b">
        <f t="shared" ref="AS83" si="114">NOT(AI83)</f>
        <v>1</v>
      </c>
      <c r="AT83" s="5" t="b">
        <f>ISNUMBER(SEARCH(".",AQ83,1))</f>
        <v>0</v>
      </c>
      <c r="AU83" s="6">
        <f t="shared" ref="AU83" si="115">IF(AR83,IF(AI83,IF(AT83,VALUE(SUBSTITUTE(AQ83, """", "")),VALUE(SUBSTITUTE(AQ83, """", "."))),VALUE(AQ83)),0)</f>
        <v>0</v>
      </c>
      <c r="AV83" s="6">
        <f t="shared" ref="AV83" si="116">AL83*3600+AP83*60+AU83</f>
        <v>203540.20800000025</v>
      </c>
      <c r="AW83" s="6">
        <f>AV83/3600</f>
        <v>56.538946666666732</v>
      </c>
      <c r="AX83" s="6">
        <f>_xlfn.FLOOR.MATH((AW83))</f>
        <v>56</v>
      </c>
      <c r="AY83" s="6">
        <f>(AV83-3600*AX83)/60</f>
        <v>32.336800000004104</v>
      </c>
      <c r="AZ83" s="6">
        <f>_xlfn.FLOOR.MATH((AY83))</f>
        <v>32</v>
      </c>
      <c r="BA83" s="6">
        <f>AV83-3600*AX83-60*AZ83</f>
        <v>20.208000000246102</v>
      </c>
      <c r="BB83" s="6">
        <f>AW83*IF(AD83&lt;0,-1,1)</f>
        <v>56.538946666666732</v>
      </c>
      <c r="BC83" s="7" t="str">
        <f>CONCATENATE(AE83,TEXT(AX83,"00"),"°",TEXT(AZ83,"00"),"'",TEXT(BA83,"00.00"), " [", CONCATENATE(AE83,TEXT(AX83,"00"),"°",TEXT(AY83,"00.00")),"]", "  (", AE83,TEXT(AW83,"00.0000"),"°)")</f>
        <v>56°32'20.21 [56°32.34]  (56.5389°)</v>
      </c>
    </row>
    <row r="84" spans="1:66" ht="17.25" customHeight="1" thickTop="1" thickBot="1" x14ac:dyDescent="0.3">
      <c r="B84" s="47" t="s">
        <v>30</v>
      </c>
      <c r="C84" s="48"/>
      <c r="D84" s="48" t="s">
        <v>176</v>
      </c>
      <c r="E84" s="362">
        <f>IF(F85=AE85,N121,N114)</f>
        <v>9.839619958926443</v>
      </c>
      <c r="F84" s="362"/>
      <c r="G84" s="362"/>
      <c r="H84" s="48"/>
      <c r="I84" s="48"/>
      <c r="J84" s="48"/>
      <c r="K84" s="48"/>
      <c r="L84" s="48"/>
      <c r="M84" s="48"/>
      <c r="N84" s="48"/>
      <c r="O84" s="48" t="s">
        <v>217</v>
      </c>
      <c r="P84" s="48"/>
      <c r="Q84" s="48"/>
      <c r="R84" s="292">
        <f>-N101+N96+N105</f>
        <v>0.78961995892644232</v>
      </c>
      <c r="S84" s="293"/>
      <c r="T84" s="294"/>
      <c r="U84" s="295" t="str">
        <f>AN84</f>
        <v>+00°47.3772</v>
      </c>
      <c r="V84" s="295"/>
      <c r="W84" s="295"/>
      <c r="X84" s="295"/>
      <c r="Y84" s="295"/>
      <c r="Z84" s="48"/>
      <c r="AA84" s="48"/>
      <c r="AB84" s="48"/>
      <c r="AC84" s="48">
        <f>R84</f>
        <v>0.78961995892644232</v>
      </c>
      <c r="AD84" s="48"/>
      <c r="AE84" s="48"/>
      <c r="AF84" s="48"/>
      <c r="AG84" s="48"/>
      <c r="AH84" s="48"/>
      <c r="AI84" s="22">
        <f>SIGN(AC84)</f>
        <v>1</v>
      </c>
      <c r="AJ84" s="22" t="str">
        <f>IF(AI84&lt;0,"-","+")</f>
        <v>+</v>
      </c>
      <c r="AK84" s="17">
        <f>ABS(AC84)*3600</f>
        <v>2842.6318521351923</v>
      </c>
      <c r="AL84" s="17">
        <f>_xlfn.FLOOR.MATH(AK84/3600)</f>
        <v>0</v>
      </c>
      <c r="AM84" s="17">
        <f>(AK84-3600*AL84)/60</f>
        <v>47.377197535586539</v>
      </c>
      <c r="AN84" s="17" t="str">
        <f>CONCATENATE(AJ84,TEXT(AL84, "00"),"°",TEXT(AM84, "00.0000"))</f>
        <v>+00°47.3772</v>
      </c>
      <c r="AO84" s="48"/>
      <c r="AP84" s="48"/>
      <c r="AQ84" s="48"/>
      <c r="AR84" s="48"/>
      <c r="AS84" s="48"/>
      <c r="AT84" s="48"/>
      <c r="AU84" s="48"/>
      <c r="AV84" s="48"/>
      <c r="AW84" s="48"/>
      <c r="AX84" s="48"/>
      <c r="AY84" s="48"/>
      <c r="AZ84" s="48"/>
      <c r="BA84" s="49"/>
      <c r="BB84" s="50"/>
    </row>
    <row r="85" spans="1:66" ht="17.25" customHeight="1" x14ac:dyDescent="0.25">
      <c r="C85" s="434" t="s">
        <v>58</v>
      </c>
      <c r="D85" s="434"/>
      <c r="E85" s="434"/>
      <c r="F85" s="333" t="s">
        <v>84</v>
      </c>
      <c r="G85" s="333"/>
      <c r="H85" s="333"/>
      <c r="O85" s="1" t="s">
        <v>177</v>
      </c>
      <c r="U85" s="17"/>
      <c r="V85" s="17"/>
      <c r="W85" s="17"/>
      <c r="X85" s="17"/>
      <c r="Y85" s="17"/>
      <c r="AD85" s="53" t="s">
        <v>59</v>
      </c>
      <c r="AE85" s="66" t="s">
        <v>83</v>
      </c>
    </row>
    <row r="86" spans="1:66" ht="17.25" customHeight="1" thickBot="1" x14ac:dyDescent="0.3">
      <c r="C86" s="70"/>
      <c r="D86" s="70"/>
      <c r="E86" s="334" t="s">
        <v>168</v>
      </c>
      <c r="F86" s="334"/>
      <c r="G86" s="335"/>
      <c r="H86" s="335"/>
      <c r="I86" s="291">
        <f>IF(F85=AE85,"---",N114)</f>
        <v>9.839619958926443</v>
      </c>
      <c r="J86" s="291"/>
      <c r="K86" s="291"/>
      <c r="U86" s="17"/>
      <c r="V86" s="17"/>
      <c r="W86" s="17"/>
      <c r="X86" s="17"/>
      <c r="Y86" s="17"/>
      <c r="AD86" s="53"/>
      <c r="AE86" s="67" t="s">
        <v>84</v>
      </c>
      <c r="AI86" s="68" t="s">
        <v>182</v>
      </c>
      <c r="AJ86" s="68" t="s">
        <v>182</v>
      </c>
      <c r="AK86" s="68" t="s">
        <v>112</v>
      </c>
      <c r="AL86" s="68" t="s">
        <v>125</v>
      </c>
      <c r="AM86" s="68" t="s">
        <v>137</v>
      </c>
      <c r="AN86" s="17"/>
    </row>
    <row r="87" spans="1:66" ht="17.25" customHeight="1" thickTop="1" thickBot="1" x14ac:dyDescent="0.3">
      <c r="C87" s="1"/>
      <c r="D87" s="1"/>
      <c r="E87" s="1"/>
      <c r="F87" s="1"/>
      <c r="G87" s="461" t="s">
        <v>79</v>
      </c>
      <c r="H87" s="461"/>
      <c r="I87" s="461"/>
      <c r="J87" s="461"/>
      <c r="K87" s="461"/>
      <c r="L87" s="461"/>
      <c r="M87" s="461"/>
      <c r="N87" s="281">
        <f>I19</f>
        <v>8.9666666666666668</v>
      </c>
      <c r="O87" s="281"/>
      <c r="P87" s="281"/>
      <c r="Q87" s="281"/>
      <c r="R87" s="1" t="s">
        <v>125</v>
      </c>
      <c r="T87" s="279" t="str">
        <f>AB87</f>
        <v>+08°58.0000</v>
      </c>
      <c r="U87" s="279"/>
      <c r="V87" s="279"/>
      <c r="W87" s="279"/>
      <c r="X87" s="279"/>
      <c r="Y87" s="279"/>
      <c r="AB87" s="28" t="str">
        <f>AN87</f>
        <v>+08°58.0000</v>
      </c>
      <c r="AC87" s="28">
        <f>N87</f>
        <v>8.9666666666666668</v>
      </c>
      <c r="AD87" s="31" t="s">
        <v>164</v>
      </c>
      <c r="AE87" s="1"/>
      <c r="AF87" s="17"/>
      <c r="AG87" s="17"/>
      <c r="AH87" s="17"/>
      <c r="AI87" s="22">
        <f>SIGN(AC87)</f>
        <v>1</v>
      </c>
      <c r="AJ87" s="22" t="str">
        <f>IF(AI87&lt;0,"-","+")</f>
        <v>+</v>
      </c>
      <c r="AK87" s="17">
        <f>ABS(AC87)*3600</f>
        <v>32280</v>
      </c>
      <c r="AL87" s="17">
        <f>_xlfn.FLOOR.MATH(AK87/3600)</f>
        <v>8</v>
      </c>
      <c r="AM87" s="17">
        <f>(AK87-3600*AL87)/60</f>
        <v>58</v>
      </c>
      <c r="AN87" s="17" t="str">
        <f>CONCATENATE(AJ87,TEXT(AL87, "00"),"°",TEXT(AM87, "00.0000"))</f>
        <v>+08°58.0000</v>
      </c>
      <c r="AO87" s="17"/>
    </row>
    <row r="88" spans="1:66" ht="17.25" customHeight="1" thickTop="1" thickBot="1" x14ac:dyDescent="0.3">
      <c r="C88" s="1"/>
      <c r="D88" s="1"/>
      <c r="E88" s="1"/>
      <c r="F88" s="1"/>
      <c r="G88" s="461" t="s">
        <v>31</v>
      </c>
      <c r="H88" s="461"/>
      <c r="I88" s="461"/>
      <c r="J88" s="461"/>
      <c r="K88" s="461"/>
      <c r="L88" s="461"/>
      <c r="M88" s="461"/>
      <c r="N88" s="281">
        <f>I18</f>
        <v>0</v>
      </c>
      <c r="O88" s="281"/>
      <c r="P88" s="281"/>
      <c r="Q88" s="281"/>
      <c r="R88" s="1" t="s">
        <v>125</v>
      </c>
      <c r="T88" s="279" t="str">
        <f>AB88</f>
        <v>+00°00.0000 (+00.0000')</v>
      </c>
      <c r="U88" s="279"/>
      <c r="V88" s="279"/>
      <c r="W88" s="279"/>
      <c r="X88" s="279"/>
      <c r="Y88" s="279"/>
      <c r="AB88" s="28" t="str">
        <f>AN88</f>
        <v>+00°00.0000 (+00.0000')</v>
      </c>
      <c r="AC88" s="28">
        <f>N88</f>
        <v>0</v>
      </c>
      <c r="AD88" s="31" t="s">
        <v>163</v>
      </c>
      <c r="AE88" s="1"/>
      <c r="AF88" s="17"/>
      <c r="AG88" s="1"/>
      <c r="AH88" s="17"/>
      <c r="AI88" s="22">
        <f>SIGN(AC88)</f>
        <v>0</v>
      </c>
      <c r="AJ88" s="22" t="str">
        <f>IF(AI88&lt;0,"-","+")</f>
        <v>+</v>
      </c>
      <c r="AK88" s="17">
        <f>ABS(AC88)*3600</f>
        <v>0</v>
      </c>
      <c r="AL88" s="17">
        <f>_xlfn.FLOOR.MATH(AK88/3600)</f>
        <v>0</v>
      </c>
      <c r="AM88" s="17">
        <f>(AK88-3600*AL88)/60</f>
        <v>0</v>
      </c>
      <c r="AN88" s="17" t="str">
        <f>CONCATENATE(AJ88,TEXT(AL88, "00"),"°",TEXT(AM88, "00.0000"), " (", CONCATENATE(AJ88,TEXT(AL88*60 + AM88, "00.0000"),"'"), ")")</f>
        <v>+00°00.0000 (+00.0000')</v>
      </c>
      <c r="AO88" s="17"/>
    </row>
    <row r="89" spans="1:66" ht="17.25" customHeight="1" thickTop="1" thickBot="1" x14ac:dyDescent="0.3">
      <c r="F89" s="1"/>
      <c r="G89" s="480" t="s">
        <v>174</v>
      </c>
      <c r="H89" s="480"/>
      <c r="I89" s="480"/>
      <c r="J89" s="480"/>
      <c r="K89" s="480"/>
      <c r="L89" s="480"/>
      <c r="M89" s="480"/>
      <c r="N89" s="280">
        <f>AC89</f>
        <v>0</v>
      </c>
      <c r="O89" s="280"/>
      <c r="P89" s="280"/>
      <c r="Q89" s="280"/>
      <c r="R89" s="1" t="s">
        <v>125</v>
      </c>
      <c r="T89" s="279" t="str">
        <f>AB89</f>
        <v>+00.0000'</v>
      </c>
      <c r="U89" s="279"/>
      <c r="V89" s="279"/>
      <c r="W89" s="279"/>
      <c r="X89" s="279"/>
      <c r="Y89" s="279"/>
      <c r="AB89" s="28" t="str">
        <f>AN89</f>
        <v>+00.0000'</v>
      </c>
      <c r="AC89" s="28">
        <f>AG89</f>
        <v>0</v>
      </c>
      <c r="AD89" s="31" t="s">
        <v>78</v>
      </c>
      <c r="AE89" s="17">
        <f>I17</f>
        <v>0</v>
      </c>
      <c r="AF89" s="69" t="s">
        <v>173</v>
      </c>
      <c r="AG89" s="1">
        <f>0.0293 * SQRT(AE89)</f>
        <v>0</v>
      </c>
      <c r="AH89" s="17"/>
      <c r="AI89" s="22">
        <f>SIGN(AC89)</f>
        <v>0</v>
      </c>
      <c r="AJ89" s="22" t="str">
        <f>IF(AI89&lt;0,"-","+")</f>
        <v>+</v>
      </c>
      <c r="AK89" s="17">
        <f>ABS(AC89)*3600</f>
        <v>0</v>
      </c>
      <c r="AL89" s="17">
        <f>_xlfn.FLOOR.MATH(AK89/3600)</f>
        <v>0</v>
      </c>
      <c r="AM89" s="17">
        <f>(AK89-3600*AL89)/60</f>
        <v>0</v>
      </c>
      <c r="AN89" s="17" t="str">
        <f>CONCATENATE(AJ89,TEXT(AL89*60 + AM89, "00.0000"),"'")</f>
        <v>+00.0000'</v>
      </c>
      <c r="AO89" s="17"/>
    </row>
    <row r="90" spans="1:66" ht="17.25" customHeight="1" thickTop="1" thickBot="1" x14ac:dyDescent="0.3">
      <c r="J90" s="17"/>
      <c r="K90" s="17"/>
      <c r="L90" s="286" t="s">
        <v>320</v>
      </c>
      <c r="M90" s="286"/>
      <c r="N90" s="286"/>
      <c r="O90" s="286"/>
      <c r="P90" s="17"/>
      <c r="Q90" s="17"/>
      <c r="T90" s="17"/>
      <c r="U90" s="17"/>
      <c r="V90" s="17"/>
      <c r="W90" s="17"/>
      <c r="X90" s="17"/>
      <c r="Y90" s="17"/>
      <c r="AD90" s="1"/>
      <c r="AE90" s="1"/>
      <c r="AF90" s="1"/>
      <c r="AG90" s="17"/>
      <c r="AH90" s="17"/>
      <c r="AI90" s="22" t="s">
        <v>309</v>
      </c>
      <c r="AJ90" s="22" t="s">
        <v>309</v>
      </c>
      <c r="AK90" s="22" t="s">
        <v>309</v>
      </c>
      <c r="AL90" s="29" t="s">
        <v>309</v>
      </c>
      <c r="AM90" s="22" t="s">
        <v>309</v>
      </c>
      <c r="AN90" s="22" t="s">
        <v>310</v>
      </c>
      <c r="AO90" s="17"/>
    </row>
    <row r="91" spans="1:66" ht="17.25" customHeight="1" thickTop="1" thickBot="1" x14ac:dyDescent="0.3">
      <c r="F91" s="1"/>
      <c r="G91" s="518" t="s">
        <v>80</v>
      </c>
      <c r="H91" s="518"/>
      <c r="I91" s="518"/>
      <c r="J91" s="518"/>
      <c r="K91" s="518"/>
      <c r="L91" s="518"/>
      <c r="M91" s="518"/>
      <c r="N91" s="450">
        <f>AC91</f>
        <v>8.9666666666666668</v>
      </c>
      <c r="O91" s="294"/>
      <c r="P91" s="1" t="s">
        <v>125</v>
      </c>
      <c r="Q91" s="485">
        <f>N91*D134</f>
        <v>0.15649785626215823</v>
      </c>
      <c r="R91" s="485"/>
      <c r="S91" s="84" t="s">
        <v>170</v>
      </c>
      <c r="T91" s="279" t="str">
        <f>AB91</f>
        <v>+08°58.0000</v>
      </c>
      <c r="U91" s="279"/>
      <c r="V91" s="279"/>
      <c r="W91" s="279"/>
      <c r="X91" s="279"/>
      <c r="Y91" s="279"/>
      <c r="AB91" s="28" t="str">
        <f>AN91</f>
        <v>+08°58.0000</v>
      </c>
      <c r="AC91" s="28">
        <f>AE91</f>
        <v>8.9666666666666668</v>
      </c>
      <c r="AD91" s="68" t="s">
        <v>86</v>
      </c>
      <c r="AE91" s="62">
        <f>N87-AC88-AC89</f>
        <v>8.9666666666666668</v>
      </c>
      <c r="AF91" s="17"/>
      <c r="AG91" s="17"/>
      <c r="AH91" s="17"/>
      <c r="AI91" s="22">
        <f>SIGN(AC91)</f>
        <v>1</v>
      </c>
      <c r="AJ91" s="22" t="str">
        <f>IF(AI91&lt;0,"-","+")</f>
        <v>+</v>
      </c>
      <c r="AK91" s="17">
        <f>AC91*3600</f>
        <v>32280</v>
      </c>
      <c r="AL91" s="17">
        <f>_xlfn.FLOOR.MATH(AK91/3600)</f>
        <v>8</v>
      </c>
      <c r="AM91" s="17">
        <f>(AK91-3600*AL91)/60</f>
        <v>58</v>
      </c>
      <c r="AN91" s="17" t="str">
        <f>CONCATENATE(AJ91,TEXT(AL91, "00"),"°",TEXT(AM91, "00.0000"))</f>
        <v>+08°58.0000</v>
      </c>
      <c r="AO91" s="17"/>
    </row>
    <row r="92" spans="1:66" ht="17.25" customHeight="1" thickTop="1" x14ac:dyDescent="0.25">
      <c r="C92" s="1"/>
      <c r="D92" s="1"/>
      <c r="E92" s="1"/>
      <c r="F92" s="1"/>
      <c r="G92" s="178"/>
      <c r="H92" s="178"/>
      <c r="I92" s="178"/>
      <c r="J92" s="178"/>
      <c r="K92" s="178"/>
      <c r="L92" s="178"/>
      <c r="M92" s="178"/>
      <c r="N92" s="178"/>
      <c r="O92" s="178"/>
      <c r="P92" s="178"/>
      <c r="Q92" s="178"/>
      <c r="T92" s="178"/>
      <c r="U92" s="178"/>
      <c r="V92" s="178"/>
      <c r="W92" s="178"/>
      <c r="X92" s="178"/>
      <c r="Y92" s="178"/>
      <c r="AD92" s="31"/>
      <c r="AE92" s="17"/>
      <c r="AF92" s="17"/>
      <c r="AG92" s="17"/>
      <c r="AH92" s="17"/>
      <c r="AI92" s="17"/>
      <c r="AJ92" s="17"/>
      <c r="AK92" s="17"/>
      <c r="AL92" s="17"/>
      <c r="AM92" s="17"/>
      <c r="AN92" s="17"/>
      <c r="AO92" s="17"/>
    </row>
    <row r="93" spans="1:66" ht="17.25" customHeight="1" x14ac:dyDescent="0.25">
      <c r="F93" s="1"/>
      <c r="G93" s="178"/>
      <c r="H93" s="178"/>
      <c r="I93" s="178"/>
      <c r="J93" s="178"/>
      <c r="K93" s="178"/>
      <c r="L93" s="481" t="s">
        <v>165</v>
      </c>
      <c r="M93" s="481"/>
      <c r="N93" s="481"/>
      <c r="O93" s="481"/>
      <c r="P93" s="178"/>
      <c r="Q93" s="178"/>
      <c r="T93" s="178"/>
      <c r="U93" s="178"/>
      <c r="V93" s="178"/>
      <c r="W93" s="178"/>
      <c r="X93" s="178"/>
      <c r="Y93" s="178"/>
      <c r="AB93" s="14"/>
      <c r="AC93" s="7"/>
      <c r="AD93" s="178"/>
      <c r="AE93" s="178"/>
      <c r="AF93" s="178"/>
      <c r="AG93" s="178"/>
      <c r="AH93" s="178"/>
      <c r="AI93" s="178"/>
      <c r="AJ93" s="178"/>
      <c r="AK93" s="178"/>
      <c r="AL93" s="178"/>
      <c r="AM93" s="178"/>
      <c r="AN93" s="178"/>
      <c r="AO93" s="178"/>
      <c r="AP93" s="178"/>
      <c r="AQ93" s="178"/>
      <c r="AR93" s="178"/>
      <c r="AS93" s="178"/>
      <c r="AT93" s="178"/>
      <c r="AU93" s="178"/>
      <c r="AV93" s="178"/>
      <c r="AW93" s="178"/>
      <c r="AX93" s="178"/>
      <c r="AY93" s="178"/>
      <c r="AZ93" s="178"/>
      <c r="BA93" s="178"/>
      <c r="BB93" s="178"/>
      <c r="BC93" s="178"/>
      <c r="BD93" s="178"/>
    </row>
    <row r="94" spans="1:66" ht="17.25" customHeight="1" thickBot="1" x14ac:dyDescent="0.3">
      <c r="C94" s="1"/>
      <c r="D94" s="1"/>
      <c r="E94" s="1"/>
      <c r="F94" s="1"/>
      <c r="L94" s="482" t="s">
        <v>166</v>
      </c>
      <c r="M94" s="482"/>
      <c r="N94" s="481"/>
      <c r="O94" s="481"/>
      <c r="AB94" s="14"/>
      <c r="AC94" s="7"/>
      <c r="AD94" s="3" t="s">
        <v>57</v>
      </c>
      <c r="AE94" s="3" t="s">
        <v>57</v>
      </c>
      <c r="AF94" s="3" t="s">
        <v>304</v>
      </c>
      <c r="AG94" s="3" t="s">
        <v>120</v>
      </c>
      <c r="AH94" s="3" t="s">
        <v>121</v>
      </c>
      <c r="AI94" s="3" t="s">
        <v>122</v>
      </c>
      <c r="AJ94" s="3" t="s">
        <v>123</v>
      </c>
      <c r="AK94" s="3" t="s">
        <v>124</v>
      </c>
      <c r="AL94" s="3" t="s">
        <v>125</v>
      </c>
      <c r="AM94" s="3" t="s">
        <v>101</v>
      </c>
      <c r="AN94" s="3" t="s">
        <v>129</v>
      </c>
      <c r="AO94" s="3" t="s">
        <v>128</v>
      </c>
      <c r="AP94" s="3" t="s">
        <v>126</v>
      </c>
      <c r="AQ94" s="3" t="s">
        <v>127</v>
      </c>
      <c r="AR94" s="3" t="s">
        <v>129</v>
      </c>
      <c r="AS94" s="3" t="s">
        <v>128</v>
      </c>
      <c r="AT94" s="3" t="s">
        <v>130</v>
      </c>
      <c r="AU94" s="3" t="s">
        <v>112</v>
      </c>
      <c r="AV94" s="3" t="s">
        <v>117</v>
      </c>
      <c r="AW94" s="3" t="s">
        <v>143</v>
      </c>
      <c r="AX94" s="3" t="s">
        <v>149</v>
      </c>
      <c r="AY94" s="3" t="s">
        <v>131</v>
      </c>
      <c r="AZ94" s="3" t="s">
        <v>150</v>
      </c>
      <c r="BA94" s="3" t="s">
        <v>112</v>
      </c>
      <c r="BB94" s="3" t="s">
        <v>308</v>
      </c>
      <c r="BC94" s="3" t="s">
        <v>151</v>
      </c>
    </row>
    <row r="95" spans="1:66" s="22" customFormat="1" ht="17.25" customHeight="1" thickTop="1" thickBot="1" x14ac:dyDescent="0.3">
      <c r="A95" s="17"/>
      <c r="B95" s="17"/>
      <c r="C95" s="17"/>
      <c r="D95" s="17"/>
      <c r="E95" s="1"/>
      <c r="F95" s="1"/>
      <c r="G95" s="280" t="s">
        <v>88</v>
      </c>
      <c r="H95" s="280"/>
      <c r="I95" s="280"/>
      <c r="J95" s="280"/>
      <c r="K95" s="280"/>
      <c r="L95" s="280"/>
      <c r="M95" s="280"/>
      <c r="N95" s="483">
        <f>I22</f>
        <v>0.9</v>
      </c>
      <c r="O95" s="484"/>
      <c r="P95" s="484"/>
      <c r="Q95" s="484"/>
      <c r="R95" s="1" t="s">
        <v>125</v>
      </c>
      <c r="S95" s="1"/>
      <c r="T95" s="279" t="str">
        <f>AB95</f>
        <v>00°54'00.00 [00°54.00]  (00.9000°)</v>
      </c>
      <c r="U95" s="279"/>
      <c r="V95" s="279"/>
      <c r="W95" s="279"/>
      <c r="X95" s="279"/>
      <c r="Y95" s="279"/>
      <c r="Z95" s="1"/>
      <c r="AA95" s="18">
        <f>N95</f>
        <v>0.9</v>
      </c>
      <c r="AB95" s="14" t="str">
        <f>BC95</f>
        <v>00°54'00.00 [00°54.00]  (00.9000°)</v>
      </c>
      <c r="AC95" s="7">
        <f>BB95</f>
        <v>0.9</v>
      </c>
      <c r="AD95" s="5">
        <f>IF(LEFT(TRIM(AA95),1)="-",-1,IF(LEFT(TRIM(AA95),1)="+",1, 0))</f>
        <v>0</v>
      </c>
      <c r="AE95" s="5" t="str">
        <f>IF(AD95&gt;0,"+",IF(AD95&lt;0,"-",""))</f>
        <v/>
      </c>
      <c r="AF95" s="5">
        <f>IF(ABS(AD95)&gt;0,RIGHT(AA95,LEN(AA95)-1),AA95)</f>
        <v>0.9</v>
      </c>
      <c r="AG95" s="5" t="b">
        <f>ISNUMBER(SEARCH("°",AF95,1))</f>
        <v>0</v>
      </c>
      <c r="AH95" s="5" t="b">
        <f>ISNUMBER(SEARCH("'",AF95,1))</f>
        <v>0</v>
      </c>
      <c r="AI95" s="5" t="b">
        <f>ISNUMBER(SEARCH("""",AF95,1))</f>
        <v>0</v>
      </c>
      <c r="AJ95" s="5" t="b">
        <f>NOT(OR(AG95,AH95,AI95))</f>
        <v>1</v>
      </c>
      <c r="AK95" s="5" t="b">
        <f t="shared" ref="AK95" si="117">OR(AJ95,AG95)</f>
        <v>1</v>
      </c>
      <c r="AL95" s="6">
        <f>IF(AJ95,VALUE(AF95),IF(AG95,LEFT(AF95,SEARCH("°",AF95,1)-1),0))</f>
        <v>0.9</v>
      </c>
      <c r="AM95" s="5" t="str">
        <f>IF(AJ95,"",IF(AG95,RIGHT(AF95,LEN(AF95)-SEARCH("°",AF95,1)),AF95))</f>
        <v/>
      </c>
      <c r="AN95" s="5" t="b">
        <f>(LEN(AM95)&gt;0)</f>
        <v>0</v>
      </c>
      <c r="AO95" s="5" t="b">
        <f>NOT(OR(AH95,AI95))</f>
        <v>1</v>
      </c>
      <c r="AP95" s="6">
        <f t="shared" ref="AP95" si="118">IF(NOT(AN95),0,IF(AO95,VALUE(AM95),IF(NOT(AH95),0,VALUE(LEFT(AM95,SEARCH("'",AM95,1)-1)))))</f>
        <v>0</v>
      </c>
      <c r="AQ95" s="5" t="str">
        <f t="shared" ref="AQ95" si="119">IF(NOT(AN95),"",IF(AO95,"",IF(NOT(AH95),AM95,RIGHT(AM95,LEN(AM95)-SEARCH("'",AM95,1)))))</f>
        <v/>
      </c>
      <c r="AR95" s="5" t="b">
        <f>(LEN(AQ95)&gt;0)</f>
        <v>0</v>
      </c>
      <c r="AS95" s="5" t="b">
        <f t="shared" ref="AS95" si="120">NOT(AI95)</f>
        <v>1</v>
      </c>
      <c r="AT95" s="5" t="b">
        <f>ISNUMBER(SEARCH(".",AQ95,1))</f>
        <v>0</v>
      </c>
      <c r="AU95" s="6">
        <f t="shared" ref="AU95" si="121">IF(AR95,IF(AI95,IF(AT95,VALUE(SUBSTITUTE(AQ95, """", "")),VALUE(SUBSTITUTE(AQ95, """", "."))),VALUE(AQ95)),0)</f>
        <v>0</v>
      </c>
      <c r="AV95" s="6">
        <f t="shared" ref="AV95" si="122">AL95*3600+AP95*60+AU95</f>
        <v>3240</v>
      </c>
      <c r="AW95" s="6">
        <f>AV95/3600</f>
        <v>0.9</v>
      </c>
      <c r="AX95" s="6">
        <f>_xlfn.FLOOR.MATH((AW95))</f>
        <v>0</v>
      </c>
      <c r="AY95" s="6">
        <f>(AV95-3600*AX95)/60</f>
        <v>54</v>
      </c>
      <c r="AZ95" s="6">
        <f>_xlfn.FLOOR.MATH((AY95))</f>
        <v>54</v>
      </c>
      <c r="BA95" s="6">
        <f>AV95-3600*AX95-60*AZ95</f>
        <v>0</v>
      </c>
      <c r="BB95" s="6">
        <f>AW95*IF(AD95&lt;0,-1,1)</f>
        <v>0.9</v>
      </c>
      <c r="BC95" s="7" t="str">
        <f>CONCATENATE(AE95,TEXT(AX95,"00"),"°",TEXT(AZ95,"00"),"'",TEXT(BA95,"00.00"), " [", CONCATENATE(AE95,TEXT(AX95,"00"),"°",TEXT(AY95,"00.00")),"]", "  (", AE95,TEXT(AW95,"00.0000"),"°)")</f>
        <v>00°54'00.00 [00°54.00]  (00.9000°)</v>
      </c>
      <c r="BH95" s="1"/>
      <c r="BI95" s="1"/>
      <c r="BN95" s="1"/>
    </row>
    <row r="96" spans="1:66" s="22" customFormat="1" ht="17.25" customHeight="1" thickTop="1" thickBot="1" x14ac:dyDescent="0.3">
      <c r="A96" s="17"/>
      <c r="B96" s="17"/>
      <c r="C96" s="17"/>
      <c r="D96" s="17"/>
      <c r="E96" s="1"/>
      <c r="F96" s="1"/>
      <c r="G96" s="497" t="s">
        <v>167</v>
      </c>
      <c r="H96" s="498"/>
      <c r="I96" s="498"/>
      <c r="J96" s="498"/>
      <c r="K96" s="498"/>
      <c r="L96" s="498"/>
      <c r="M96" s="499"/>
      <c r="N96" s="362">
        <f>AC96</f>
        <v>0.88900126499182719</v>
      </c>
      <c r="O96" s="362"/>
      <c r="P96" s="362"/>
      <c r="Q96" s="362"/>
      <c r="R96" s="1" t="s">
        <v>125</v>
      </c>
      <c r="S96" s="1"/>
      <c r="T96" s="279" t="str">
        <f>AB96</f>
        <v>+00°53.3401 (+53.3401')</v>
      </c>
      <c r="U96" s="279"/>
      <c r="V96" s="279"/>
      <c r="W96" s="279"/>
      <c r="X96" s="279"/>
      <c r="Y96" s="279"/>
      <c r="Z96" s="1"/>
      <c r="AA96" s="18"/>
      <c r="AB96" s="28" t="str">
        <f>AN96</f>
        <v>+00°53.3401 (+53.3401')</v>
      </c>
      <c r="AC96" s="28">
        <f>AE96</f>
        <v>0.88900126499182719</v>
      </c>
      <c r="AD96" s="31" t="s">
        <v>87</v>
      </c>
      <c r="AE96" s="17">
        <f>N95*COS(Q91)</f>
        <v>0.88900126499182719</v>
      </c>
      <c r="AF96" s="17"/>
      <c r="AG96" s="17"/>
      <c r="AH96" s="17"/>
      <c r="AI96" s="22">
        <f>SIGN(AC96)</f>
        <v>1</v>
      </c>
      <c r="AJ96" s="22" t="str">
        <f>IF(AI96&lt;0,"-","+")</f>
        <v>+</v>
      </c>
      <c r="AK96" s="17">
        <f>ABS(AC96)*3600</f>
        <v>3200.404553970578</v>
      </c>
      <c r="AL96" s="17">
        <f>_xlfn.FLOOR.MATH(AK96/3600)</f>
        <v>0</v>
      </c>
      <c r="AM96" s="17">
        <f>(AK96-3600*AL96)/60</f>
        <v>53.340075899509635</v>
      </c>
      <c r="AN96" s="17" t="str">
        <f>CONCATENATE(AJ96,TEXT(AL96, "00"),"°",TEXT(AM96, "00.0000"), " (", CONCATENATE(AJ96,TEXT(AL96*60 + AM96, "00.0000"),"'"), ")")</f>
        <v>+00°53.3401 (+53.3401')</v>
      </c>
      <c r="AO96" s="17"/>
      <c r="AT96" s="17"/>
      <c r="BN96" s="1"/>
    </row>
    <row r="97" spans="1:66" s="22" customFormat="1" ht="17.25" customHeight="1" thickTop="1" x14ac:dyDescent="0.25">
      <c r="A97" s="17"/>
      <c r="B97" s="17"/>
      <c r="C97" s="17"/>
      <c r="D97" s="17"/>
      <c r="E97" s="1"/>
      <c r="F97" s="1"/>
      <c r="G97" s="178"/>
      <c r="H97" s="178"/>
      <c r="I97" s="178"/>
      <c r="J97" s="178"/>
      <c r="K97" s="178"/>
      <c r="L97" s="178"/>
      <c r="M97" s="178"/>
      <c r="N97" s="178"/>
      <c r="O97" s="178"/>
      <c r="P97" s="178"/>
      <c r="Q97" s="178"/>
      <c r="R97" s="178"/>
      <c r="S97" s="178"/>
      <c r="T97" s="178"/>
      <c r="U97" s="178"/>
      <c r="V97" s="178"/>
      <c r="W97" s="178"/>
      <c r="X97" s="178"/>
      <c r="Y97" s="178"/>
      <c r="Z97" s="1"/>
      <c r="AA97" s="18"/>
      <c r="AB97" s="28"/>
      <c r="AC97" s="28"/>
      <c r="AD97" s="31"/>
      <c r="AE97" s="17"/>
      <c r="AF97" s="17"/>
      <c r="AG97" s="17"/>
      <c r="AH97" s="17"/>
      <c r="AK97" s="17"/>
      <c r="AL97" s="17"/>
      <c r="AM97" s="17"/>
      <c r="AN97" s="17"/>
      <c r="AO97" s="17"/>
      <c r="AT97" s="17"/>
      <c r="BN97" s="1"/>
    </row>
    <row r="98" spans="1:66" s="22" customFormat="1" ht="17.25" customHeight="1" x14ac:dyDescent="0.25">
      <c r="A98" s="178"/>
      <c r="B98" s="178"/>
      <c r="C98" s="178"/>
      <c r="D98" s="179"/>
      <c r="E98" s="1"/>
      <c r="F98" s="1"/>
      <c r="G98" s="17"/>
      <c r="H98" s="17"/>
      <c r="I98" s="17"/>
      <c r="J98" s="17"/>
      <c r="K98" s="17"/>
      <c r="L98" s="17"/>
      <c r="M98" s="17"/>
      <c r="N98" s="17"/>
      <c r="O98" s="1"/>
      <c r="P98" s="1"/>
      <c r="Q98" s="1"/>
      <c r="R98" s="492" t="s">
        <v>340</v>
      </c>
      <c r="S98" s="493"/>
      <c r="T98" s="494"/>
      <c r="U98" s="1"/>
      <c r="V98" s="1"/>
      <c r="W98" s="1"/>
      <c r="X98" s="17"/>
      <c r="Y98" s="17"/>
      <c r="Z98" s="1"/>
      <c r="AA98" s="18"/>
      <c r="AB98" s="28"/>
      <c r="AC98" s="28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BN98" s="1"/>
    </row>
    <row r="99" spans="1:66" s="22" customFormat="1" ht="17.25" customHeight="1" x14ac:dyDescent="0.25">
      <c r="A99" s="178"/>
      <c r="B99" s="178"/>
      <c r="C99" s="178"/>
      <c r="D99" s="179"/>
      <c r="E99" s="1"/>
      <c r="F99" s="1"/>
      <c r="G99" s="280" t="s">
        <v>171</v>
      </c>
      <c r="H99" s="280"/>
      <c r="I99" s="280"/>
      <c r="J99" s="280"/>
      <c r="K99" s="280"/>
      <c r="L99" s="280"/>
      <c r="M99" s="280"/>
      <c r="N99" s="500">
        <f>R99</f>
        <v>10</v>
      </c>
      <c r="O99" s="501"/>
      <c r="P99" s="501"/>
      <c r="Q99" s="501"/>
      <c r="R99" s="276">
        <v>10</v>
      </c>
      <c r="S99" s="277"/>
      <c r="T99" s="278"/>
      <c r="U99" s="1"/>
      <c r="V99" s="1"/>
      <c r="W99" s="1"/>
      <c r="X99" s="17"/>
      <c r="Y99" s="17"/>
      <c r="Z99" s="1"/>
      <c r="AA99" s="18"/>
      <c r="AB99" s="28">
        <f>N91</f>
        <v>8.9666666666666668</v>
      </c>
      <c r="AC99" s="28">
        <f>AB99</f>
        <v>8.9666666666666668</v>
      </c>
      <c r="AD99" s="31" t="s">
        <v>218</v>
      </c>
      <c r="AE99" s="1">
        <f>(1/(TAN((AC99+(7.31/(AC99+4.4))) * D134)))</f>
        <v>5.9670953924690071</v>
      </c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BN99" s="1"/>
    </row>
    <row r="100" spans="1:66" s="22" customFormat="1" ht="17.25" customHeight="1" thickBot="1" x14ac:dyDescent="0.3">
      <c r="A100" s="178"/>
      <c r="B100" s="178"/>
      <c r="C100" s="178"/>
      <c r="D100" s="17"/>
      <c r="E100" s="1"/>
      <c r="F100" s="1"/>
      <c r="G100" s="280" t="s">
        <v>172</v>
      </c>
      <c r="H100" s="280"/>
      <c r="I100" s="280"/>
      <c r="J100" s="280"/>
      <c r="K100" s="280"/>
      <c r="L100" s="280"/>
      <c r="M100" s="280"/>
      <c r="N100" s="500">
        <f>R100</f>
        <v>1010</v>
      </c>
      <c r="O100" s="501"/>
      <c r="P100" s="501"/>
      <c r="Q100" s="501"/>
      <c r="R100" s="276">
        <v>1010</v>
      </c>
      <c r="S100" s="277"/>
      <c r="T100" s="278"/>
      <c r="U100" s="1"/>
      <c r="V100" s="1"/>
      <c r="W100" s="1"/>
      <c r="X100" s="17"/>
      <c r="Y100" s="17"/>
      <c r="Z100" s="1"/>
      <c r="AA100" s="18"/>
      <c r="AB100" s="28"/>
      <c r="AC100" s="28"/>
      <c r="AD100" s="31" t="s">
        <v>219</v>
      </c>
      <c r="AE100" s="1">
        <f>(0.28 * N100 / (273 + N99))</f>
        <v>0.99929328621908131</v>
      </c>
      <c r="AF100" s="1"/>
      <c r="AG100" s="1"/>
      <c r="AI100" s="68" t="s">
        <v>182</v>
      </c>
      <c r="AJ100" s="68" t="s">
        <v>182</v>
      </c>
      <c r="AK100" s="68" t="s">
        <v>112</v>
      </c>
      <c r="AL100" s="68" t="s">
        <v>125</v>
      </c>
      <c r="AM100" s="68" t="s">
        <v>137</v>
      </c>
      <c r="AN100" s="1"/>
      <c r="AO100" s="1"/>
      <c r="AP100" s="1"/>
      <c r="AQ100" s="1"/>
      <c r="AR100" s="1"/>
      <c r="AS100" s="1"/>
      <c r="BN100" s="1"/>
    </row>
    <row r="101" spans="1:66" s="22" customFormat="1" ht="17.25" customHeight="1" thickTop="1" thickBot="1" x14ac:dyDescent="0.3">
      <c r="A101" s="178"/>
      <c r="B101" s="178"/>
      <c r="C101" s="178"/>
      <c r="D101" s="17"/>
      <c r="E101" s="1"/>
      <c r="F101" s="1"/>
      <c r="G101" s="497" t="s">
        <v>82</v>
      </c>
      <c r="H101" s="498"/>
      <c r="I101" s="498"/>
      <c r="J101" s="498"/>
      <c r="K101" s="498"/>
      <c r="L101" s="498"/>
      <c r="M101" s="499"/>
      <c r="N101" s="362">
        <f>AC101</f>
        <v>9.9381306065384881E-2</v>
      </c>
      <c r="O101" s="362"/>
      <c r="P101" s="362"/>
      <c r="Q101" s="362"/>
      <c r="R101" s="1" t="s">
        <v>125</v>
      </c>
      <c r="S101" s="1"/>
      <c r="T101" s="279" t="str">
        <f>AB101</f>
        <v>+00°05.9629 (+05.9629')</v>
      </c>
      <c r="U101" s="279"/>
      <c r="V101" s="279"/>
      <c r="W101" s="279"/>
      <c r="X101" s="279"/>
      <c r="Y101" s="279"/>
      <c r="Z101" s="1"/>
      <c r="AA101" s="18"/>
      <c r="AB101" s="28" t="str">
        <f>AN101</f>
        <v>+00°05.9629 (+05.9629')</v>
      </c>
      <c r="AC101" s="28">
        <f>AE101</f>
        <v>9.9381306065384881E-2</v>
      </c>
      <c r="AD101" s="31" t="s">
        <v>85</v>
      </c>
      <c r="AE101" s="17">
        <f>AE99*AE100/60</f>
        <v>9.9381306065384881E-2</v>
      </c>
      <c r="AF101" s="17"/>
      <c r="AG101" s="17"/>
      <c r="AI101" s="22">
        <f>SIGN(AC101)</f>
        <v>1</v>
      </c>
      <c r="AJ101" s="22" t="str">
        <f>IF(AI101&lt;0,"-","+")</f>
        <v>+</v>
      </c>
      <c r="AK101" s="17">
        <f>ABS(AC101)*3600</f>
        <v>357.77270183538559</v>
      </c>
      <c r="AL101" s="17">
        <f>_xlfn.FLOOR.MATH(AK101/3600)</f>
        <v>0</v>
      </c>
      <c r="AM101" s="17">
        <f>(AK101-3600*AL101)/60</f>
        <v>5.9628783639230933</v>
      </c>
      <c r="AN101" s="17" t="str">
        <f>CONCATENATE(AJ101,TEXT(AL101, "00"),"°",TEXT(AM101, "00.0000"), " (", CONCATENATE(AJ101,TEXT(AL101*60 + AM101, "00.0000"),"'"), ")")</f>
        <v>+00°05.9629 (+05.9629')</v>
      </c>
      <c r="AO101" s="1"/>
      <c r="AP101" s="1"/>
      <c r="AQ101" s="1"/>
      <c r="AR101" s="1"/>
      <c r="AS101" s="1"/>
      <c r="BN101" s="1"/>
    </row>
    <row r="102" spans="1:66" s="22" customFormat="1" ht="17.25" customHeight="1" thickTop="1" x14ac:dyDescent="0.25">
      <c r="A102" s="178"/>
      <c r="B102" s="178"/>
      <c r="C102" s="178"/>
      <c r="D102" s="17"/>
      <c r="E102" s="1"/>
      <c r="F102" s="1"/>
      <c r="G102" s="178"/>
      <c r="H102" s="178"/>
      <c r="I102" s="178"/>
      <c r="J102" s="178"/>
      <c r="K102" s="178"/>
      <c r="L102" s="178"/>
      <c r="M102" s="178"/>
      <c r="N102" s="178"/>
      <c r="O102" s="1"/>
      <c r="P102" s="1"/>
      <c r="Q102" s="1"/>
      <c r="R102" s="1"/>
      <c r="S102" s="1"/>
      <c r="T102" s="1"/>
      <c r="U102" s="1"/>
      <c r="V102" s="1"/>
      <c r="W102" s="1"/>
      <c r="X102" s="17"/>
      <c r="Y102" s="17"/>
      <c r="Z102" s="1"/>
      <c r="AA102" s="18"/>
      <c r="AB102" s="28"/>
      <c r="AC102" s="28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BN102" s="1"/>
    </row>
    <row r="103" spans="1:66" s="22" customFormat="1" ht="17.25" customHeight="1" x14ac:dyDescent="0.25">
      <c r="A103" s="17"/>
      <c r="B103" s="17"/>
      <c r="C103" s="17"/>
      <c r="D103" s="17"/>
      <c r="E103" s="1"/>
      <c r="F103" s="1"/>
      <c r="G103" s="280" t="s">
        <v>226</v>
      </c>
      <c r="H103" s="280"/>
      <c r="I103" s="280"/>
      <c r="J103" s="280"/>
      <c r="K103" s="280"/>
      <c r="L103" s="280"/>
      <c r="M103" s="280"/>
      <c r="N103" s="462">
        <f>I26</f>
        <v>0.16666666666666666</v>
      </c>
      <c r="O103" s="462"/>
      <c r="P103" s="462"/>
      <c r="Q103" s="462"/>
      <c r="R103" s="1"/>
      <c r="S103" s="1"/>
      <c r="T103" s="1"/>
      <c r="U103" s="1"/>
      <c r="V103" s="1"/>
      <c r="W103" s="1"/>
      <c r="X103" s="1"/>
      <c r="Y103" s="1"/>
      <c r="Z103" s="1"/>
      <c r="AA103" s="18"/>
      <c r="AB103" s="28"/>
      <c r="AC103" s="28"/>
      <c r="AD103" s="31" t="s">
        <v>183</v>
      </c>
      <c r="AE103" s="31" t="s">
        <v>184</v>
      </c>
      <c r="AF103" s="31" t="s">
        <v>185</v>
      </c>
      <c r="AG103" s="17"/>
      <c r="AH103" s="17"/>
      <c r="AI103" s="17"/>
      <c r="AJ103" s="17"/>
      <c r="AK103" s="17"/>
      <c r="AL103" s="17"/>
      <c r="AM103" s="17"/>
      <c r="AN103" s="17"/>
      <c r="AO103" s="17"/>
      <c r="BN103" s="1"/>
    </row>
    <row r="104" spans="1:66" s="22" customFormat="1" ht="17.25" customHeight="1" thickBot="1" x14ac:dyDescent="0.3">
      <c r="A104" s="1"/>
      <c r="B104" s="17"/>
      <c r="C104" s="17"/>
      <c r="D104" s="179"/>
      <c r="E104" s="179"/>
      <c r="F104" s="179"/>
      <c r="G104" s="280" t="s">
        <v>179</v>
      </c>
      <c r="H104" s="280"/>
      <c r="I104" s="280"/>
      <c r="J104" s="280"/>
      <c r="K104" s="280"/>
      <c r="L104" s="280"/>
      <c r="M104" s="280"/>
      <c r="N104" s="462" t="str">
        <f>I21</f>
        <v>BordInf</v>
      </c>
      <c r="O104" s="462"/>
      <c r="P104" s="462"/>
      <c r="Q104" s="462"/>
      <c r="R104" s="1"/>
      <c r="S104" s="1"/>
      <c r="T104" s="1"/>
      <c r="U104" s="1"/>
      <c r="V104" s="1"/>
      <c r="W104" s="1"/>
      <c r="X104" s="1"/>
      <c r="Y104" s="1"/>
      <c r="Z104" s="1"/>
      <c r="AA104" s="18"/>
      <c r="AB104" s="28"/>
      <c r="AC104" s="28"/>
      <c r="AD104" s="1" t="b">
        <f>(N104=AE21)</f>
        <v>1</v>
      </c>
      <c r="AE104" s="1" t="b">
        <f>(N104=AF21)</f>
        <v>0</v>
      </c>
      <c r="AF104" s="1" t="b">
        <f>(N104=AG21)</f>
        <v>0</v>
      </c>
      <c r="AG104" s="1"/>
      <c r="AH104" s="178"/>
      <c r="AI104" s="68" t="s">
        <v>182</v>
      </c>
      <c r="AJ104" s="68" t="s">
        <v>182</v>
      </c>
      <c r="AK104" s="68" t="s">
        <v>112</v>
      </c>
      <c r="AL104" s="68" t="s">
        <v>125</v>
      </c>
      <c r="AM104" s="68" t="s">
        <v>137</v>
      </c>
      <c r="AN104" s="1"/>
      <c r="AO104" s="1"/>
      <c r="AP104" s="1"/>
      <c r="AQ104" s="1"/>
      <c r="AR104" s="1"/>
      <c r="AS104" s="17"/>
      <c r="BN104" s="1"/>
    </row>
    <row r="105" spans="1:66" s="22" customFormat="1" ht="17.25" customHeight="1" thickTop="1" thickBot="1" x14ac:dyDescent="0.3">
      <c r="A105" s="1"/>
      <c r="B105" s="1"/>
      <c r="C105" s="179"/>
      <c r="D105" s="179"/>
      <c r="E105" s="179"/>
      <c r="F105" s="179"/>
      <c r="G105" s="502" t="s">
        <v>180</v>
      </c>
      <c r="H105" s="503"/>
      <c r="I105" s="503"/>
      <c r="J105" s="503"/>
      <c r="K105" s="503"/>
      <c r="L105" s="503"/>
      <c r="M105" s="504"/>
      <c r="N105" s="505">
        <f>AC105</f>
        <v>0</v>
      </c>
      <c r="O105" s="505"/>
      <c r="P105" s="505"/>
      <c r="Q105" s="505"/>
      <c r="R105" s="1" t="s">
        <v>125</v>
      </c>
      <c r="S105" s="1"/>
      <c r="T105" s="279" t="str">
        <f>AB105</f>
        <v>+00°00.0000 (+00.0000')</v>
      </c>
      <c r="U105" s="279"/>
      <c r="V105" s="279"/>
      <c r="W105" s="279"/>
      <c r="X105" s="279"/>
      <c r="Y105" s="279"/>
      <c r="Z105" s="1"/>
      <c r="AA105" s="18"/>
      <c r="AB105" s="28" t="str">
        <f>AN105</f>
        <v>+00°00.0000 (+00.0000')</v>
      </c>
      <c r="AC105" s="28">
        <f>SUM(AD105:AF105)</f>
        <v>0</v>
      </c>
      <c r="AD105" s="1">
        <v>0</v>
      </c>
      <c r="AE105" s="1">
        <f>IF(AE104,-0.5*N103,0)</f>
        <v>0</v>
      </c>
      <c r="AF105" s="1">
        <f>IF(AF104,-0.5*N103,0)</f>
        <v>0</v>
      </c>
      <c r="AG105" s="1"/>
      <c r="AH105" s="178"/>
      <c r="AI105" s="22">
        <f>SIGN(AC105)</f>
        <v>0</v>
      </c>
      <c r="AJ105" s="22" t="str">
        <f>IF(AI105&lt;0,"-","+")</f>
        <v>+</v>
      </c>
      <c r="AK105" s="17">
        <f>ABS(AC105)*3600</f>
        <v>0</v>
      </c>
      <c r="AL105" s="17">
        <f>_xlfn.FLOOR.MATH(AK105/3600)</f>
        <v>0</v>
      </c>
      <c r="AM105" s="17">
        <f>(AK105-3600*AL105)/60</f>
        <v>0</v>
      </c>
      <c r="AN105" s="17" t="str">
        <f>CONCATENATE(AJ105,TEXT(AL105, "00"),"°",TEXT(AM105, "00.0000"), " (", CONCATENATE(AJ105,TEXT(AL105*60 + AM105, "00.0000"),"'"), ")")</f>
        <v>+00°00.0000 (+00.0000')</v>
      </c>
      <c r="AO105" s="1"/>
      <c r="AP105" s="1"/>
      <c r="AQ105" s="1"/>
      <c r="AR105" s="1"/>
      <c r="AS105" s="17"/>
      <c r="BN105" s="1"/>
    </row>
    <row r="106" spans="1:66" s="22" customFormat="1" ht="17.25" customHeight="1" thickTop="1" x14ac:dyDescent="0.25">
      <c r="A106" s="1"/>
      <c r="B106" s="1"/>
      <c r="C106" s="179"/>
      <c r="D106" s="179"/>
      <c r="E106" s="179"/>
      <c r="F106" s="179"/>
      <c r="G106" s="178"/>
      <c r="H106" s="178"/>
      <c r="I106" s="178"/>
      <c r="J106" s="178"/>
      <c r="K106" s="178"/>
      <c r="L106" s="178"/>
      <c r="M106" s="178"/>
      <c r="N106" s="178"/>
      <c r="O106" s="178"/>
      <c r="P106" s="178"/>
      <c r="Q106" s="178"/>
      <c r="R106" s="178"/>
      <c r="S106" s="178"/>
      <c r="T106" s="178"/>
      <c r="U106" s="178"/>
      <c r="V106" s="178"/>
      <c r="W106" s="178"/>
      <c r="X106" s="178"/>
      <c r="Y106" s="178"/>
      <c r="Z106" s="1"/>
      <c r="AA106" s="18"/>
      <c r="AB106" s="28"/>
      <c r="AC106" s="28"/>
      <c r="AD106" s="1"/>
      <c r="AE106" s="1"/>
      <c r="AF106" s="1"/>
      <c r="AG106" s="1"/>
      <c r="AH106" s="178"/>
      <c r="AK106" s="17"/>
      <c r="AL106" s="17"/>
      <c r="AM106" s="17"/>
      <c r="AN106" s="17"/>
      <c r="AO106" s="1"/>
      <c r="AP106" s="1"/>
      <c r="AQ106" s="1"/>
      <c r="AR106" s="1"/>
      <c r="AS106" s="17"/>
      <c r="BN106" s="1"/>
    </row>
    <row r="107" spans="1:66" s="22" customFormat="1" ht="17.25" customHeight="1" x14ac:dyDescent="0.25">
      <c r="A107" s="1"/>
      <c r="B107" s="1"/>
      <c r="C107" s="179"/>
      <c r="D107" s="179"/>
      <c r="E107" s="179"/>
      <c r="F107" s="477" t="s">
        <v>311</v>
      </c>
      <c r="G107" s="478"/>
      <c r="H107" s="478"/>
      <c r="I107" s="478"/>
      <c r="J107" s="478"/>
      <c r="K107" s="478"/>
      <c r="L107" s="478"/>
      <c r="M107" s="478"/>
      <c r="N107" s="478"/>
      <c r="O107" s="478"/>
      <c r="P107" s="478"/>
      <c r="Q107" s="478"/>
      <c r="R107" s="479"/>
      <c r="S107" s="178"/>
      <c r="T107" s="178"/>
      <c r="U107" s="178"/>
      <c r="V107" s="178"/>
      <c r="W107" s="178"/>
      <c r="X107" s="178"/>
      <c r="Y107" s="178"/>
      <c r="Z107" s="1"/>
      <c r="AA107" s="18"/>
      <c r="AB107" s="28"/>
      <c r="AC107" s="28"/>
      <c r="AD107" s="1"/>
      <c r="AE107" s="1"/>
      <c r="AF107" s="1"/>
      <c r="AG107" s="1"/>
      <c r="AH107" s="178"/>
      <c r="AK107" s="17"/>
      <c r="AL107" s="17"/>
      <c r="AM107" s="17"/>
      <c r="AN107" s="17"/>
      <c r="AO107" s="1"/>
      <c r="AP107" s="1"/>
      <c r="AQ107" s="1"/>
      <c r="AR107" s="1"/>
      <c r="AS107" s="17"/>
      <c r="BN107" s="1"/>
    </row>
    <row r="108" spans="1:66" s="22" customFormat="1" ht="17.25" customHeight="1" x14ac:dyDescent="0.25">
      <c r="A108" s="1"/>
      <c r="B108" s="1"/>
      <c r="C108" s="179"/>
      <c r="D108" s="179"/>
      <c r="E108" s="179"/>
      <c r="F108" s="456" t="s">
        <v>327</v>
      </c>
      <c r="G108" s="457"/>
      <c r="H108" s="486" t="s">
        <v>317</v>
      </c>
      <c r="I108" s="487"/>
      <c r="J108" s="487"/>
      <c r="K108" s="487"/>
      <c r="L108" s="487"/>
      <c r="M108" s="488"/>
      <c r="N108" s="516">
        <f>(N96-N101-N89+N103/2) * 60</f>
        <v>52.377197535586539</v>
      </c>
      <c r="O108" s="284"/>
      <c r="P108" s="284"/>
      <c r="Q108" s="284"/>
      <c r="R108" s="451" t="s">
        <v>312</v>
      </c>
      <c r="S108" s="178"/>
      <c r="T108" s="178"/>
      <c r="U108" s="178"/>
      <c r="V108" s="178"/>
      <c r="W108" s="178"/>
      <c r="X108" s="178"/>
      <c r="Y108" s="178"/>
      <c r="Z108" s="1"/>
      <c r="AA108" s="18"/>
      <c r="AB108" s="28"/>
      <c r="AC108" s="28"/>
      <c r="AD108" s="1"/>
      <c r="AE108" s="1"/>
      <c r="AF108" s="1"/>
      <c r="AG108" s="1"/>
      <c r="AH108" s="178"/>
      <c r="AK108" s="17"/>
      <c r="AL108" s="17"/>
      <c r="AM108" s="17"/>
      <c r="AN108" s="17"/>
      <c r="AO108" s="1"/>
      <c r="AP108" s="1"/>
      <c r="AQ108" s="1"/>
      <c r="AR108" s="1"/>
      <c r="AS108" s="17"/>
      <c r="BN108" s="1"/>
    </row>
    <row r="109" spans="1:66" s="22" customFormat="1" ht="17.25" customHeight="1" x14ac:dyDescent="0.25">
      <c r="A109" s="1"/>
      <c r="B109" s="1"/>
      <c r="C109" s="179"/>
      <c r="D109" s="179"/>
      <c r="E109" s="179"/>
      <c r="F109" s="458"/>
      <c r="G109" s="459"/>
      <c r="H109" s="489" t="s">
        <v>321</v>
      </c>
      <c r="I109" s="490"/>
      <c r="J109" s="490"/>
      <c r="K109" s="490"/>
      <c r="L109" s="490"/>
      <c r="M109" s="491"/>
      <c r="N109" s="517"/>
      <c r="O109" s="285"/>
      <c r="P109" s="285"/>
      <c r="Q109" s="285"/>
      <c r="R109" s="452"/>
      <c r="S109" s="178"/>
      <c r="T109" s="178"/>
      <c r="U109" s="178"/>
      <c r="V109" s="178"/>
      <c r="W109" s="178"/>
      <c r="X109" s="178"/>
      <c r="Y109" s="178"/>
      <c r="Z109" s="1"/>
      <c r="AA109" s="18"/>
      <c r="AB109" s="28"/>
      <c r="AC109" s="28"/>
      <c r="AD109" s="1"/>
      <c r="AE109" s="1"/>
      <c r="AF109" s="1"/>
      <c r="AG109" s="1"/>
      <c r="AH109" s="178"/>
      <c r="AK109" s="17"/>
      <c r="AL109" s="17"/>
      <c r="AM109" s="17"/>
      <c r="AN109" s="17"/>
      <c r="AO109" s="1"/>
      <c r="AP109" s="1"/>
      <c r="AQ109" s="1"/>
      <c r="AR109" s="1"/>
      <c r="AS109" s="17"/>
      <c r="BN109" s="1"/>
    </row>
    <row r="110" spans="1:66" s="22" customFormat="1" ht="17.25" customHeight="1" x14ac:dyDescent="0.25">
      <c r="A110" s="1"/>
      <c r="B110" s="1"/>
      <c r="C110" s="179"/>
      <c r="D110" s="179"/>
      <c r="E110" s="179"/>
      <c r="F110" s="179"/>
      <c r="G110" s="178"/>
      <c r="H110" s="486" t="s">
        <v>318</v>
      </c>
      <c r="I110" s="487"/>
      <c r="J110" s="487"/>
      <c r="K110" s="487"/>
      <c r="L110" s="487"/>
      <c r="M110" s="488"/>
      <c r="N110" s="284">
        <f>(N96-N101+N103/2)*60</f>
        <v>52.377197535586539</v>
      </c>
      <c r="O110" s="284"/>
      <c r="P110" s="284"/>
      <c r="Q110" s="284"/>
      <c r="R110" s="451" t="s">
        <v>312</v>
      </c>
      <c r="S110" s="178"/>
      <c r="T110" s="178"/>
      <c r="U110" s="178"/>
      <c r="V110" s="178"/>
      <c r="W110" s="178"/>
      <c r="X110" s="178"/>
      <c r="Y110" s="178"/>
      <c r="Z110" s="1"/>
      <c r="AA110" s="18"/>
      <c r="AB110" s="28"/>
      <c r="AC110" s="28"/>
      <c r="AD110" s="1"/>
      <c r="AE110" s="1"/>
      <c r="AF110" s="1"/>
      <c r="AG110" s="1"/>
      <c r="AH110" s="178"/>
      <c r="AK110" s="17"/>
      <c r="AL110" s="17"/>
      <c r="AM110" s="17"/>
      <c r="AN110" s="17"/>
      <c r="AO110" s="1"/>
      <c r="AP110" s="1"/>
      <c r="AQ110" s="1"/>
      <c r="AR110" s="1"/>
      <c r="AS110" s="17"/>
      <c r="BN110" s="1"/>
    </row>
    <row r="111" spans="1:66" s="22" customFormat="1" ht="17.25" customHeight="1" x14ac:dyDescent="0.25">
      <c r="A111" s="1"/>
      <c r="B111" s="1"/>
      <c r="C111" s="179"/>
      <c r="D111" s="179"/>
      <c r="E111" s="179"/>
      <c r="F111" s="179"/>
      <c r="G111" s="178"/>
      <c r="H111" s="453" t="s">
        <v>319</v>
      </c>
      <c r="I111" s="454"/>
      <c r="J111" s="454"/>
      <c r="K111" s="454"/>
      <c r="L111" s="454"/>
      <c r="M111" s="455"/>
      <c r="N111" s="285"/>
      <c r="O111" s="285"/>
      <c r="P111" s="285"/>
      <c r="Q111" s="285"/>
      <c r="R111" s="452"/>
      <c r="S111" s="178"/>
      <c r="T111" s="178"/>
      <c r="U111" s="178"/>
      <c r="V111" s="178"/>
      <c r="W111" s="178"/>
      <c r="X111" s="178"/>
      <c r="Y111" s="178"/>
      <c r="Z111" s="1"/>
      <c r="AA111" s="18"/>
      <c r="AB111" s="28"/>
      <c r="AC111" s="28"/>
      <c r="AD111" s="1"/>
      <c r="AE111" s="1"/>
      <c r="AF111" s="1"/>
      <c r="AG111" s="1"/>
      <c r="AH111" s="178"/>
      <c r="AK111" s="17"/>
      <c r="AL111" s="17"/>
      <c r="AM111" s="17"/>
      <c r="AN111" s="17"/>
      <c r="AO111" s="1"/>
      <c r="AP111" s="1"/>
      <c r="AQ111" s="1"/>
      <c r="AR111" s="1"/>
      <c r="AS111" s="17"/>
      <c r="BN111" s="1"/>
    </row>
    <row r="112" spans="1:66" s="22" customFormat="1" ht="17.25" customHeight="1" x14ac:dyDescent="0.25">
      <c r="A112" s="1"/>
      <c r="B112" s="1"/>
      <c r="C112" s="179"/>
      <c r="D112" s="179"/>
      <c r="E112" s="179"/>
      <c r="F112" s="179"/>
      <c r="G112" s="178"/>
      <c r="H112" s="513" t="s">
        <v>180</v>
      </c>
      <c r="I112" s="513"/>
      <c r="J112" s="513"/>
      <c r="K112" s="513"/>
      <c r="L112" s="513"/>
      <c r="M112" s="513"/>
      <c r="N112" s="514">
        <f>N105*60</f>
        <v>0</v>
      </c>
      <c r="O112" s="515"/>
      <c r="P112" s="515"/>
      <c r="Q112" s="515"/>
      <c r="R112" s="148" t="s">
        <v>312</v>
      </c>
      <c r="S112" s="178"/>
      <c r="T112" s="178"/>
      <c r="U112" s="178"/>
      <c r="V112" s="178"/>
      <c r="W112" s="178"/>
      <c r="X112" s="178"/>
      <c r="Y112" s="178"/>
      <c r="Z112" s="1"/>
      <c r="AA112" s="18"/>
      <c r="AB112" s="28"/>
      <c r="AC112" s="28"/>
      <c r="AD112" s="1"/>
      <c r="AE112" s="1"/>
      <c r="AF112" s="1"/>
      <c r="AG112" s="1"/>
      <c r="AH112" s="178"/>
      <c r="AK112" s="17"/>
      <c r="AL112" s="17"/>
      <c r="AM112" s="17"/>
      <c r="AN112" s="17"/>
      <c r="AO112" s="1"/>
      <c r="AP112" s="1"/>
      <c r="AQ112" s="1"/>
      <c r="AR112" s="1"/>
      <c r="AS112" s="17"/>
      <c r="BN112" s="1"/>
    </row>
    <row r="113" spans="1:66" s="22" customFormat="1" ht="17.25" customHeight="1" thickBot="1" x14ac:dyDescent="0.3">
      <c r="A113" s="1"/>
      <c r="B113" s="1"/>
      <c r="C113" s="179"/>
      <c r="D113" s="179"/>
      <c r="E113" s="179"/>
      <c r="F113" s="179"/>
      <c r="G113" s="178"/>
      <c r="H113" s="178"/>
      <c r="I113" s="178"/>
      <c r="J113" s="178"/>
      <c r="K113" s="178"/>
      <c r="L113" s="178"/>
      <c r="M113" s="178"/>
      <c r="N113" s="178"/>
      <c r="O113" s="178"/>
      <c r="P113" s="178"/>
      <c r="Q113" s="178"/>
      <c r="R113" s="1"/>
      <c r="S113" s="1"/>
      <c r="T113" s="1"/>
      <c r="U113" s="1"/>
      <c r="V113" s="1"/>
      <c r="W113" s="1"/>
      <c r="X113" s="1"/>
      <c r="Y113" s="1"/>
      <c r="Z113" s="1"/>
      <c r="AA113" s="18"/>
      <c r="AB113" s="28"/>
      <c r="AC113" s="28"/>
      <c r="AD113" s="1"/>
      <c r="AE113" s="1"/>
      <c r="AF113" s="1"/>
      <c r="AG113" s="1"/>
      <c r="AH113" s="178"/>
      <c r="AI113" s="178" t="s">
        <v>309</v>
      </c>
      <c r="AJ113" s="178" t="s">
        <v>309</v>
      </c>
      <c r="AK113" s="178" t="s">
        <v>309</v>
      </c>
      <c r="AL113" s="178" t="s">
        <v>309</v>
      </c>
      <c r="AM113" s="1" t="s">
        <v>309</v>
      </c>
      <c r="AN113" s="1" t="s">
        <v>309</v>
      </c>
      <c r="AO113" s="1"/>
      <c r="AP113" s="1"/>
      <c r="AQ113" s="1"/>
      <c r="AR113" s="1"/>
      <c r="AS113" s="17"/>
      <c r="BN113" s="1"/>
    </row>
    <row r="114" spans="1:66" s="22" customFormat="1" ht="17.25" customHeight="1" thickTop="1" thickBot="1" x14ac:dyDescent="0.3">
      <c r="A114" s="1"/>
      <c r="B114" s="1"/>
      <c r="C114" s="179"/>
      <c r="D114" s="179"/>
      <c r="E114" s="179"/>
      <c r="F114" s="179"/>
      <c r="G114" s="579" t="s">
        <v>181</v>
      </c>
      <c r="H114" s="579"/>
      <c r="I114" s="579"/>
      <c r="J114" s="579"/>
      <c r="K114" s="579"/>
      <c r="L114" s="579"/>
      <c r="M114" s="579"/>
      <c r="N114" s="362">
        <f>AC114</f>
        <v>9.839619958926443</v>
      </c>
      <c r="O114" s="362"/>
      <c r="P114" s="362"/>
      <c r="Q114" s="362"/>
      <c r="R114" s="1" t="s">
        <v>125</v>
      </c>
      <c r="S114" s="1"/>
      <c r="T114" s="279" t="str">
        <f>AB115</f>
        <v>09°50'22.63 [09°50.38]  (09.8396°)</v>
      </c>
      <c r="U114" s="279"/>
      <c r="V114" s="279"/>
      <c r="W114" s="279"/>
      <c r="X114" s="279"/>
      <c r="Y114" s="279"/>
      <c r="Z114" s="1"/>
      <c r="AA114" s="18"/>
      <c r="AB114" s="28" t="str">
        <f>AN114</f>
        <v>+09°50.3772 (+590.3772')</v>
      </c>
      <c r="AC114" s="28">
        <f>AE114</f>
        <v>9.839619958926443</v>
      </c>
      <c r="AD114" s="68" t="s">
        <v>178</v>
      </c>
      <c r="AE114" s="62">
        <f>N91 - N101 + N96 +N103/2</f>
        <v>9.839619958926443</v>
      </c>
      <c r="AF114" s="1"/>
      <c r="AG114" s="1"/>
      <c r="AH114" s="178"/>
      <c r="AI114" s="22">
        <f>SIGN(AC114)</f>
        <v>1</v>
      </c>
      <c r="AJ114" s="22" t="str">
        <f>IF(AI114&lt;0,"-","+")</f>
        <v>+</v>
      </c>
      <c r="AK114" s="17">
        <f>ABS(AC114)*3600</f>
        <v>35422.631852135193</v>
      </c>
      <c r="AL114" s="17">
        <f>_xlfn.FLOOR.MATH(AK114/3600)</f>
        <v>9</v>
      </c>
      <c r="AM114" s="17">
        <f>(AK114-3600*AL114)/60</f>
        <v>50.377197535586554</v>
      </c>
      <c r="AN114" s="17" t="str">
        <f>CONCATENATE(AJ114,TEXT(AL114, "00"),"°",TEXT(AM114, "00.0000"), " (", CONCATENATE(AJ114,TEXT(AL114*60 + AM114, "00.0000"),"'"), ")")</f>
        <v>+09°50.3772 (+590.3772')</v>
      </c>
      <c r="AO114" s="1"/>
      <c r="AP114" s="1"/>
      <c r="AQ114" s="1"/>
      <c r="AR114" s="1"/>
      <c r="AS114" s="17"/>
      <c r="BN114" s="1"/>
    </row>
    <row r="115" spans="1:66" s="22" customFormat="1" ht="17.25" customHeight="1" thickTop="1" x14ac:dyDescent="0.25">
      <c r="A115" s="1"/>
      <c r="B115" s="1"/>
      <c r="C115" s="179"/>
      <c r="D115" s="179"/>
      <c r="E115" s="179"/>
      <c r="F115" s="179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8">
        <f>AC114</f>
        <v>9.839619958926443</v>
      </c>
      <c r="AB115" s="14" t="str">
        <f>BC115</f>
        <v>09°50'22.63 [09°50.38]  (09.8396°)</v>
      </c>
      <c r="AC115" s="7">
        <f>BB115</f>
        <v>9.839619958926443</v>
      </c>
      <c r="AD115" s="5">
        <f>IF(LEFT(TRIM(AA115),1)="-",-1,IF(LEFT(TRIM(AA115),1)="+",1, 0))</f>
        <v>0</v>
      </c>
      <c r="AE115" s="5" t="str">
        <f>IF(AD115&gt;0,"+",IF(AD115&lt;0,"-",""))</f>
        <v/>
      </c>
      <c r="AF115" s="5">
        <f>IF(ABS(AD115)&gt;0,RIGHT(AA115,LEN(AA115)-1),AA115)</f>
        <v>9.839619958926443</v>
      </c>
      <c r="AG115" s="5" t="b">
        <f>ISNUMBER(SEARCH("°",AF115,1))</f>
        <v>0</v>
      </c>
      <c r="AH115" s="5" t="b">
        <f>ISNUMBER(SEARCH("'",AF115,1))</f>
        <v>0</v>
      </c>
      <c r="AI115" s="5" t="b">
        <f>ISNUMBER(SEARCH("""",AF115,1))</f>
        <v>0</v>
      </c>
      <c r="AJ115" s="5" t="b">
        <f>NOT(OR(AG115,AH115,AI115))</f>
        <v>1</v>
      </c>
      <c r="AK115" s="5" t="b">
        <f t="shared" ref="AK115" si="123">OR(AJ115,AG115)</f>
        <v>1</v>
      </c>
      <c r="AL115" s="6">
        <f>IF(AJ115,VALUE(AF115),IF(AG115,LEFT(AF115,SEARCH("°",AF115,1)-1),0))</f>
        <v>9.839619958926443</v>
      </c>
      <c r="AM115" s="5" t="str">
        <f>IF(AJ115,"",IF(AG115,RIGHT(AF115,LEN(AF115)-SEARCH("°",AF115,1)),AF115))</f>
        <v/>
      </c>
      <c r="AN115" s="5" t="b">
        <f>(LEN(AM115)&gt;0)</f>
        <v>0</v>
      </c>
      <c r="AO115" s="5" t="b">
        <f>NOT(OR(AH115,AI115))</f>
        <v>1</v>
      </c>
      <c r="AP115" s="6">
        <f t="shared" ref="AP115" si="124">IF(NOT(AN115),0,IF(AO115,VALUE(AM115),IF(NOT(AH115),0,VALUE(LEFT(AM115,SEARCH("'",AM115,1)-1)))))</f>
        <v>0</v>
      </c>
      <c r="AQ115" s="5" t="str">
        <f t="shared" ref="AQ115" si="125">IF(NOT(AN115),"",IF(AO115,"",IF(NOT(AH115),AM115,RIGHT(AM115,LEN(AM115)-SEARCH("'",AM115,1)))))</f>
        <v/>
      </c>
      <c r="AR115" s="5" t="b">
        <f>(LEN(AQ115)&gt;0)</f>
        <v>0</v>
      </c>
      <c r="AS115" s="5" t="b">
        <f t="shared" ref="AS115" si="126">NOT(AI115)</f>
        <v>1</v>
      </c>
      <c r="AT115" s="5" t="b">
        <f>ISNUMBER(SEARCH(".",AQ115,1))</f>
        <v>0</v>
      </c>
      <c r="AU115" s="6">
        <f t="shared" ref="AU115" si="127">IF(AR115,IF(AI115,IF(AT115,VALUE(SUBSTITUTE(AQ115, """", "")),VALUE(SUBSTITUTE(AQ115, """", "."))),VALUE(AQ115)),0)</f>
        <v>0</v>
      </c>
      <c r="AV115" s="6">
        <f t="shared" ref="AV115" si="128">AL115*3600+AP115*60+AU115</f>
        <v>35422.631852135193</v>
      </c>
      <c r="AW115" s="6">
        <f>AV115/3600</f>
        <v>9.839619958926443</v>
      </c>
      <c r="AX115" s="6">
        <f>_xlfn.FLOOR.MATH((AW115))</f>
        <v>9</v>
      </c>
      <c r="AY115" s="6">
        <f>(AV115-3600*AX115)/60</f>
        <v>50.377197535586554</v>
      </c>
      <c r="AZ115" s="6">
        <f>_xlfn.FLOOR.MATH((AY115))</f>
        <v>50</v>
      </c>
      <c r="BA115" s="6">
        <f>AV115-3600*AX115-60*AZ115</f>
        <v>22.631852135193185</v>
      </c>
      <c r="BB115" s="6">
        <f>AW115*IF(AD115&lt;0,-1,1)</f>
        <v>9.839619958926443</v>
      </c>
      <c r="BC115" s="7" t="str">
        <f>CONCATENATE(AE115,TEXT(AX115,"00"),"°",TEXT(AZ115,"00"),"'",TEXT(BA115,"00.00"), " [", CONCATENATE(AE115,TEXT(AX115,"00"),"°",TEXT(AY115,"00.00")),"]", "  (", AE115,TEXT(AW115,"00.0000"),"°)")</f>
        <v>09°50'22.63 [09°50.38]  (09.8396°)</v>
      </c>
      <c r="BN115" s="1"/>
    </row>
    <row r="116" spans="1:66" s="22" customFormat="1" ht="17.25" customHeight="1" x14ac:dyDescent="0.25">
      <c r="A116" s="1"/>
      <c r="B116" s="1"/>
      <c r="C116" s="179"/>
      <c r="D116" s="179"/>
      <c r="E116" s="334" t="s">
        <v>169</v>
      </c>
      <c r="F116" s="334"/>
      <c r="G116" s="334"/>
      <c r="H116" s="334"/>
      <c r="I116" s="362" t="str">
        <f>IF(F85=AE85,N121,"---")</f>
        <v>---</v>
      </c>
      <c r="J116" s="362"/>
      <c r="K116" s="362"/>
      <c r="L116" s="1"/>
      <c r="M116" s="1"/>
      <c r="N116" s="1"/>
      <c r="O116" s="1"/>
      <c r="P116" s="1"/>
      <c r="Q116" s="72" t="s">
        <v>196</v>
      </c>
      <c r="R116" s="1" t="s">
        <v>54</v>
      </c>
      <c r="S116" s="1"/>
      <c r="T116" s="1"/>
      <c r="U116" s="1"/>
      <c r="V116" s="1"/>
      <c r="W116" s="1"/>
      <c r="X116" s="1"/>
      <c r="Y116" s="1"/>
      <c r="Z116" s="1"/>
      <c r="AA116" s="18"/>
      <c r="AB116" s="14"/>
      <c r="AC116" s="7"/>
      <c r="AD116" s="3" t="s">
        <v>57</v>
      </c>
      <c r="AE116" s="3" t="s">
        <v>57</v>
      </c>
      <c r="AF116" s="3" t="s">
        <v>304</v>
      </c>
      <c r="AG116" s="3" t="s">
        <v>120</v>
      </c>
      <c r="AH116" s="3" t="s">
        <v>121</v>
      </c>
      <c r="AI116" s="3" t="s">
        <v>122</v>
      </c>
      <c r="AJ116" s="3" t="s">
        <v>123</v>
      </c>
      <c r="AK116" s="3" t="s">
        <v>124</v>
      </c>
      <c r="AL116" s="3" t="s">
        <v>125</v>
      </c>
      <c r="AM116" s="3" t="s">
        <v>101</v>
      </c>
      <c r="AN116" s="3" t="s">
        <v>129</v>
      </c>
      <c r="AO116" s="3" t="s">
        <v>128</v>
      </c>
      <c r="AP116" s="3" t="s">
        <v>126</v>
      </c>
      <c r="AQ116" s="3" t="s">
        <v>127</v>
      </c>
      <c r="AR116" s="3" t="s">
        <v>129</v>
      </c>
      <c r="AS116" s="3" t="s">
        <v>128</v>
      </c>
      <c r="AT116" s="3" t="s">
        <v>130</v>
      </c>
      <c r="AU116" s="3" t="s">
        <v>112</v>
      </c>
      <c r="AV116" s="3" t="s">
        <v>117</v>
      </c>
      <c r="AW116" s="3" t="s">
        <v>143</v>
      </c>
      <c r="AX116" s="3" t="s">
        <v>149</v>
      </c>
      <c r="AY116" s="3" t="s">
        <v>131</v>
      </c>
      <c r="AZ116" s="3" t="s">
        <v>150</v>
      </c>
      <c r="BA116" s="3" t="s">
        <v>112</v>
      </c>
      <c r="BB116" s="3" t="s">
        <v>308</v>
      </c>
      <c r="BC116" s="3" t="s">
        <v>151</v>
      </c>
      <c r="BN116" s="1"/>
    </row>
    <row r="117" spans="1:66" s="22" customFormat="1" ht="17.25" customHeight="1" thickBot="1" x14ac:dyDescent="0.3">
      <c r="A117" s="1"/>
      <c r="B117" s="1"/>
      <c r="C117" s="179"/>
      <c r="D117" s="179"/>
      <c r="E117" s="179"/>
      <c r="F117" s="179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73" t="s">
        <v>192</v>
      </c>
      <c r="R117" s="1" t="s">
        <v>194</v>
      </c>
      <c r="S117" s="1"/>
      <c r="T117" s="1"/>
      <c r="U117" s="1"/>
      <c r="V117" s="1"/>
      <c r="W117" s="1"/>
      <c r="X117" s="1"/>
      <c r="Y117" s="1"/>
      <c r="Z117" s="1"/>
      <c r="AA117" s="18" t="str">
        <f>M119</f>
        <v>0°11.4</v>
      </c>
      <c r="AB117" s="14" t="str">
        <f>BC117</f>
        <v>00°11'24.00 [00°11.40]  (00.1900°)</v>
      </c>
      <c r="AC117" s="7">
        <f>BB117</f>
        <v>0.19</v>
      </c>
      <c r="AD117" s="5">
        <f>IF(LEFT(TRIM(AA117),1)="-",-1,IF(LEFT(TRIM(AA117),1)="+",1, 0))</f>
        <v>0</v>
      </c>
      <c r="AE117" s="5" t="str">
        <f>IF(AD117&gt;0,"+",IF(AD117&lt;0,"-",""))</f>
        <v/>
      </c>
      <c r="AF117" s="5" t="str">
        <f>IF(ABS(AD117)&gt;0,RIGHT(AA117,LEN(AA117)-1),AA117)</f>
        <v>0°11.4</v>
      </c>
      <c r="AG117" s="5" t="b">
        <f>ISNUMBER(SEARCH("°",AF117,1))</f>
        <v>1</v>
      </c>
      <c r="AH117" s="5" t="b">
        <f>ISNUMBER(SEARCH("'",AF117,1))</f>
        <v>0</v>
      </c>
      <c r="AI117" s="5" t="b">
        <f>ISNUMBER(SEARCH("""",AF117,1))</f>
        <v>0</v>
      </c>
      <c r="AJ117" s="5" t="b">
        <f>NOT(OR(AG117,AH117,AI117))</f>
        <v>0</v>
      </c>
      <c r="AK117" s="5" t="b">
        <f t="shared" ref="AK117" si="129">OR(AJ117,AG117)</f>
        <v>1</v>
      </c>
      <c r="AL117" s="6" t="str">
        <f>IF(AJ117,VALUE(AF117),IF(AG117,LEFT(AF117,SEARCH("°",AF117,1)-1),0))</f>
        <v>0</v>
      </c>
      <c r="AM117" s="5" t="str">
        <f>IF(AJ117,"",IF(AG117,RIGHT(AF117,LEN(AF117)-SEARCH("°",AF117,1)),AF117))</f>
        <v>11.4</v>
      </c>
      <c r="AN117" s="5" t="b">
        <f>(LEN(AM117)&gt;0)</f>
        <v>1</v>
      </c>
      <c r="AO117" s="5" t="b">
        <f>NOT(OR(AH117,AI117))</f>
        <v>1</v>
      </c>
      <c r="AP117" s="6">
        <f t="shared" ref="AP117" si="130">IF(NOT(AN117),0,IF(AO117,VALUE(AM117),IF(NOT(AH117),0,VALUE(LEFT(AM117,SEARCH("'",AM117,1)-1)))))</f>
        <v>11.4</v>
      </c>
      <c r="AQ117" s="5" t="str">
        <f t="shared" ref="AQ117" si="131">IF(NOT(AN117),"",IF(AO117,"",IF(NOT(AH117),AM117,RIGHT(AM117,LEN(AM117)-SEARCH("'",AM117,1)))))</f>
        <v/>
      </c>
      <c r="AR117" s="5" t="b">
        <f>(LEN(AQ117)&gt;0)</f>
        <v>0</v>
      </c>
      <c r="AS117" s="5" t="b">
        <f t="shared" ref="AS117" si="132">NOT(AI117)</f>
        <v>1</v>
      </c>
      <c r="AT117" s="5" t="b">
        <f>ISNUMBER(SEARCH(".",AQ117,1))</f>
        <v>0</v>
      </c>
      <c r="AU117" s="6">
        <f t="shared" ref="AU117" si="133">IF(AR117,IF(AI117,IF(AT117,VALUE(SUBSTITUTE(AQ117, """", "")),VALUE(SUBSTITUTE(AQ117, """", "."))),VALUE(AQ117)),0)</f>
        <v>0</v>
      </c>
      <c r="AV117" s="6">
        <f t="shared" ref="AV117" si="134">AL117*3600+AP117*60+AU117</f>
        <v>684</v>
      </c>
      <c r="AW117" s="6">
        <f>AV117/3600</f>
        <v>0.19</v>
      </c>
      <c r="AX117" s="6">
        <f>_xlfn.FLOOR.MATH((AW117))</f>
        <v>0</v>
      </c>
      <c r="AY117" s="6">
        <f>(AV117-3600*AX117)/60</f>
        <v>11.4</v>
      </c>
      <c r="AZ117" s="6">
        <f>_xlfn.FLOOR.MATH((AY117))</f>
        <v>11</v>
      </c>
      <c r="BA117" s="6">
        <f>AV117-3600*AX117-60*AZ117</f>
        <v>24</v>
      </c>
      <c r="BB117" s="6">
        <f>AW117*IF(AD117&lt;0,-1,1)</f>
        <v>0.19</v>
      </c>
      <c r="BC117" s="7" t="str">
        <f>CONCATENATE(AE117,TEXT(AX117,"00"),"°",TEXT(AZ117,"00"),"'",TEXT(BA117,"00.00"), " [", CONCATENATE(AE117,TEXT(AX117,"00"),"°",TEXT(AY117,"00.00")),"]", "  (", AE117,TEXT(AW117,"00.0000"),"°)")</f>
        <v>00°11'24.00 [00°11.40]  (00.1900°)</v>
      </c>
      <c r="BN117" s="1"/>
    </row>
    <row r="118" spans="1:66" s="22" customFormat="1" ht="17.25" customHeight="1" thickTop="1" thickBot="1" x14ac:dyDescent="0.3">
      <c r="A118" s="1"/>
      <c r="B118" s="1"/>
      <c r="C118" s="179"/>
      <c r="D118" s="179"/>
      <c r="E118" s="179"/>
      <c r="F118" s="179"/>
      <c r="G118" s="1" t="s">
        <v>181</v>
      </c>
      <c r="H118" s="71" t="s">
        <v>186</v>
      </c>
      <c r="I118" s="1" t="s">
        <v>164</v>
      </c>
      <c r="J118" s="71" t="s">
        <v>189</v>
      </c>
      <c r="K118" s="1" t="s">
        <v>163</v>
      </c>
      <c r="L118" s="1"/>
      <c r="M118" s="71" t="s">
        <v>190</v>
      </c>
      <c r="N118" s="1"/>
      <c r="O118" s="1"/>
      <c r="P118" s="71" t="s">
        <v>191</v>
      </c>
      <c r="Q118" s="74" t="s">
        <v>193</v>
      </c>
      <c r="R118" s="1" t="s">
        <v>195</v>
      </c>
      <c r="S118" s="1"/>
      <c r="T118" s="1"/>
      <c r="U118" s="279" t="str">
        <f>AB117</f>
        <v>00°11'24.00 [00°11.40]  (00.1900°)</v>
      </c>
      <c r="V118" s="279"/>
      <c r="W118" s="279"/>
      <c r="X118" s="279"/>
      <c r="Y118" s="279"/>
      <c r="Z118" s="279"/>
      <c r="AA118" s="18" t="str">
        <f>Q119</f>
        <v>-16'</v>
      </c>
      <c r="AB118" s="19" t="str">
        <f>AY118</f>
        <v>-00°16'00.00 [-00°16.00] - (-00.2667°)</v>
      </c>
      <c r="AC118" s="20">
        <f>AF118*AC119</f>
        <v>-0.26666666666666666</v>
      </c>
      <c r="AD118" s="31" t="s">
        <v>197</v>
      </c>
      <c r="AE118" s="27" t="b">
        <f>ISNUMBER(SEARCH("-",AA118,1))</f>
        <v>1</v>
      </c>
      <c r="AF118" s="178">
        <f>IF(AE118,-1,1)</f>
        <v>-1</v>
      </c>
      <c r="AG118" s="178" t="str">
        <f>IF(AE118,"-","+")</f>
        <v>-</v>
      </c>
      <c r="AH118" s="178"/>
      <c r="AI118" s="178"/>
      <c r="AJ118" s="178"/>
      <c r="AK118" s="178"/>
      <c r="AL118" s="178"/>
      <c r="AM118" s="178"/>
      <c r="AN118" s="178"/>
      <c r="AO118" s="178"/>
      <c r="AP118" s="178"/>
      <c r="AQ118" s="178"/>
      <c r="AR118" s="178"/>
      <c r="AS118" s="178"/>
      <c r="AT118" s="178"/>
      <c r="AU118" s="178"/>
      <c r="AV118" s="178"/>
      <c r="AW118" s="178"/>
      <c r="AX118" s="178"/>
      <c r="AY118" s="178" t="str">
        <f>CONCATENATE(AG118,TEXT(AU119,"00"),"°",TEXT(AW119,"00"),"'",TEXT(AX119,"00.00"), " [", CONCATENATE(AG118,TEXT(AU119,"00"),"°",TEXT(AV119,"00.00")),"]", " - (", AG118,TEXT(AT119,"00.0000"),"°)")</f>
        <v>-00°16'00.00 [-00°16.00] - (-00.2667°)</v>
      </c>
      <c r="AZ118" s="178"/>
      <c r="BA118" s="178"/>
      <c r="BN118" s="1"/>
    </row>
    <row r="119" spans="1:66" s="22" customFormat="1" ht="17.25" customHeight="1" thickTop="1" thickBot="1" x14ac:dyDescent="0.3">
      <c r="A119" s="1"/>
      <c r="B119" s="1"/>
      <c r="C119" s="179"/>
      <c r="D119" s="179"/>
      <c r="E119" s="179"/>
      <c r="F119" s="179"/>
      <c r="G119" s="1"/>
      <c r="H119" s="71"/>
      <c r="I119" s="77">
        <f>N87</f>
        <v>8.9666666666666668</v>
      </c>
      <c r="J119" s="71" t="s">
        <v>189</v>
      </c>
      <c r="K119" s="78">
        <f>N88</f>
        <v>0</v>
      </c>
      <c r="L119" s="1"/>
      <c r="M119" s="512" t="s">
        <v>220</v>
      </c>
      <c r="N119" s="512"/>
      <c r="O119" s="512"/>
      <c r="P119" s="71" t="s">
        <v>191</v>
      </c>
      <c r="Q119" s="86" t="s">
        <v>192</v>
      </c>
      <c r="R119" s="1"/>
      <c r="S119" s="1"/>
      <c r="T119" s="1"/>
      <c r="U119" s="279" t="str">
        <f>AB118</f>
        <v>-00°16'00.00 [-00°16.00] - (-00.2667°)</v>
      </c>
      <c r="V119" s="279"/>
      <c r="W119" s="279"/>
      <c r="X119" s="279"/>
      <c r="Y119" s="279"/>
      <c r="Z119" s="279"/>
      <c r="AA119" s="18" t="str">
        <f>IF(AE118,RIGHT(AA118,LEN(AA118)-SEARCH("-",AA118,1)),AA118)</f>
        <v>16'</v>
      </c>
      <c r="AB119" s="19" t="str">
        <f>AY119</f>
        <v>00°16'00.00 [00°16.00] - (00.2667°)</v>
      </c>
      <c r="AC119" s="20">
        <f>AT119</f>
        <v>0.26666666666666666</v>
      </c>
      <c r="AD119" s="27" t="b">
        <f t="shared" ref="AD119" si="135">ISNUMBER(SEARCH("°",AA119,1))</f>
        <v>0</v>
      </c>
      <c r="AE119" s="27" t="b">
        <f t="shared" ref="AE119" si="136">ISNUMBER(SEARCH("'",AA119,1))</f>
        <v>1</v>
      </c>
      <c r="AF119" s="27" t="b">
        <f t="shared" ref="AF119" si="137">ISNUMBER(SEARCH("""",AA119,1))</f>
        <v>0</v>
      </c>
      <c r="AG119" s="27" t="b">
        <f t="shared" ref="AG119" si="138">NOT(OR(AD119,AE119,AF119))</f>
        <v>0</v>
      </c>
      <c r="AH119" s="27" t="b">
        <f t="shared" ref="AH119" si="139">OR(AG119,AD119)</f>
        <v>0</v>
      </c>
      <c r="AI119" s="26">
        <f t="shared" ref="AI119" si="140">IF(AG119,VALUE(AA119),IF(AD119,LEFT(AA119,SEARCH("°",AA119,1)-1),0))</f>
        <v>0</v>
      </c>
      <c r="AJ119" s="27" t="str">
        <f t="shared" ref="AJ119" si="141">IF(AG119,"",IF(AD119,RIGHT(AA119,LEN(AA119)-SEARCH("°",AA119,1)),AA119))</f>
        <v>16'</v>
      </c>
      <c r="AK119" s="27" t="b">
        <f>(LEN(AJ119)&gt;0)</f>
        <v>1</v>
      </c>
      <c r="AL119" s="27" t="b">
        <f>NOT(OR(AE119,AF119))</f>
        <v>0</v>
      </c>
      <c r="AM119" s="26">
        <f>IF(NOT(AK119),0,IF(AL119,VALUE(AJ119),IF(NOT(AE119),0,VALUE(LEFT(AJ119,SEARCH("'",AJ119,1)-1)))))</f>
        <v>16</v>
      </c>
      <c r="AN119" s="27" t="str">
        <f>IF(NOT(AK119),"",IF(AL119,"",IF(NOT(AE119),AJ119,RIGHT(AJ119,LEN(AJ119)-SEARCH("'",AJ119,1)))))</f>
        <v/>
      </c>
      <c r="AO119" s="27" t="b">
        <f>(LEN(AN119)&gt;0)</f>
        <v>0</v>
      </c>
      <c r="AP119" s="27" t="b">
        <f>NOT(AF119)</f>
        <v>1</v>
      </c>
      <c r="AQ119" s="27" t="b">
        <f>ISNUMBER(SEARCH(".",AN119,1))</f>
        <v>0</v>
      </c>
      <c r="AR119" s="26">
        <f>IF(AO119,IF(AF119,IF(AQ119,VALUE(SUBSTITUTE(AN119, """", "")),VALUE(SUBSTITUTE(AN119, """", "."))),VALUE(AN119)),0)</f>
        <v>0</v>
      </c>
      <c r="AS119" s="26">
        <f>AI119*3600+AM119*60+AR119</f>
        <v>960</v>
      </c>
      <c r="AT119" s="26">
        <f>AS119/3600</f>
        <v>0.26666666666666666</v>
      </c>
      <c r="AU119" s="26">
        <f>_xlfn.FLOOR.MATH((AT119))</f>
        <v>0</v>
      </c>
      <c r="AV119" s="26">
        <f>(AS119-3600*AU119)/60</f>
        <v>16</v>
      </c>
      <c r="AW119" s="26">
        <f>_xlfn.FLOOR.MATH((AV119))</f>
        <v>16</v>
      </c>
      <c r="AX119" s="26">
        <f>AS119-3600*AU119-60*AW119</f>
        <v>0</v>
      </c>
      <c r="AY119" s="20" t="str">
        <f>CONCATENATE(TEXT(AU119,"00"),"°",TEXT(AW119,"00"),"'",TEXT(AX119,"00.00"), " [", CONCATENATE(TEXT(AU119,"00"),"°",TEXT(AV119,"00.00")),"]", " - (", TEXT(AT119,"00.0000"),"°)")</f>
        <v>00°16'00.00 [00°16.00] - (00.2667°)</v>
      </c>
      <c r="BN119" s="1"/>
    </row>
    <row r="120" spans="1:66" s="22" customFormat="1" ht="17.25" customHeight="1" thickTop="1" x14ac:dyDescent="0.25">
      <c r="A120" s="1"/>
      <c r="B120" s="1"/>
      <c r="C120" s="179"/>
      <c r="D120" s="179"/>
      <c r="E120" s="179"/>
      <c r="F120" s="179"/>
      <c r="G120" s="1"/>
      <c r="H120" s="71"/>
      <c r="I120" s="1"/>
      <c r="J120" s="71"/>
      <c r="K120" s="1"/>
      <c r="L120" s="1"/>
      <c r="M120" s="71"/>
      <c r="N120" s="1"/>
      <c r="O120" s="1"/>
      <c r="P120" s="71"/>
      <c r="Q120" s="75"/>
      <c r="R120" s="1"/>
      <c r="S120" s="1"/>
      <c r="T120" s="1"/>
      <c r="U120" s="1"/>
      <c r="V120" s="1"/>
      <c r="W120" s="1"/>
      <c r="X120" s="1"/>
      <c r="Y120" s="1"/>
      <c r="Z120" s="1"/>
      <c r="AA120" s="18"/>
      <c r="AB120" s="28"/>
      <c r="AC120" s="28"/>
      <c r="AD120" s="17"/>
      <c r="AE120" s="17"/>
      <c r="AF120" s="17"/>
      <c r="AG120" s="17"/>
      <c r="AH120" s="17"/>
      <c r="AI120" s="17"/>
      <c r="AJ120" s="17"/>
      <c r="AK120" s="17"/>
      <c r="AL120" s="17"/>
      <c r="AM120" s="17"/>
      <c r="AN120" s="17"/>
      <c r="AO120" s="17"/>
      <c r="BN120" s="1"/>
    </row>
    <row r="121" spans="1:66" s="22" customFormat="1" ht="17.25" customHeight="1" thickBot="1" x14ac:dyDescent="0.3">
      <c r="A121" s="1"/>
      <c r="B121" s="1"/>
      <c r="C121" s="179"/>
      <c r="D121" s="179"/>
      <c r="E121" s="179"/>
      <c r="F121" s="179"/>
      <c r="G121" s="579" t="s">
        <v>181</v>
      </c>
      <c r="H121" s="579"/>
      <c r="I121" s="579"/>
      <c r="J121" s="579"/>
      <c r="K121" s="579"/>
      <c r="L121" s="579"/>
      <c r="M121" s="579"/>
      <c r="N121" s="362">
        <f>N87-N88+AC117+AC118</f>
        <v>8.8899999999999988</v>
      </c>
      <c r="O121" s="362"/>
      <c r="P121" s="362"/>
      <c r="Q121" s="362"/>
      <c r="R121" s="1"/>
      <c r="S121" s="1"/>
      <c r="T121" s="1"/>
      <c r="U121" s="1"/>
      <c r="V121" s="1"/>
      <c r="W121" s="1"/>
      <c r="X121" s="1"/>
      <c r="Y121" s="1"/>
      <c r="Z121" s="1"/>
      <c r="AA121" s="18"/>
      <c r="AB121" s="28"/>
      <c r="AC121" s="28"/>
      <c r="AD121" s="17"/>
      <c r="AE121" s="17"/>
      <c r="AF121" s="17"/>
      <c r="AG121" s="17"/>
      <c r="AH121" s="17"/>
      <c r="AI121" s="17"/>
      <c r="AJ121" s="17"/>
      <c r="AK121" s="17"/>
      <c r="AL121" s="17"/>
      <c r="AM121" s="17"/>
      <c r="AN121" s="17"/>
      <c r="AO121" s="17"/>
      <c r="BN121" s="1"/>
    </row>
    <row r="122" spans="1:66" s="22" customFormat="1" ht="17.25" customHeight="1" thickBot="1" x14ac:dyDescent="0.3">
      <c r="A122" s="1"/>
      <c r="B122" s="1"/>
      <c r="C122" s="179"/>
      <c r="D122" s="179"/>
      <c r="E122" s="179"/>
      <c r="F122" s="179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8"/>
      <c r="AB122" s="28"/>
      <c r="AC122" s="28"/>
      <c r="AD122" s="17"/>
      <c r="AE122" s="17"/>
      <c r="AF122" s="17"/>
      <c r="AG122" s="17"/>
      <c r="AH122" s="17"/>
      <c r="AI122" s="17"/>
      <c r="AJ122" s="17"/>
      <c r="AK122" s="17"/>
      <c r="AL122" s="17"/>
      <c r="AM122" s="17"/>
      <c r="AN122" s="17"/>
      <c r="AO122" s="17"/>
      <c r="AU122" s="48"/>
      <c r="AV122" s="48"/>
      <c r="AW122" s="48"/>
      <c r="AX122" s="48"/>
      <c r="AY122" s="48"/>
      <c r="AZ122" s="48"/>
      <c r="BA122" s="49"/>
      <c r="BB122" s="50"/>
      <c r="BN122" s="1"/>
    </row>
    <row r="123" spans="1:66" s="22" customFormat="1" ht="17.25" customHeight="1" thickBot="1" x14ac:dyDescent="0.3">
      <c r="A123" s="1"/>
      <c r="B123" s="47" t="s">
        <v>73</v>
      </c>
      <c r="C123" s="48"/>
      <c r="D123" s="48"/>
      <c r="E123" s="48"/>
      <c r="F123" s="48"/>
      <c r="G123" s="48"/>
      <c r="H123" s="48"/>
      <c r="I123" s="48"/>
      <c r="J123" s="48"/>
      <c r="K123" s="48"/>
      <c r="L123" s="48"/>
      <c r="M123" s="48"/>
      <c r="N123" s="48"/>
      <c r="O123" s="48"/>
      <c r="P123" s="48"/>
      <c r="Q123" s="48"/>
      <c r="R123" s="48"/>
      <c r="S123" s="48"/>
      <c r="T123" s="48"/>
      <c r="U123" s="48"/>
      <c r="V123" s="48"/>
      <c r="W123" s="48"/>
      <c r="X123" s="48"/>
      <c r="Y123" s="48"/>
      <c r="Z123" s="48"/>
      <c r="AA123" s="48"/>
      <c r="AB123" s="48"/>
      <c r="AC123" s="48"/>
      <c r="AD123" s="48"/>
      <c r="AE123" s="48"/>
      <c r="AF123" s="48"/>
      <c r="AG123" s="48"/>
      <c r="AH123" s="48"/>
      <c r="AI123" s="48"/>
      <c r="AJ123" s="48"/>
      <c r="AK123" s="48"/>
      <c r="AL123" s="48"/>
      <c r="AM123" s="48"/>
      <c r="AN123" s="48"/>
      <c r="AO123" s="48"/>
      <c r="AP123" s="48"/>
      <c r="AQ123" s="48"/>
      <c r="AR123" s="48"/>
      <c r="AS123" s="48"/>
      <c r="AT123" s="48"/>
      <c r="BN123" s="1"/>
    </row>
    <row r="124" spans="1:66" s="22" customFormat="1" ht="17.25" customHeight="1" x14ac:dyDescent="0.25">
      <c r="A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476" t="s">
        <v>198</v>
      </c>
      <c r="O124" s="476"/>
      <c r="P124" s="476"/>
      <c r="Q124" s="476"/>
      <c r="R124" s="476"/>
      <c r="S124" s="476"/>
      <c r="T124" s="476"/>
      <c r="U124" s="476"/>
      <c r="V124" s="476"/>
      <c r="W124" s="476"/>
      <c r="X124" s="476"/>
      <c r="Y124" s="476"/>
      <c r="Z124" s="476"/>
      <c r="AA124" s="18"/>
      <c r="AB124" s="28"/>
      <c r="AC124" s="28"/>
      <c r="AL124" s="29"/>
      <c r="BN124" s="1"/>
    </row>
    <row r="125" spans="1:66" s="22" customFormat="1" ht="17.25" customHeight="1" x14ac:dyDescent="0.25">
      <c r="A125" s="1"/>
      <c r="B125" s="1"/>
      <c r="C125" s="238"/>
      <c r="D125" s="550" t="s">
        <v>28</v>
      </c>
      <c r="E125" s="551"/>
      <c r="F125" s="551"/>
      <c r="G125" s="551"/>
      <c r="H125" s="391">
        <f>AC126</f>
        <v>11.445530958277828</v>
      </c>
      <c r="I125" s="391"/>
      <c r="J125" s="391"/>
      <c r="K125" s="391"/>
      <c r="L125" s="391"/>
      <c r="M125" s="1"/>
      <c r="N125" s="281" t="s">
        <v>199</v>
      </c>
      <c r="O125" s="281"/>
      <c r="P125" s="281">
        <f>D</f>
        <v>-11.98176</v>
      </c>
      <c r="Q125" s="281"/>
      <c r="R125" s="281"/>
      <c r="S125" s="519" t="s">
        <v>125</v>
      </c>
      <c r="T125" s="520">
        <f>P125*$D$134</f>
        <v>-0.20912116218375576</v>
      </c>
      <c r="U125" s="521"/>
      <c r="V125" s="522"/>
      <c r="W125" s="519" t="s">
        <v>170</v>
      </c>
      <c r="X125" s="1"/>
      <c r="Y125" s="1"/>
      <c r="Z125" s="1"/>
      <c r="AA125" s="18"/>
      <c r="AB125" s="28"/>
      <c r="AC125" s="28"/>
      <c r="AD125" s="79" t="s">
        <v>201</v>
      </c>
      <c r="AE125" s="22">
        <f>SIN(T125)*SIN(T126)+COS(T125)*COS(T126)*COS(T127)</f>
        <v>0.19843626521144325</v>
      </c>
      <c r="AL125" s="29"/>
      <c r="BN125" s="1"/>
    </row>
    <row r="126" spans="1:66" s="22" customFormat="1" ht="17.25" customHeight="1" thickBot="1" x14ac:dyDescent="0.3">
      <c r="A126" s="1"/>
      <c r="B126" s="1"/>
      <c r="C126" s="238"/>
      <c r="D126" s="552"/>
      <c r="E126" s="553"/>
      <c r="F126" s="553"/>
      <c r="G126" s="553"/>
      <c r="H126" s="391"/>
      <c r="I126" s="391"/>
      <c r="J126" s="391"/>
      <c r="K126" s="391"/>
      <c r="L126" s="391"/>
      <c r="M126" s="149" t="s">
        <v>328</v>
      </c>
      <c r="N126" s="281" t="s">
        <v>200</v>
      </c>
      <c r="O126" s="281"/>
      <c r="P126" s="281">
        <f>L</f>
        <v>48.866666666666667</v>
      </c>
      <c r="Q126" s="281"/>
      <c r="R126" s="281"/>
      <c r="S126" s="519"/>
      <c r="T126" s="520">
        <f>P126*$D$134</f>
        <v>0.85288422780789575</v>
      </c>
      <c r="U126" s="521"/>
      <c r="V126" s="522"/>
      <c r="W126" s="519"/>
      <c r="X126" s="1"/>
      <c r="Y126" s="1"/>
      <c r="Z126" s="1"/>
      <c r="AA126" s="18"/>
      <c r="AB126" s="28"/>
      <c r="AC126" s="28">
        <f>AF126</f>
        <v>11.445530958277828</v>
      </c>
      <c r="AD126" s="31" t="s">
        <v>202</v>
      </c>
      <c r="AE126" s="22">
        <f>ASIN(AE125)</f>
        <v>0.19976219986088983</v>
      </c>
      <c r="AF126" s="22">
        <f>AE126*$D$135</f>
        <v>11.445530958277828</v>
      </c>
      <c r="AL126" s="29"/>
      <c r="BN126" s="1"/>
    </row>
    <row r="127" spans="1:66" s="22" customFormat="1" ht="17.25" customHeight="1" thickTop="1" thickBot="1" x14ac:dyDescent="0.3">
      <c r="A127" s="1"/>
      <c r="B127" s="1"/>
      <c r="C127" s="238"/>
      <c r="D127" s="554"/>
      <c r="E127" s="555"/>
      <c r="F127" s="555"/>
      <c r="G127" s="555"/>
      <c r="H127" s="279" t="str">
        <f>AB129</f>
        <v>11°26'43.91 [11°26.73]  (11.4455°)</v>
      </c>
      <c r="I127" s="279"/>
      <c r="J127" s="279"/>
      <c r="K127" s="279"/>
      <c r="L127" s="279"/>
      <c r="M127" s="1"/>
      <c r="N127" s="281" t="s">
        <v>71</v>
      </c>
      <c r="O127" s="281"/>
      <c r="P127" s="281">
        <f>E80</f>
        <v>56.538946666666732</v>
      </c>
      <c r="Q127" s="281"/>
      <c r="R127" s="281"/>
      <c r="S127" s="519"/>
      <c r="T127" s="520">
        <f>P127*$D$134</f>
        <v>0.98679077494280742</v>
      </c>
      <c r="U127" s="521"/>
      <c r="V127" s="522"/>
      <c r="W127" s="519"/>
      <c r="X127" s="1"/>
      <c r="Y127" s="1"/>
      <c r="Z127" s="1"/>
      <c r="AA127" s="18"/>
      <c r="AB127" s="28"/>
      <c r="AC127" s="28"/>
      <c r="AL127" s="29"/>
      <c r="BN127" s="1"/>
    </row>
    <row r="128" spans="1:66" s="22" customFormat="1" ht="17.25" customHeight="1" thickTop="1" x14ac:dyDescent="0.25">
      <c r="A128" s="1"/>
      <c r="B128" s="1"/>
      <c r="C128" s="238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8"/>
      <c r="AB128" s="14"/>
      <c r="AC128" s="7"/>
      <c r="AD128" s="3" t="s">
        <v>57</v>
      </c>
      <c r="AE128" s="3" t="s">
        <v>57</v>
      </c>
      <c r="AF128" s="3" t="s">
        <v>304</v>
      </c>
      <c r="AG128" s="3" t="s">
        <v>120</v>
      </c>
      <c r="AH128" s="3" t="s">
        <v>121</v>
      </c>
      <c r="AI128" s="3" t="s">
        <v>122</v>
      </c>
      <c r="AJ128" s="3" t="s">
        <v>123</v>
      </c>
      <c r="AK128" s="3" t="s">
        <v>124</v>
      </c>
      <c r="AL128" s="3" t="s">
        <v>125</v>
      </c>
      <c r="AM128" s="3" t="s">
        <v>101</v>
      </c>
      <c r="AN128" s="3" t="s">
        <v>129</v>
      </c>
      <c r="AO128" s="3" t="s">
        <v>128</v>
      </c>
      <c r="AP128" s="3" t="s">
        <v>126</v>
      </c>
      <c r="AQ128" s="3" t="s">
        <v>127</v>
      </c>
      <c r="AR128" s="3" t="s">
        <v>129</v>
      </c>
      <c r="AS128" s="3" t="s">
        <v>128</v>
      </c>
      <c r="AT128" s="3" t="s">
        <v>130</v>
      </c>
      <c r="AU128" s="3" t="s">
        <v>112</v>
      </c>
      <c r="AV128" s="3" t="s">
        <v>117</v>
      </c>
      <c r="AW128" s="3" t="s">
        <v>143</v>
      </c>
      <c r="AX128" s="3" t="s">
        <v>149</v>
      </c>
      <c r="AY128" s="3" t="s">
        <v>131</v>
      </c>
      <c r="AZ128" s="3" t="s">
        <v>150</v>
      </c>
      <c r="BA128" s="3" t="s">
        <v>112</v>
      </c>
      <c r="BB128" s="3" t="s">
        <v>308</v>
      </c>
      <c r="BC128" s="3" t="s">
        <v>151</v>
      </c>
      <c r="BN128" s="1"/>
    </row>
    <row r="129" spans="1:66" s="22" customFormat="1" ht="17.25" customHeight="1" x14ac:dyDescent="0.25">
      <c r="A129" s="1"/>
      <c r="B129" s="1"/>
      <c r="C129" s="238"/>
      <c r="D129" s="550" t="s">
        <v>36</v>
      </c>
      <c r="E129" s="551"/>
      <c r="F129" s="551"/>
      <c r="G129" s="551"/>
      <c r="H129" s="391">
        <f>E84</f>
        <v>9.839619958926443</v>
      </c>
      <c r="I129" s="391"/>
      <c r="J129" s="391"/>
      <c r="K129" s="391"/>
      <c r="L129" s="39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8">
        <f>A</f>
        <v>11.445530958277828</v>
      </c>
      <c r="AB129" s="14" t="str">
        <f>BC129</f>
        <v>11°26'43.91 [11°26.73]  (11.4455°)</v>
      </c>
      <c r="AC129" s="7">
        <f>BB129</f>
        <v>11.445530958277828</v>
      </c>
      <c r="AD129" s="5">
        <f>IF(LEFT(TRIM(AA129),1)="-",-1,IF(LEFT(TRIM(AA129),1)="+",1, 0))</f>
        <v>0</v>
      </c>
      <c r="AE129" s="5" t="str">
        <f>IF(AD129&gt;0,"+",IF(AD129&lt;0,"-",""))</f>
        <v/>
      </c>
      <c r="AF129" s="5">
        <f>IF(ABS(AD129)&gt;0,RIGHT(AA129,LEN(AA129)-1),AA129)</f>
        <v>11.445530958277828</v>
      </c>
      <c r="AG129" s="5" t="b">
        <f>ISNUMBER(SEARCH("°",AF129,1))</f>
        <v>0</v>
      </c>
      <c r="AH129" s="5" t="b">
        <f>ISNUMBER(SEARCH("'",AF129,1))</f>
        <v>0</v>
      </c>
      <c r="AI129" s="5" t="b">
        <f>ISNUMBER(SEARCH("""",AF129,1))</f>
        <v>0</v>
      </c>
      <c r="AJ129" s="5" t="b">
        <f>NOT(OR(AG129,AH129,AI129))</f>
        <v>1</v>
      </c>
      <c r="AK129" s="5" t="b">
        <f t="shared" ref="AK129" si="142">OR(AJ129,AG129)</f>
        <v>1</v>
      </c>
      <c r="AL129" s="6">
        <f>IF(AJ129,VALUE(AF129),IF(AG129,LEFT(AF129,SEARCH("°",AF129,1)-1),0))</f>
        <v>11.445530958277828</v>
      </c>
      <c r="AM129" s="5" t="str">
        <f>IF(AJ129,"",IF(AG129,RIGHT(AF129,LEN(AF129)-SEARCH("°",AF129,1)),AF129))</f>
        <v/>
      </c>
      <c r="AN129" s="5" t="b">
        <f>(LEN(AM129)&gt;0)</f>
        <v>0</v>
      </c>
      <c r="AO129" s="5" t="b">
        <f>NOT(OR(AH129,AI129))</f>
        <v>1</v>
      </c>
      <c r="AP129" s="6">
        <f t="shared" ref="AP129" si="143">IF(NOT(AN129),0,IF(AO129,VALUE(AM129),IF(NOT(AH129),0,VALUE(LEFT(AM129,SEARCH("'",AM129,1)-1)))))</f>
        <v>0</v>
      </c>
      <c r="AQ129" s="5" t="str">
        <f t="shared" ref="AQ129" si="144">IF(NOT(AN129),"",IF(AO129,"",IF(NOT(AH129),AM129,RIGHT(AM129,LEN(AM129)-SEARCH("'",AM129,1)))))</f>
        <v/>
      </c>
      <c r="AR129" s="5" t="b">
        <f>(LEN(AQ129)&gt;0)</f>
        <v>0</v>
      </c>
      <c r="AS129" s="5" t="b">
        <f t="shared" ref="AS129" si="145">NOT(AI129)</f>
        <v>1</v>
      </c>
      <c r="AT129" s="5" t="b">
        <f>ISNUMBER(SEARCH(".",AQ129,1))</f>
        <v>0</v>
      </c>
      <c r="AU129" s="6">
        <f t="shared" ref="AU129" si="146">IF(AR129,IF(AI129,IF(AT129,VALUE(SUBSTITUTE(AQ129, """", "")),VALUE(SUBSTITUTE(AQ129, """", "."))),VALUE(AQ129)),0)</f>
        <v>0</v>
      </c>
      <c r="AV129" s="6">
        <f t="shared" ref="AV129" si="147">AL129*3600+AP129*60+AU129</f>
        <v>41203.91144980018</v>
      </c>
      <c r="AW129" s="6">
        <f>AV129/3600</f>
        <v>11.445530958277828</v>
      </c>
      <c r="AX129" s="6">
        <f>_xlfn.FLOOR.MATH((AW129))</f>
        <v>11</v>
      </c>
      <c r="AY129" s="6">
        <f>(AV129-3600*AX129)/60</f>
        <v>26.731857496669665</v>
      </c>
      <c r="AZ129" s="6">
        <f>_xlfn.FLOOR.MATH((AY129))</f>
        <v>26</v>
      </c>
      <c r="BA129" s="6">
        <f>AV129-3600*AX129-60*AZ129</f>
        <v>43.91144980017998</v>
      </c>
      <c r="BB129" s="6">
        <f>AW129*IF(AD129&lt;0,-1,1)</f>
        <v>11.445530958277828</v>
      </c>
      <c r="BC129" s="7" t="str">
        <f>CONCATENATE(AE129,TEXT(AX129,"00"),"°",TEXT(AZ129,"00"),"'",TEXT(BA129,"00.00"), " [", CONCATENATE(AE129,TEXT(AX129,"00"),"°",TEXT(AY129,"00.00")),"]", "  (", AE129,TEXT(AW129,"00.0000"),"°)")</f>
        <v>11°26'43.91 [11°26.73]  (11.4455°)</v>
      </c>
      <c r="BN129" s="1"/>
    </row>
    <row r="130" spans="1:66" s="22" customFormat="1" ht="17.25" customHeight="1" thickBot="1" x14ac:dyDescent="0.3">
      <c r="A130" s="1"/>
      <c r="B130" s="1"/>
      <c r="C130" s="238"/>
      <c r="D130" s="552"/>
      <c r="E130" s="553"/>
      <c r="F130" s="553"/>
      <c r="G130" s="553"/>
      <c r="H130" s="391"/>
      <c r="I130" s="391"/>
      <c r="J130" s="391"/>
      <c r="K130" s="391"/>
      <c r="L130" s="391"/>
      <c r="M130" s="1"/>
      <c r="N130" s="509" t="s">
        <v>38</v>
      </c>
      <c r="O130" s="510"/>
      <c r="P130" s="510"/>
      <c r="Q130" s="510"/>
      <c r="R130" s="511"/>
      <c r="S130" s="150">
        <f>H129-A</f>
        <v>-1.6059109993513854</v>
      </c>
      <c r="T130" s="151" t="s">
        <v>39</v>
      </c>
      <c r="U130" s="203">
        <f>S130*60</f>
        <v>-96.354659961083115</v>
      </c>
      <c r="V130" s="151" t="s">
        <v>254</v>
      </c>
      <c r="W130" s="178"/>
      <c r="X130" s="526" t="str">
        <f>IF(S130&gt;0,"Vers Pg", "Oppose de Pg")</f>
        <v>Oppose de Pg</v>
      </c>
      <c r="Y130" s="526"/>
      <c r="Z130" s="1"/>
      <c r="AA130" s="18">
        <f>H129</f>
        <v>9.839619958926443</v>
      </c>
      <c r="AB130" s="19" t="str">
        <f>AY130</f>
        <v>09°50'22.63 [09°50.38] - (09.8396°)</v>
      </c>
      <c r="AC130" s="37">
        <f>H129</f>
        <v>9.839619958926443</v>
      </c>
      <c r="AD130" s="27" t="b">
        <f t="shared" ref="AD130" si="148">ISNUMBER(SEARCH("°",AA130,1))</f>
        <v>0</v>
      </c>
      <c r="AE130" s="27" t="b">
        <f t="shared" ref="AE130" si="149">ISNUMBER(SEARCH("'",AA130,1))</f>
        <v>0</v>
      </c>
      <c r="AF130" s="27" t="b">
        <f t="shared" ref="AF130" si="150">ISNUMBER(SEARCH("""",AA130,1))</f>
        <v>0</v>
      </c>
      <c r="AG130" s="27" t="b">
        <f t="shared" ref="AG130" si="151">NOT(OR(AD130,AE130,AF130))</f>
        <v>1</v>
      </c>
      <c r="AH130" s="27" t="b">
        <f t="shared" ref="AH130" si="152">OR(AG130,AD130)</f>
        <v>1</v>
      </c>
      <c r="AI130" s="26">
        <f t="shared" ref="AI130" si="153">IF(AG130,VALUE(AA130),IF(AD130,LEFT(AA130,SEARCH("°",AA130,1)-1),0))</f>
        <v>9.839619958926443</v>
      </c>
      <c r="AJ130" s="27" t="str">
        <f t="shared" ref="AJ130" si="154">IF(AG130,"",IF(AD130,RIGHT(AA130,LEN(AA130)-SEARCH("°",AA130,1)),AA130))</f>
        <v/>
      </c>
      <c r="AK130" s="27" t="b">
        <f>(LEN(AJ130)&gt;0)</f>
        <v>0</v>
      </c>
      <c r="AL130" s="27" t="b">
        <f>NOT(OR(AE130,AF130))</f>
        <v>1</v>
      </c>
      <c r="AM130" s="26">
        <f>IF(NOT(AK130),0,IF(AL130,VALUE(AJ130),IF(NOT(AE130),0,VALUE(LEFT(AJ130,SEARCH("'",AJ130,1)-1)))))</f>
        <v>0</v>
      </c>
      <c r="AN130" s="27" t="str">
        <f>IF(NOT(AK130),"",IF(AL130,"",IF(NOT(AE130),AJ130,RIGHT(AJ130,LEN(AJ130)-SEARCH("'",AJ130,1)))))</f>
        <v/>
      </c>
      <c r="AO130" s="27" t="b">
        <f>(LEN(AN130)&gt;0)</f>
        <v>0</v>
      </c>
      <c r="AP130" s="27" t="b">
        <f>NOT(AF130)</f>
        <v>1</v>
      </c>
      <c r="AQ130" s="27" t="b">
        <f>ISNUMBER(SEARCH(".",AN130,1))</f>
        <v>0</v>
      </c>
      <c r="AR130" s="26">
        <f>IF(AO130,IF(AF130,IF(AQ130,VALUE(SUBSTITUTE(AN130, """", "")),VALUE(SUBSTITUTE(AN130, """", "."))),VALUE(AN130)),0)</f>
        <v>0</v>
      </c>
      <c r="AS130" s="26">
        <f>AI130*3600+AM130*60+AR130</f>
        <v>35422.631852135193</v>
      </c>
      <c r="AT130" s="26">
        <f>AS130/3600</f>
        <v>9.839619958926443</v>
      </c>
      <c r="AU130" s="26">
        <f>_xlfn.FLOOR.MATH((AT130))</f>
        <v>9</v>
      </c>
      <c r="AV130" s="26">
        <f>(AS130-3600*AU130)/60</f>
        <v>50.377197535586554</v>
      </c>
      <c r="AW130" s="26">
        <f>_xlfn.FLOOR.MATH((AV130))</f>
        <v>50</v>
      </c>
      <c r="AX130" s="26">
        <f>AS130-3600*AU130-60*AW130</f>
        <v>22.631852135193185</v>
      </c>
      <c r="AY130" s="20" t="str">
        <f>CONCATENATE(TEXT(AU130,"00"),"°",TEXT(AW130,"00"),"'",TEXT(AX130,"00.00"), " [", CONCATENATE(TEXT(AU130,"00"),"°",TEXT(AV130,"00.00")),"]", " - (", TEXT(AT130,"00.0000"),"°)")</f>
        <v>09°50'22.63 [09°50.38] - (09.8396°)</v>
      </c>
      <c r="BN130" s="1"/>
    </row>
    <row r="131" spans="1:66" s="22" customFormat="1" ht="17.25" customHeight="1" thickTop="1" thickBot="1" x14ac:dyDescent="0.3">
      <c r="A131" s="1"/>
      <c r="B131" s="1"/>
      <c r="C131" s="238"/>
      <c r="D131" s="554"/>
      <c r="E131" s="555"/>
      <c r="F131" s="555"/>
      <c r="G131" s="555"/>
      <c r="H131" s="279" t="str">
        <f>AB130</f>
        <v>09°50'22.63 [09°50.38] - (09.8396°)</v>
      </c>
      <c r="I131" s="279"/>
      <c r="J131" s="279"/>
      <c r="K131" s="279"/>
      <c r="L131" s="279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8"/>
      <c r="AB131" s="28"/>
      <c r="AC131" s="28"/>
      <c r="AL131" s="29"/>
      <c r="BN131" s="1"/>
    </row>
    <row r="132" spans="1:66" s="22" customFormat="1" ht="17.25" customHeight="1" thickTop="1" x14ac:dyDescent="0.25">
      <c r="A132" s="1"/>
      <c r="B132" s="1"/>
      <c r="C132" s="238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78"/>
      <c r="T132" s="178"/>
      <c r="U132" s="178"/>
      <c r="V132" s="178"/>
      <c r="W132" s="178"/>
      <c r="X132" s="178"/>
      <c r="Y132" s="1"/>
      <c r="Z132" s="1"/>
      <c r="AA132" s="18"/>
      <c r="AB132" s="28"/>
      <c r="AC132" s="28"/>
      <c r="AL132" s="29"/>
      <c r="BN132" s="1"/>
    </row>
    <row r="133" spans="1:66" s="22" customFormat="1" ht="17.25" customHeight="1" x14ac:dyDescent="0.25">
      <c r="A133" s="581" t="s">
        <v>232</v>
      </c>
      <c r="B133" s="581"/>
      <c r="C133" s="581"/>
      <c r="D133" s="581"/>
      <c r="E133" s="1"/>
      <c r="F133" s="179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78"/>
      <c r="T133" s="178"/>
      <c r="U133" s="178"/>
      <c r="V133" s="178"/>
      <c r="W133" s="178"/>
      <c r="X133" s="178"/>
      <c r="Y133" s="1"/>
      <c r="Z133" s="1"/>
      <c r="AA133" s="18"/>
      <c r="AB133" s="28"/>
      <c r="AC133" s="28"/>
      <c r="AL133" s="29"/>
      <c r="BN133" s="1"/>
    </row>
    <row r="134" spans="1:66" s="22" customFormat="1" ht="17.25" customHeight="1" x14ac:dyDescent="0.25">
      <c r="A134" s="245" t="s">
        <v>104</v>
      </c>
      <c r="B134" s="205" t="s">
        <v>211</v>
      </c>
      <c r="C134" s="206" t="s">
        <v>457</v>
      </c>
      <c r="D134" s="246">
        <f>PI()/180</f>
        <v>1.7453292519943295E-2</v>
      </c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78"/>
      <c r="T134" s="178"/>
      <c r="U134" s="178"/>
      <c r="V134" s="178"/>
      <c r="W134" s="178"/>
      <c r="X134" s="178"/>
      <c r="Y134" s="1"/>
      <c r="Z134" s="1"/>
      <c r="AA134" s="18"/>
      <c r="AB134" s="28"/>
      <c r="AC134" s="28"/>
      <c r="AL134" s="29"/>
      <c r="BN134" s="1"/>
    </row>
    <row r="135" spans="1:66" s="22" customFormat="1" ht="17.25" customHeight="1" x14ac:dyDescent="0.25">
      <c r="A135" s="245" t="s">
        <v>213</v>
      </c>
      <c r="B135" s="205" t="s">
        <v>211</v>
      </c>
      <c r="C135" s="206" t="s">
        <v>458</v>
      </c>
      <c r="D135" s="246">
        <f>180/PI()</f>
        <v>57.295779513082323</v>
      </c>
      <c r="E135" s="179"/>
      <c r="F135" s="179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8"/>
      <c r="AB135" s="28"/>
      <c r="AC135" s="28"/>
      <c r="AD135" s="79" t="s">
        <v>204</v>
      </c>
      <c r="AE135" s="22">
        <f>(SIN(T137)-SIN(T138)*SIN(AE126))/(COS(T138)*COS(AE126))</f>
        <v>-0.55380934861731368</v>
      </c>
      <c r="AL135" s="29"/>
      <c r="BN135" s="1"/>
    </row>
    <row r="136" spans="1:66" s="22" customFormat="1" ht="17.25" customHeight="1" x14ac:dyDescent="0.25">
      <c r="A136" s="238"/>
      <c r="B136" s="238"/>
      <c r="C136" s="238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495" t="s">
        <v>203</v>
      </c>
      <c r="O136" s="496"/>
      <c r="P136" s="496"/>
      <c r="Q136" s="496"/>
      <c r="R136" s="496"/>
      <c r="S136" s="496"/>
      <c r="T136" s="496"/>
      <c r="U136" s="496"/>
      <c r="V136" s="496"/>
      <c r="W136" s="496"/>
      <c r="X136" s="496"/>
      <c r="Y136" s="496"/>
      <c r="Z136" s="496"/>
      <c r="AA136" s="18"/>
      <c r="AB136" s="28"/>
      <c r="AC136" s="28">
        <f>AF136</f>
        <v>123.62874477306292</v>
      </c>
      <c r="AD136" s="31" t="s">
        <v>205</v>
      </c>
      <c r="AE136" s="22">
        <f>ACOS(AE135)</f>
        <v>2.1577286463976777</v>
      </c>
      <c r="AF136" s="22">
        <f>AE136*$D$135</f>
        <v>123.62874477306292</v>
      </c>
      <c r="AL136" s="29"/>
      <c r="BN136" s="1"/>
    </row>
    <row r="137" spans="1:66" s="22" customFormat="1" ht="17.25" customHeight="1" x14ac:dyDescent="0.25">
      <c r="D137" s="550" t="s">
        <v>214</v>
      </c>
      <c r="E137" s="551"/>
      <c r="F137" s="551"/>
      <c r="G137" s="556"/>
      <c r="H137" s="373">
        <f>AC136</f>
        <v>123.62874477306292</v>
      </c>
      <c r="I137" s="340"/>
      <c r="J137" s="340"/>
      <c r="K137" s="340"/>
      <c r="L137" s="374"/>
      <c r="M137" s="1"/>
      <c r="N137" s="281" t="s">
        <v>199</v>
      </c>
      <c r="O137" s="281"/>
      <c r="P137" s="281">
        <f>D</f>
        <v>-11.98176</v>
      </c>
      <c r="Q137" s="281"/>
      <c r="R137" s="281"/>
      <c r="S137" s="519" t="s">
        <v>125</v>
      </c>
      <c r="T137" s="281">
        <f>P137*$D$134</f>
        <v>-0.20912116218375576</v>
      </c>
      <c r="U137" s="281"/>
      <c r="V137" s="281"/>
      <c r="W137" s="519" t="s">
        <v>170</v>
      </c>
      <c r="X137" s="1"/>
      <c r="Y137" s="1"/>
      <c r="Z137" s="1"/>
      <c r="AA137" s="18"/>
      <c r="AB137" s="28"/>
      <c r="AC137" s="28"/>
      <c r="AL137" s="29"/>
      <c r="BN137" s="1"/>
    </row>
    <row r="138" spans="1:66" s="22" customFormat="1" ht="17.25" customHeight="1" thickBot="1" x14ac:dyDescent="0.3">
      <c r="A138" s="1"/>
      <c r="B138" s="1"/>
      <c r="C138" s="238"/>
      <c r="D138" s="552"/>
      <c r="E138" s="553"/>
      <c r="F138" s="553"/>
      <c r="G138" s="557"/>
      <c r="H138" s="580"/>
      <c r="I138" s="523"/>
      <c r="J138" s="523"/>
      <c r="K138" s="523"/>
      <c r="L138" s="524"/>
      <c r="M138" s="149" t="s">
        <v>328</v>
      </c>
      <c r="N138" s="281" t="s">
        <v>200</v>
      </c>
      <c r="O138" s="281"/>
      <c r="P138" s="281">
        <f>L</f>
        <v>48.866666666666667</v>
      </c>
      <c r="Q138" s="281"/>
      <c r="R138" s="281"/>
      <c r="S138" s="519"/>
      <c r="T138" s="281">
        <f>P138*$D$134</f>
        <v>0.85288422780789575</v>
      </c>
      <c r="U138" s="281"/>
      <c r="V138" s="281"/>
      <c r="W138" s="519"/>
      <c r="X138" s="1"/>
      <c r="Y138" s="1"/>
      <c r="Z138" s="1"/>
      <c r="AA138" s="18"/>
      <c r="AB138" s="28"/>
      <c r="AC138" s="28"/>
      <c r="AL138" s="29"/>
      <c r="BN138" s="1"/>
    </row>
    <row r="139" spans="1:66" s="22" customFormat="1" ht="17.25" customHeight="1" thickTop="1" thickBot="1" x14ac:dyDescent="0.3">
      <c r="A139" s="1"/>
      <c r="B139" s="1"/>
      <c r="C139" s="238"/>
      <c r="D139" s="554"/>
      <c r="E139" s="555"/>
      <c r="F139" s="555"/>
      <c r="G139" s="558"/>
      <c r="H139" s="357" t="str">
        <f>AB140</f>
        <v>123°37'43.48 [123°37.72]  (123.6287°)</v>
      </c>
      <c r="I139" s="357"/>
      <c r="J139" s="357"/>
      <c r="K139" s="357"/>
      <c r="L139" s="357"/>
      <c r="M139" s="1"/>
      <c r="N139" s="281" t="s">
        <v>71</v>
      </c>
      <c r="O139" s="281"/>
      <c r="P139" s="281">
        <f>E80</f>
        <v>56.538946666666732</v>
      </c>
      <c r="Q139" s="281"/>
      <c r="R139" s="281"/>
      <c r="S139" s="519"/>
      <c r="T139" s="281">
        <f>P139*$D$134</f>
        <v>0.98679077494280742</v>
      </c>
      <c r="U139" s="281"/>
      <c r="V139" s="281"/>
      <c r="W139" s="519"/>
      <c r="X139" s="1"/>
      <c r="Y139" s="1"/>
      <c r="Z139" s="1"/>
      <c r="AA139" s="18"/>
      <c r="AB139" s="14"/>
      <c r="AC139" s="7"/>
      <c r="AD139" s="3" t="s">
        <v>57</v>
      </c>
      <c r="AE139" s="3" t="s">
        <v>57</v>
      </c>
      <c r="AF139" s="3" t="s">
        <v>304</v>
      </c>
      <c r="AG139" s="3" t="s">
        <v>120</v>
      </c>
      <c r="AH139" s="3" t="s">
        <v>121</v>
      </c>
      <c r="AI139" s="3" t="s">
        <v>122</v>
      </c>
      <c r="AJ139" s="3" t="s">
        <v>123</v>
      </c>
      <c r="AK139" s="3" t="s">
        <v>124</v>
      </c>
      <c r="AL139" s="3" t="s">
        <v>125</v>
      </c>
      <c r="AM139" s="3" t="s">
        <v>101</v>
      </c>
      <c r="AN139" s="3" t="s">
        <v>129</v>
      </c>
      <c r="AO139" s="3" t="s">
        <v>128</v>
      </c>
      <c r="AP139" s="3" t="s">
        <v>126</v>
      </c>
      <c r="AQ139" s="3" t="s">
        <v>127</v>
      </c>
      <c r="AR139" s="3" t="s">
        <v>129</v>
      </c>
      <c r="AS139" s="3" t="s">
        <v>128</v>
      </c>
      <c r="AT139" s="3" t="s">
        <v>130</v>
      </c>
      <c r="AU139" s="3" t="s">
        <v>112</v>
      </c>
      <c r="AV139" s="3" t="s">
        <v>117</v>
      </c>
      <c r="AW139" s="3" t="s">
        <v>143</v>
      </c>
      <c r="AX139" s="3" t="s">
        <v>149</v>
      </c>
      <c r="AY139" s="3" t="s">
        <v>131</v>
      </c>
      <c r="AZ139" s="3" t="s">
        <v>150</v>
      </c>
      <c r="BA139" s="3" t="s">
        <v>112</v>
      </c>
      <c r="BB139" s="3" t="s">
        <v>308</v>
      </c>
      <c r="BC139" s="3" t="s">
        <v>151</v>
      </c>
      <c r="BN139" s="1"/>
    </row>
    <row r="140" spans="1:66" s="22" customFormat="1" ht="17.25" customHeight="1" thickTop="1" x14ac:dyDescent="0.25">
      <c r="A140" s="1"/>
      <c r="B140" s="1"/>
      <c r="C140" s="238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8">
        <f>H137</f>
        <v>123.62874477306292</v>
      </c>
      <c r="AB140" s="14" t="str">
        <f>BC140</f>
        <v>123°37'43.48 [123°37.72]  (123.6287°)</v>
      </c>
      <c r="AC140" s="7">
        <f>BB140</f>
        <v>123.62874477306292</v>
      </c>
      <c r="AD140" s="5">
        <f>IF(LEFT(TRIM(AA140),1)="-",-1,IF(LEFT(TRIM(AA140),1)="+",1, 0))</f>
        <v>0</v>
      </c>
      <c r="AE140" s="5" t="str">
        <f>IF(AD140&gt;0,"+",IF(AD140&lt;0,"-",""))</f>
        <v/>
      </c>
      <c r="AF140" s="5">
        <f>IF(ABS(AD140)&gt;0,RIGHT(AA140,LEN(AA140)-1),AA140)</f>
        <v>123.62874477306292</v>
      </c>
      <c r="AG140" s="5" t="b">
        <f>ISNUMBER(SEARCH("°",AF140,1))</f>
        <v>0</v>
      </c>
      <c r="AH140" s="5" t="b">
        <f>ISNUMBER(SEARCH("'",AF140,1))</f>
        <v>0</v>
      </c>
      <c r="AI140" s="5" t="b">
        <f>ISNUMBER(SEARCH("""",AF140,1))</f>
        <v>0</v>
      </c>
      <c r="AJ140" s="5" t="b">
        <f>NOT(OR(AG140,AH140,AI140))</f>
        <v>1</v>
      </c>
      <c r="AK140" s="5" t="b">
        <f t="shared" ref="AK140" si="155">OR(AJ140,AG140)</f>
        <v>1</v>
      </c>
      <c r="AL140" s="6">
        <f>IF(AJ140,VALUE(AF140),IF(AG140,LEFT(AF140,SEARCH("°",AF140,1)-1),0))</f>
        <v>123.62874477306292</v>
      </c>
      <c r="AM140" s="5" t="str">
        <f>IF(AJ140,"",IF(AG140,RIGHT(AF140,LEN(AF140)-SEARCH("°",AF140,1)),AF140))</f>
        <v/>
      </c>
      <c r="AN140" s="5" t="b">
        <f>(LEN(AM140)&gt;0)</f>
        <v>0</v>
      </c>
      <c r="AO140" s="5" t="b">
        <f>NOT(OR(AH140,AI140))</f>
        <v>1</v>
      </c>
      <c r="AP140" s="6">
        <f t="shared" ref="AP140" si="156">IF(NOT(AN140),0,IF(AO140,VALUE(AM140),IF(NOT(AH140),0,VALUE(LEFT(AM140,SEARCH("'",AM140,1)-1)))))</f>
        <v>0</v>
      </c>
      <c r="AQ140" s="5" t="str">
        <f t="shared" ref="AQ140" si="157">IF(NOT(AN140),"",IF(AO140,"",IF(NOT(AH140),AM140,RIGHT(AM140,LEN(AM140)-SEARCH("'",AM140,1)))))</f>
        <v/>
      </c>
      <c r="AR140" s="5" t="b">
        <f>(LEN(AQ140)&gt;0)</f>
        <v>0</v>
      </c>
      <c r="AS140" s="5" t="b">
        <f t="shared" ref="AS140" si="158">NOT(AI140)</f>
        <v>1</v>
      </c>
      <c r="AT140" s="5" t="b">
        <f>ISNUMBER(SEARCH(".",AQ140,1))</f>
        <v>0</v>
      </c>
      <c r="AU140" s="6">
        <f t="shared" ref="AU140" si="159">IF(AR140,IF(AI140,IF(AT140,VALUE(SUBSTITUTE(AQ140, """", "")),VALUE(SUBSTITUTE(AQ140, """", "."))),VALUE(AQ140)),0)</f>
        <v>0</v>
      </c>
      <c r="AV140" s="6">
        <f t="shared" ref="AV140" si="160">AL140*3600+AP140*60+AU140</f>
        <v>445063.48118302651</v>
      </c>
      <c r="AW140" s="6">
        <f>AV140/3600</f>
        <v>123.62874477306292</v>
      </c>
      <c r="AX140" s="6">
        <f>_xlfn.FLOOR.MATH((AW140))</f>
        <v>123</v>
      </c>
      <c r="AY140" s="6">
        <f>(AV140-3600*AX140)/60</f>
        <v>37.724686383775165</v>
      </c>
      <c r="AZ140" s="6">
        <f>_xlfn.FLOOR.MATH((AY140))</f>
        <v>37</v>
      </c>
      <c r="BA140" s="6">
        <f>AV140-3600*AX140-60*AZ140</f>
        <v>43.481183026509825</v>
      </c>
      <c r="BB140" s="6">
        <f>AW140*IF(AD140&lt;0,-1,1)</f>
        <v>123.62874477306292</v>
      </c>
      <c r="BC140" s="7" t="str">
        <f>CONCATENATE(AE140,TEXT(AX140,"00"),"°",TEXT(AZ140,"00"),"'",TEXT(BA140,"00.00"), " [", CONCATENATE(AE140,TEXT(AX140,"00"),"°",TEXT(AY140,"00.00")),"]", "  (", AE140,TEXT(AW140,"00.0000"),"°)")</f>
        <v>123°37'43.48 [123°37.72]  (123.6287°)</v>
      </c>
      <c r="BN140" s="1"/>
    </row>
    <row r="141" spans="1:66" s="22" customFormat="1" ht="17.25" customHeight="1" x14ac:dyDescent="0.25">
      <c r="A141" s="1"/>
      <c r="B141" s="1"/>
      <c r="C141" s="1"/>
      <c r="D141" s="179"/>
      <c r="E141" s="59"/>
      <c r="F141" s="59"/>
      <c r="G141" s="59"/>
      <c r="H141" s="540" t="s">
        <v>206</v>
      </c>
      <c r="I141" s="541"/>
      <c r="J141" s="541"/>
      <c r="K141" s="541"/>
      <c r="L141" s="541"/>
      <c r="M141" s="542"/>
      <c r="N141" s="540" t="s">
        <v>209</v>
      </c>
      <c r="O141" s="541"/>
      <c r="P141" s="541"/>
      <c r="Q141" s="541"/>
      <c r="R141" s="541"/>
      <c r="S141" s="542"/>
      <c r="T141" s="1"/>
      <c r="U141" s="1"/>
      <c r="V141" s="1"/>
      <c r="W141" s="1"/>
      <c r="X141" s="1"/>
      <c r="Y141" s="1"/>
      <c r="Z141" s="1"/>
      <c r="AA141" s="18">
        <f>S147</f>
        <v>236.37125522693708</v>
      </c>
      <c r="AB141" s="19" t="str">
        <f>AY141</f>
        <v>236°22'16.52 [236°22.28] - (236.3713°)</v>
      </c>
      <c r="AC141" s="37">
        <f>H140</f>
        <v>0</v>
      </c>
      <c r="AD141" s="27" t="b">
        <f t="shared" ref="AD141" si="161">ISNUMBER(SEARCH("°",AA141,1))</f>
        <v>0</v>
      </c>
      <c r="AE141" s="27" t="b">
        <f t="shared" ref="AE141" si="162">ISNUMBER(SEARCH("'",AA141,1))</f>
        <v>0</v>
      </c>
      <c r="AF141" s="27" t="b">
        <f t="shared" ref="AF141" si="163">ISNUMBER(SEARCH("""",AA141,1))</f>
        <v>0</v>
      </c>
      <c r="AG141" s="27" t="b">
        <f t="shared" ref="AG141" si="164">NOT(OR(AD141,AE141,AF141))</f>
        <v>1</v>
      </c>
      <c r="AH141" s="27" t="b">
        <f t="shared" ref="AH141" si="165">OR(AG141,AD141)</f>
        <v>1</v>
      </c>
      <c r="AI141" s="26">
        <f t="shared" ref="AI141" si="166">IF(AG141,VALUE(AA141),IF(AD141,LEFT(AA141,SEARCH("°",AA141,1)-1),0))</f>
        <v>236.37125522693708</v>
      </c>
      <c r="AJ141" s="27" t="str">
        <f t="shared" ref="AJ141" si="167">IF(AG141,"",IF(AD141,RIGHT(AA141,LEN(AA141)-SEARCH("°",AA141,1)),AA141))</f>
        <v/>
      </c>
      <c r="AK141" s="27" t="b">
        <f>(LEN(AJ141)&gt;0)</f>
        <v>0</v>
      </c>
      <c r="AL141" s="27" t="b">
        <f>NOT(OR(AE141,AF141))</f>
        <v>1</v>
      </c>
      <c r="AM141" s="26">
        <f>IF(NOT(AK141),0,IF(AL141,VALUE(AJ141),IF(NOT(AE141),0,VALUE(LEFT(AJ141,SEARCH("'",AJ141,1)-1)))))</f>
        <v>0</v>
      </c>
      <c r="AN141" s="27" t="str">
        <f>IF(NOT(AK141),"",IF(AL141,"",IF(NOT(AE141),AJ141,RIGHT(AJ141,LEN(AJ141)-SEARCH("'",AJ141,1)))))</f>
        <v/>
      </c>
      <c r="AO141" s="27" t="b">
        <f>(LEN(AN141)&gt;0)</f>
        <v>0</v>
      </c>
      <c r="AP141" s="27" t="b">
        <f>NOT(AF141)</f>
        <v>1</v>
      </c>
      <c r="AQ141" s="27" t="b">
        <f>ISNUMBER(SEARCH(".",AN141,1))</f>
        <v>0</v>
      </c>
      <c r="AR141" s="26">
        <f>IF(AO141,IF(AF141,IF(AQ141,VALUE(SUBSTITUTE(AN141, """", "")),VALUE(SUBSTITUTE(AN141, """", "."))),VALUE(AN141)),0)</f>
        <v>0</v>
      </c>
      <c r="AS141" s="26">
        <f>AI141*3600+AM141*60+AR141</f>
        <v>850936.51881697343</v>
      </c>
      <c r="AT141" s="26">
        <f>AS141/3600</f>
        <v>236.37125522693705</v>
      </c>
      <c r="AU141" s="26">
        <f>_xlfn.FLOOR.MATH((AT141))</f>
        <v>236</v>
      </c>
      <c r="AV141" s="26">
        <f>(AS141-3600*AU141)/60</f>
        <v>22.275313616223865</v>
      </c>
      <c r="AW141" s="26">
        <f>_xlfn.FLOOR.MATH((AV141))</f>
        <v>22</v>
      </c>
      <c r="AX141" s="26">
        <f>AS141-3600*AU141-60*AW141</f>
        <v>16.518816973431967</v>
      </c>
      <c r="AY141" s="20" t="str">
        <f>CONCATENATE(TEXT(AU141,"00"),"°",TEXT(AW141,"00"),"'",TEXT(AX141,"00.00"), " [", CONCATENATE(TEXT(AU141,"00"),"°",TEXT(AV141,"00.00")),"]", " - (", TEXT(AT141,"00.0000"),"°)")</f>
        <v>236°22'16.52 [236°22.28] - (236.3713°)</v>
      </c>
      <c r="BN141" s="1"/>
    </row>
    <row r="142" spans="1:66" s="22" customFormat="1" ht="17.25" customHeight="1" x14ac:dyDescent="0.25">
      <c r="A142" s="1"/>
      <c r="B142" s="1"/>
      <c r="C142" s="179"/>
      <c r="D142" s="179"/>
      <c r="E142" s="59"/>
      <c r="F142" s="59"/>
      <c r="G142" s="59"/>
      <c r="H142" s="152"/>
      <c r="I142" s="530" t="s">
        <v>329</v>
      </c>
      <c r="J142" s="531"/>
      <c r="K142" s="532"/>
      <c r="L142" s="536" t="s">
        <v>330</v>
      </c>
      <c r="M142" s="537"/>
      <c r="N142" s="152"/>
      <c r="O142" s="530" t="s">
        <v>329</v>
      </c>
      <c r="P142" s="531"/>
      <c r="Q142" s="532"/>
      <c r="R142" s="536" t="s">
        <v>331</v>
      </c>
      <c r="S142" s="537"/>
      <c r="T142" s="1"/>
      <c r="U142" s="1"/>
      <c r="V142" s="1"/>
      <c r="W142" s="1"/>
      <c r="X142" s="1"/>
      <c r="Y142" s="1"/>
      <c r="Z142" s="1"/>
      <c r="AA142" s="18"/>
      <c r="AB142" s="28"/>
      <c r="AC142" s="28"/>
      <c r="AL142" s="29"/>
      <c r="BN142" s="1"/>
    </row>
    <row r="143" spans="1:66" ht="17.25" customHeight="1" x14ac:dyDescent="0.25">
      <c r="E143" s="59"/>
      <c r="F143" s="59"/>
      <c r="G143" s="59"/>
      <c r="H143" s="153"/>
      <c r="I143" s="533" t="s">
        <v>207</v>
      </c>
      <c r="J143" s="534"/>
      <c r="K143" s="535"/>
      <c r="L143" s="538" t="s">
        <v>208</v>
      </c>
      <c r="M143" s="539"/>
      <c r="N143" s="153"/>
      <c r="O143" s="533" t="s">
        <v>207</v>
      </c>
      <c r="P143" s="534"/>
      <c r="Q143" s="535"/>
      <c r="R143" s="538" t="s">
        <v>210</v>
      </c>
      <c r="S143" s="539"/>
    </row>
    <row r="144" spans="1:66" ht="17.25" customHeight="1" x14ac:dyDescent="0.25">
      <c r="E144" s="178"/>
      <c r="F144" s="178"/>
      <c r="G144" s="178"/>
      <c r="H144" s="178"/>
      <c r="I144" s="178"/>
      <c r="J144" s="178"/>
      <c r="P144" s="178"/>
      <c r="Q144" s="178"/>
      <c r="R144" s="178"/>
      <c r="S144" s="449"/>
      <c r="T144" s="449"/>
      <c r="U144" s="449"/>
      <c r="V144" s="178"/>
      <c r="W144" s="449"/>
      <c r="X144" s="449"/>
      <c r="Y144" s="449"/>
    </row>
    <row r="145" spans="5:25" ht="17.25" customHeight="1" x14ac:dyDescent="0.25">
      <c r="E145" s="178"/>
      <c r="M145" s="543"/>
      <c r="N145" s="543"/>
      <c r="P145" s="449"/>
      <c r="Q145" s="449"/>
      <c r="R145" s="449"/>
      <c r="S145" s="449"/>
      <c r="T145" s="449"/>
      <c r="U145" s="449"/>
      <c r="V145" s="178"/>
      <c r="W145" s="449"/>
      <c r="X145" s="449"/>
      <c r="Y145" s="449"/>
    </row>
    <row r="146" spans="5:25" ht="17.25" customHeight="1" x14ac:dyDescent="0.25">
      <c r="H146" s="281" t="s">
        <v>200</v>
      </c>
      <c r="I146" s="281"/>
      <c r="J146" s="154">
        <f>L</f>
        <v>48.866666666666667</v>
      </c>
      <c r="K146" s="362" t="str">
        <f>CONCATENATE("Sens: ",IF(P138&gt;0,"N","S"))</f>
        <v>Sens: N</v>
      </c>
      <c r="L146" s="362"/>
    </row>
    <row r="147" spans="5:25" ht="17.25" customHeight="1" thickBot="1" x14ac:dyDescent="0.3">
      <c r="H147" s="281" t="s">
        <v>71</v>
      </c>
      <c r="I147" s="281"/>
      <c r="J147" s="154">
        <f>P139</f>
        <v>56.538946666666732</v>
      </c>
      <c r="K147" s="362" t="str">
        <f>CONCATENATE("Is 180? ", IF(P139&gt;180,"Y", "N"))</f>
        <v>Is 180? N</v>
      </c>
      <c r="L147" s="362"/>
      <c r="N147" s="509" t="s">
        <v>215</v>
      </c>
      <c r="O147" s="510"/>
      <c r="P147" s="510"/>
      <c r="Q147" s="510"/>
      <c r="R147" s="510"/>
      <c r="S147" s="528">
        <f>ABS(IF(P126&gt;0,IF(P127&gt;180,H137,360-H137),IF(P127&gt;180,180-H137,180+H137)))</f>
        <v>236.37125522693708</v>
      </c>
      <c r="T147" s="529"/>
      <c r="U147" s="151" t="s">
        <v>39</v>
      </c>
      <c r="V147" s="178"/>
    </row>
    <row r="148" spans="5:25" ht="17.25" customHeight="1" thickTop="1" thickBot="1" x14ac:dyDescent="0.3">
      <c r="H148" s="520" t="s">
        <v>332</v>
      </c>
      <c r="I148" s="521"/>
      <c r="J148" s="527"/>
      <c r="K148" s="362" t="str">
        <f>IF(J146&gt;0,IF(J147&gt;180,L142,L143),IF(J147&gt;180,R142,R143))</f>
        <v>Zn = 360 - Z</v>
      </c>
      <c r="L148" s="362"/>
      <c r="S148" s="279" t="str">
        <f>AB141</f>
        <v>236°22'16.52 [236°22.28] - (236.3713°)</v>
      </c>
      <c r="T148" s="279"/>
      <c r="U148" s="279"/>
      <c r="V148" s="279"/>
      <c r="W148" s="279"/>
      <c r="X148" s="279"/>
    </row>
    <row r="149" spans="5:25" ht="17.25" customHeight="1" thickTop="1" x14ac:dyDescent="0.25"/>
  </sheetData>
  <dataConsolidate/>
  <mergeCells count="275">
    <mergeCell ref="H147:I147"/>
    <mergeCell ref="K147:L147"/>
    <mergeCell ref="N147:R147"/>
    <mergeCell ref="S147:T147"/>
    <mergeCell ref="H148:J148"/>
    <mergeCell ref="K148:L148"/>
    <mergeCell ref="S148:X148"/>
    <mergeCell ref="M145:N145"/>
    <mergeCell ref="P145:R145"/>
    <mergeCell ref="S145:U145"/>
    <mergeCell ref="W145:Y145"/>
    <mergeCell ref="H146:I146"/>
    <mergeCell ref="K146:L146"/>
    <mergeCell ref="I143:K143"/>
    <mergeCell ref="L143:M143"/>
    <mergeCell ref="O143:Q143"/>
    <mergeCell ref="R143:S143"/>
    <mergeCell ref="S144:U144"/>
    <mergeCell ref="W144:Y144"/>
    <mergeCell ref="N139:O139"/>
    <mergeCell ref="P139:R139"/>
    <mergeCell ref="T139:V139"/>
    <mergeCell ref="H141:M141"/>
    <mergeCell ref="N141:S141"/>
    <mergeCell ref="I142:K142"/>
    <mergeCell ref="L142:M142"/>
    <mergeCell ref="O142:Q142"/>
    <mergeCell ref="R142:S142"/>
    <mergeCell ref="D129:G131"/>
    <mergeCell ref="H137:L138"/>
    <mergeCell ref="N137:O137"/>
    <mergeCell ref="P137:R137"/>
    <mergeCell ref="S137:S139"/>
    <mergeCell ref="T137:V137"/>
    <mergeCell ref="W137:W139"/>
    <mergeCell ref="N138:O138"/>
    <mergeCell ref="P138:R138"/>
    <mergeCell ref="T138:V138"/>
    <mergeCell ref="H139:L139"/>
    <mergeCell ref="H129:L130"/>
    <mergeCell ref="N130:R130"/>
    <mergeCell ref="D137:G139"/>
    <mergeCell ref="A133:D133"/>
    <mergeCell ref="X130:Y130"/>
    <mergeCell ref="H131:L131"/>
    <mergeCell ref="N136:Z136"/>
    <mergeCell ref="W125:W127"/>
    <mergeCell ref="N126:O126"/>
    <mergeCell ref="P126:R126"/>
    <mergeCell ref="T126:V126"/>
    <mergeCell ref="H127:L127"/>
    <mergeCell ref="N127:O127"/>
    <mergeCell ref="P127:R127"/>
    <mergeCell ref="T127:V127"/>
    <mergeCell ref="M119:O119"/>
    <mergeCell ref="U119:Z119"/>
    <mergeCell ref="G121:M121"/>
    <mergeCell ref="N121:Q121"/>
    <mergeCell ref="N124:Z124"/>
    <mergeCell ref="H125:L126"/>
    <mergeCell ref="N125:O125"/>
    <mergeCell ref="P125:R125"/>
    <mergeCell ref="S125:S127"/>
    <mergeCell ref="T125:V125"/>
    <mergeCell ref="D125:G127"/>
    <mergeCell ref="G114:M114"/>
    <mergeCell ref="N114:Q114"/>
    <mergeCell ref="T114:Y114"/>
    <mergeCell ref="E116:H116"/>
    <mergeCell ref="I116:K116"/>
    <mergeCell ref="U118:Z118"/>
    <mergeCell ref="H110:M110"/>
    <mergeCell ref="N110:Q111"/>
    <mergeCell ref="R110:R111"/>
    <mergeCell ref="H111:M111"/>
    <mergeCell ref="H112:M112"/>
    <mergeCell ref="N112:Q112"/>
    <mergeCell ref="G105:M105"/>
    <mergeCell ref="N105:Q105"/>
    <mergeCell ref="T105:Y105"/>
    <mergeCell ref="F107:R107"/>
    <mergeCell ref="F108:G109"/>
    <mergeCell ref="H108:M108"/>
    <mergeCell ref="N108:Q109"/>
    <mergeCell ref="R108:R109"/>
    <mergeCell ref="H109:M109"/>
    <mergeCell ref="G101:M101"/>
    <mergeCell ref="N101:Q101"/>
    <mergeCell ref="T101:Y101"/>
    <mergeCell ref="G103:M103"/>
    <mergeCell ref="N103:Q103"/>
    <mergeCell ref="G104:M104"/>
    <mergeCell ref="N104:Q104"/>
    <mergeCell ref="R98:T98"/>
    <mergeCell ref="G99:M99"/>
    <mergeCell ref="N99:Q99"/>
    <mergeCell ref="R99:T99"/>
    <mergeCell ref="G100:M100"/>
    <mergeCell ref="N100:Q100"/>
    <mergeCell ref="R100:T100"/>
    <mergeCell ref="L94:O94"/>
    <mergeCell ref="G95:M95"/>
    <mergeCell ref="N95:Q95"/>
    <mergeCell ref="T95:Y95"/>
    <mergeCell ref="G96:M96"/>
    <mergeCell ref="N96:Q96"/>
    <mergeCell ref="T96:Y96"/>
    <mergeCell ref="L90:O90"/>
    <mergeCell ref="G91:M91"/>
    <mergeCell ref="N91:O91"/>
    <mergeCell ref="Q91:R91"/>
    <mergeCell ref="T91:Y91"/>
    <mergeCell ref="L93:O93"/>
    <mergeCell ref="G88:M88"/>
    <mergeCell ref="N88:Q88"/>
    <mergeCell ref="T88:Y88"/>
    <mergeCell ref="G89:M89"/>
    <mergeCell ref="N89:Q89"/>
    <mergeCell ref="T89:Y89"/>
    <mergeCell ref="U84:Y84"/>
    <mergeCell ref="C85:E85"/>
    <mergeCell ref="F85:H85"/>
    <mergeCell ref="E86:H86"/>
    <mergeCell ref="I86:K86"/>
    <mergeCell ref="G87:M87"/>
    <mergeCell ref="N87:Q87"/>
    <mergeCell ref="T87:Y87"/>
    <mergeCell ref="C81:G81"/>
    <mergeCell ref="H81:K81"/>
    <mergeCell ref="M81:P81"/>
    <mergeCell ref="H82:M82"/>
    <mergeCell ref="E84:G84"/>
    <mergeCell ref="R84:T84"/>
    <mergeCell ref="T74:T75"/>
    <mergeCell ref="U74:X75"/>
    <mergeCell ref="E76:J76"/>
    <mergeCell ref="O76:S76"/>
    <mergeCell ref="T76:X76"/>
    <mergeCell ref="E80:G80"/>
    <mergeCell ref="I80:K80"/>
    <mergeCell ref="L80:N80"/>
    <mergeCell ref="E72:G73"/>
    <mergeCell ref="H72:K73"/>
    <mergeCell ref="L72:N73"/>
    <mergeCell ref="O72:S73"/>
    <mergeCell ref="T72:X73"/>
    <mergeCell ref="E74:G75"/>
    <mergeCell ref="H74:K75"/>
    <mergeCell ref="L74:N75"/>
    <mergeCell ref="O74:O75"/>
    <mergeCell ref="P74:S75"/>
    <mergeCell ref="T66:Y67"/>
    <mergeCell ref="L68:N69"/>
    <mergeCell ref="O68:O69"/>
    <mergeCell ref="P68:S69"/>
    <mergeCell ref="T68:Y69"/>
    <mergeCell ref="E70:J70"/>
    <mergeCell ref="E64:G65"/>
    <mergeCell ref="H64:K65"/>
    <mergeCell ref="L64:N65"/>
    <mergeCell ref="O64:S65"/>
    <mergeCell ref="E66:G69"/>
    <mergeCell ref="H66:K69"/>
    <mergeCell ref="L66:N67"/>
    <mergeCell ref="O66:O67"/>
    <mergeCell ref="P66:S67"/>
    <mergeCell ref="E61:G61"/>
    <mergeCell ref="C62:E62"/>
    <mergeCell ref="F62:H62"/>
    <mergeCell ref="U56:X57"/>
    <mergeCell ref="E58:J58"/>
    <mergeCell ref="O58:S58"/>
    <mergeCell ref="T58:X58"/>
    <mergeCell ref="E56:G57"/>
    <mergeCell ref="H56:K57"/>
    <mergeCell ref="L56:N57"/>
    <mergeCell ref="O56:O57"/>
    <mergeCell ref="P56:S57"/>
    <mergeCell ref="T56:T57"/>
    <mergeCell ref="K61:L61"/>
    <mergeCell ref="E52:J52"/>
    <mergeCell ref="E54:G55"/>
    <mergeCell ref="H54:K55"/>
    <mergeCell ref="L54:N55"/>
    <mergeCell ref="O54:S55"/>
    <mergeCell ref="T54:X55"/>
    <mergeCell ref="E48:G51"/>
    <mergeCell ref="H48:K51"/>
    <mergeCell ref="L48:N49"/>
    <mergeCell ref="O48:O49"/>
    <mergeCell ref="P48:S49"/>
    <mergeCell ref="T48:X49"/>
    <mergeCell ref="L50:N51"/>
    <mergeCell ref="O50:O51"/>
    <mergeCell ref="P50:S51"/>
    <mergeCell ref="T50:X51"/>
    <mergeCell ref="C44:E44"/>
    <mergeCell ref="F44:H44"/>
    <mergeCell ref="E46:G47"/>
    <mergeCell ref="H46:K47"/>
    <mergeCell ref="L46:N47"/>
    <mergeCell ref="O46:S47"/>
    <mergeCell ref="D37:G38"/>
    <mergeCell ref="E39:G40"/>
    <mergeCell ref="H39:H40"/>
    <mergeCell ref="I39:M40"/>
    <mergeCell ref="N39:W40"/>
    <mergeCell ref="E43:G43"/>
    <mergeCell ref="D32:G33"/>
    <mergeCell ref="A34:C34"/>
    <mergeCell ref="E34:G35"/>
    <mergeCell ref="H34:H35"/>
    <mergeCell ref="I34:M35"/>
    <mergeCell ref="N34:W35"/>
    <mergeCell ref="C26:H29"/>
    <mergeCell ref="I26:K29"/>
    <mergeCell ref="L26:N29"/>
    <mergeCell ref="O26:Q27"/>
    <mergeCell ref="O28:Q28"/>
    <mergeCell ref="R28:W28"/>
    <mergeCell ref="O29:W29"/>
    <mergeCell ref="I22:K25"/>
    <mergeCell ref="L22:N25"/>
    <mergeCell ref="O22:Q23"/>
    <mergeCell ref="O24:Q24"/>
    <mergeCell ref="R24:W24"/>
    <mergeCell ref="O25:W25"/>
    <mergeCell ref="C20:H20"/>
    <mergeCell ref="I20:K20"/>
    <mergeCell ref="L20:N20"/>
    <mergeCell ref="C21:H21"/>
    <mergeCell ref="I21:K21"/>
    <mergeCell ref="L21:N21"/>
    <mergeCell ref="D23:H25"/>
    <mergeCell ref="C22:D22"/>
    <mergeCell ref="C1:F4"/>
    <mergeCell ref="G1:Y2"/>
    <mergeCell ref="G3:I4"/>
    <mergeCell ref="J3:L4"/>
    <mergeCell ref="C14:H14"/>
    <mergeCell ref="I14:K14"/>
    <mergeCell ref="L14:N14"/>
    <mergeCell ref="O14:W14"/>
    <mergeCell ref="C15:H15"/>
    <mergeCell ref="I15:K15"/>
    <mergeCell ref="L15:N15"/>
    <mergeCell ref="O15:W15"/>
    <mergeCell ref="U9:X10"/>
    <mergeCell ref="D11:E11"/>
    <mergeCell ref="F11:G11"/>
    <mergeCell ref="H11:J11"/>
    <mergeCell ref="K11:O11"/>
    <mergeCell ref="P11:T11"/>
    <mergeCell ref="U11:X11"/>
    <mergeCell ref="D8:F8"/>
    <mergeCell ref="C9:C11"/>
    <mergeCell ref="D9:G10"/>
    <mergeCell ref="H9:J10"/>
    <mergeCell ref="K9:O10"/>
    <mergeCell ref="P9:T10"/>
    <mergeCell ref="C18:H18"/>
    <mergeCell ref="I18:K18"/>
    <mergeCell ref="L18:N18"/>
    <mergeCell ref="O18:W18"/>
    <mergeCell ref="C19:H19"/>
    <mergeCell ref="I19:K19"/>
    <mergeCell ref="L19:N19"/>
    <mergeCell ref="O19:W19"/>
    <mergeCell ref="C16:H16"/>
    <mergeCell ref="I16:K16"/>
    <mergeCell ref="L16:N16"/>
    <mergeCell ref="O16:W16"/>
    <mergeCell ref="C17:H17"/>
    <mergeCell ref="I17:K17"/>
    <mergeCell ref="L17:N17"/>
  </mergeCells>
  <dataValidations count="6">
    <dataValidation type="list" allowBlank="1" showInputMessage="1" showErrorMessage="1" sqref="L20:N20" xr:uid="{00000000-0002-0000-0100-000000000000}">
      <formula1>$AE$20:$AG$20</formula1>
    </dataValidation>
    <dataValidation type="list" allowBlank="1" showInputMessage="1" showErrorMessage="1" sqref="F44:H44 F62:H62" xr:uid="{00000000-0002-0000-0100-000001000000}">
      <formula1>$AE$44:$AE$45</formula1>
    </dataValidation>
    <dataValidation type="list" allowBlank="1" showInputMessage="1" showErrorMessage="1" sqref="H34:H35 T79 O56:O57 T56:T57 O48:O51 O79" xr:uid="{00000000-0002-0000-0100-000002000000}">
      <formula1>$A$36:$A$37</formula1>
    </dataValidation>
    <dataValidation type="list" allowBlank="1" showInputMessage="1" showErrorMessage="1" sqref="L41 H41 H39 Q41 O66:O69 O74:O75 T74:T75" xr:uid="{00000000-0002-0000-0100-000003000000}">
      <formula1>$B$36:$B$37</formula1>
    </dataValidation>
    <dataValidation type="list" allowBlank="1" showInputMessage="1" showErrorMessage="1" sqref="L21:N21" xr:uid="{00000000-0002-0000-0100-000004000000}">
      <formula1>$AE$21:$AG$21</formula1>
    </dataValidation>
    <dataValidation type="list" allowBlank="1" showInputMessage="1" showErrorMessage="1" sqref="F85:H85" xr:uid="{00000000-0002-0000-0100-000005000000}">
      <formula1>$AE$85:$AE$86</formula1>
    </dataValidation>
  </dataValidations>
  <printOptions horizontalCentered="1" verticalCentered="1"/>
  <pageMargins left="0.25" right="0.25" top="0.1" bottom="0.1" header="0.3" footer="0.3"/>
  <pageSetup paperSize="9"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BN154"/>
  <sheetViews>
    <sheetView topLeftCell="A132" zoomScaleNormal="100" workbookViewId="0">
      <selection activeCell="C142" sqref="C142"/>
    </sheetView>
  </sheetViews>
  <sheetFormatPr defaultColWidth="5.140625" defaultRowHeight="17.25" customHeight="1" outlineLevelRow="1" outlineLevelCol="1" x14ac:dyDescent="0.25"/>
  <cols>
    <col min="1" max="2" width="6.42578125" style="1" customWidth="1"/>
    <col min="3" max="6" width="7" style="179" customWidth="1"/>
    <col min="7" max="8" width="7" style="1" customWidth="1"/>
    <col min="9" max="26" width="6.42578125" style="1" customWidth="1"/>
    <col min="27" max="27" width="19" style="18" customWidth="1" outlineLevel="1"/>
    <col min="28" max="28" width="42.7109375" style="28" customWidth="1" outlineLevel="1"/>
    <col min="29" max="29" width="23.7109375" style="28" customWidth="1" outlineLevel="1"/>
    <col min="30" max="37" width="19" style="22" customWidth="1" outlineLevel="1"/>
    <col min="38" max="38" width="19" style="29" customWidth="1" outlineLevel="1"/>
    <col min="39" max="45" width="19" style="22" customWidth="1" outlineLevel="1"/>
    <col min="46" max="65" width="15.85546875" style="22" customWidth="1" outlineLevel="1"/>
    <col min="66" max="16384" width="5.140625" style="1"/>
  </cols>
  <sheetData>
    <row r="1" spans="1:66" ht="17.25" customHeight="1" x14ac:dyDescent="0.25">
      <c r="C1" s="568" t="s">
        <v>382</v>
      </c>
      <c r="D1" s="568"/>
      <c r="E1" s="568"/>
      <c r="F1" s="568"/>
      <c r="G1" s="562" t="s">
        <v>383</v>
      </c>
      <c r="H1" s="562"/>
      <c r="I1" s="562"/>
      <c r="J1" s="562"/>
      <c r="K1" s="562"/>
      <c r="L1" s="562"/>
      <c r="M1" s="562"/>
      <c r="N1" s="562"/>
      <c r="O1" s="562"/>
      <c r="P1" s="562"/>
      <c r="Q1" s="562"/>
      <c r="R1" s="562"/>
      <c r="S1" s="562"/>
      <c r="T1" s="562"/>
      <c r="U1" s="562"/>
      <c r="V1" s="562"/>
      <c r="W1" s="562"/>
      <c r="X1" s="562"/>
      <c r="Y1" s="562"/>
      <c r="AA1" s="1"/>
      <c r="AB1" s="18"/>
      <c r="AD1" s="28"/>
      <c r="AL1" s="22"/>
      <c r="AM1" s="29"/>
      <c r="BN1" s="22"/>
    </row>
    <row r="2" spans="1:66" ht="17.25" customHeight="1" x14ac:dyDescent="0.25">
      <c r="C2" s="568"/>
      <c r="D2" s="568"/>
      <c r="E2" s="568"/>
      <c r="F2" s="568"/>
      <c r="G2" s="562"/>
      <c r="H2" s="562"/>
      <c r="I2" s="562"/>
      <c r="J2" s="562"/>
      <c r="K2" s="562"/>
      <c r="L2" s="562"/>
      <c r="M2" s="562"/>
      <c r="N2" s="562"/>
      <c r="O2" s="562"/>
      <c r="P2" s="562"/>
      <c r="Q2" s="562"/>
      <c r="R2" s="562"/>
      <c r="S2" s="562"/>
      <c r="T2" s="562"/>
      <c r="U2" s="562"/>
      <c r="V2" s="562"/>
      <c r="W2" s="562"/>
      <c r="X2" s="562"/>
      <c r="Y2" s="562"/>
      <c r="AA2" s="1"/>
      <c r="AB2" s="18"/>
      <c r="AD2" s="28"/>
      <c r="AL2" s="22"/>
      <c r="AM2" s="29"/>
      <c r="BN2" s="22"/>
    </row>
    <row r="3" spans="1:66" ht="17.25" customHeight="1" x14ac:dyDescent="0.25">
      <c r="C3" s="568"/>
      <c r="D3" s="568"/>
      <c r="E3" s="568"/>
      <c r="F3" s="568"/>
      <c r="G3" s="388" t="s">
        <v>387</v>
      </c>
      <c r="H3" s="388"/>
      <c r="I3" s="388"/>
      <c r="J3" s="567" t="s">
        <v>386</v>
      </c>
      <c r="K3" s="567"/>
      <c r="L3" s="567"/>
      <c r="AA3" s="1"/>
      <c r="AB3" s="18"/>
      <c r="AD3" s="28"/>
      <c r="AL3" s="22"/>
      <c r="AM3" s="29"/>
      <c r="BN3" s="22"/>
    </row>
    <row r="4" spans="1:66" ht="17.25" customHeight="1" x14ac:dyDescent="0.25">
      <c r="C4" s="568"/>
      <c r="D4" s="568"/>
      <c r="E4" s="568"/>
      <c r="F4" s="568"/>
      <c r="G4" s="343"/>
      <c r="H4" s="343"/>
      <c r="I4" s="343"/>
      <c r="J4" s="383"/>
      <c r="K4" s="383"/>
      <c r="L4" s="383"/>
      <c r="AA4" s="1"/>
      <c r="AB4" s="18"/>
      <c r="AD4" s="28"/>
      <c r="AL4" s="22"/>
      <c r="AM4" s="29"/>
      <c r="BN4" s="22"/>
    </row>
    <row r="5" spans="1:66" ht="17.25" customHeight="1" x14ac:dyDescent="0.25">
      <c r="C5" s="196"/>
      <c r="D5" s="196"/>
      <c r="E5" s="196"/>
      <c r="F5" s="196"/>
      <c r="G5" s="196"/>
      <c r="AA5" s="1"/>
      <c r="AB5" s="18"/>
      <c r="AD5" s="28"/>
      <c r="AL5" s="22"/>
      <c r="AM5" s="29"/>
      <c r="BN5" s="22"/>
    </row>
    <row r="6" spans="1:66" ht="17.25" customHeight="1" thickBot="1" x14ac:dyDescent="0.3">
      <c r="C6" s="196"/>
      <c r="D6" s="196"/>
      <c r="E6" s="196"/>
      <c r="F6" s="196"/>
      <c r="G6" s="196"/>
      <c r="AA6" s="1"/>
      <c r="AB6" s="18"/>
      <c r="AD6" s="28"/>
      <c r="AL6" s="22"/>
      <c r="AM6" s="29"/>
      <c r="BN6" s="22"/>
    </row>
    <row r="7" spans="1:66" ht="17.25" customHeight="1" thickBot="1" x14ac:dyDescent="0.3">
      <c r="B7" s="47" t="s">
        <v>1</v>
      </c>
      <c r="C7" s="157"/>
      <c r="D7" s="48"/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  <c r="AA7" s="48"/>
      <c r="AB7" s="48"/>
      <c r="AC7" s="48"/>
      <c r="AD7" s="48"/>
      <c r="AE7" s="48"/>
      <c r="AF7" s="48"/>
      <c r="AG7" s="48"/>
      <c r="AH7" s="48"/>
      <c r="AI7" s="48"/>
      <c r="AJ7" s="48"/>
      <c r="AK7" s="48"/>
      <c r="AL7" s="48"/>
      <c r="AM7" s="48"/>
      <c r="AN7" s="48"/>
      <c r="AO7" s="48"/>
      <c r="AP7" s="48"/>
      <c r="AQ7" s="48"/>
      <c r="AR7" s="48"/>
      <c r="AS7" s="48"/>
      <c r="AT7" s="48"/>
      <c r="AU7" s="48"/>
      <c r="AV7" s="48"/>
      <c r="AW7" s="48"/>
      <c r="AX7" s="48"/>
      <c r="AY7" s="48"/>
      <c r="AZ7" s="48"/>
      <c r="BA7" s="49"/>
    </row>
    <row r="8" spans="1:66" ht="17.25" customHeight="1" x14ac:dyDescent="0.25">
      <c r="C8" s="158" t="s">
        <v>2</v>
      </c>
      <c r="D8" s="354" t="s">
        <v>333</v>
      </c>
      <c r="E8" s="355"/>
      <c r="F8" s="355"/>
      <c r="G8" s="179"/>
      <c r="AB8" s="19"/>
      <c r="AC8" s="20"/>
      <c r="AD8" s="21" t="s">
        <v>132</v>
      </c>
      <c r="AE8" s="21" t="s">
        <v>12</v>
      </c>
      <c r="AF8" s="21" t="s">
        <v>133</v>
      </c>
      <c r="AG8" s="21" t="s">
        <v>129</v>
      </c>
      <c r="AH8" s="21" t="s">
        <v>132</v>
      </c>
      <c r="AI8" s="21" t="s">
        <v>137</v>
      </c>
      <c r="AJ8" s="21" t="s">
        <v>138</v>
      </c>
      <c r="AK8" s="21" t="s">
        <v>129</v>
      </c>
      <c r="AL8" s="21" t="s">
        <v>112</v>
      </c>
      <c r="AM8" s="21" t="s">
        <v>117</v>
      </c>
      <c r="AN8" s="21" t="s">
        <v>144</v>
      </c>
      <c r="AO8" s="21" t="s">
        <v>131</v>
      </c>
      <c r="AP8" s="21" t="s">
        <v>152</v>
      </c>
      <c r="AQ8" s="21" t="s">
        <v>150</v>
      </c>
      <c r="AR8" s="21" t="s">
        <v>112</v>
      </c>
      <c r="AS8" s="21" t="s">
        <v>151</v>
      </c>
      <c r="AT8" s="30"/>
      <c r="AU8" s="30"/>
    </row>
    <row r="9" spans="1:66" ht="17.25" customHeight="1" thickBot="1" x14ac:dyDescent="0.3">
      <c r="C9" s="574" t="s">
        <v>12</v>
      </c>
      <c r="D9" s="296" t="s">
        <v>3</v>
      </c>
      <c r="E9" s="297"/>
      <c r="F9" s="297"/>
      <c r="G9" s="298"/>
      <c r="H9" s="399" t="s">
        <v>336</v>
      </c>
      <c r="I9" s="399"/>
      <c r="J9" s="399"/>
      <c r="K9" s="399" t="s">
        <v>337</v>
      </c>
      <c r="L9" s="399"/>
      <c r="M9" s="399"/>
      <c r="N9" s="399"/>
      <c r="O9" s="399"/>
      <c r="P9" s="399" t="s">
        <v>338</v>
      </c>
      <c r="Q9" s="399"/>
      <c r="R9" s="399"/>
      <c r="S9" s="399"/>
      <c r="T9" s="399"/>
      <c r="U9" s="417" t="s">
        <v>335</v>
      </c>
      <c r="V9" s="418"/>
      <c r="W9" s="418"/>
      <c r="X9" s="419"/>
      <c r="AA9" s="202" t="s">
        <v>370</v>
      </c>
      <c r="AB9" s="180" t="str">
        <f>AS9</f>
        <v>17:08:23.00 [17:08.38] - (17.1397)</v>
      </c>
      <c r="AC9" s="23">
        <f>AN9</f>
        <v>17.139722222222222</v>
      </c>
      <c r="AD9" s="24" t="b">
        <f t="shared" ref="AD9:AD10" si="0">ISNUMBER(SEARCH(":",AA9,1))</f>
        <v>1</v>
      </c>
      <c r="AE9" s="25">
        <f t="shared" ref="AE9:AE10" si="1">IF(AD9, VALUE(LEFT(AA9,SEARCH(":",AA9,1)-1)),VALUE(AA9))</f>
        <v>17</v>
      </c>
      <c r="AF9" s="25" t="str">
        <f t="shared" ref="AF9:AF10" si="2">IF(AD9, RIGHT(AA9,LEN(AA9)-SEARCH(":",AA9,1)),"")</f>
        <v>08:23</v>
      </c>
      <c r="AG9" s="24" t="b">
        <f>(LEN(AF9)&gt;0)</f>
        <v>1</v>
      </c>
      <c r="AH9" s="24" t="b">
        <f>ISNUMBER(SEARCH(":",AF9,1))</f>
        <v>1</v>
      </c>
      <c r="AI9" s="25">
        <f>IF(NOT(AG9),0,IF(AH9, VALUE(LEFT(AF9,SEARCH(":",AF9,1)-1)),VALUE(AF9)))</f>
        <v>8</v>
      </c>
      <c r="AJ9" s="25" t="str">
        <f>IF(AH9, RIGHT(AF9,LEN(AF9)-SEARCH(":",AF9,1)),"")</f>
        <v>23</v>
      </c>
      <c r="AK9" s="24" t="b">
        <f>(LEN(AJ9)&gt;0)</f>
        <v>1</v>
      </c>
      <c r="AL9" s="25">
        <f>IF(AK9,VALUE(AJ9),0)</f>
        <v>23</v>
      </c>
      <c r="AM9" s="26">
        <f>AE9*3600+AI9*60+AL9</f>
        <v>61703</v>
      </c>
      <c r="AN9" s="26">
        <f>AM9/3600</f>
        <v>17.139722222222222</v>
      </c>
      <c r="AO9" s="26">
        <f>(AM9-3600*INT(AN9))/60</f>
        <v>8.3833333333333329</v>
      </c>
      <c r="AP9" s="25">
        <f>_xlfn.FLOOR.MATH(AN9)</f>
        <v>17</v>
      </c>
      <c r="AQ9" s="25">
        <f>_xlfn.FLOOR.MATH(AO9)</f>
        <v>8</v>
      </c>
      <c r="AR9" s="25">
        <f>_xlfn.FLOOR.MATH(AM9-AP9*3600-AQ9*60)</f>
        <v>23</v>
      </c>
      <c r="AS9" s="20" t="str">
        <f>CONCATENATE(TEXT(AP9,"00"),":",TEXT(AQ9,"00"),":",TEXT(AR9,"00.00"), " [", CONCATENATE(TEXT(AP9,"00"),":",TEXT(AO9,"00.00")),"]", " - (", TEXT(AN9,"00.0000"),")")</f>
        <v>17:08:23.00 [17:08.38] - (17.1397)</v>
      </c>
      <c r="AT9" s="30"/>
      <c r="AU9" s="178"/>
      <c r="AV9" s="17"/>
      <c r="AW9" s="17"/>
      <c r="AX9" s="17"/>
      <c r="AY9" s="17"/>
      <c r="AZ9" s="17"/>
    </row>
    <row r="10" spans="1:66" ht="17.25" customHeight="1" x14ac:dyDescent="0.25">
      <c r="A10" s="1" t="s">
        <v>66</v>
      </c>
      <c r="B10" s="1" t="s">
        <v>67</v>
      </c>
      <c r="C10" s="575"/>
      <c r="D10" s="299"/>
      <c r="E10" s="300"/>
      <c r="F10" s="300"/>
      <c r="G10" s="301"/>
      <c r="H10" s="399"/>
      <c r="I10" s="399"/>
      <c r="J10" s="399"/>
      <c r="K10" s="399"/>
      <c r="L10" s="399"/>
      <c r="M10" s="399"/>
      <c r="N10" s="399"/>
      <c r="O10" s="399"/>
      <c r="P10" s="399"/>
      <c r="Q10" s="399"/>
      <c r="R10" s="399"/>
      <c r="S10" s="399"/>
      <c r="T10" s="399"/>
      <c r="U10" s="420"/>
      <c r="V10" s="421"/>
      <c r="W10" s="421"/>
      <c r="X10" s="422"/>
      <c r="AA10" s="18" t="str">
        <f>CONCATENATE("00:",U11)</f>
        <v>00:0</v>
      </c>
      <c r="AB10" s="180" t="str">
        <f>AS10</f>
        <v>00:00:00.00 [00:00.00] - (00.0000)</v>
      </c>
      <c r="AC10" s="23">
        <f>AN10</f>
        <v>0</v>
      </c>
      <c r="AD10" s="24" t="b">
        <f t="shared" si="0"/>
        <v>1</v>
      </c>
      <c r="AE10" s="25">
        <f t="shared" si="1"/>
        <v>0</v>
      </c>
      <c r="AF10" s="25" t="str">
        <f t="shared" si="2"/>
        <v>0</v>
      </c>
      <c r="AG10" s="24" t="b">
        <f>(LEN(AF10)&gt;0)</f>
        <v>1</v>
      </c>
      <c r="AH10" s="24" t="b">
        <f>ISNUMBER(SEARCH(":",AF10,1))</f>
        <v>0</v>
      </c>
      <c r="AI10" s="25">
        <f>IF(NOT(AG10),0,IF(AH10, VALUE(LEFT(AF10,SEARCH(":",AF10,1)-1)),VALUE(AF10)))</f>
        <v>0</v>
      </c>
      <c r="AJ10" s="25" t="str">
        <f>IF(AH10, RIGHT(AF10,LEN(AF10)-SEARCH(":",AF10,1)),"")</f>
        <v/>
      </c>
      <c r="AK10" s="24" t="b">
        <f>(LEN(AJ10)&gt;0)</f>
        <v>0</v>
      </c>
      <c r="AL10" s="25">
        <f>IF(AK10,VALUE(AJ10),0)</f>
        <v>0</v>
      </c>
      <c r="AM10" s="26">
        <f>AE10*3600+AI10*60+AL10</f>
        <v>0</v>
      </c>
      <c r="AN10" s="26">
        <f>AM10/3600</f>
        <v>0</v>
      </c>
      <c r="AO10" s="26">
        <f>(AM10-3600*INT(AN10))/60</f>
        <v>0</v>
      </c>
      <c r="AP10" s="25">
        <f>_xlfn.FLOOR.MATH(AN10)</f>
        <v>0</v>
      </c>
      <c r="AQ10" s="25">
        <f>_xlfn.FLOOR.MATH(AO10)</f>
        <v>0</v>
      </c>
      <c r="AR10" s="25">
        <f>_xlfn.FLOOR.MATH(AM10-AP10*3600-AQ10*60)</f>
        <v>0</v>
      </c>
      <c r="AS10" s="20" t="str">
        <f>CONCATENATE(TEXT(AP10,"00"),":",TEXT(AQ10,"00"),":",TEXT(AR10,"00.00"), " [", CONCATENATE(TEXT(AP10,"00"),":",TEXT(AO10,"00.00")),"]", " - (", TEXT(AN10,"00.0000"),")")</f>
        <v>00:00:00.00 [00:00.00] - (00.0000)</v>
      </c>
      <c r="AT10" s="17"/>
      <c r="AU10" s="17"/>
      <c r="AV10" s="17"/>
      <c r="AW10" s="17"/>
      <c r="AX10" s="17"/>
      <c r="AY10" s="17"/>
      <c r="AZ10" s="17"/>
    </row>
    <row r="11" spans="1:66" ht="17.25" customHeight="1" x14ac:dyDescent="0.25">
      <c r="C11" s="576"/>
      <c r="D11" s="356">
        <f>AC12</f>
        <v>16.14</v>
      </c>
      <c r="E11" s="356"/>
      <c r="F11" s="391" t="str">
        <f>AB12</f>
        <v>16:08:24</v>
      </c>
      <c r="G11" s="391"/>
      <c r="H11" s="433">
        <v>0.71415509259259258</v>
      </c>
      <c r="I11" s="433"/>
      <c r="J11" s="433"/>
      <c r="K11" s="393">
        <v>-1</v>
      </c>
      <c r="L11" s="393"/>
      <c r="M11" s="393"/>
      <c r="N11" s="393"/>
      <c r="O11" s="393"/>
      <c r="P11" s="393">
        <v>1</v>
      </c>
      <c r="Q11" s="393"/>
      <c r="R11" s="393"/>
      <c r="S11" s="393"/>
      <c r="T11" s="394"/>
      <c r="U11" s="392" t="s">
        <v>334</v>
      </c>
      <c r="V11" s="392"/>
      <c r="W11" s="392"/>
      <c r="X11" s="392"/>
      <c r="AD11" s="31" t="s">
        <v>42</v>
      </c>
      <c r="AE11" s="31" t="s">
        <v>43</v>
      </c>
      <c r="AF11" s="31" t="s">
        <v>44</v>
      </c>
      <c r="AG11" s="31" t="s">
        <v>45</v>
      </c>
      <c r="AH11" s="31" t="s">
        <v>46</v>
      </c>
      <c r="AI11" s="32" t="s">
        <v>47</v>
      </c>
      <c r="AJ11" s="31" t="s">
        <v>49</v>
      </c>
      <c r="AK11" s="31" t="s">
        <v>40</v>
      </c>
      <c r="AL11" s="31" t="s">
        <v>50</v>
      </c>
      <c r="AM11" s="31" t="s">
        <v>48</v>
      </c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</row>
    <row r="12" spans="1:66" ht="17.25" customHeight="1" thickBot="1" x14ac:dyDescent="0.3">
      <c r="C12" s="33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AB12" s="28" t="str">
        <f>AM12</f>
        <v>16:08:24</v>
      </c>
      <c r="AC12" s="34">
        <f>AI12</f>
        <v>16.14</v>
      </c>
      <c r="AD12" s="22">
        <f>AC9</f>
        <v>17.139722222222222</v>
      </c>
      <c r="AE12" s="22">
        <f>K11</f>
        <v>-1</v>
      </c>
      <c r="AF12" s="22">
        <f>P11/3600</f>
        <v>2.7777777777777778E-4</v>
      </c>
      <c r="AG12" s="22">
        <f>AC10</f>
        <v>0</v>
      </c>
      <c r="AH12" s="22">
        <f>(AD12+AE12+AF12+AG12)*3600</f>
        <v>58104</v>
      </c>
      <c r="AI12" s="22">
        <f>AD12+AE12+AF12+AG12</f>
        <v>16.14</v>
      </c>
      <c r="AJ12" s="22">
        <f>INT(AI12)</f>
        <v>16</v>
      </c>
      <c r="AK12" s="22">
        <f>INT((AH12-AJ12*3600)/60)</f>
        <v>8</v>
      </c>
      <c r="AL12" s="29">
        <f>AH12-AJ12*3600-AK12*60</f>
        <v>24</v>
      </c>
      <c r="AM12" s="22" t="str">
        <f>CONCATENATE(TEXT(AJ12,"00"),":",TEXT(AK12,"00"),":",TEXT(AL12,"00"))</f>
        <v>16:08:24</v>
      </c>
      <c r="AQ12" s="17"/>
      <c r="AR12" s="17"/>
      <c r="AS12" s="17"/>
      <c r="AT12" s="17"/>
      <c r="AU12" s="17"/>
      <c r="AV12" s="17"/>
      <c r="AW12" s="17"/>
      <c r="AX12" s="17"/>
      <c r="AY12" s="17"/>
      <c r="AZ12" s="17"/>
    </row>
    <row r="13" spans="1:66" ht="17.25" customHeight="1" thickBot="1" x14ac:dyDescent="0.3">
      <c r="B13" s="47" t="s">
        <v>24</v>
      </c>
      <c r="C13" s="48"/>
      <c r="D13" s="48"/>
      <c r="E13" s="48"/>
      <c r="F13" s="48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  <c r="AA13" s="48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48"/>
      <c r="AS13" s="48"/>
      <c r="AT13" s="48"/>
      <c r="AU13" s="48"/>
      <c r="AV13" s="48"/>
      <c r="AW13" s="48"/>
      <c r="AX13" s="48"/>
      <c r="AY13" s="48"/>
      <c r="AZ13" s="48"/>
      <c r="BA13" s="49"/>
    </row>
    <row r="14" spans="1:66" ht="17.25" customHeight="1" thickTop="1" thickBot="1" x14ac:dyDescent="0.3">
      <c r="B14" s="178"/>
      <c r="C14" s="440" t="s">
        <v>376</v>
      </c>
      <c r="D14" s="441"/>
      <c r="E14" s="441"/>
      <c r="F14" s="441"/>
      <c r="G14" s="441"/>
      <c r="H14" s="442"/>
      <c r="I14" s="362">
        <f>AC14</f>
        <v>0.83333333333333337</v>
      </c>
      <c r="J14" s="395"/>
      <c r="K14" s="395"/>
      <c r="L14" s="443" t="s">
        <v>377</v>
      </c>
      <c r="M14" s="444"/>
      <c r="N14" s="444"/>
      <c r="O14" s="279" t="str">
        <f>AB14</f>
        <v>00°50'00.00 [00°50.00]  (00.8333°)</v>
      </c>
      <c r="P14" s="279"/>
      <c r="Q14" s="279"/>
      <c r="R14" s="279"/>
      <c r="S14" s="279"/>
      <c r="T14" s="279"/>
      <c r="U14" s="279"/>
      <c r="V14" s="279"/>
      <c r="W14" s="279"/>
      <c r="X14" s="17"/>
      <c r="AA14" s="18" t="str">
        <f>L14</f>
        <v>50'</v>
      </c>
      <c r="AB14" s="14" t="str">
        <f>BC14</f>
        <v>00°50'00.00 [00°50.00]  (00.8333°)</v>
      </c>
      <c r="AC14" s="7">
        <f>BB14</f>
        <v>0.83333333333333337</v>
      </c>
      <c r="AD14" s="5">
        <f>IF(LEFT(TRIM(AA14),1)="-",-1,IF(LEFT(TRIM(AA14),1)="+",1, 0))</f>
        <v>0</v>
      </c>
      <c r="AE14" s="5" t="str">
        <f>IF(AD14&gt;0,"+",IF(AD14&lt;0,"-",""))</f>
        <v/>
      </c>
      <c r="AF14" s="5" t="str">
        <f>IF(ABS(AD14)&gt;0,RIGHT(AA14,LEN(AA14)-1),AA14)</f>
        <v>50'</v>
      </c>
      <c r="AG14" s="5" t="b">
        <f>ISNUMBER(SEARCH("°",AF14,1))</f>
        <v>0</v>
      </c>
      <c r="AH14" s="5" t="b">
        <f>ISNUMBER(SEARCH("'",AF14,1))</f>
        <v>1</v>
      </c>
      <c r="AI14" s="5" t="b">
        <f>ISNUMBER(SEARCH("""",AF14,1))</f>
        <v>0</v>
      </c>
      <c r="AJ14" s="5" t="b">
        <f>NOT(OR(AG14,AH14,AI14))</f>
        <v>0</v>
      </c>
      <c r="AK14" s="5" t="b">
        <f t="shared" ref="AK14:AK16" si="3">OR(AJ14,AG14)</f>
        <v>0</v>
      </c>
      <c r="AL14" s="6">
        <f>IF(AJ14,VALUE(AF14),IF(AG14,LEFT(AF14,SEARCH("°",AF14,1)-1),0))</f>
        <v>0</v>
      </c>
      <c r="AM14" s="5" t="str">
        <f>IF(AJ14,"",IF(AG14,RIGHT(AF14,LEN(AF14)-SEARCH("°",AF14,1)),AF14))</f>
        <v>50'</v>
      </c>
      <c r="AN14" s="5" t="b">
        <f>(LEN(AM14)&gt;0)</f>
        <v>1</v>
      </c>
      <c r="AO14" s="5" t="b">
        <f>NOT(OR(AH14,AI14))</f>
        <v>0</v>
      </c>
      <c r="AP14" s="6">
        <f t="shared" ref="AP14:AP16" si="4">IF(NOT(AN14),0,IF(AO14,VALUE(AM14),IF(NOT(AH14),0,VALUE(LEFT(AM14,SEARCH("'",AM14,1)-1)))))</f>
        <v>50</v>
      </c>
      <c r="AQ14" s="5" t="str">
        <f t="shared" ref="AQ14:AQ16" si="5">IF(NOT(AN14),"",IF(AO14,"",IF(NOT(AH14),AM14,RIGHT(AM14,LEN(AM14)-SEARCH("'",AM14,1)))))</f>
        <v/>
      </c>
      <c r="AR14" s="5" t="b">
        <f>(LEN(AQ14)&gt;0)</f>
        <v>0</v>
      </c>
      <c r="AS14" s="5" t="b">
        <f t="shared" ref="AS14:AS16" si="6">NOT(AI14)</f>
        <v>1</v>
      </c>
      <c r="AT14" s="5" t="b">
        <f>ISNUMBER(SEARCH(".",AQ14,1))</f>
        <v>0</v>
      </c>
      <c r="AU14" s="6">
        <f t="shared" ref="AU14:AU16" si="7">IF(AR14,IF(AI14,IF(AT14,VALUE(SUBSTITUTE(AQ14, """", "")),VALUE(SUBSTITUTE(AQ14, """", "."))),VALUE(AQ14)),0)</f>
        <v>0</v>
      </c>
      <c r="AV14" s="6">
        <f t="shared" ref="AV14:AV16" si="8">AL14*3600+AP14*60+AU14</f>
        <v>3000</v>
      </c>
      <c r="AW14" s="6">
        <f>AV14/3600</f>
        <v>0.83333333333333337</v>
      </c>
      <c r="AX14" s="6">
        <f>_xlfn.FLOOR.MATH((AW14))</f>
        <v>0</v>
      </c>
      <c r="AY14" s="6">
        <f>(AV14-3600*AX14)/60</f>
        <v>50</v>
      </c>
      <c r="AZ14" s="6">
        <f>_xlfn.FLOOR.MATH((AY14))</f>
        <v>50</v>
      </c>
      <c r="BA14" s="6">
        <f>AV14-3600*AX14-60*AZ14</f>
        <v>0</v>
      </c>
      <c r="BB14" s="6">
        <f>AW14*IF(AD14&lt;0,-1,1)</f>
        <v>0.83333333333333337</v>
      </c>
      <c r="BC14" s="7" t="str">
        <f>CONCATENATE(AE14,TEXT(AX14,"00"),"°",TEXT(AZ14,"00"),"'",TEXT(BA14,"00.00"), " [", CONCATENATE(AE14,TEXT(AX14,"00"),"°",TEXT(AY14,"00.00")),"]", "  (", AE14,TEXT(AW14,"00.0000"),"°)")</f>
        <v>00°50'00.00 [00°50.00]  (00.8333°)</v>
      </c>
    </row>
    <row r="15" spans="1:66" ht="17.25" customHeight="1" thickTop="1" thickBot="1" x14ac:dyDescent="0.3">
      <c r="C15" s="436" t="s">
        <v>375</v>
      </c>
      <c r="D15" s="436"/>
      <c r="E15" s="436"/>
      <c r="F15" s="436"/>
      <c r="G15" s="436"/>
      <c r="H15" s="436"/>
      <c r="I15" s="445">
        <f>AC15</f>
        <v>18.766666666666666</v>
      </c>
      <c r="J15" s="446"/>
      <c r="K15" s="446"/>
      <c r="L15" s="439" t="s">
        <v>378</v>
      </c>
      <c r="M15" s="428"/>
      <c r="N15" s="429"/>
      <c r="O15" s="279" t="str">
        <f>AB15</f>
        <v>18°46'00.00 [18°46.00]  (18.7667°)</v>
      </c>
      <c r="P15" s="279"/>
      <c r="Q15" s="279"/>
      <c r="R15" s="279"/>
      <c r="S15" s="279"/>
      <c r="T15" s="279"/>
      <c r="U15" s="279"/>
      <c r="V15" s="279"/>
      <c r="W15" s="279"/>
      <c r="X15" s="17"/>
      <c r="AA15" s="18" t="str">
        <f>L15</f>
        <v>18°46'</v>
      </c>
      <c r="AB15" s="14" t="str">
        <f>BC15</f>
        <v>18°46'00.00 [18°46.00]  (18.7667°)</v>
      </c>
      <c r="AC15" s="7">
        <f>BB15</f>
        <v>18.766666666666666</v>
      </c>
      <c r="AD15" s="5">
        <f>IF(LEFT(TRIM(AA15),1)="-",-1,IF(LEFT(TRIM(AA15),1)="+",1, 0))</f>
        <v>0</v>
      </c>
      <c r="AE15" s="5" t="str">
        <f>IF(AD15&gt;0,"+",IF(AD15&lt;0,"-",""))</f>
        <v/>
      </c>
      <c r="AF15" s="5" t="str">
        <f>IF(ABS(AD15)&gt;0,RIGHT(AA15,LEN(AA15)-1),AA15)</f>
        <v>18°46'</v>
      </c>
      <c r="AG15" s="5" t="b">
        <f>ISNUMBER(SEARCH("°",AF15,1))</f>
        <v>1</v>
      </c>
      <c r="AH15" s="5" t="b">
        <f>ISNUMBER(SEARCH("'",AF15,1))</f>
        <v>1</v>
      </c>
      <c r="AI15" s="5" t="b">
        <f>ISNUMBER(SEARCH("""",AF15,1))</f>
        <v>0</v>
      </c>
      <c r="AJ15" s="5" t="b">
        <f>NOT(OR(AG15,AH15,AI15))</f>
        <v>0</v>
      </c>
      <c r="AK15" s="5" t="b">
        <f t="shared" si="3"/>
        <v>1</v>
      </c>
      <c r="AL15" s="6" t="str">
        <f>IF(AJ15,VALUE(AF15),IF(AG15,LEFT(AF15,SEARCH("°",AF15,1)-1),0))</f>
        <v>18</v>
      </c>
      <c r="AM15" s="5" t="str">
        <f>IF(AJ15,"",IF(AG15,RIGHT(AF15,LEN(AF15)-SEARCH("°",AF15,1)),AF15))</f>
        <v>46'</v>
      </c>
      <c r="AN15" s="5" t="b">
        <f>(LEN(AM15)&gt;0)</f>
        <v>1</v>
      </c>
      <c r="AO15" s="5" t="b">
        <f>NOT(OR(AH15,AI15))</f>
        <v>0</v>
      </c>
      <c r="AP15" s="6">
        <f t="shared" si="4"/>
        <v>46</v>
      </c>
      <c r="AQ15" s="5" t="str">
        <f t="shared" si="5"/>
        <v/>
      </c>
      <c r="AR15" s="5" t="b">
        <f>(LEN(AQ15)&gt;0)</f>
        <v>0</v>
      </c>
      <c r="AS15" s="5" t="b">
        <f t="shared" si="6"/>
        <v>1</v>
      </c>
      <c r="AT15" s="5" t="b">
        <f>ISNUMBER(SEARCH(".",AQ15,1))</f>
        <v>0</v>
      </c>
      <c r="AU15" s="6">
        <f t="shared" si="7"/>
        <v>0</v>
      </c>
      <c r="AV15" s="6">
        <f t="shared" si="8"/>
        <v>67560</v>
      </c>
      <c r="AW15" s="6">
        <f>AV15/3600</f>
        <v>18.766666666666666</v>
      </c>
      <c r="AX15" s="6">
        <f>_xlfn.FLOOR.MATH((AW15))</f>
        <v>18</v>
      </c>
      <c r="AY15" s="6">
        <f>(AV15-3600*AX15)/60</f>
        <v>46</v>
      </c>
      <c r="AZ15" s="6">
        <f>_xlfn.FLOOR.MATH((AY15))</f>
        <v>46</v>
      </c>
      <c r="BA15" s="6">
        <f>AV15-3600*AX15-60*AZ15</f>
        <v>0</v>
      </c>
      <c r="BB15" s="6">
        <f>AW15*IF(AD15&lt;0,-1,1)</f>
        <v>18.766666666666666</v>
      </c>
      <c r="BC15" s="7" t="str">
        <f>CONCATENATE(AE15,TEXT(AX15,"00"),"°",TEXT(AZ15,"00"),"'",TEXT(BA15,"00.00"), " [", CONCATENATE(AE15,TEXT(AX15,"00"),"°",TEXT(AY15,"00.00")),"]", "  (", AE15,TEXT(AW15,"00.0000"),"°)")</f>
        <v>18°46'00.00 [18°46.00]  (18.7667°)</v>
      </c>
    </row>
    <row r="16" spans="1:66" ht="17.25" customHeight="1" thickTop="1" thickBot="1" x14ac:dyDescent="0.3">
      <c r="C16" s="436" t="s">
        <v>375</v>
      </c>
      <c r="D16" s="436"/>
      <c r="E16" s="436"/>
      <c r="F16" s="436"/>
      <c r="G16" s="436"/>
      <c r="H16" s="436"/>
      <c r="I16" s="445">
        <f>AC16</f>
        <v>8.9666666666666668</v>
      </c>
      <c r="J16" s="446"/>
      <c r="K16" s="446"/>
      <c r="L16" s="439">
        <f>(AC15-AC14)/2</f>
        <v>8.9666666666666668</v>
      </c>
      <c r="M16" s="428"/>
      <c r="N16" s="429"/>
      <c r="O16" s="279" t="str">
        <f>AB16</f>
        <v>08°58'00.00 [08°58.00]  (08.9667°)</v>
      </c>
      <c r="P16" s="279"/>
      <c r="Q16" s="279"/>
      <c r="R16" s="279"/>
      <c r="S16" s="279"/>
      <c r="T16" s="279"/>
      <c r="U16" s="279"/>
      <c r="V16" s="279"/>
      <c r="W16" s="279"/>
      <c r="X16" s="17"/>
      <c r="AA16" s="18">
        <f>L16</f>
        <v>8.9666666666666668</v>
      </c>
      <c r="AB16" s="14" t="str">
        <f>BC16</f>
        <v>08°58'00.00 [08°58.00]  (08.9667°)</v>
      </c>
      <c r="AC16" s="7">
        <f>BB16</f>
        <v>8.9666666666666668</v>
      </c>
      <c r="AD16" s="5">
        <f>IF(LEFT(TRIM(AA16),1)="-",-1,IF(LEFT(TRIM(AA16),1)="+",1, 0))</f>
        <v>0</v>
      </c>
      <c r="AE16" s="5" t="str">
        <f>IF(AD16&gt;0,"+",IF(AD16&lt;0,"-",""))</f>
        <v/>
      </c>
      <c r="AF16" s="5">
        <f>IF(ABS(AD16)&gt;0,RIGHT(AA16,LEN(AA16)-1),AA16)</f>
        <v>8.9666666666666668</v>
      </c>
      <c r="AG16" s="5" t="b">
        <f>ISNUMBER(SEARCH("°",AF16,1))</f>
        <v>0</v>
      </c>
      <c r="AH16" s="5" t="b">
        <f>ISNUMBER(SEARCH("'",AF16,1))</f>
        <v>0</v>
      </c>
      <c r="AI16" s="5" t="b">
        <f>ISNUMBER(SEARCH("""",AF16,1))</f>
        <v>0</v>
      </c>
      <c r="AJ16" s="5" t="b">
        <f>NOT(OR(AG16,AH16,AI16))</f>
        <v>1</v>
      </c>
      <c r="AK16" s="5" t="b">
        <f t="shared" si="3"/>
        <v>1</v>
      </c>
      <c r="AL16" s="6">
        <f>IF(AJ16,VALUE(AF16),IF(AG16,LEFT(AF16,SEARCH("°",AF16,1)-1),0))</f>
        <v>8.9666666666666668</v>
      </c>
      <c r="AM16" s="5" t="str">
        <f>IF(AJ16,"",IF(AG16,RIGHT(AF16,LEN(AF16)-SEARCH("°",AF16,1)),AF16))</f>
        <v/>
      </c>
      <c r="AN16" s="5" t="b">
        <f>(LEN(AM16)&gt;0)</f>
        <v>0</v>
      </c>
      <c r="AO16" s="5" t="b">
        <f>NOT(OR(AH16,AI16))</f>
        <v>1</v>
      </c>
      <c r="AP16" s="6">
        <f t="shared" si="4"/>
        <v>0</v>
      </c>
      <c r="AQ16" s="5" t="str">
        <f t="shared" si="5"/>
        <v/>
      </c>
      <c r="AR16" s="5" t="b">
        <f>(LEN(AQ16)&gt;0)</f>
        <v>0</v>
      </c>
      <c r="AS16" s="5" t="b">
        <f t="shared" si="6"/>
        <v>1</v>
      </c>
      <c r="AT16" s="5" t="b">
        <f>ISNUMBER(SEARCH(".",AQ16,1))</f>
        <v>0</v>
      </c>
      <c r="AU16" s="6">
        <f t="shared" si="7"/>
        <v>0</v>
      </c>
      <c r="AV16" s="6">
        <f t="shared" si="8"/>
        <v>32280</v>
      </c>
      <c r="AW16" s="6">
        <f>AV16/3600</f>
        <v>8.9666666666666668</v>
      </c>
      <c r="AX16" s="6">
        <f>_xlfn.FLOOR.MATH((AW16))</f>
        <v>8</v>
      </c>
      <c r="AY16" s="6">
        <f>(AV16-3600*AX16)/60</f>
        <v>58</v>
      </c>
      <c r="AZ16" s="6">
        <f>_xlfn.FLOOR.MATH((AY16))</f>
        <v>58</v>
      </c>
      <c r="BA16" s="6">
        <f>AV16-3600*AX16-60*AZ16</f>
        <v>0</v>
      </c>
      <c r="BB16" s="6">
        <f>AW16*IF(AD16&lt;0,-1,1)</f>
        <v>8.9666666666666668</v>
      </c>
      <c r="BC16" s="7" t="str">
        <f>CONCATENATE(AE16,TEXT(AX16,"00"),"°",TEXT(AZ16,"00"),"'",TEXT(BA16,"00.00"), " [", CONCATENATE(AE16,TEXT(AX16,"00"),"°",TEXT(AY16,"00.00")),"]", "  (", AE16,TEXT(AW16,"00.0000"),"°)")</f>
        <v>08°58'00.00 [08°58.00]  (08.9667°)</v>
      </c>
    </row>
    <row r="17" spans="2:55" ht="17.25" customHeight="1" thickTop="1" thickBot="1" x14ac:dyDescent="0.3">
      <c r="C17" s="406" t="s">
        <v>25</v>
      </c>
      <c r="D17" s="406"/>
      <c r="E17" s="406"/>
      <c r="F17" s="406"/>
      <c r="G17" s="406"/>
      <c r="H17" s="406"/>
      <c r="I17" s="396">
        <f>L17</f>
        <v>0</v>
      </c>
      <c r="J17" s="395"/>
      <c r="K17" s="395"/>
      <c r="L17" s="444">
        <v>0</v>
      </c>
      <c r="M17" s="444"/>
      <c r="N17" s="444"/>
      <c r="O17" s="17"/>
      <c r="P17" s="17"/>
      <c r="Q17" s="17"/>
      <c r="R17" s="17"/>
      <c r="S17" s="17"/>
      <c r="T17" s="17"/>
      <c r="U17" s="17"/>
      <c r="V17" s="17"/>
      <c r="W17" s="17"/>
      <c r="X17" s="17"/>
      <c r="AB17" s="14"/>
      <c r="AC17" s="7"/>
      <c r="AD17" s="3" t="s">
        <v>57</v>
      </c>
      <c r="AE17" s="3" t="s">
        <v>57</v>
      </c>
      <c r="AF17" s="3" t="s">
        <v>304</v>
      </c>
      <c r="AG17" s="3" t="s">
        <v>120</v>
      </c>
      <c r="AH17" s="3" t="s">
        <v>121</v>
      </c>
      <c r="AI17" s="3" t="s">
        <v>122</v>
      </c>
      <c r="AJ17" s="3" t="s">
        <v>123</v>
      </c>
      <c r="AK17" s="3" t="s">
        <v>124</v>
      </c>
      <c r="AL17" s="3" t="s">
        <v>125</v>
      </c>
      <c r="AM17" s="3" t="s">
        <v>101</v>
      </c>
      <c r="AN17" s="3" t="s">
        <v>129</v>
      </c>
      <c r="AO17" s="3" t="s">
        <v>128</v>
      </c>
      <c r="AP17" s="3" t="s">
        <v>126</v>
      </c>
      <c r="AQ17" s="3" t="s">
        <v>127</v>
      </c>
      <c r="AR17" s="3" t="s">
        <v>129</v>
      </c>
      <c r="AS17" s="3" t="s">
        <v>128</v>
      </c>
      <c r="AT17" s="3" t="s">
        <v>130</v>
      </c>
      <c r="AU17" s="3" t="s">
        <v>112</v>
      </c>
      <c r="AV17" s="3" t="s">
        <v>117</v>
      </c>
      <c r="AW17" s="3" t="s">
        <v>143</v>
      </c>
      <c r="AX17" s="3" t="s">
        <v>149</v>
      </c>
      <c r="AY17" s="3" t="s">
        <v>131</v>
      </c>
      <c r="AZ17" s="3" t="s">
        <v>150</v>
      </c>
      <c r="BA17" s="3" t="s">
        <v>112</v>
      </c>
      <c r="BB17" s="3" t="s">
        <v>308</v>
      </c>
      <c r="BC17" s="3" t="s">
        <v>151</v>
      </c>
    </row>
    <row r="18" spans="2:55" ht="17.25" customHeight="1" thickTop="1" thickBot="1" x14ac:dyDescent="0.3">
      <c r="B18" s="178"/>
      <c r="C18" s="403" t="s">
        <v>26</v>
      </c>
      <c r="D18" s="404"/>
      <c r="E18" s="404"/>
      <c r="F18" s="404"/>
      <c r="G18" s="404"/>
      <c r="H18" s="405"/>
      <c r="I18" s="362">
        <f>AC18</f>
        <v>0</v>
      </c>
      <c r="J18" s="395"/>
      <c r="K18" s="395"/>
      <c r="L18" s="443">
        <v>0</v>
      </c>
      <c r="M18" s="444"/>
      <c r="N18" s="444"/>
      <c r="O18" s="279" t="str">
        <f>AB18</f>
        <v>00°00'00.00 [00°00.00]  (00.0000°)</v>
      </c>
      <c r="P18" s="279"/>
      <c r="Q18" s="279"/>
      <c r="R18" s="279"/>
      <c r="S18" s="279"/>
      <c r="T18" s="279"/>
      <c r="U18" s="279"/>
      <c r="V18" s="279"/>
      <c r="W18" s="279"/>
      <c r="X18" s="17"/>
      <c r="AA18" s="18">
        <f>L18</f>
        <v>0</v>
      </c>
      <c r="AB18" s="14" t="str">
        <f>BC18</f>
        <v>00°00'00.00 [00°00.00]  (00.0000°)</v>
      </c>
      <c r="AC18" s="7">
        <f>BB18</f>
        <v>0</v>
      </c>
      <c r="AD18" s="5">
        <f>IF(LEFT(TRIM(AA18),1)="-",-1,IF(LEFT(TRIM(AA18),1)="+",1, 0))</f>
        <v>0</v>
      </c>
      <c r="AE18" s="5" t="str">
        <f>IF(AD18&gt;0,"+",IF(AD18&lt;0,"-",""))</f>
        <v/>
      </c>
      <c r="AF18" s="5">
        <f>IF(ABS(AD18)&gt;0,RIGHT(AA18,LEN(AA18)-1),AA18)</f>
        <v>0</v>
      </c>
      <c r="AG18" s="5" t="b">
        <f>ISNUMBER(SEARCH("°",AF18,1))</f>
        <v>0</v>
      </c>
      <c r="AH18" s="5" t="b">
        <f>ISNUMBER(SEARCH("'",AF18,1))</f>
        <v>0</v>
      </c>
      <c r="AI18" s="5" t="b">
        <f>ISNUMBER(SEARCH("""",AF18,1))</f>
        <v>0</v>
      </c>
      <c r="AJ18" s="5" t="b">
        <f>NOT(OR(AG18,AH18,AI18))</f>
        <v>1</v>
      </c>
      <c r="AK18" s="5" t="b">
        <f t="shared" ref="AK18:AK19" si="9">OR(AJ18,AG18)</f>
        <v>1</v>
      </c>
      <c r="AL18" s="6">
        <f>IF(AJ18,VALUE(AF18),IF(AG18,LEFT(AF18,SEARCH("°",AF18,1)-1),0))</f>
        <v>0</v>
      </c>
      <c r="AM18" s="5" t="str">
        <f>IF(AJ18,"",IF(AG18,RIGHT(AF18,LEN(AF18)-SEARCH("°",AF18,1)),AF18))</f>
        <v/>
      </c>
      <c r="AN18" s="5" t="b">
        <f>(LEN(AM18)&gt;0)</f>
        <v>0</v>
      </c>
      <c r="AO18" s="5" t="b">
        <f>NOT(OR(AH18,AI18))</f>
        <v>1</v>
      </c>
      <c r="AP18" s="6">
        <f t="shared" ref="AP18:AP19" si="10">IF(NOT(AN18),0,IF(AO18,VALUE(AM18),IF(NOT(AH18),0,VALUE(LEFT(AM18,SEARCH("'",AM18,1)-1)))))</f>
        <v>0</v>
      </c>
      <c r="AQ18" s="5" t="str">
        <f t="shared" ref="AQ18:AQ19" si="11">IF(NOT(AN18),"",IF(AO18,"",IF(NOT(AH18),AM18,RIGHT(AM18,LEN(AM18)-SEARCH("'",AM18,1)))))</f>
        <v/>
      </c>
      <c r="AR18" s="5" t="b">
        <f>(LEN(AQ18)&gt;0)</f>
        <v>0</v>
      </c>
      <c r="AS18" s="5" t="b">
        <f t="shared" ref="AS18:AS19" si="12">NOT(AI18)</f>
        <v>1</v>
      </c>
      <c r="AT18" s="5" t="b">
        <f>ISNUMBER(SEARCH(".",AQ18,1))</f>
        <v>0</v>
      </c>
      <c r="AU18" s="6">
        <f t="shared" ref="AU18:AU19" si="13">IF(AR18,IF(AI18,IF(AT18,VALUE(SUBSTITUTE(AQ18, """", "")),VALUE(SUBSTITUTE(AQ18, """", "."))),VALUE(AQ18)),0)</f>
        <v>0</v>
      </c>
      <c r="AV18" s="6">
        <f t="shared" ref="AV18:AV19" si="14">AL18*3600+AP18*60+AU18</f>
        <v>0</v>
      </c>
      <c r="AW18" s="6">
        <f>AV18/3600</f>
        <v>0</v>
      </c>
      <c r="AX18" s="6">
        <f>_xlfn.FLOOR.MATH((AW18))</f>
        <v>0</v>
      </c>
      <c r="AY18" s="6">
        <f>(AV18-3600*AX18)/60</f>
        <v>0</v>
      </c>
      <c r="AZ18" s="6">
        <f>_xlfn.FLOOR.MATH((AY18))</f>
        <v>0</v>
      </c>
      <c r="BA18" s="6">
        <f>AV18-3600*AX18-60*AZ18</f>
        <v>0</v>
      </c>
      <c r="BB18" s="6">
        <f>AW18*IF(AD18&lt;0,-1,1)</f>
        <v>0</v>
      </c>
      <c r="BC18" s="7" t="str">
        <f>CONCATENATE(AE18,TEXT(AX18,"00"),"°",TEXT(AZ18,"00"),"'",TEXT(BA18,"00.00"), " [", CONCATENATE(AE18,TEXT(AX18,"00"),"°",TEXT(AY18,"00.00")),"]", "  (", AE18,TEXT(AW18,"00.0000"),"°)")</f>
        <v>00°00'00.00 [00°00.00]  (00.0000°)</v>
      </c>
    </row>
    <row r="19" spans="2:55" ht="17.25" customHeight="1" thickTop="1" thickBot="1" x14ac:dyDescent="0.3">
      <c r="C19" s="413" t="s">
        <v>37</v>
      </c>
      <c r="D19" s="413"/>
      <c r="E19" s="413"/>
      <c r="F19" s="413"/>
      <c r="G19" s="413"/>
      <c r="H19" s="413"/>
      <c r="I19" s="445">
        <f>AC19</f>
        <v>8.9666666666666668</v>
      </c>
      <c r="J19" s="446"/>
      <c r="K19" s="446"/>
      <c r="L19" s="427">
        <f>AA16</f>
        <v>8.9666666666666668</v>
      </c>
      <c r="M19" s="428"/>
      <c r="N19" s="429"/>
      <c r="O19" s="279" t="str">
        <f>AB19</f>
        <v>08°58'00.00 [08°58.00]  (08.9667°)</v>
      </c>
      <c r="P19" s="279"/>
      <c r="Q19" s="279"/>
      <c r="R19" s="279"/>
      <c r="S19" s="279"/>
      <c r="T19" s="279"/>
      <c r="U19" s="279"/>
      <c r="V19" s="279"/>
      <c r="W19" s="279"/>
      <c r="X19" s="17"/>
      <c r="AA19" s="18">
        <f>L19</f>
        <v>8.9666666666666668</v>
      </c>
      <c r="AB19" s="14" t="str">
        <f>BC19</f>
        <v>08°58'00.00 [08°58.00]  (08.9667°)</v>
      </c>
      <c r="AC19" s="7">
        <f>BB19</f>
        <v>8.9666666666666668</v>
      </c>
      <c r="AD19" s="5">
        <f>IF(LEFT(TRIM(AA19),1)="-",-1,IF(LEFT(TRIM(AA19),1)="+",1, 0))</f>
        <v>0</v>
      </c>
      <c r="AE19" s="5" t="str">
        <f>IF(AD19&gt;0,"+",IF(AD19&lt;0,"-",""))</f>
        <v/>
      </c>
      <c r="AF19" s="5">
        <f>IF(ABS(AD19)&gt;0,RIGHT(AA19,LEN(AA19)-1),AA19)</f>
        <v>8.9666666666666668</v>
      </c>
      <c r="AG19" s="5" t="b">
        <f>ISNUMBER(SEARCH("°",AF19,1))</f>
        <v>0</v>
      </c>
      <c r="AH19" s="5" t="b">
        <f>ISNUMBER(SEARCH("'",AF19,1))</f>
        <v>0</v>
      </c>
      <c r="AI19" s="5" t="b">
        <f>ISNUMBER(SEARCH("""",AF19,1))</f>
        <v>0</v>
      </c>
      <c r="AJ19" s="5" t="b">
        <f>NOT(OR(AG19,AH19,AI19))</f>
        <v>1</v>
      </c>
      <c r="AK19" s="5" t="b">
        <f t="shared" si="9"/>
        <v>1</v>
      </c>
      <c r="AL19" s="6">
        <f>IF(AJ19,VALUE(AF19),IF(AG19,LEFT(AF19,SEARCH("°",AF19,1)-1),0))</f>
        <v>8.9666666666666668</v>
      </c>
      <c r="AM19" s="5" t="str">
        <f>IF(AJ19,"",IF(AG19,RIGHT(AF19,LEN(AF19)-SEARCH("°",AF19,1)),AF19))</f>
        <v/>
      </c>
      <c r="AN19" s="5" t="b">
        <f>(LEN(AM19)&gt;0)</f>
        <v>0</v>
      </c>
      <c r="AO19" s="5" t="b">
        <f>NOT(OR(AH19,AI19))</f>
        <v>1</v>
      </c>
      <c r="AP19" s="6">
        <f t="shared" si="10"/>
        <v>0</v>
      </c>
      <c r="AQ19" s="5" t="str">
        <f t="shared" si="11"/>
        <v/>
      </c>
      <c r="AR19" s="5" t="b">
        <f>(LEN(AQ19)&gt;0)</f>
        <v>0</v>
      </c>
      <c r="AS19" s="5" t="b">
        <f t="shared" si="12"/>
        <v>1</v>
      </c>
      <c r="AT19" s="5" t="b">
        <f>ISNUMBER(SEARCH(".",AQ19,1))</f>
        <v>0</v>
      </c>
      <c r="AU19" s="6">
        <f t="shared" si="13"/>
        <v>0</v>
      </c>
      <c r="AV19" s="6">
        <f t="shared" si="14"/>
        <v>32280</v>
      </c>
      <c r="AW19" s="6">
        <f>AV19/3600</f>
        <v>8.9666666666666668</v>
      </c>
      <c r="AX19" s="6">
        <f>_xlfn.FLOOR.MATH((AW19))</f>
        <v>8</v>
      </c>
      <c r="AY19" s="6">
        <f>(AV19-3600*AX19)/60</f>
        <v>58</v>
      </c>
      <c r="AZ19" s="6">
        <f>_xlfn.FLOOR.MATH((AY19))</f>
        <v>58</v>
      </c>
      <c r="BA19" s="6">
        <f>AV19-3600*AX19-60*AZ19</f>
        <v>0</v>
      </c>
      <c r="BB19" s="6">
        <f>AW19*IF(AD19&lt;0,-1,1)</f>
        <v>8.9666666666666668</v>
      </c>
      <c r="BC19" s="7" t="str">
        <f>CONCATENATE(AE19,TEXT(AX19,"00"),"°",TEXT(AZ19,"00"),"'",TEXT(BA19,"00.00"), " [", CONCATENATE(AE19,TEXT(AX19,"00"),"°",TEXT(AY19,"00.00")),"]", "  (", AE19,TEXT(AW19,"00.0000"),"°)")</f>
        <v>08°58'00.00 [08°58.00]  (08.9667°)</v>
      </c>
    </row>
    <row r="20" spans="2:55" ht="17.25" customHeight="1" thickTop="1" x14ac:dyDescent="0.25">
      <c r="C20" s="406" t="s">
        <v>51</v>
      </c>
      <c r="D20" s="406"/>
      <c r="E20" s="406"/>
      <c r="F20" s="406"/>
      <c r="G20" s="406"/>
      <c r="H20" s="406"/>
      <c r="I20" s="407" t="str">
        <f>L20</f>
        <v>Etoile</v>
      </c>
      <c r="J20" s="408"/>
      <c r="K20" s="409"/>
      <c r="L20" s="359" t="s">
        <v>53</v>
      </c>
      <c r="M20" s="360"/>
      <c r="N20" s="361"/>
      <c r="O20" s="17"/>
      <c r="P20" s="17"/>
      <c r="Q20" s="17"/>
      <c r="R20" s="17"/>
      <c r="S20" s="17"/>
      <c r="T20" s="17"/>
      <c r="U20" s="17"/>
      <c r="V20" s="17"/>
      <c r="W20" s="17"/>
      <c r="X20" s="17"/>
      <c r="AD20" s="31" t="s">
        <v>55</v>
      </c>
      <c r="AE20" s="35" t="s">
        <v>52</v>
      </c>
      <c r="AF20" s="35" t="s">
        <v>53</v>
      </c>
      <c r="AG20" s="35" t="s">
        <v>54</v>
      </c>
    </row>
    <row r="21" spans="2:55" ht="17.25" customHeight="1" x14ac:dyDescent="0.25">
      <c r="C21" s="406" t="s">
        <v>158</v>
      </c>
      <c r="D21" s="406"/>
      <c r="E21" s="406"/>
      <c r="F21" s="406"/>
      <c r="G21" s="406"/>
      <c r="H21" s="406"/>
      <c r="I21" s="280" t="str">
        <f>IF(L20=AF20,AG21,L21)</f>
        <v>Milieu</v>
      </c>
      <c r="J21" s="280"/>
      <c r="K21" s="280"/>
      <c r="L21" s="423" t="s">
        <v>159</v>
      </c>
      <c r="M21" s="423"/>
      <c r="N21" s="423"/>
      <c r="O21" s="17"/>
      <c r="P21" s="17"/>
      <c r="Q21" s="17"/>
      <c r="R21" s="17"/>
      <c r="S21" s="17"/>
      <c r="T21" s="17"/>
      <c r="U21" s="17"/>
      <c r="V21" s="17"/>
      <c r="W21" s="17"/>
      <c r="X21" s="17"/>
      <c r="AD21" s="31" t="s">
        <v>222</v>
      </c>
      <c r="AE21" s="35" t="s">
        <v>159</v>
      </c>
      <c r="AF21" s="35" t="s">
        <v>160</v>
      </c>
      <c r="AG21" s="35" t="s">
        <v>161</v>
      </c>
    </row>
    <row r="22" spans="2:55" ht="17.25" customHeight="1" x14ac:dyDescent="0.25">
      <c r="C22" s="364" t="s">
        <v>175</v>
      </c>
      <c r="D22" s="365"/>
      <c r="E22" s="365"/>
      <c r="F22" s="365"/>
      <c r="G22" s="365"/>
      <c r="H22" s="366"/>
      <c r="I22" s="373">
        <f>AC24</f>
        <v>0</v>
      </c>
      <c r="J22" s="340"/>
      <c r="K22" s="374"/>
      <c r="L22" s="380" t="str">
        <f>O24</f>
        <v>0.0'</v>
      </c>
      <c r="M22" s="381"/>
      <c r="N22" s="381"/>
      <c r="O22" s="386" t="s">
        <v>221</v>
      </c>
      <c r="P22" s="386"/>
      <c r="Q22" s="386"/>
      <c r="R22" s="17"/>
      <c r="S22" s="17"/>
      <c r="T22" s="17"/>
      <c r="U22" s="17"/>
      <c r="V22" s="17"/>
      <c r="W22" s="17"/>
      <c r="X22" s="17"/>
      <c r="AD22" s="31" t="s">
        <v>223</v>
      </c>
      <c r="AE22" s="87" t="s">
        <v>188</v>
      </c>
      <c r="AF22" s="87" t="s">
        <v>224</v>
      </c>
      <c r="AG22" s="87" t="s">
        <v>225</v>
      </c>
    </row>
    <row r="23" spans="2:55" ht="17.25" customHeight="1" thickBot="1" x14ac:dyDescent="0.3">
      <c r="C23" s="367"/>
      <c r="D23" s="368"/>
      <c r="E23" s="368"/>
      <c r="F23" s="368"/>
      <c r="G23" s="368"/>
      <c r="H23" s="369"/>
      <c r="I23" s="375"/>
      <c r="J23" s="343"/>
      <c r="K23" s="376"/>
      <c r="L23" s="382"/>
      <c r="M23" s="383"/>
      <c r="N23" s="383"/>
      <c r="O23" s="386"/>
      <c r="P23" s="386"/>
      <c r="Q23" s="386"/>
      <c r="R23" s="17"/>
      <c r="S23" s="17"/>
      <c r="T23" s="17"/>
      <c r="U23" s="17"/>
      <c r="V23" s="17"/>
      <c r="W23" s="17"/>
      <c r="X23" s="17"/>
      <c r="AD23" s="31" t="s">
        <v>227</v>
      </c>
      <c r="AE23" s="87" t="s">
        <v>187</v>
      </c>
      <c r="AF23" s="87" t="s">
        <v>224</v>
      </c>
      <c r="AG23" s="87" t="s">
        <v>228</v>
      </c>
    </row>
    <row r="24" spans="2:55" ht="17.25" customHeight="1" thickTop="1" thickBot="1" x14ac:dyDescent="0.3">
      <c r="C24" s="367"/>
      <c r="D24" s="368"/>
      <c r="E24" s="368"/>
      <c r="F24" s="368"/>
      <c r="G24" s="368"/>
      <c r="H24" s="369"/>
      <c r="I24" s="375"/>
      <c r="J24" s="343"/>
      <c r="K24" s="376"/>
      <c r="L24" s="382"/>
      <c r="M24" s="383"/>
      <c r="N24" s="383"/>
      <c r="O24" s="432" t="str">
        <f>HLOOKUP(L20,AE20:AG23,3,FALSE)</f>
        <v>0.0'</v>
      </c>
      <c r="P24" s="432"/>
      <c r="Q24" s="432"/>
      <c r="R24" s="430" t="str">
        <f>AB24</f>
        <v>00°00'00.00 [00°00.00]  (00.0000°)</v>
      </c>
      <c r="S24" s="430"/>
      <c r="T24" s="430"/>
      <c r="U24" s="430"/>
      <c r="V24" s="430"/>
      <c r="W24" s="431"/>
      <c r="X24" s="17"/>
      <c r="AA24" s="18" t="str">
        <f>O24</f>
        <v>0.0'</v>
      </c>
      <c r="AB24" s="14" t="str">
        <f>BC24</f>
        <v>00°00'00.00 [00°00.00]  (00.0000°)</v>
      </c>
      <c r="AC24" s="7">
        <f>BB24</f>
        <v>0</v>
      </c>
      <c r="AD24" s="5">
        <f>IF(LEFT(TRIM(AA24),1)="-",-1,IF(LEFT(TRIM(AA24),1)="+",1, 0))</f>
        <v>0</v>
      </c>
      <c r="AE24" s="5" t="str">
        <f>IF(AD24&gt;0,"+",IF(AD24&lt;0,"-",""))</f>
        <v/>
      </c>
      <c r="AF24" s="5" t="str">
        <f>IF(ABS(AD24)&gt;0,RIGHT(AA24,LEN(AA24)-1),AA24)</f>
        <v>0.0'</v>
      </c>
      <c r="AG24" s="5" t="b">
        <f>ISNUMBER(SEARCH("°",AF24,1))</f>
        <v>0</v>
      </c>
      <c r="AH24" s="5" t="b">
        <f>ISNUMBER(SEARCH("'",AF24,1))</f>
        <v>1</v>
      </c>
      <c r="AI24" s="5" t="b">
        <f>ISNUMBER(SEARCH("""",AF24,1))</f>
        <v>0</v>
      </c>
      <c r="AJ24" s="5" t="b">
        <f>NOT(OR(AG24,AH24,AI24))</f>
        <v>0</v>
      </c>
      <c r="AK24" s="5" t="b">
        <f t="shared" ref="AK24:AK25" si="15">OR(AJ24,AG24)</f>
        <v>0</v>
      </c>
      <c r="AL24" s="6">
        <f>IF(AJ24,VALUE(AF24),IF(AG24,LEFT(AF24,SEARCH("°",AF24,1)-1),0))</f>
        <v>0</v>
      </c>
      <c r="AM24" s="5" t="str">
        <f>IF(AJ24,"",IF(AG24,RIGHT(AF24,LEN(AF24)-SEARCH("°",AF24,1)),AF24))</f>
        <v>0.0'</v>
      </c>
      <c r="AN24" s="5" t="b">
        <f>(LEN(AM24)&gt;0)</f>
        <v>1</v>
      </c>
      <c r="AO24" s="5" t="b">
        <f>NOT(OR(AH24,AI24))</f>
        <v>0</v>
      </c>
      <c r="AP24" s="6">
        <f t="shared" ref="AP24:AP25" si="16">IF(NOT(AN24),0,IF(AO24,VALUE(AM24),IF(NOT(AH24),0,VALUE(LEFT(AM24,SEARCH("'",AM24,1)-1)))))</f>
        <v>0</v>
      </c>
      <c r="AQ24" s="5" t="str">
        <f t="shared" ref="AQ24:AQ25" si="17">IF(NOT(AN24),"",IF(AO24,"",IF(NOT(AH24),AM24,RIGHT(AM24,LEN(AM24)-SEARCH("'",AM24,1)))))</f>
        <v/>
      </c>
      <c r="AR24" s="5" t="b">
        <f>(LEN(AQ24)&gt;0)</f>
        <v>0</v>
      </c>
      <c r="AS24" s="5" t="b">
        <f t="shared" ref="AS24:AS25" si="18">NOT(AI24)</f>
        <v>1</v>
      </c>
      <c r="AT24" s="5" t="b">
        <f>ISNUMBER(SEARCH(".",AQ24,1))</f>
        <v>0</v>
      </c>
      <c r="AU24" s="6">
        <f t="shared" ref="AU24:AU25" si="19">IF(AR24,IF(AI24,IF(AT24,VALUE(SUBSTITUTE(AQ24, """", "")),VALUE(SUBSTITUTE(AQ24, """", "."))),VALUE(AQ24)),0)</f>
        <v>0</v>
      </c>
      <c r="AV24" s="6">
        <f t="shared" ref="AV24:AV25" si="20">AL24*3600+AP24*60+AU24</f>
        <v>0</v>
      </c>
      <c r="AW24" s="6">
        <f>AV24/3600</f>
        <v>0</v>
      </c>
      <c r="AX24" s="6">
        <f>_xlfn.FLOOR.MATH((AW24))</f>
        <v>0</v>
      </c>
      <c r="AY24" s="6">
        <f>(AV24-3600*AX24)/60</f>
        <v>0</v>
      </c>
      <c r="AZ24" s="6">
        <f>_xlfn.FLOOR.MATH((AY24))</f>
        <v>0</v>
      </c>
      <c r="BA24" s="6">
        <f>AV24-3600*AX24-60*AZ24</f>
        <v>0</v>
      </c>
      <c r="BB24" s="6">
        <f>AW24*IF(AD24&lt;0,-1,1)</f>
        <v>0</v>
      </c>
      <c r="BC24" s="7" t="str">
        <f>CONCATENATE(AE24,TEXT(AX24,"00"),"°",TEXT(AZ24,"00"),"'",TEXT(BA24,"00.00"), " [", CONCATENATE(AE24,TEXT(AX24,"00"),"°",TEXT(AY24,"00.00")),"]", "  (", AE24,TEXT(AW24,"00.0000"),"°)")</f>
        <v>00°00'00.00 [00°00.00]  (00.0000°)</v>
      </c>
    </row>
    <row r="25" spans="2:55" ht="17.25" customHeight="1" thickTop="1" thickBot="1" x14ac:dyDescent="0.3">
      <c r="C25" s="370"/>
      <c r="D25" s="371"/>
      <c r="E25" s="371"/>
      <c r="F25" s="371"/>
      <c r="G25" s="371"/>
      <c r="H25" s="372"/>
      <c r="I25" s="377"/>
      <c r="J25" s="378"/>
      <c r="K25" s="379"/>
      <c r="L25" s="384"/>
      <c r="M25" s="385"/>
      <c r="N25" s="385"/>
      <c r="O25" s="447" t="str">
        <f>AB25</f>
        <v>00°00'00.00 [00°00.00]  (00.0000°)</v>
      </c>
      <c r="P25" s="447"/>
      <c r="Q25" s="447"/>
      <c r="R25" s="279"/>
      <c r="S25" s="279"/>
      <c r="T25" s="279"/>
      <c r="U25" s="279"/>
      <c r="V25" s="279"/>
      <c r="W25" s="279"/>
      <c r="X25" s="17"/>
      <c r="AA25" s="18" t="str">
        <f>L22</f>
        <v>0.0'</v>
      </c>
      <c r="AB25" s="14" t="str">
        <f>BC25</f>
        <v>00°00'00.00 [00°00.00]  (00.0000°)</v>
      </c>
      <c r="AC25" s="7">
        <f>BB25</f>
        <v>0</v>
      </c>
      <c r="AD25" s="5">
        <f>IF(LEFT(TRIM(AA25),1)="-",-1,IF(LEFT(TRIM(AA25),1)="+",1, 0))</f>
        <v>0</v>
      </c>
      <c r="AE25" s="5" t="str">
        <f>IF(AD25&gt;0,"+",IF(AD25&lt;0,"-",""))</f>
        <v/>
      </c>
      <c r="AF25" s="5" t="str">
        <f>IF(ABS(AD25)&gt;0,RIGHT(AA25,LEN(AA25)-1),AA25)</f>
        <v>0.0'</v>
      </c>
      <c r="AG25" s="5" t="b">
        <f>ISNUMBER(SEARCH("°",AF25,1))</f>
        <v>0</v>
      </c>
      <c r="AH25" s="5" t="b">
        <f>ISNUMBER(SEARCH("'",AF25,1))</f>
        <v>1</v>
      </c>
      <c r="AI25" s="5" t="b">
        <f>ISNUMBER(SEARCH("""",AF25,1))</f>
        <v>0</v>
      </c>
      <c r="AJ25" s="5" t="b">
        <f>NOT(OR(AG25,AH25,AI25))</f>
        <v>0</v>
      </c>
      <c r="AK25" s="5" t="b">
        <f t="shared" si="15"/>
        <v>0</v>
      </c>
      <c r="AL25" s="6">
        <f>IF(AJ25,VALUE(AF25),IF(AG25,LEFT(AF25,SEARCH("°",AF25,1)-1),0))</f>
        <v>0</v>
      </c>
      <c r="AM25" s="5" t="str">
        <f>IF(AJ25,"",IF(AG25,RIGHT(AF25,LEN(AF25)-SEARCH("°",AF25,1)),AF25))</f>
        <v>0.0'</v>
      </c>
      <c r="AN25" s="5" t="b">
        <f>(LEN(AM25)&gt;0)</f>
        <v>1</v>
      </c>
      <c r="AO25" s="5" t="b">
        <f>NOT(OR(AH25,AI25))</f>
        <v>0</v>
      </c>
      <c r="AP25" s="6">
        <f t="shared" si="16"/>
        <v>0</v>
      </c>
      <c r="AQ25" s="5" t="str">
        <f t="shared" si="17"/>
        <v/>
      </c>
      <c r="AR25" s="5" t="b">
        <f>(LEN(AQ25)&gt;0)</f>
        <v>0</v>
      </c>
      <c r="AS25" s="5" t="b">
        <f t="shared" si="18"/>
        <v>1</v>
      </c>
      <c r="AT25" s="5" t="b">
        <f>ISNUMBER(SEARCH(".",AQ25,1))</f>
        <v>0</v>
      </c>
      <c r="AU25" s="6">
        <f t="shared" si="19"/>
        <v>0</v>
      </c>
      <c r="AV25" s="6">
        <f t="shared" si="20"/>
        <v>0</v>
      </c>
      <c r="AW25" s="6">
        <f>AV25/3600</f>
        <v>0</v>
      </c>
      <c r="AX25" s="6">
        <f>_xlfn.FLOOR.MATH((AW25))</f>
        <v>0</v>
      </c>
      <c r="AY25" s="6">
        <f>(AV25-3600*AX25)/60</f>
        <v>0</v>
      </c>
      <c r="AZ25" s="6">
        <f>_xlfn.FLOOR.MATH((AY25))</f>
        <v>0</v>
      </c>
      <c r="BA25" s="6">
        <f>AV25-3600*AX25-60*AZ25</f>
        <v>0</v>
      </c>
      <c r="BB25" s="6">
        <f>AW25*IF(AD25&lt;0,-1,1)</f>
        <v>0</v>
      </c>
      <c r="BC25" s="7" t="str">
        <f>CONCATENATE(AE25,TEXT(AX25,"00"),"°",TEXT(AZ25,"00"),"'",TEXT(BA25,"00.00"), " [", CONCATENATE(AE25,TEXT(AX25,"00"),"°",TEXT(AY25,"00.00")),"]", "  (", AE25,TEXT(AW25,"00.0000"),"°)")</f>
        <v>00°00'00.00 [00°00.00]  (00.0000°)</v>
      </c>
    </row>
    <row r="26" spans="2:55" ht="17.25" customHeight="1" thickTop="1" x14ac:dyDescent="0.25">
      <c r="C26" s="364" t="s">
        <v>226</v>
      </c>
      <c r="D26" s="365"/>
      <c r="E26" s="365"/>
      <c r="F26" s="365"/>
      <c r="G26" s="365"/>
      <c r="H26" s="366"/>
      <c r="I26" s="387">
        <f>AC29</f>
        <v>0</v>
      </c>
      <c r="J26" s="388"/>
      <c r="K26" s="389"/>
      <c r="L26" s="380" t="str">
        <f>O28</f>
        <v>0.0'</v>
      </c>
      <c r="M26" s="381"/>
      <c r="N26" s="381"/>
      <c r="O26" s="390" t="s">
        <v>221</v>
      </c>
      <c r="P26" s="390"/>
      <c r="Q26" s="390"/>
      <c r="R26" s="178"/>
      <c r="S26" s="178"/>
      <c r="T26" s="178"/>
      <c r="U26" s="178"/>
      <c r="V26" s="178"/>
      <c r="W26" s="178"/>
      <c r="X26" s="17"/>
      <c r="AB26" s="19"/>
      <c r="AC26" s="20"/>
      <c r="AD26" s="178"/>
      <c r="AE26" s="178"/>
      <c r="AF26" s="178"/>
      <c r="AG26" s="178"/>
      <c r="AH26" s="178"/>
      <c r="AI26" s="178"/>
      <c r="AJ26" s="178"/>
      <c r="AK26" s="178"/>
      <c r="AL26" s="178"/>
      <c r="AM26" s="178"/>
      <c r="AN26" s="178"/>
      <c r="AO26" s="178"/>
      <c r="AP26" s="178"/>
      <c r="AQ26" s="178"/>
      <c r="AR26" s="178"/>
      <c r="AS26" s="178"/>
      <c r="AT26" s="178"/>
      <c r="AU26" s="178"/>
      <c r="AV26" s="178"/>
      <c r="AW26" s="178"/>
      <c r="AX26" s="178"/>
      <c r="AY26" s="178"/>
      <c r="AZ26" s="178"/>
    </row>
    <row r="27" spans="2:55" ht="17.25" customHeight="1" thickBot="1" x14ac:dyDescent="0.3">
      <c r="C27" s="367"/>
      <c r="D27" s="368"/>
      <c r="E27" s="368"/>
      <c r="F27" s="368"/>
      <c r="G27" s="368"/>
      <c r="H27" s="369"/>
      <c r="I27" s="375"/>
      <c r="J27" s="343"/>
      <c r="K27" s="376"/>
      <c r="L27" s="382"/>
      <c r="M27" s="383"/>
      <c r="N27" s="383"/>
      <c r="O27" s="390"/>
      <c r="P27" s="390"/>
      <c r="Q27" s="390"/>
      <c r="R27" s="178"/>
      <c r="S27" s="178"/>
      <c r="T27" s="178"/>
      <c r="U27" s="178"/>
      <c r="V27" s="178"/>
      <c r="W27" s="178"/>
      <c r="X27" s="17"/>
      <c r="AB27" s="19"/>
      <c r="AC27" s="20"/>
      <c r="AD27" s="178"/>
      <c r="AE27" s="178"/>
      <c r="AF27" s="178"/>
      <c r="AG27" s="178"/>
      <c r="AH27" s="178"/>
      <c r="AI27" s="178"/>
      <c r="AJ27" s="178"/>
      <c r="AK27" s="178"/>
      <c r="AL27" s="178"/>
      <c r="AM27" s="178"/>
      <c r="AN27" s="178"/>
      <c r="AO27" s="178"/>
      <c r="AP27" s="178"/>
      <c r="AQ27" s="178"/>
      <c r="AR27" s="178"/>
      <c r="AS27" s="178"/>
      <c r="AT27" s="178"/>
      <c r="AU27" s="178"/>
      <c r="AV27" s="178"/>
      <c r="AW27" s="178"/>
      <c r="AX27" s="178"/>
      <c r="AY27" s="178"/>
      <c r="AZ27" s="178"/>
    </row>
    <row r="28" spans="2:55" ht="17.25" customHeight="1" thickTop="1" thickBot="1" x14ac:dyDescent="0.3">
      <c r="C28" s="367"/>
      <c r="D28" s="368"/>
      <c r="E28" s="368"/>
      <c r="F28" s="368"/>
      <c r="G28" s="368"/>
      <c r="H28" s="369"/>
      <c r="I28" s="375"/>
      <c r="J28" s="343"/>
      <c r="K28" s="376"/>
      <c r="L28" s="382"/>
      <c r="M28" s="383"/>
      <c r="N28" s="383"/>
      <c r="O28" s="432" t="str">
        <f>HLOOKUP(L20,AE20:AG23,4,FALSE)</f>
        <v>0.0'</v>
      </c>
      <c r="P28" s="432"/>
      <c r="Q28" s="432"/>
      <c r="R28" s="430" t="str">
        <f>AB28</f>
        <v>00°00'00.00 [00°00.00]  (00.0000°)</v>
      </c>
      <c r="S28" s="430"/>
      <c r="T28" s="430"/>
      <c r="U28" s="430"/>
      <c r="V28" s="430"/>
      <c r="W28" s="431"/>
      <c r="X28" s="17"/>
      <c r="AA28" s="18" t="str">
        <f>O28</f>
        <v>0.0'</v>
      </c>
      <c r="AB28" s="14" t="str">
        <f>BC28</f>
        <v>00°00'00.00 [00°00.00]  (00.0000°)</v>
      </c>
      <c r="AC28" s="7">
        <f>BB28</f>
        <v>0</v>
      </c>
      <c r="AD28" s="5">
        <f>IF(LEFT(TRIM(AA28),1)="-",-1,IF(LEFT(TRIM(AA28),1)="+",1, 0))</f>
        <v>0</v>
      </c>
      <c r="AE28" s="5" t="str">
        <f>IF(AD28&gt;0,"+",IF(AD28&lt;0,"-",""))</f>
        <v/>
      </c>
      <c r="AF28" s="5" t="str">
        <f>IF(ABS(AD28)&gt;0,RIGHT(AA28,LEN(AA28)-1),AA28)</f>
        <v>0.0'</v>
      </c>
      <c r="AG28" s="5" t="b">
        <f>ISNUMBER(SEARCH("°",AF28,1))</f>
        <v>0</v>
      </c>
      <c r="AH28" s="5" t="b">
        <f>ISNUMBER(SEARCH("'",AF28,1))</f>
        <v>1</v>
      </c>
      <c r="AI28" s="5" t="b">
        <f>ISNUMBER(SEARCH("""",AF28,1))</f>
        <v>0</v>
      </c>
      <c r="AJ28" s="5" t="b">
        <f>NOT(OR(AG28,AH28,AI28))</f>
        <v>0</v>
      </c>
      <c r="AK28" s="5" t="b">
        <f t="shared" ref="AK28:AK29" si="21">OR(AJ28,AG28)</f>
        <v>0</v>
      </c>
      <c r="AL28" s="6">
        <f>IF(AJ28,VALUE(AF28),IF(AG28,LEFT(AF28,SEARCH("°",AF28,1)-1),0))</f>
        <v>0</v>
      </c>
      <c r="AM28" s="5" t="str">
        <f>IF(AJ28,"",IF(AG28,RIGHT(AF28,LEN(AF28)-SEARCH("°",AF28,1)),AF28))</f>
        <v>0.0'</v>
      </c>
      <c r="AN28" s="5" t="b">
        <f>(LEN(AM28)&gt;0)</f>
        <v>1</v>
      </c>
      <c r="AO28" s="5" t="b">
        <f>NOT(OR(AH28,AI28))</f>
        <v>0</v>
      </c>
      <c r="AP28" s="6">
        <f t="shared" ref="AP28:AP29" si="22">IF(NOT(AN28),0,IF(AO28,VALUE(AM28),IF(NOT(AH28),0,VALUE(LEFT(AM28,SEARCH("'",AM28,1)-1)))))</f>
        <v>0</v>
      </c>
      <c r="AQ28" s="5" t="str">
        <f t="shared" ref="AQ28:AQ29" si="23">IF(NOT(AN28),"",IF(AO28,"",IF(NOT(AH28),AM28,RIGHT(AM28,LEN(AM28)-SEARCH("'",AM28,1)))))</f>
        <v/>
      </c>
      <c r="AR28" s="5" t="b">
        <f>(LEN(AQ28)&gt;0)</f>
        <v>0</v>
      </c>
      <c r="AS28" s="5" t="b">
        <f t="shared" ref="AS28:AS29" si="24">NOT(AI28)</f>
        <v>1</v>
      </c>
      <c r="AT28" s="5" t="b">
        <f>ISNUMBER(SEARCH(".",AQ28,1))</f>
        <v>0</v>
      </c>
      <c r="AU28" s="6">
        <f t="shared" ref="AU28:AU29" si="25">IF(AR28,IF(AI28,IF(AT28,VALUE(SUBSTITUTE(AQ28, """", "")),VALUE(SUBSTITUTE(AQ28, """", "."))),VALUE(AQ28)),0)</f>
        <v>0</v>
      </c>
      <c r="AV28" s="6">
        <f t="shared" ref="AV28:AV29" si="26">AL28*3600+AP28*60+AU28</f>
        <v>0</v>
      </c>
      <c r="AW28" s="6">
        <f>AV28/3600</f>
        <v>0</v>
      </c>
      <c r="AX28" s="6">
        <f>_xlfn.FLOOR.MATH((AW28))</f>
        <v>0</v>
      </c>
      <c r="AY28" s="6">
        <f>(AV28-3600*AX28)/60</f>
        <v>0</v>
      </c>
      <c r="AZ28" s="6">
        <f>_xlfn.FLOOR.MATH((AY28))</f>
        <v>0</v>
      </c>
      <c r="BA28" s="6">
        <f>AV28-3600*AX28-60*AZ28</f>
        <v>0</v>
      </c>
      <c r="BB28" s="6">
        <f>AW28*IF(AD28&lt;0,-1,1)</f>
        <v>0</v>
      </c>
      <c r="BC28" s="7" t="str">
        <f>CONCATENATE(AE28,TEXT(AX28,"00"),"°",TEXT(AZ28,"00"),"'",TEXT(BA28,"00.00"), " [", CONCATENATE(AE28,TEXT(AX28,"00"),"°",TEXT(AY28,"00.00")),"]", "  (", AE28,TEXT(AW28,"00.0000"),"°)")</f>
        <v>00°00'00.00 [00°00.00]  (00.0000°)</v>
      </c>
    </row>
    <row r="29" spans="2:55" ht="17.25" customHeight="1" thickTop="1" thickBot="1" x14ac:dyDescent="0.3">
      <c r="C29" s="370"/>
      <c r="D29" s="371"/>
      <c r="E29" s="371"/>
      <c r="F29" s="371"/>
      <c r="G29" s="371"/>
      <c r="H29" s="372"/>
      <c r="I29" s="377"/>
      <c r="J29" s="378"/>
      <c r="K29" s="379"/>
      <c r="L29" s="384"/>
      <c r="M29" s="385"/>
      <c r="N29" s="385"/>
      <c r="O29" s="426" t="str">
        <f>AB29</f>
        <v>00°00'00.00 [00°00.00]  (00.0000°)</v>
      </c>
      <c r="P29" s="426"/>
      <c r="Q29" s="426"/>
      <c r="R29" s="279"/>
      <c r="S29" s="279"/>
      <c r="T29" s="279"/>
      <c r="U29" s="279"/>
      <c r="V29" s="279"/>
      <c r="W29" s="279"/>
      <c r="X29" s="17"/>
      <c r="AA29" s="18" t="str">
        <f>L26</f>
        <v>0.0'</v>
      </c>
      <c r="AB29" s="14" t="str">
        <f>BC29</f>
        <v>00°00'00.00 [00°00.00]  (00.0000°)</v>
      </c>
      <c r="AC29" s="7">
        <f>BB29</f>
        <v>0</v>
      </c>
      <c r="AD29" s="5">
        <f>IF(LEFT(TRIM(AA29),1)="-",-1,IF(LEFT(TRIM(AA29),1)="+",1, 0))</f>
        <v>0</v>
      </c>
      <c r="AE29" s="5" t="str">
        <f>IF(AD29&gt;0,"+",IF(AD29&lt;0,"-",""))</f>
        <v/>
      </c>
      <c r="AF29" s="5" t="str">
        <f>IF(ABS(AD29)&gt;0,RIGHT(AA29,LEN(AA29)-1),AA29)</f>
        <v>0.0'</v>
      </c>
      <c r="AG29" s="5" t="b">
        <f>ISNUMBER(SEARCH("°",AF29,1))</f>
        <v>0</v>
      </c>
      <c r="AH29" s="5" t="b">
        <f>ISNUMBER(SEARCH("'",AF29,1))</f>
        <v>1</v>
      </c>
      <c r="AI29" s="5" t="b">
        <f>ISNUMBER(SEARCH("""",AF29,1))</f>
        <v>0</v>
      </c>
      <c r="AJ29" s="5" t="b">
        <f>NOT(OR(AG29,AH29,AI29))</f>
        <v>0</v>
      </c>
      <c r="AK29" s="5" t="b">
        <f t="shared" si="21"/>
        <v>0</v>
      </c>
      <c r="AL29" s="6">
        <f>IF(AJ29,VALUE(AF29),IF(AG29,LEFT(AF29,SEARCH("°",AF29,1)-1),0))</f>
        <v>0</v>
      </c>
      <c r="AM29" s="5" t="str">
        <f>IF(AJ29,"",IF(AG29,RIGHT(AF29,LEN(AF29)-SEARCH("°",AF29,1)),AF29))</f>
        <v>0.0'</v>
      </c>
      <c r="AN29" s="5" t="b">
        <f>(LEN(AM29)&gt;0)</f>
        <v>1</v>
      </c>
      <c r="AO29" s="5" t="b">
        <f>NOT(OR(AH29,AI29))</f>
        <v>0</v>
      </c>
      <c r="AP29" s="6">
        <f t="shared" si="22"/>
        <v>0</v>
      </c>
      <c r="AQ29" s="5" t="str">
        <f t="shared" si="23"/>
        <v/>
      </c>
      <c r="AR29" s="5" t="b">
        <f>(LEN(AQ29)&gt;0)</f>
        <v>0</v>
      </c>
      <c r="AS29" s="5" t="b">
        <f t="shared" si="24"/>
        <v>1</v>
      </c>
      <c r="AT29" s="5" t="b">
        <f>ISNUMBER(SEARCH(".",AQ29,1))</f>
        <v>0</v>
      </c>
      <c r="AU29" s="6">
        <f t="shared" si="25"/>
        <v>0</v>
      </c>
      <c r="AV29" s="6">
        <f t="shared" si="26"/>
        <v>0</v>
      </c>
      <c r="AW29" s="6">
        <f>AV29/3600</f>
        <v>0</v>
      </c>
      <c r="AX29" s="6">
        <f>_xlfn.FLOOR.MATH((AW29))</f>
        <v>0</v>
      </c>
      <c r="AY29" s="6">
        <f>(AV29-3600*AX29)/60</f>
        <v>0</v>
      </c>
      <c r="AZ29" s="6">
        <f>_xlfn.FLOOR.MATH((AY29))</f>
        <v>0</v>
      </c>
      <c r="BA29" s="6">
        <f>AV29-3600*AX29-60*AZ29</f>
        <v>0</v>
      </c>
      <c r="BB29" s="6">
        <f>AW29*IF(AD29&lt;0,-1,1)</f>
        <v>0</v>
      </c>
      <c r="BC29" s="7" t="str">
        <f>CONCATENATE(AE29,TEXT(AX29,"00"),"°",TEXT(AZ29,"00"),"'",TEXT(BA29,"00.00"), " [", CONCATENATE(AE29,TEXT(AX29,"00"),"°",TEXT(AY29,"00.00")),"]", "  (", AE29,TEXT(AW29,"00.0000"),"°)")</f>
        <v>00°00'00.00 [00°00.00]  (00.0000°)</v>
      </c>
    </row>
    <row r="30" spans="2:55" ht="17.25" customHeight="1" thickTop="1" thickBot="1" x14ac:dyDescent="0.3"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</row>
    <row r="31" spans="2:55" ht="17.25" customHeight="1" thickBot="1" x14ac:dyDescent="0.3">
      <c r="B31" s="47" t="s">
        <v>23</v>
      </c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48"/>
      <c r="AF31" s="48"/>
      <c r="AG31" s="48"/>
      <c r="AH31" s="48"/>
      <c r="AI31" s="48"/>
      <c r="AJ31" s="48"/>
      <c r="AK31" s="48"/>
      <c r="AL31" s="48"/>
      <c r="AM31" s="48"/>
      <c r="AN31" s="48"/>
      <c r="AO31" s="48"/>
      <c r="AP31" s="48"/>
      <c r="AQ31" s="48"/>
      <c r="AR31" s="48"/>
      <c r="AS31" s="48"/>
      <c r="AT31" s="48"/>
      <c r="AU31" s="48"/>
      <c r="AV31" s="48"/>
      <c r="AW31" s="48"/>
      <c r="AX31" s="48"/>
      <c r="AY31" s="48"/>
      <c r="AZ31" s="48"/>
      <c r="BA31" s="49"/>
    </row>
    <row r="32" spans="2:55" ht="17.25" customHeight="1" x14ac:dyDescent="0.25">
      <c r="C32" s="17"/>
      <c r="D32" s="448" t="s">
        <v>8</v>
      </c>
      <c r="E32" s="448"/>
      <c r="F32" s="448"/>
      <c r="G32" s="448"/>
      <c r="H32" s="17"/>
      <c r="I32" s="17"/>
      <c r="J32" s="17"/>
      <c r="K32" s="17"/>
      <c r="L32" s="17"/>
      <c r="M32" s="36"/>
      <c r="N32" s="36"/>
      <c r="O32" s="36"/>
      <c r="P32" s="36"/>
      <c r="Q32" s="36"/>
      <c r="R32" s="36"/>
      <c r="S32" s="36"/>
      <c r="T32" s="36"/>
      <c r="U32" s="36"/>
      <c r="AB32" s="14"/>
      <c r="AC32" s="7"/>
      <c r="AD32" s="3" t="s">
        <v>57</v>
      </c>
      <c r="AE32" s="3" t="s">
        <v>57</v>
      </c>
      <c r="AF32" s="3" t="s">
        <v>304</v>
      </c>
      <c r="AG32" s="3" t="s">
        <v>120</v>
      </c>
      <c r="AH32" s="3" t="s">
        <v>121</v>
      </c>
      <c r="AI32" s="3" t="s">
        <v>122</v>
      </c>
      <c r="AJ32" s="3" t="s">
        <v>123</v>
      </c>
      <c r="AK32" s="3" t="s">
        <v>124</v>
      </c>
      <c r="AL32" s="3" t="s">
        <v>125</v>
      </c>
      <c r="AM32" s="3" t="s">
        <v>101</v>
      </c>
      <c r="AN32" s="3" t="s">
        <v>129</v>
      </c>
      <c r="AO32" s="3" t="s">
        <v>128</v>
      </c>
      <c r="AP32" s="3" t="s">
        <v>126</v>
      </c>
      <c r="AQ32" s="3" t="s">
        <v>127</v>
      </c>
      <c r="AR32" s="3" t="s">
        <v>129</v>
      </c>
      <c r="AS32" s="3" t="s">
        <v>128</v>
      </c>
      <c r="AT32" s="3" t="s">
        <v>130</v>
      </c>
      <c r="AU32" s="3" t="s">
        <v>112</v>
      </c>
      <c r="AV32" s="3" t="s">
        <v>117</v>
      </c>
      <c r="AW32" s="3" t="s">
        <v>143</v>
      </c>
      <c r="AX32" s="3" t="s">
        <v>149</v>
      </c>
      <c r="AY32" s="3" t="s">
        <v>131</v>
      </c>
      <c r="AZ32" s="3" t="s">
        <v>150</v>
      </c>
      <c r="BA32" s="3" t="s">
        <v>112</v>
      </c>
      <c r="BB32" s="3" t="s">
        <v>308</v>
      </c>
      <c r="BC32" s="3" t="s">
        <v>151</v>
      </c>
    </row>
    <row r="33" spans="1:65" ht="17.25" customHeight="1" thickBot="1" x14ac:dyDescent="0.3">
      <c r="C33" s="17"/>
      <c r="D33" s="448"/>
      <c r="E33" s="448"/>
      <c r="F33" s="448"/>
      <c r="G33" s="448"/>
      <c r="H33" s="17"/>
      <c r="I33" s="17"/>
      <c r="J33" s="17"/>
      <c r="K33" s="17"/>
      <c r="L33" s="17"/>
      <c r="M33" s="36"/>
      <c r="N33" s="36"/>
      <c r="O33" s="36"/>
      <c r="P33" s="36"/>
      <c r="Q33" s="36"/>
      <c r="R33" s="36"/>
      <c r="S33" s="36"/>
      <c r="T33" s="36"/>
      <c r="U33" s="36"/>
      <c r="AA33" s="18" t="str">
        <f>IF(VLOOKUP(H34,$A$36:$C$37,3)&gt;0,AA34,CONCATENATE("-",AA34))</f>
        <v>48°52'</v>
      </c>
      <c r="AB33" s="14" t="str">
        <f>BC33</f>
        <v>48°52'00.00 [48°52.00]  (48.8667°)</v>
      </c>
      <c r="AC33" s="7">
        <f>BB33</f>
        <v>48.866666666666667</v>
      </c>
      <c r="AD33" s="5">
        <f>IF(LEFT(TRIM(AA33),1)="-",-1,IF(LEFT(TRIM(AA33),1)="+",1, 0))</f>
        <v>0</v>
      </c>
      <c r="AE33" s="5" t="str">
        <f>IF(AD33&gt;0,"+",IF(AD33&lt;0,"-",""))</f>
        <v/>
      </c>
      <c r="AF33" s="5" t="str">
        <f>IF(ABS(AD33)&gt;0,RIGHT(AA33,LEN(AA33)-1),AA33)</f>
        <v>48°52'</v>
      </c>
      <c r="AG33" s="5" t="b">
        <f>ISNUMBER(SEARCH("°",AF33,1))</f>
        <v>1</v>
      </c>
      <c r="AH33" s="5" t="b">
        <f>ISNUMBER(SEARCH("'",AF33,1))</f>
        <v>1</v>
      </c>
      <c r="AI33" s="5" t="b">
        <f>ISNUMBER(SEARCH("""",AF33,1))</f>
        <v>0</v>
      </c>
      <c r="AJ33" s="5" t="b">
        <f>NOT(OR(AG33,AH33,AI33))</f>
        <v>0</v>
      </c>
      <c r="AK33" s="5" t="b">
        <f t="shared" ref="AK33" si="27">OR(AJ33,AG33)</f>
        <v>1</v>
      </c>
      <c r="AL33" s="6" t="str">
        <f>IF(AJ33,VALUE(AF33),IF(AG33,LEFT(AF33,SEARCH("°",AF33,1)-1),0))</f>
        <v>48</v>
      </c>
      <c r="AM33" s="5" t="str">
        <f>IF(AJ33,"",IF(AG33,RIGHT(AF33,LEN(AF33)-SEARCH("°",AF33,1)),AF33))</f>
        <v>52'</v>
      </c>
      <c r="AN33" s="5" t="b">
        <f>(LEN(AM33)&gt;0)</f>
        <v>1</v>
      </c>
      <c r="AO33" s="5" t="b">
        <f>NOT(OR(AH33,AI33))</f>
        <v>0</v>
      </c>
      <c r="AP33" s="6">
        <f t="shared" ref="AP33" si="28">IF(NOT(AN33),0,IF(AO33,VALUE(AM33),IF(NOT(AH33),0,VALUE(LEFT(AM33,SEARCH("'",AM33,1)-1)))))</f>
        <v>52</v>
      </c>
      <c r="AQ33" s="5" t="str">
        <f t="shared" ref="AQ33" si="29">IF(NOT(AN33),"",IF(AO33,"",IF(NOT(AH33),AM33,RIGHT(AM33,LEN(AM33)-SEARCH("'",AM33,1)))))</f>
        <v/>
      </c>
      <c r="AR33" s="5" t="b">
        <f>(LEN(AQ33)&gt;0)</f>
        <v>0</v>
      </c>
      <c r="AS33" s="5" t="b">
        <f t="shared" ref="AS33" si="30">NOT(AI33)</f>
        <v>1</v>
      </c>
      <c r="AT33" s="5" t="b">
        <f>ISNUMBER(SEARCH(".",AQ33,1))</f>
        <v>0</v>
      </c>
      <c r="AU33" s="6">
        <f t="shared" ref="AU33" si="31">IF(AR33,IF(AI33,IF(AT33,VALUE(SUBSTITUTE(AQ33, """", "")),VALUE(SUBSTITUTE(AQ33, """", "."))),VALUE(AQ33)),0)</f>
        <v>0</v>
      </c>
      <c r="AV33" s="6">
        <f t="shared" ref="AV33" si="32">AL33*3600+AP33*60+AU33</f>
        <v>175920</v>
      </c>
      <c r="AW33" s="6">
        <f>AV33/3600</f>
        <v>48.866666666666667</v>
      </c>
      <c r="AX33" s="6">
        <f>_xlfn.FLOOR.MATH((AW33))</f>
        <v>48</v>
      </c>
      <c r="AY33" s="6">
        <f>(AV33-3600*AX33)/60</f>
        <v>52</v>
      </c>
      <c r="AZ33" s="6">
        <f>_xlfn.FLOOR.MATH((AY33))</f>
        <v>52</v>
      </c>
      <c r="BA33" s="6">
        <f>AV33-3600*AX33-60*AZ33</f>
        <v>0</v>
      </c>
      <c r="BB33" s="6">
        <f>AW33*IF(AD33&lt;0,-1,1)</f>
        <v>48.866666666666667</v>
      </c>
      <c r="BC33" s="7" t="str">
        <f>CONCATENATE(AE33,TEXT(AX33,"00"),"°",TEXT(AZ33,"00"),"'",TEXT(BA33,"00.00"), " [", CONCATENATE(AE33,TEXT(AX33,"00"),"°",TEXT(AY33,"00.00")),"]", "  (", AE33,TEXT(AW33,"00.0000"),"°)")</f>
        <v>48°52'00.00 [48°52.00]  (48.8667°)</v>
      </c>
    </row>
    <row r="34" spans="1:65" ht="17.25" customHeight="1" thickTop="1" thickBot="1" x14ac:dyDescent="0.3">
      <c r="A34" s="410" t="s">
        <v>56</v>
      </c>
      <c r="B34" s="411"/>
      <c r="C34" s="412"/>
      <c r="D34" s="17"/>
      <c r="E34" s="398">
        <f>AC33</f>
        <v>48.866666666666667</v>
      </c>
      <c r="F34" s="424"/>
      <c r="G34" s="424"/>
      <c r="H34" s="363" t="s">
        <v>4</v>
      </c>
      <c r="I34" s="414" t="s">
        <v>371</v>
      </c>
      <c r="J34" s="363"/>
      <c r="K34" s="363"/>
      <c r="L34" s="363"/>
      <c r="M34" s="363"/>
      <c r="N34" s="357" t="str">
        <f>AB33</f>
        <v>48°52'00.00 [48°52.00]  (48.8667°)</v>
      </c>
      <c r="O34" s="357"/>
      <c r="P34" s="357"/>
      <c r="Q34" s="357"/>
      <c r="R34" s="357"/>
      <c r="S34" s="357"/>
      <c r="T34" s="357"/>
      <c r="U34" s="357"/>
      <c r="V34" s="357"/>
      <c r="W34" s="357"/>
      <c r="X34" s="36"/>
      <c r="Y34" s="36"/>
      <c r="AA34" s="18" t="str">
        <f>I34</f>
        <v>48°52'</v>
      </c>
      <c r="AC34" s="37"/>
      <c r="AD34" s="178"/>
      <c r="AE34" s="178"/>
      <c r="AF34" s="178"/>
      <c r="AG34" s="178"/>
      <c r="AL34" s="22"/>
      <c r="AN34" s="29"/>
      <c r="AT34" s="38"/>
      <c r="AU34" s="38"/>
      <c r="AV34" s="39"/>
      <c r="AW34" s="39"/>
      <c r="AX34" s="178"/>
      <c r="AY34" s="178"/>
      <c r="AZ34" s="178"/>
      <c r="BA34" s="178"/>
      <c r="BB34" s="39"/>
      <c r="BC34" s="39"/>
      <c r="BD34" s="39"/>
      <c r="BE34" s="39"/>
      <c r="BF34" s="39"/>
      <c r="BG34" s="39"/>
      <c r="BH34" s="39"/>
      <c r="BI34" s="39"/>
      <c r="BJ34" s="39"/>
      <c r="BK34" s="39"/>
      <c r="BL34" s="39"/>
      <c r="BM34" s="39"/>
    </row>
    <row r="35" spans="1:65" ht="17.25" customHeight="1" thickTop="1" thickBot="1" x14ac:dyDescent="0.3">
      <c r="A35" s="40" t="s">
        <v>68</v>
      </c>
      <c r="B35" s="41" t="s">
        <v>69</v>
      </c>
      <c r="C35" s="42"/>
      <c r="D35" s="17"/>
      <c r="E35" s="424"/>
      <c r="F35" s="424"/>
      <c r="G35" s="424"/>
      <c r="H35" s="363"/>
      <c r="I35" s="363"/>
      <c r="J35" s="363"/>
      <c r="K35" s="363"/>
      <c r="L35" s="363"/>
      <c r="M35" s="363"/>
      <c r="N35" s="357"/>
      <c r="O35" s="357"/>
      <c r="P35" s="357"/>
      <c r="Q35" s="357"/>
      <c r="R35" s="357"/>
      <c r="S35" s="357"/>
      <c r="T35" s="357"/>
      <c r="U35" s="357"/>
      <c r="V35" s="357"/>
      <c r="W35" s="357"/>
      <c r="X35" s="36"/>
      <c r="Y35" s="36"/>
      <c r="AL35" s="22"/>
      <c r="AN35" s="29"/>
      <c r="AV35" s="39"/>
      <c r="AW35" s="39"/>
      <c r="AX35" s="39"/>
      <c r="AY35" s="39"/>
      <c r="AZ35" s="39"/>
      <c r="BA35" s="39"/>
      <c r="BB35" s="39"/>
      <c r="BC35" s="39"/>
      <c r="BD35" s="39"/>
      <c r="BE35" s="39"/>
      <c r="BF35" s="39"/>
      <c r="BG35" s="39"/>
      <c r="BH35" s="39"/>
      <c r="BI35" s="39"/>
      <c r="BJ35" s="39"/>
      <c r="BK35" s="39"/>
      <c r="BL35" s="39"/>
      <c r="BM35" s="39"/>
    </row>
    <row r="36" spans="1:65" ht="17.25" customHeight="1" thickTop="1" x14ac:dyDescent="0.25">
      <c r="A36" s="40" t="s">
        <v>4</v>
      </c>
      <c r="B36" s="41" t="s">
        <v>6</v>
      </c>
      <c r="C36" s="42">
        <v>1</v>
      </c>
      <c r="D36" s="17"/>
      <c r="E36" s="17"/>
      <c r="F36" s="17"/>
      <c r="G36" s="17"/>
      <c r="AD36" s="17"/>
      <c r="AE36" s="17"/>
      <c r="AF36" s="17"/>
      <c r="AG36" s="17"/>
      <c r="AH36" s="17"/>
      <c r="AI36" s="17"/>
      <c r="AJ36" s="17"/>
      <c r="AK36" s="17"/>
      <c r="AV36" s="39"/>
      <c r="AW36" s="39"/>
      <c r="AX36" s="39"/>
      <c r="AY36" s="39"/>
      <c r="AZ36" s="39"/>
      <c r="BA36" s="39"/>
      <c r="BB36" s="39"/>
      <c r="BC36" s="39"/>
      <c r="BD36" s="39"/>
      <c r="BE36" s="39"/>
      <c r="BF36" s="39"/>
      <c r="BG36" s="39"/>
      <c r="BH36" s="39"/>
      <c r="BI36" s="39"/>
      <c r="BJ36" s="39"/>
      <c r="BK36" s="39"/>
      <c r="BL36" s="39"/>
      <c r="BM36" s="39"/>
    </row>
    <row r="37" spans="1:65" ht="17.25" customHeight="1" thickBot="1" x14ac:dyDescent="0.3">
      <c r="A37" s="43" t="s">
        <v>5</v>
      </c>
      <c r="B37" s="44" t="s">
        <v>7</v>
      </c>
      <c r="C37" s="45">
        <v>-1</v>
      </c>
      <c r="D37" s="425" t="s">
        <v>9</v>
      </c>
      <c r="E37" s="425"/>
      <c r="F37" s="425"/>
      <c r="G37" s="425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AB37" s="14"/>
      <c r="AC37" s="7"/>
      <c r="AD37" s="3" t="s">
        <v>57</v>
      </c>
      <c r="AE37" s="3" t="s">
        <v>57</v>
      </c>
      <c r="AF37" s="3" t="s">
        <v>304</v>
      </c>
      <c r="AG37" s="3" t="s">
        <v>120</v>
      </c>
      <c r="AH37" s="3" t="s">
        <v>121</v>
      </c>
      <c r="AI37" s="3" t="s">
        <v>122</v>
      </c>
      <c r="AJ37" s="3" t="s">
        <v>123</v>
      </c>
      <c r="AK37" s="3" t="s">
        <v>124</v>
      </c>
      <c r="AL37" s="3" t="s">
        <v>125</v>
      </c>
      <c r="AM37" s="3" t="s">
        <v>101</v>
      </c>
      <c r="AN37" s="3" t="s">
        <v>129</v>
      </c>
      <c r="AO37" s="3" t="s">
        <v>128</v>
      </c>
      <c r="AP37" s="3" t="s">
        <v>126</v>
      </c>
      <c r="AQ37" s="3" t="s">
        <v>127</v>
      </c>
      <c r="AR37" s="3" t="s">
        <v>129</v>
      </c>
      <c r="AS37" s="3" t="s">
        <v>128</v>
      </c>
      <c r="AT37" s="3" t="s">
        <v>130</v>
      </c>
      <c r="AU37" s="3" t="s">
        <v>112</v>
      </c>
      <c r="AV37" s="3" t="s">
        <v>117</v>
      </c>
      <c r="AW37" s="3" t="s">
        <v>143</v>
      </c>
      <c r="AX37" s="3" t="s">
        <v>149</v>
      </c>
      <c r="AY37" s="3" t="s">
        <v>131</v>
      </c>
      <c r="AZ37" s="3" t="s">
        <v>150</v>
      </c>
      <c r="BA37" s="3" t="s">
        <v>112</v>
      </c>
      <c r="BB37" s="3" t="s">
        <v>308</v>
      </c>
      <c r="BC37" s="3" t="s">
        <v>151</v>
      </c>
      <c r="BD37" s="39"/>
      <c r="BE37" s="39"/>
      <c r="BF37" s="39"/>
      <c r="BG37" s="39"/>
      <c r="BH37" s="39"/>
      <c r="BI37" s="39"/>
      <c r="BJ37" s="39"/>
      <c r="BK37" s="39"/>
      <c r="BL37" s="39"/>
      <c r="BM37" s="39"/>
    </row>
    <row r="38" spans="1:65" ht="17.25" customHeight="1" thickBot="1" x14ac:dyDescent="0.3">
      <c r="C38" s="17"/>
      <c r="D38" s="425"/>
      <c r="E38" s="425"/>
      <c r="F38" s="425"/>
      <c r="G38" s="425"/>
      <c r="H38" s="36"/>
      <c r="I38" s="36"/>
      <c r="J38" s="36"/>
      <c r="K38" s="36"/>
      <c r="L38" s="17"/>
      <c r="M38" s="17"/>
      <c r="N38" s="36"/>
      <c r="O38" s="36"/>
      <c r="P38" s="36"/>
      <c r="Q38" s="36"/>
      <c r="R38" s="36"/>
      <c r="S38" s="36"/>
      <c r="T38" s="36"/>
      <c r="U38" s="36"/>
      <c r="AA38" s="18" t="str">
        <f>IF(VLOOKUP(H39,$A$36:$C$37,3)&gt;0,AA39,CONCATENATE("-",AA39))</f>
        <v>-2°05'</v>
      </c>
      <c r="AB38" s="14" t="str">
        <f>BC38</f>
        <v>-02°05'00.00 [-02°05.00]  (-02.0833°)</v>
      </c>
      <c r="AC38" s="7">
        <f>BB38</f>
        <v>-2.0833333333333335</v>
      </c>
      <c r="AD38" s="5">
        <f>IF(LEFT(TRIM(AA38),1)="-",-1,IF(LEFT(TRIM(AA38),1)="+",1, 0))</f>
        <v>-1</v>
      </c>
      <c r="AE38" s="5" t="str">
        <f>IF(AD38&gt;0,"+",IF(AD38&lt;0,"-",""))</f>
        <v>-</v>
      </c>
      <c r="AF38" s="5" t="str">
        <f>IF(ABS(AD38)&gt;0,RIGHT(AA38,LEN(AA38)-1),AA38)</f>
        <v>2°05'</v>
      </c>
      <c r="AG38" s="5" t="b">
        <f>ISNUMBER(SEARCH("°",AF38,1))</f>
        <v>1</v>
      </c>
      <c r="AH38" s="5" t="b">
        <f>ISNUMBER(SEARCH("'",AF38,1))</f>
        <v>1</v>
      </c>
      <c r="AI38" s="5" t="b">
        <f>ISNUMBER(SEARCH("""",AF38,1))</f>
        <v>0</v>
      </c>
      <c r="AJ38" s="5" t="b">
        <f>NOT(OR(AG38,AH38,AI38))</f>
        <v>0</v>
      </c>
      <c r="AK38" s="5" t="b">
        <f t="shared" ref="AK38" si="33">OR(AJ38,AG38)</f>
        <v>1</v>
      </c>
      <c r="AL38" s="6" t="str">
        <f>IF(AJ38,VALUE(AF38),IF(AG38,LEFT(AF38,SEARCH("°",AF38,1)-1),0))</f>
        <v>2</v>
      </c>
      <c r="AM38" s="5" t="str">
        <f>IF(AJ38,"",IF(AG38,RIGHT(AF38,LEN(AF38)-SEARCH("°",AF38,1)),AF38))</f>
        <v>05'</v>
      </c>
      <c r="AN38" s="5" t="b">
        <f>(LEN(AM38)&gt;0)</f>
        <v>1</v>
      </c>
      <c r="AO38" s="5" t="b">
        <f>NOT(OR(AH38,AI38))</f>
        <v>0</v>
      </c>
      <c r="AP38" s="6">
        <f t="shared" ref="AP38" si="34">IF(NOT(AN38),0,IF(AO38,VALUE(AM38),IF(NOT(AH38),0,VALUE(LEFT(AM38,SEARCH("'",AM38,1)-1)))))</f>
        <v>5</v>
      </c>
      <c r="AQ38" s="5" t="str">
        <f t="shared" ref="AQ38" si="35">IF(NOT(AN38),"",IF(AO38,"",IF(NOT(AH38),AM38,RIGHT(AM38,LEN(AM38)-SEARCH("'",AM38,1)))))</f>
        <v/>
      </c>
      <c r="AR38" s="5" t="b">
        <f>(LEN(AQ38)&gt;0)</f>
        <v>0</v>
      </c>
      <c r="AS38" s="5" t="b">
        <f t="shared" ref="AS38" si="36">NOT(AI38)</f>
        <v>1</v>
      </c>
      <c r="AT38" s="5" t="b">
        <f>ISNUMBER(SEARCH(".",AQ38,1))</f>
        <v>0</v>
      </c>
      <c r="AU38" s="6">
        <f t="shared" ref="AU38" si="37">IF(AR38,IF(AI38,IF(AT38,VALUE(SUBSTITUTE(AQ38, """", "")),VALUE(SUBSTITUTE(AQ38, """", "."))),VALUE(AQ38)),0)</f>
        <v>0</v>
      </c>
      <c r="AV38" s="6">
        <f t="shared" ref="AV38" si="38">AL38*3600+AP38*60+AU38</f>
        <v>7500</v>
      </c>
      <c r="AW38" s="6">
        <f>AV38/3600</f>
        <v>2.0833333333333335</v>
      </c>
      <c r="AX38" s="6">
        <f>_xlfn.FLOOR.MATH((AW38))</f>
        <v>2</v>
      </c>
      <c r="AY38" s="6">
        <f>(AV38-3600*AX38)/60</f>
        <v>5</v>
      </c>
      <c r="AZ38" s="6">
        <f>_xlfn.FLOOR.MATH((AY38))</f>
        <v>5</v>
      </c>
      <c r="BA38" s="6">
        <f>AV38-3600*AX38-60*AZ38</f>
        <v>0</v>
      </c>
      <c r="BB38" s="6">
        <f>AW38*IF(AD38&lt;0,-1,1)</f>
        <v>-2.0833333333333335</v>
      </c>
      <c r="BC38" s="7" t="str">
        <f>CONCATENATE(AE38,TEXT(AX38,"00"),"°",TEXT(AZ38,"00"),"'",TEXT(BA38,"00.00"), " [", CONCATENATE(AE38,TEXT(AX38,"00"),"°",TEXT(AY38,"00.00")),"]", "  (", AE38,TEXT(AW38,"00.0000"),"°)")</f>
        <v>-02°05'00.00 [-02°05.00]  (-02.0833°)</v>
      </c>
      <c r="BD38" s="39"/>
      <c r="BE38" s="39"/>
      <c r="BF38" s="39"/>
      <c r="BG38" s="39"/>
      <c r="BH38" s="39"/>
      <c r="BI38" s="39"/>
      <c r="BJ38" s="39"/>
      <c r="BK38" s="39"/>
      <c r="BL38" s="39"/>
      <c r="BM38" s="39"/>
    </row>
    <row r="39" spans="1:65" ht="17.25" customHeight="1" thickTop="1" thickBot="1" x14ac:dyDescent="0.3">
      <c r="B39" s="17"/>
      <c r="C39" s="46"/>
      <c r="D39" s="17"/>
      <c r="E39" s="398">
        <f>AC38</f>
        <v>-2.0833333333333335</v>
      </c>
      <c r="F39" s="424"/>
      <c r="G39" s="424"/>
      <c r="H39" s="363" t="s">
        <v>7</v>
      </c>
      <c r="I39" s="414" t="s">
        <v>372</v>
      </c>
      <c r="J39" s="363"/>
      <c r="K39" s="363"/>
      <c r="L39" s="363"/>
      <c r="M39" s="363"/>
      <c r="N39" s="357" t="str">
        <f>AB38</f>
        <v>-02°05'00.00 [-02°05.00]  (-02.0833°)</v>
      </c>
      <c r="O39" s="357"/>
      <c r="P39" s="357"/>
      <c r="Q39" s="357"/>
      <c r="R39" s="357"/>
      <c r="S39" s="357"/>
      <c r="T39" s="357"/>
      <c r="U39" s="357"/>
      <c r="V39" s="357"/>
      <c r="W39" s="357"/>
      <c r="X39" s="36"/>
      <c r="Y39" s="36"/>
      <c r="AA39" s="18" t="str">
        <f>I39</f>
        <v>2°05'</v>
      </c>
      <c r="AC39" s="37"/>
      <c r="AD39" s="178"/>
      <c r="AE39" s="178"/>
      <c r="AF39" s="178"/>
      <c r="AG39" s="178"/>
      <c r="AL39" s="22"/>
      <c r="AN39" s="29"/>
      <c r="AT39" s="38"/>
      <c r="AU39" s="38"/>
      <c r="AV39" s="39"/>
      <c r="AW39" s="39"/>
      <c r="AX39" s="178"/>
      <c r="AY39" s="178"/>
      <c r="AZ39" s="178"/>
      <c r="BA39" s="178"/>
    </row>
    <row r="40" spans="1:65" ht="17.25" customHeight="1" thickTop="1" thickBot="1" x14ac:dyDescent="0.3">
      <c r="C40" s="46"/>
      <c r="D40" s="17"/>
      <c r="E40" s="424"/>
      <c r="F40" s="424"/>
      <c r="G40" s="424"/>
      <c r="H40" s="363"/>
      <c r="I40" s="363"/>
      <c r="J40" s="363"/>
      <c r="K40" s="363"/>
      <c r="L40" s="363"/>
      <c r="M40" s="363"/>
      <c r="N40" s="357"/>
      <c r="O40" s="357"/>
      <c r="P40" s="357"/>
      <c r="Q40" s="357"/>
      <c r="R40" s="357"/>
      <c r="S40" s="357"/>
      <c r="T40" s="357"/>
      <c r="U40" s="357"/>
      <c r="V40" s="357"/>
      <c r="W40" s="357"/>
      <c r="X40" s="36"/>
      <c r="Y40" s="36"/>
      <c r="AL40" s="22"/>
      <c r="AN40" s="29"/>
    </row>
    <row r="41" spans="1:65" ht="17.25" customHeight="1" thickTop="1" x14ac:dyDescent="0.25">
      <c r="C41" s="46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AL41" s="22"/>
      <c r="AN41" s="29"/>
    </row>
    <row r="42" spans="1:65" ht="17.25" customHeight="1" thickBot="1" x14ac:dyDescent="0.3">
      <c r="AD42" s="17"/>
      <c r="AE42" s="17"/>
      <c r="AF42" s="17"/>
      <c r="AG42" s="17"/>
      <c r="AH42" s="17"/>
      <c r="AI42" s="17"/>
      <c r="AJ42" s="17"/>
      <c r="AK42" s="17"/>
    </row>
    <row r="43" spans="1:65" ht="17.25" customHeight="1" thickBot="1" x14ac:dyDescent="0.3">
      <c r="B43" s="47" t="s">
        <v>10</v>
      </c>
      <c r="C43" s="48"/>
      <c r="D43" s="48"/>
      <c r="E43" s="362">
        <f>IF(F44=AE44,E48,E56)</f>
        <v>-11.98176</v>
      </c>
      <c r="F43" s="362"/>
      <c r="G43" s="362"/>
      <c r="H43" s="48"/>
      <c r="I43" s="48"/>
      <c r="J43" s="48"/>
      <c r="K43" s="48"/>
      <c r="L43" s="48"/>
      <c r="M43" s="48"/>
      <c r="N43" s="48"/>
      <c r="O43" s="48"/>
      <c r="P43" s="48"/>
      <c r="Q43" s="48"/>
      <c r="R43" s="48"/>
      <c r="S43" s="48"/>
      <c r="T43" s="48"/>
      <c r="U43" s="48"/>
      <c r="V43" s="48"/>
      <c r="W43" s="48"/>
      <c r="X43" s="48"/>
      <c r="Y43" s="48"/>
      <c r="Z43" s="48"/>
      <c r="AA43" s="48"/>
      <c r="AB43" s="48"/>
      <c r="AC43" s="48"/>
      <c r="AD43" s="48"/>
      <c r="AE43" s="48"/>
      <c r="AF43" s="48"/>
      <c r="AG43" s="48"/>
      <c r="AH43" s="48"/>
      <c r="AI43" s="48"/>
      <c r="AJ43" s="48"/>
      <c r="AK43" s="48"/>
      <c r="AL43" s="48"/>
      <c r="AM43" s="48"/>
      <c r="AN43" s="48"/>
      <c r="AO43" s="48"/>
      <c r="AP43" s="48"/>
      <c r="AQ43" s="48"/>
      <c r="AR43" s="48"/>
      <c r="AS43" s="48"/>
      <c r="AT43" s="48"/>
      <c r="AU43" s="48"/>
      <c r="AV43" s="48"/>
      <c r="AW43" s="48"/>
      <c r="AX43" s="48"/>
      <c r="AY43" s="48"/>
      <c r="AZ43" s="48"/>
      <c r="BA43" s="49"/>
    </row>
    <row r="44" spans="1:65" s="50" customFormat="1" ht="17.25" customHeight="1" x14ac:dyDescent="0.25">
      <c r="C44" s="434" t="s">
        <v>58</v>
      </c>
      <c r="D44" s="434"/>
      <c r="E44" s="434"/>
      <c r="F44" s="435" t="s">
        <v>17</v>
      </c>
      <c r="G44" s="435"/>
      <c r="H44" s="435"/>
      <c r="AA44" s="51"/>
      <c r="AB44" s="52"/>
      <c r="AC44" s="52"/>
      <c r="AD44" s="53" t="s">
        <v>59</v>
      </c>
      <c r="AE44" s="54" t="s">
        <v>11</v>
      </c>
      <c r="AF44" s="55">
        <v>0</v>
      </c>
      <c r="AG44" s="55"/>
    </row>
    <row r="45" spans="1:65" ht="17.25" customHeight="1" x14ac:dyDescent="0.25">
      <c r="C45" s="56" t="s">
        <v>11</v>
      </c>
      <c r="D45" s="57"/>
      <c r="E45" s="57"/>
      <c r="F45" s="17"/>
      <c r="G45" s="17"/>
      <c r="H45" s="17"/>
      <c r="AE45" s="58" t="s">
        <v>17</v>
      </c>
      <c r="AF45" s="22">
        <v>1</v>
      </c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</row>
    <row r="46" spans="1:65" ht="17.25" customHeight="1" x14ac:dyDescent="0.25">
      <c r="E46" s="401" t="s">
        <v>10</v>
      </c>
      <c r="F46" s="401"/>
      <c r="G46" s="401"/>
      <c r="H46" s="401" t="s">
        <v>13</v>
      </c>
      <c r="I46" s="401"/>
      <c r="J46" s="401"/>
      <c r="K46" s="401"/>
      <c r="L46" s="402" t="s">
        <v>14</v>
      </c>
      <c r="M46" s="402"/>
      <c r="N46" s="402"/>
      <c r="O46" s="415" t="s">
        <v>18</v>
      </c>
      <c r="P46" s="415"/>
      <c r="Q46" s="415"/>
      <c r="R46" s="415"/>
      <c r="S46" s="415"/>
      <c r="T46" s="17"/>
      <c r="AB46" s="14"/>
      <c r="AC46" s="7"/>
      <c r="AD46" s="3" t="s">
        <v>57</v>
      </c>
      <c r="AE46" s="3" t="s">
        <v>57</v>
      </c>
      <c r="AF46" s="3" t="s">
        <v>304</v>
      </c>
      <c r="AG46" s="3" t="s">
        <v>120</v>
      </c>
      <c r="AH46" s="3" t="s">
        <v>121</v>
      </c>
      <c r="AI46" s="3" t="s">
        <v>122</v>
      </c>
      <c r="AJ46" s="3" t="s">
        <v>123</v>
      </c>
      <c r="AK46" s="3" t="s">
        <v>124</v>
      </c>
      <c r="AL46" s="3" t="s">
        <v>125</v>
      </c>
      <c r="AM46" s="3" t="s">
        <v>101</v>
      </c>
      <c r="AN46" s="3" t="s">
        <v>129</v>
      </c>
      <c r="AO46" s="3" t="s">
        <v>128</v>
      </c>
      <c r="AP46" s="3" t="s">
        <v>126</v>
      </c>
      <c r="AQ46" s="3" t="s">
        <v>127</v>
      </c>
      <c r="AR46" s="3" t="s">
        <v>129</v>
      </c>
      <c r="AS46" s="3" t="s">
        <v>128</v>
      </c>
      <c r="AT46" s="3" t="s">
        <v>130</v>
      </c>
      <c r="AU46" s="3" t="s">
        <v>112</v>
      </c>
      <c r="AV46" s="3" t="s">
        <v>117</v>
      </c>
      <c r="AW46" s="3" t="s">
        <v>143</v>
      </c>
      <c r="AX46" s="3" t="s">
        <v>149</v>
      </c>
      <c r="AY46" s="3" t="s">
        <v>131</v>
      </c>
      <c r="AZ46" s="3" t="s">
        <v>150</v>
      </c>
      <c r="BA46" s="3" t="s">
        <v>112</v>
      </c>
      <c r="BB46" s="3" t="s">
        <v>308</v>
      </c>
      <c r="BC46" s="3" t="s">
        <v>151</v>
      </c>
    </row>
    <row r="47" spans="1:65" ht="17.25" customHeight="1" thickBot="1" x14ac:dyDescent="0.3">
      <c r="E47" s="401"/>
      <c r="F47" s="401"/>
      <c r="G47" s="401"/>
      <c r="H47" s="401"/>
      <c r="I47" s="401"/>
      <c r="J47" s="401"/>
      <c r="K47" s="401"/>
      <c r="L47" s="402"/>
      <c r="M47" s="402"/>
      <c r="N47" s="402"/>
      <c r="O47" s="415"/>
      <c r="P47" s="415"/>
      <c r="Q47" s="415"/>
      <c r="R47" s="415"/>
      <c r="S47" s="415"/>
      <c r="T47" s="17"/>
      <c r="AA47" s="18" t="str">
        <f>IF(VLOOKUP(O48,$A$36:$C$37,3)&gt;0,AA48,CONCATENATE("-",AA48))</f>
        <v>23°08.5'</v>
      </c>
      <c r="AB47" s="14" t="str">
        <f>BC47</f>
        <v>23°08'30.00 [23°08.50]  (23.1417°)</v>
      </c>
      <c r="AC47" s="7">
        <f>BB47</f>
        <v>23.141666666666666</v>
      </c>
      <c r="AD47" s="5">
        <f>IF(LEFT(TRIM(AA47),1)="-",-1,IF(LEFT(TRIM(AA47),1)="+",1, 0))</f>
        <v>0</v>
      </c>
      <c r="AE47" s="5" t="str">
        <f>IF(AD47&gt;0,"+",IF(AD47&lt;0,"-",""))</f>
        <v/>
      </c>
      <c r="AF47" s="5" t="str">
        <f>IF(ABS(AD47)&gt;0,RIGHT(AA47,LEN(AA47)-1),AA47)</f>
        <v>23°08.5'</v>
      </c>
      <c r="AG47" s="5" t="b">
        <f>ISNUMBER(SEARCH("°",AF47,1))</f>
        <v>1</v>
      </c>
      <c r="AH47" s="5" t="b">
        <f>ISNUMBER(SEARCH("'",AF47,1))</f>
        <v>1</v>
      </c>
      <c r="AI47" s="5" t="b">
        <f>ISNUMBER(SEARCH("""",AF47,1))</f>
        <v>0</v>
      </c>
      <c r="AJ47" s="5" t="b">
        <f>NOT(OR(AG47,AH47,AI47))</f>
        <v>0</v>
      </c>
      <c r="AK47" s="5" t="b">
        <f t="shared" ref="AK47" si="39">OR(AJ47,AG47)</f>
        <v>1</v>
      </c>
      <c r="AL47" s="6" t="str">
        <f>IF(AJ47,VALUE(AF47),IF(AG47,LEFT(AF47,SEARCH("°",AF47,1)-1),0))</f>
        <v>23</v>
      </c>
      <c r="AM47" s="5" t="str">
        <f>IF(AJ47,"",IF(AG47,RIGHT(AF47,LEN(AF47)-SEARCH("°",AF47,1)),AF47))</f>
        <v>08.5'</v>
      </c>
      <c r="AN47" s="5" t="b">
        <f>(LEN(AM47)&gt;0)</f>
        <v>1</v>
      </c>
      <c r="AO47" s="5" t="b">
        <f>NOT(OR(AH47,AI47))</f>
        <v>0</v>
      </c>
      <c r="AP47" s="6">
        <f t="shared" ref="AP47" si="40">IF(NOT(AN47),0,IF(AO47,VALUE(AM47),IF(NOT(AH47),0,VALUE(LEFT(AM47,SEARCH("'",AM47,1)-1)))))</f>
        <v>8.5</v>
      </c>
      <c r="AQ47" s="5" t="str">
        <f t="shared" ref="AQ47" si="41">IF(NOT(AN47),"",IF(AO47,"",IF(NOT(AH47),AM47,RIGHT(AM47,LEN(AM47)-SEARCH("'",AM47,1)))))</f>
        <v/>
      </c>
      <c r="AR47" s="5" t="b">
        <f>(LEN(AQ47)&gt;0)</f>
        <v>0</v>
      </c>
      <c r="AS47" s="5" t="b">
        <f t="shared" ref="AS47" si="42">NOT(AI47)</f>
        <v>1</v>
      </c>
      <c r="AT47" s="5" t="b">
        <f>ISNUMBER(SEARCH(".",AQ47,1))</f>
        <v>0</v>
      </c>
      <c r="AU47" s="6">
        <f t="shared" ref="AU47" si="43">IF(AR47,IF(AI47,IF(AT47,VALUE(SUBSTITUTE(AQ47, """", "")),VALUE(SUBSTITUTE(AQ47, """", "."))),VALUE(AQ47)),0)</f>
        <v>0</v>
      </c>
      <c r="AV47" s="6">
        <f t="shared" ref="AV47" si="44">AL47*3600+AP47*60+AU47</f>
        <v>83310</v>
      </c>
      <c r="AW47" s="6">
        <f>AV47/3600</f>
        <v>23.141666666666666</v>
      </c>
      <c r="AX47" s="6">
        <f>_xlfn.FLOOR.MATH((AW47))</f>
        <v>23</v>
      </c>
      <c r="AY47" s="6">
        <f>(AV47-3600*AX47)/60</f>
        <v>8.5</v>
      </c>
      <c r="AZ47" s="6">
        <f>_xlfn.FLOOR.MATH((AY47))</f>
        <v>8</v>
      </c>
      <c r="BA47" s="6">
        <f>AV47-3600*AX47-60*AZ47</f>
        <v>30</v>
      </c>
      <c r="BB47" s="6">
        <f>AW47*IF(AD47&lt;0,-1,1)</f>
        <v>23.141666666666666</v>
      </c>
      <c r="BC47" s="7" t="str">
        <f>CONCATENATE(AE47,TEXT(AX47,"00"),"°",TEXT(AZ47,"00"),"'",TEXT(BA47,"00.00"), " [", CONCATENATE(AE47,TEXT(AX47,"00"),"°",TEXT(AY47,"00.00")),"]", "  (", AE47,TEXT(AW47,"00.0000"),"°)")</f>
        <v>23°08'30.00 [23°08.50]  (23.1417°)</v>
      </c>
    </row>
    <row r="48" spans="1:65" ht="17.25" customHeight="1" thickTop="1" thickBot="1" x14ac:dyDescent="0.3">
      <c r="D48" s="59"/>
      <c r="E48" s="397" t="str">
        <f>IF(F44=AE45,"---",AC51)</f>
        <v>---</v>
      </c>
      <c r="F48" s="397"/>
      <c r="G48" s="397"/>
      <c r="H48" s="321">
        <f>D11</f>
        <v>16.14</v>
      </c>
      <c r="I48" s="321"/>
      <c r="J48" s="321"/>
      <c r="K48" s="321"/>
      <c r="L48" s="307">
        <v>10</v>
      </c>
      <c r="M48" s="321"/>
      <c r="N48" s="321"/>
      <c r="O48" s="321" t="s">
        <v>4</v>
      </c>
      <c r="P48" s="416" t="s">
        <v>237</v>
      </c>
      <c r="Q48" s="321"/>
      <c r="R48" s="321"/>
      <c r="S48" s="321"/>
      <c r="T48" s="357" t="str">
        <f>AB47</f>
        <v>23°08'30.00 [23°08.50]  (23.1417°)</v>
      </c>
      <c r="U48" s="358"/>
      <c r="V48" s="358"/>
      <c r="W48" s="358"/>
      <c r="X48" s="358"/>
      <c r="AA48" s="18" t="str">
        <f>P48</f>
        <v>23°08.5'</v>
      </c>
      <c r="AC48" s="37"/>
      <c r="AD48" s="21"/>
      <c r="AG48" s="21"/>
      <c r="AL48" s="22"/>
      <c r="AN48" s="29"/>
      <c r="AT48" s="38"/>
      <c r="AU48" s="38"/>
      <c r="AV48" s="39"/>
      <c r="AW48" s="39"/>
      <c r="AX48" s="178"/>
      <c r="AY48" s="178"/>
      <c r="AZ48" s="178"/>
      <c r="BA48" s="178"/>
    </row>
    <row r="49" spans="1:57" ht="17.25" customHeight="1" thickTop="1" thickBot="1" x14ac:dyDescent="0.3">
      <c r="E49" s="398"/>
      <c r="F49" s="398"/>
      <c r="G49" s="398"/>
      <c r="H49" s="363"/>
      <c r="I49" s="363"/>
      <c r="J49" s="363"/>
      <c r="K49" s="363"/>
      <c r="L49" s="400"/>
      <c r="M49" s="363"/>
      <c r="N49" s="363"/>
      <c r="O49" s="363"/>
      <c r="P49" s="363"/>
      <c r="Q49" s="363"/>
      <c r="R49" s="363"/>
      <c r="S49" s="363"/>
      <c r="T49" s="358"/>
      <c r="U49" s="358"/>
      <c r="V49" s="358"/>
      <c r="W49" s="358"/>
      <c r="X49" s="358"/>
      <c r="AA49" s="18" t="str">
        <f>IF(VLOOKUP(O50,$A$36:$C$37,3)&gt;0,AA50,CONCATENATE("-",AA50))</f>
        <v>23°08.3'</v>
      </c>
      <c r="AB49" s="14" t="str">
        <f>BC49</f>
        <v>23°08'18.00 [23°08.30]  (23.1383°)</v>
      </c>
      <c r="AC49" s="7">
        <f>BB49</f>
        <v>23.138333333333332</v>
      </c>
      <c r="AD49" s="5">
        <f>IF(LEFT(TRIM(AA49),1)="-",-1,IF(LEFT(TRIM(AA49),1)="+",1, 0))</f>
        <v>0</v>
      </c>
      <c r="AE49" s="5" t="str">
        <f>IF(AD49&gt;0,"+",IF(AD49&lt;0,"-",""))</f>
        <v/>
      </c>
      <c r="AF49" s="5" t="str">
        <f>IF(ABS(AD49)&gt;0,RIGHT(AA49,LEN(AA49)-1),AA49)</f>
        <v>23°08.3'</v>
      </c>
      <c r="AG49" s="5" t="b">
        <f>ISNUMBER(SEARCH("°",AF49,1))</f>
        <v>1</v>
      </c>
      <c r="AH49" s="5" t="b">
        <f>ISNUMBER(SEARCH("'",AF49,1))</f>
        <v>1</v>
      </c>
      <c r="AI49" s="5" t="b">
        <f>ISNUMBER(SEARCH("""",AF49,1))</f>
        <v>0</v>
      </c>
      <c r="AJ49" s="5" t="b">
        <f>NOT(OR(AG49,AH49,AI49))</f>
        <v>0</v>
      </c>
      <c r="AK49" s="5" t="b">
        <f t="shared" ref="AK49" si="45">OR(AJ49,AG49)</f>
        <v>1</v>
      </c>
      <c r="AL49" s="6" t="str">
        <f>IF(AJ49,VALUE(AF49),IF(AG49,LEFT(AF49,SEARCH("°",AF49,1)-1),0))</f>
        <v>23</v>
      </c>
      <c r="AM49" s="5" t="str">
        <f>IF(AJ49,"",IF(AG49,RIGHT(AF49,LEN(AF49)-SEARCH("°",AF49,1)),AF49))</f>
        <v>08.3'</v>
      </c>
      <c r="AN49" s="5" t="b">
        <f>(LEN(AM49)&gt;0)</f>
        <v>1</v>
      </c>
      <c r="AO49" s="5" t="b">
        <f>NOT(OR(AH49,AI49))</f>
        <v>0</v>
      </c>
      <c r="AP49" s="6">
        <f t="shared" ref="AP49" si="46">IF(NOT(AN49),0,IF(AO49,VALUE(AM49),IF(NOT(AH49),0,VALUE(LEFT(AM49,SEARCH("'",AM49,1)-1)))))</f>
        <v>8.3000000000000007</v>
      </c>
      <c r="AQ49" s="5" t="str">
        <f t="shared" ref="AQ49" si="47">IF(NOT(AN49),"",IF(AO49,"",IF(NOT(AH49),AM49,RIGHT(AM49,LEN(AM49)-SEARCH("'",AM49,1)))))</f>
        <v/>
      </c>
      <c r="AR49" s="5" t="b">
        <f>(LEN(AQ49)&gt;0)</f>
        <v>0</v>
      </c>
      <c r="AS49" s="5" t="b">
        <f t="shared" ref="AS49" si="48">NOT(AI49)</f>
        <v>1</v>
      </c>
      <c r="AT49" s="5" t="b">
        <f>ISNUMBER(SEARCH(".",AQ49,1))</f>
        <v>0</v>
      </c>
      <c r="AU49" s="6">
        <f t="shared" ref="AU49" si="49">IF(AR49,IF(AI49,IF(AT49,VALUE(SUBSTITUTE(AQ49, """", "")),VALUE(SUBSTITUTE(AQ49, """", "."))),VALUE(AQ49)),0)</f>
        <v>0</v>
      </c>
      <c r="AV49" s="6">
        <f t="shared" ref="AV49" si="50">AL49*3600+AP49*60+AU49</f>
        <v>83298</v>
      </c>
      <c r="AW49" s="6">
        <f>AV49/3600</f>
        <v>23.138333333333332</v>
      </c>
      <c r="AX49" s="6">
        <f>_xlfn.FLOOR.MATH((AW49))</f>
        <v>23</v>
      </c>
      <c r="AY49" s="6">
        <f>(AV49-3600*AX49)/60</f>
        <v>8.3000000000000007</v>
      </c>
      <c r="AZ49" s="6">
        <f>_xlfn.FLOOR.MATH((AY49))</f>
        <v>8</v>
      </c>
      <c r="BA49" s="6">
        <f>AV49-3600*AX49-60*AZ49</f>
        <v>18</v>
      </c>
      <c r="BB49" s="6">
        <f>AW49*IF(AD49&lt;0,-1,1)</f>
        <v>23.138333333333332</v>
      </c>
      <c r="BC49" s="7" t="str">
        <f>CONCATENATE(AE49,TEXT(AX49,"00"),"°",TEXT(AZ49,"00"),"'",TEXT(BA49,"00.00"), " [", CONCATENATE(AE49,TEXT(AX49,"00"),"°",TEXT(AY49,"00.00")),"]", "  (", AE49,TEXT(AW49,"00.0000"),"°)")</f>
        <v>23°08'18.00 [23°08.30]  (23.1383°)</v>
      </c>
    </row>
    <row r="50" spans="1:57" ht="17.25" customHeight="1" thickTop="1" thickBot="1" x14ac:dyDescent="0.3">
      <c r="E50" s="398"/>
      <c r="F50" s="398"/>
      <c r="G50" s="398"/>
      <c r="H50" s="363"/>
      <c r="I50" s="363"/>
      <c r="J50" s="363"/>
      <c r="K50" s="363"/>
      <c r="L50" s="400">
        <v>11</v>
      </c>
      <c r="M50" s="363"/>
      <c r="N50" s="363"/>
      <c r="O50" s="363" t="s">
        <v>4</v>
      </c>
      <c r="P50" s="414" t="s">
        <v>238</v>
      </c>
      <c r="Q50" s="363"/>
      <c r="R50" s="363"/>
      <c r="S50" s="363"/>
      <c r="T50" s="357" t="str">
        <f>AB49</f>
        <v>23°08'18.00 [23°08.30]  (23.1383°)</v>
      </c>
      <c r="U50" s="358"/>
      <c r="V50" s="358"/>
      <c r="W50" s="358"/>
      <c r="X50" s="358"/>
      <c r="AA50" s="18" t="str">
        <f>P50</f>
        <v>23°08.3'</v>
      </c>
      <c r="AD50" s="31" t="s">
        <v>62</v>
      </c>
      <c r="AE50" s="31" t="s">
        <v>61</v>
      </c>
      <c r="AF50" s="31" t="s">
        <v>63</v>
      </c>
      <c r="AG50" s="31" t="s">
        <v>60</v>
      </c>
      <c r="AL50" s="22"/>
      <c r="AN50" s="29"/>
      <c r="AT50" s="38"/>
      <c r="AU50" s="38"/>
      <c r="AV50" s="39"/>
      <c r="AW50" s="39"/>
      <c r="AX50" s="178"/>
      <c r="AY50" s="178"/>
      <c r="AZ50" s="178"/>
    </row>
    <row r="51" spans="1:57" ht="17.25" customHeight="1" thickTop="1" thickBot="1" x14ac:dyDescent="0.3">
      <c r="E51" s="398"/>
      <c r="F51" s="398"/>
      <c r="G51" s="398"/>
      <c r="H51" s="363"/>
      <c r="I51" s="363"/>
      <c r="J51" s="363"/>
      <c r="K51" s="363"/>
      <c r="L51" s="400"/>
      <c r="M51" s="363"/>
      <c r="N51" s="363"/>
      <c r="O51" s="363"/>
      <c r="P51" s="363"/>
      <c r="Q51" s="363"/>
      <c r="R51" s="363"/>
      <c r="S51" s="363"/>
      <c r="T51" s="358"/>
      <c r="U51" s="358"/>
      <c r="V51" s="358"/>
      <c r="W51" s="358"/>
      <c r="X51" s="358"/>
      <c r="AC51" s="37">
        <f>AG51</f>
        <v>23.121199999999995</v>
      </c>
      <c r="AD51" s="22">
        <f>L50-L48</f>
        <v>1</v>
      </c>
      <c r="AE51" s="22">
        <f>AC49-AC47</f>
        <v>-3.3333333333338544E-3</v>
      </c>
      <c r="AF51" s="22">
        <f>H48-L48</f>
        <v>6.1400000000000006</v>
      </c>
      <c r="AG51" s="22">
        <f>AC47+AF51*AE51</f>
        <v>23.121199999999995</v>
      </c>
      <c r="AH51" s="60"/>
      <c r="AI51" s="31"/>
      <c r="AJ51" s="31"/>
      <c r="AK51" s="31"/>
      <c r="AL51" s="31"/>
      <c r="AM51" s="31"/>
      <c r="AN51" s="17"/>
      <c r="AO51" s="17"/>
      <c r="AP51" s="17"/>
      <c r="AQ51" s="17"/>
      <c r="AR51" s="17"/>
      <c r="AS51" s="17"/>
      <c r="AT51" s="17"/>
    </row>
    <row r="52" spans="1:57" ht="17.25" customHeight="1" thickTop="1" thickBot="1" x14ac:dyDescent="0.3">
      <c r="E52" s="279" t="str">
        <f>AB52</f>
        <v>23°07'16.32 [23°07.27]  (23.1212°)</v>
      </c>
      <c r="F52" s="279"/>
      <c r="G52" s="279"/>
      <c r="H52" s="279"/>
      <c r="I52" s="279"/>
      <c r="J52" s="279"/>
      <c r="Z52" s="17"/>
      <c r="AA52" s="18">
        <f>AC51</f>
        <v>23.121199999999995</v>
      </c>
      <c r="AB52" s="14" t="str">
        <f>BC52</f>
        <v>23°07'16.32 [23°07.27]  (23.1212°)</v>
      </c>
      <c r="AC52" s="7">
        <f>BB52</f>
        <v>23.121199999999995</v>
      </c>
      <c r="AD52" s="5">
        <f>IF(LEFT(TRIM(AA52),1)="-",-1,IF(LEFT(TRIM(AA52),1)="+",1, 0))</f>
        <v>0</v>
      </c>
      <c r="AE52" s="5" t="str">
        <f>IF(AD52&gt;0,"+",IF(AD52&lt;0,"-",""))</f>
        <v/>
      </c>
      <c r="AF52" s="5">
        <f>IF(ABS(AD52)&gt;0,RIGHT(AA52,LEN(AA52)-1),AA52)</f>
        <v>23.121199999999995</v>
      </c>
      <c r="AG52" s="5" t="b">
        <f>ISNUMBER(SEARCH("°",AF52,1))</f>
        <v>0</v>
      </c>
      <c r="AH52" s="5" t="b">
        <f>ISNUMBER(SEARCH("'",AF52,1))</f>
        <v>0</v>
      </c>
      <c r="AI52" s="5" t="b">
        <f>ISNUMBER(SEARCH("""",AF52,1))</f>
        <v>0</v>
      </c>
      <c r="AJ52" s="5" t="b">
        <f>NOT(OR(AG52,AH52,AI52))</f>
        <v>1</v>
      </c>
      <c r="AK52" s="5" t="b">
        <f t="shared" ref="AK52" si="51">OR(AJ52,AG52)</f>
        <v>1</v>
      </c>
      <c r="AL52" s="6">
        <f>IF(AJ52,VALUE(AF52),IF(AG52,LEFT(AF52,SEARCH("°",AF52,1)-1),0))</f>
        <v>23.121199999999995</v>
      </c>
      <c r="AM52" s="5" t="str">
        <f>IF(AJ52,"",IF(AG52,RIGHT(AF52,LEN(AF52)-SEARCH("°",AF52,1)),AF52))</f>
        <v/>
      </c>
      <c r="AN52" s="5" t="b">
        <f>(LEN(AM52)&gt;0)</f>
        <v>0</v>
      </c>
      <c r="AO52" s="5" t="b">
        <f>NOT(OR(AH52,AI52))</f>
        <v>1</v>
      </c>
      <c r="AP52" s="6">
        <f t="shared" ref="AP52" si="52">IF(NOT(AN52),0,IF(AO52,VALUE(AM52),IF(NOT(AH52),0,VALUE(LEFT(AM52,SEARCH("'",AM52,1)-1)))))</f>
        <v>0</v>
      </c>
      <c r="AQ52" s="5" t="str">
        <f t="shared" ref="AQ52" si="53">IF(NOT(AN52),"",IF(AO52,"",IF(NOT(AH52),AM52,RIGHT(AM52,LEN(AM52)-SEARCH("'",AM52,1)))))</f>
        <v/>
      </c>
      <c r="AR52" s="5" t="b">
        <f>(LEN(AQ52)&gt;0)</f>
        <v>0</v>
      </c>
      <c r="AS52" s="5" t="b">
        <f t="shared" ref="AS52" si="54">NOT(AI52)</f>
        <v>1</v>
      </c>
      <c r="AT52" s="5" t="b">
        <f>ISNUMBER(SEARCH(".",AQ52,1))</f>
        <v>0</v>
      </c>
      <c r="AU52" s="6">
        <f t="shared" ref="AU52" si="55">IF(AR52,IF(AI52,IF(AT52,VALUE(SUBSTITUTE(AQ52, """", "")),VALUE(SUBSTITUTE(AQ52, """", "."))),VALUE(AQ52)),0)</f>
        <v>0</v>
      </c>
      <c r="AV52" s="6">
        <f t="shared" ref="AV52" si="56">AL52*3600+AP52*60+AU52</f>
        <v>83236.319999999978</v>
      </c>
      <c r="AW52" s="6">
        <f>AV52/3600</f>
        <v>23.121199999999995</v>
      </c>
      <c r="AX52" s="6">
        <f>_xlfn.FLOOR.MATH((AW52))</f>
        <v>23</v>
      </c>
      <c r="AY52" s="6">
        <f>(AV52-3600*AX52)/60</f>
        <v>7.2719999999996316</v>
      </c>
      <c r="AZ52" s="6">
        <f>_xlfn.FLOOR.MATH((AY52))</f>
        <v>7</v>
      </c>
      <c r="BA52" s="6">
        <f>AV52-3600*AX52-60*AZ52</f>
        <v>16.319999999977881</v>
      </c>
      <c r="BB52" s="6">
        <f>AW52*IF(AD52&lt;0,-1,1)</f>
        <v>23.121199999999995</v>
      </c>
      <c r="BC52" s="7" t="str">
        <f>CONCATENATE(AE52,TEXT(AX52,"00"),"°",TEXT(AZ52,"00"),"'",TEXT(BA52,"00.00"), " [", CONCATENATE(AE52,TEXT(AX52,"00"),"°",TEXT(AY52,"00.00")),"]", "  (", AE52,TEXT(AW52,"00.0000"),"°)")</f>
        <v>23°07'16.32 [23°07.27]  (23.1212°)</v>
      </c>
    </row>
    <row r="53" spans="1:57" ht="17.25" customHeight="1" thickTop="1" x14ac:dyDescent="0.25">
      <c r="C53" s="56" t="s">
        <v>17</v>
      </c>
      <c r="D53" s="57"/>
      <c r="E53" s="57"/>
      <c r="F53" s="17"/>
      <c r="G53" s="17"/>
      <c r="H53" s="17"/>
      <c r="Z53" s="17"/>
    </row>
    <row r="54" spans="1:57" ht="17.25" customHeight="1" x14ac:dyDescent="0.25">
      <c r="C54" s="17"/>
      <c r="D54" s="17"/>
      <c r="E54" s="401" t="s">
        <v>10</v>
      </c>
      <c r="F54" s="401"/>
      <c r="G54" s="401"/>
      <c r="H54" s="401" t="s">
        <v>13</v>
      </c>
      <c r="I54" s="401"/>
      <c r="J54" s="401"/>
      <c r="K54" s="401"/>
      <c r="L54" s="402" t="s">
        <v>14</v>
      </c>
      <c r="M54" s="402"/>
      <c r="N54" s="402"/>
      <c r="O54" s="415" t="s">
        <v>20</v>
      </c>
      <c r="P54" s="415"/>
      <c r="Q54" s="415"/>
      <c r="R54" s="415"/>
      <c r="S54" s="415"/>
      <c r="T54" s="415" t="s">
        <v>19</v>
      </c>
      <c r="U54" s="415"/>
      <c r="V54" s="415"/>
      <c r="W54" s="415"/>
      <c r="X54" s="415"/>
      <c r="Z54" s="17"/>
      <c r="AB54" s="14"/>
      <c r="AC54" s="7"/>
      <c r="AD54" s="3" t="s">
        <v>57</v>
      </c>
      <c r="AE54" s="3" t="s">
        <v>57</v>
      </c>
      <c r="AF54" s="3" t="s">
        <v>304</v>
      </c>
      <c r="AG54" s="3" t="s">
        <v>120</v>
      </c>
      <c r="AH54" s="3" t="s">
        <v>121</v>
      </c>
      <c r="AI54" s="3" t="s">
        <v>122</v>
      </c>
      <c r="AJ54" s="3" t="s">
        <v>123</v>
      </c>
      <c r="AK54" s="3" t="s">
        <v>124</v>
      </c>
      <c r="AL54" s="3" t="s">
        <v>125</v>
      </c>
      <c r="AM54" s="3" t="s">
        <v>101</v>
      </c>
      <c r="AN54" s="3" t="s">
        <v>129</v>
      </c>
      <c r="AO54" s="3" t="s">
        <v>128</v>
      </c>
      <c r="AP54" s="3" t="s">
        <v>126</v>
      </c>
      <c r="AQ54" s="3" t="s">
        <v>127</v>
      </c>
      <c r="AR54" s="3" t="s">
        <v>129</v>
      </c>
      <c r="AS54" s="3" t="s">
        <v>128</v>
      </c>
      <c r="AT54" s="3" t="s">
        <v>130</v>
      </c>
      <c r="AU54" s="3" t="s">
        <v>112</v>
      </c>
      <c r="AV54" s="3" t="s">
        <v>117</v>
      </c>
      <c r="AW54" s="3" t="s">
        <v>143</v>
      </c>
      <c r="AX54" s="3" t="s">
        <v>149</v>
      </c>
      <c r="AY54" s="3" t="s">
        <v>131</v>
      </c>
      <c r="AZ54" s="3" t="s">
        <v>150</v>
      </c>
      <c r="BA54" s="3" t="s">
        <v>112</v>
      </c>
      <c r="BB54" s="3" t="s">
        <v>308</v>
      </c>
      <c r="BC54" s="3" t="s">
        <v>151</v>
      </c>
    </row>
    <row r="55" spans="1:57" ht="17.25" customHeight="1" x14ac:dyDescent="0.25">
      <c r="E55" s="401"/>
      <c r="F55" s="401"/>
      <c r="G55" s="401"/>
      <c r="H55" s="401"/>
      <c r="I55" s="401"/>
      <c r="J55" s="401"/>
      <c r="K55" s="401"/>
      <c r="L55" s="402"/>
      <c r="M55" s="402"/>
      <c r="N55" s="402"/>
      <c r="O55" s="415"/>
      <c r="P55" s="415"/>
      <c r="Q55" s="415"/>
      <c r="R55" s="415"/>
      <c r="S55" s="415"/>
      <c r="T55" s="415"/>
      <c r="U55" s="415"/>
      <c r="V55" s="415"/>
      <c r="W55" s="415"/>
      <c r="X55" s="415"/>
      <c r="Y55" s="17"/>
      <c r="Z55" s="17"/>
      <c r="AA55" s="18" t="str">
        <f>IF(VLOOKUP(O56,$A$36:$C$37,3)&gt;0,AA56,CONCATENATE("-",AA56))</f>
        <v>-12.24°</v>
      </c>
      <c r="AB55" s="14" t="str">
        <f>BC55</f>
        <v>-12°14'24.00 [-12°14.40]  (-12.2400°)</v>
      </c>
      <c r="AC55" s="7">
        <f>BB55</f>
        <v>-12.24</v>
      </c>
      <c r="AD55" s="5">
        <f>IF(LEFT(TRIM(AA55),1)="-",-1,IF(LEFT(TRIM(AA55),1)="+",1, 0))</f>
        <v>-1</v>
      </c>
      <c r="AE55" s="5" t="str">
        <f>IF(AD55&gt;0,"+",IF(AD55&lt;0,"-",""))</f>
        <v>-</v>
      </c>
      <c r="AF55" s="5" t="str">
        <f>IF(ABS(AD55)&gt;0,RIGHT(AA55,LEN(AA55)-1),AA55)</f>
        <v>12.24°</v>
      </c>
      <c r="AG55" s="5" t="b">
        <f>ISNUMBER(SEARCH("°",AF55,1))</f>
        <v>1</v>
      </c>
      <c r="AH55" s="5" t="b">
        <f>ISNUMBER(SEARCH("'",AF55,1))</f>
        <v>0</v>
      </c>
      <c r="AI55" s="5" t="b">
        <f>ISNUMBER(SEARCH("""",AF55,1))</f>
        <v>0</v>
      </c>
      <c r="AJ55" s="5" t="b">
        <f>NOT(OR(AG55,AH55,AI55))</f>
        <v>0</v>
      </c>
      <c r="AK55" s="5" t="b">
        <f t="shared" ref="AK55" si="57">OR(AJ55,AG55)</f>
        <v>1</v>
      </c>
      <c r="AL55" s="6" t="str">
        <f>IF(AJ55,VALUE(AF55),IF(AG55,LEFT(AF55,SEARCH("°",AF55,1)-1),0))</f>
        <v>12.24</v>
      </c>
      <c r="AM55" s="5" t="str">
        <f>IF(AJ55,"",IF(AG55,RIGHT(AF55,LEN(AF55)-SEARCH("°",AF55,1)),AF55))</f>
        <v/>
      </c>
      <c r="AN55" s="5" t="b">
        <f>(LEN(AM55)&gt;0)</f>
        <v>0</v>
      </c>
      <c r="AO55" s="5" t="b">
        <f>NOT(OR(AH55,AI55))</f>
        <v>1</v>
      </c>
      <c r="AP55" s="6">
        <f t="shared" ref="AP55" si="58">IF(NOT(AN55),0,IF(AO55,VALUE(AM55),IF(NOT(AH55),0,VALUE(LEFT(AM55,SEARCH("'",AM55,1)-1)))))</f>
        <v>0</v>
      </c>
      <c r="AQ55" s="5" t="str">
        <f t="shared" ref="AQ55" si="59">IF(NOT(AN55),"",IF(AO55,"",IF(NOT(AH55),AM55,RIGHT(AM55,LEN(AM55)-SEARCH("'",AM55,1)))))</f>
        <v/>
      </c>
      <c r="AR55" s="5" t="b">
        <f>(LEN(AQ55)&gt;0)</f>
        <v>0</v>
      </c>
      <c r="AS55" s="5" t="b">
        <f t="shared" ref="AS55" si="60">NOT(AI55)</f>
        <v>1</v>
      </c>
      <c r="AT55" s="5" t="b">
        <f>ISNUMBER(SEARCH(".",AQ55,1))</f>
        <v>0</v>
      </c>
      <c r="AU55" s="6">
        <f t="shared" ref="AU55" si="61">IF(AR55,IF(AI55,IF(AT55,VALUE(SUBSTITUTE(AQ55, """", "")),VALUE(SUBSTITUTE(AQ55, """", "."))),VALUE(AQ55)),0)</f>
        <v>0</v>
      </c>
      <c r="AV55" s="6">
        <f t="shared" ref="AV55" si="62">AL55*3600+AP55*60+AU55</f>
        <v>44064</v>
      </c>
      <c r="AW55" s="6">
        <f>AV55/3600</f>
        <v>12.24</v>
      </c>
      <c r="AX55" s="6">
        <f>_xlfn.FLOOR.MATH((AW55))</f>
        <v>12</v>
      </c>
      <c r="AY55" s="6">
        <f>(AV55-3600*AX55)/60</f>
        <v>14.4</v>
      </c>
      <c r="AZ55" s="6">
        <f>_xlfn.FLOOR.MATH((AY55))</f>
        <v>14</v>
      </c>
      <c r="BA55" s="6">
        <f>AV55-3600*AX55-60*AZ55</f>
        <v>24</v>
      </c>
      <c r="BB55" s="6">
        <f>AW55*IF(AD55&lt;0,-1,1)</f>
        <v>-12.24</v>
      </c>
      <c r="BC55" s="7" t="str">
        <f>CONCATENATE(AE55,TEXT(AX55,"00"),"°",TEXT(AZ55,"00"),"'",TEXT(BA55,"00.00"), " [", CONCATENATE(AE55,TEXT(AX55,"00"),"°",TEXT(AY55,"00.00")),"]", "  (", AE55,TEXT(AW55,"00.0000"),"°)")</f>
        <v>-12°14'24.00 [-12°14.40]  (-12.2400°)</v>
      </c>
    </row>
    <row r="56" spans="1:57" ht="17.25" customHeight="1" x14ac:dyDescent="0.25">
      <c r="D56" s="59"/>
      <c r="E56" s="397">
        <f>IF(F44=AE45,AC58,"---")</f>
        <v>-11.98176</v>
      </c>
      <c r="F56" s="397"/>
      <c r="G56" s="397"/>
      <c r="H56" s="321">
        <f>D11</f>
        <v>16.14</v>
      </c>
      <c r="I56" s="321"/>
      <c r="J56" s="321"/>
      <c r="K56" s="321"/>
      <c r="L56" s="307">
        <v>0</v>
      </c>
      <c r="M56" s="321"/>
      <c r="N56" s="321"/>
      <c r="O56" s="321" t="s">
        <v>5</v>
      </c>
      <c r="P56" s="416" t="s">
        <v>373</v>
      </c>
      <c r="Q56" s="321"/>
      <c r="R56" s="321"/>
      <c r="S56" s="321"/>
      <c r="T56" s="321" t="s">
        <v>4</v>
      </c>
      <c r="U56" s="416" t="s">
        <v>315</v>
      </c>
      <c r="V56" s="321"/>
      <c r="W56" s="321"/>
      <c r="X56" s="321"/>
      <c r="Y56" s="17"/>
      <c r="AA56" s="18" t="str">
        <f>P56</f>
        <v>12.24°</v>
      </c>
      <c r="AC56" s="37"/>
      <c r="AD56" s="21"/>
      <c r="AG56" s="21"/>
      <c r="AL56" s="22"/>
      <c r="AN56" s="29"/>
      <c r="AT56" s="38"/>
      <c r="AU56" s="38"/>
      <c r="AV56" s="39"/>
      <c r="AW56" s="39"/>
      <c r="AX56" s="178"/>
      <c r="AY56" s="178"/>
      <c r="AZ56" s="178"/>
      <c r="BA56" s="178"/>
    </row>
    <row r="57" spans="1:57" ht="17.25" customHeight="1" collapsed="1" thickBot="1" x14ac:dyDescent="0.3">
      <c r="E57" s="398"/>
      <c r="F57" s="398"/>
      <c r="G57" s="398"/>
      <c r="H57" s="363"/>
      <c r="I57" s="363"/>
      <c r="J57" s="363"/>
      <c r="K57" s="363"/>
      <c r="L57" s="400"/>
      <c r="M57" s="363"/>
      <c r="N57" s="363"/>
      <c r="O57" s="363"/>
      <c r="P57" s="363"/>
      <c r="Q57" s="363"/>
      <c r="R57" s="363"/>
      <c r="S57" s="363"/>
      <c r="T57" s="363"/>
      <c r="U57" s="363"/>
      <c r="V57" s="363"/>
      <c r="W57" s="363"/>
      <c r="X57" s="363"/>
      <c r="Y57" s="17"/>
      <c r="AA57" s="18" t="str">
        <f>IF(VLOOKUP(T56,$A$36:$C$37,3)&gt;0,AA58,CONCATENATE("-",AA58))</f>
        <v>0°0.96'</v>
      </c>
      <c r="AB57" s="14" t="str">
        <f>BC57</f>
        <v>00°00'57.60 [00°00.96]  (00.0160°)</v>
      </c>
      <c r="AC57" s="7">
        <f>BB57</f>
        <v>1.5999999999999997E-2</v>
      </c>
      <c r="AD57" s="5">
        <f>IF(LEFT(TRIM(AA57),1)="-",-1,IF(LEFT(TRIM(AA57),1)="+",1, 0))</f>
        <v>0</v>
      </c>
      <c r="AE57" s="5" t="str">
        <f>IF(AD57&gt;0,"+",IF(AD57&lt;0,"-",""))</f>
        <v/>
      </c>
      <c r="AF57" s="5" t="str">
        <f>IF(ABS(AD57)&gt;0,RIGHT(AA57,LEN(AA57)-1),AA57)</f>
        <v>0°0.96'</v>
      </c>
      <c r="AG57" s="5" t="b">
        <f>ISNUMBER(SEARCH("°",AF57,1))</f>
        <v>1</v>
      </c>
      <c r="AH57" s="5" t="b">
        <f>ISNUMBER(SEARCH("'",AF57,1))</f>
        <v>1</v>
      </c>
      <c r="AI57" s="5" t="b">
        <f>ISNUMBER(SEARCH("""",AF57,1))</f>
        <v>0</v>
      </c>
      <c r="AJ57" s="5" t="b">
        <f>NOT(OR(AG57,AH57,AI57))</f>
        <v>0</v>
      </c>
      <c r="AK57" s="5" t="b">
        <f t="shared" ref="AK57" si="63">OR(AJ57,AG57)</f>
        <v>1</v>
      </c>
      <c r="AL57" s="6" t="str">
        <f>IF(AJ57,VALUE(AF57),IF(AG57,LEFT(AF57,SEARCH("°",AF57,1)-1),0))</f>
        <v>0</v>
      </c>
      <c r="AM57" s="5" t="str">
        <f>IF(AJ57,"",IF(AG57,RIGHT(AF57,LEN(AF57)-SEARCH("°",AF57,1)),AF57))</f>
        <v>0.96'</v>
      </c>
      <c r="AN57" s="5" t="b">
        <f>(LEN(AM57)&gt;0)</f>
        <v>1</v>
      </c>
      <c r="AO57" s="5" t="b">
        <f>NOT(OR(AH57,AI57))</f>
        <v>0</v>
      </c>
      <c r="AP57" s="6">
        <f t="shared" ref="AP57" si="64">IF(NOT(AN57),0,IF(AO57,VALUE(AM57),IF(NOT(AH57),0,VALUE(LEFT(AM57,SEARCH("'",AM57,1)-1)))))</f>
        <v>0.96</v>
      </c>
      <c r="AQ57" s="5" t="str">
        <f t="shared" ref="AQ57" si="65">IF(NOT(AN57),"",IF(AO57,"",IF(NOT(AH57),AM57,RIGHT(AM57,LEN(AM57)-SEARCH("'",AM57,1)))))</f>
        <v/>
      </c>
      <c r="AR57" s="5" t="b">
        <f>(LEN(AQ57)&gt;0)</f>
        <v>0</v>
      </c>
      <c r="AS57" s="5" t="b">
        <f t="shared" ref="AS57" si="66">NOT(AI57)</f>
        <v>1</v>
      </c>
      <c r="AT57" s="5" t="b">
        <f>ISNUMBER(SEARCH(".",AQ57,1))</f>
        <v>0</v>
      </c>
      <c r="AU57" s="6">
        <f t="shared" ref="AU57" si="67">IF(AR57,IF(AI57,IF(AT57,VALUE(SUBSTITUTE(AQ57, """", "")),VALUE(SUBSTITUTE(AQ57, """", "."))),VALUE(AQ57)),0)</f>
        <v>0</v>
      </c>
      <c r="AV57" s="6">
        <f t="shared" ref="AV57" si="68">AL57*3600+AP57*60+AU57</f>
        <v>57.599999999999994</v>
      </c>
      <c r="AW57" s="6">
        <f>AV57/3600</f>
        <v>1.5999999999999997E-2</v>
      </c>
      <c r="AX57" s="6">
        <f>_xlfn.FLOOR.MATH((AW57))</f>
        <v>0</v>
      </c>
      <c r="AY57" s="6">
        <f>(AV57-3600*AX57)/60</f>
        <v>0.95999999999999985</v>
      </c>
      <c r="AZ57" s="6">
        <f>_xlfn.FLOOR.MATH((AY57))</f>
        <v>0</v>
      </c>
      <c r="BA57" s="6">
        <f>AV57-3600*AX57-60*AZ57</f>
        <v>57.599999999999994</v>
      </c>
      <c r="BB57" s="6">
        <f>AW57*IF(AD57&lt;0,-1,1)</f>
        <v>1.5999999999999997E-2</v>
      </c>
      <c r="BC57" s="7" t="str">
        <f>CONCATENATE(AE57,TEXT(AX57,"00"),"°",TEXT(AZ57,"00"),"'",TEXT(BA57,"00.00"), " [", CONCATENATE(AE57,TEXT(AX57,"00"),"°",TEXT(AY57,"00.00")),"]", "  (", AE57,TEXT(AW57,"00.0000"),"°)")</f>
        <v>00°00'57.60 [00°00.96]  (00.0160°)</v>
      </c>
    </row>
    <row r="58" spans="1:57" ht="17.25" customHeight="1" thickTop="1" thickBot="1" x14ac:dyDescent="0.3">
      <c r="E58" s="279" t="str">
        <f>AB59</f>
        <v>-11°58'54.34 [-11°58.91]  (-11.9818°)</v>
      </c>
      <c r="F58" s="279"/>
      <c r="G58" s="279"/>
      <c r="H58" s="279"/>
      <c r="I58" s="279"/>
      <c r="J58" s="279"/>
      <c r="O58" s="279" t="str">
        <f>AB55</f>
        <v>-12°14'24.00 [-12°14.40]  (-12.2400°)</v>
      </c>
      <c r="P58" s="279"/>
      <c r="Q58" s="279"/>
      <c r="R58" s="279"/>
      <c r="S58" s="279"/>
      <c r="T58" s="279" t="str">
        <f>AB57</f>
        <v>00°00'57.60 [00°00.96]  (00.0160°)</v>
      </c>
      <c r="U58" s="287"/>
      <c r="V58" s="287"/>
      <c r="W58" s="287"/>
      <c r="X58" s="287"/>
      <c r="AA58" s="18" t="str">
        <f>U56</f>
        <v>0°0.96'</v>
      </c>
      <c r="AC58" s="37">
        <f>AE58</f>
        <v>-11.98176</v>
      </c>
      <c r="AD58" s="61" t="s">
        <v>154</v>
      </c>
      <c r="AE58" s="22">
        <f>AC55+(H56-L56)*AC57</f>
        <v>-11.98176</v>
      </c>
      <c r="AG58" s="21"/>
      <c r="AL58" s="22"/>
      <c r="AN58" s="29"/>
      <c r="AT58" s="38"/>
      <c r="AU58" s="38"/>
      <c r="AV58" s="39"/>
      <c r="AW58" s="39"/>
      <c r="AX58" s="178"/>
      <c r="AY58" s="178"/>
      <c r="AZ58" s="178"/>
      <c r="BA58" s="178"/>
    </row>
    <row r="59" spans="1:57" ht="17.25" customHeight="1" thickTop="1" x14ac:dyDescent="0.25">
      <c r="R59" s="17"/>
      <c r="S59" s="17"/>
      <c r="T59" s="17"/>
      <c r="U59" s="17"/>
      <c r="V59" s="17"/>
      <c r="W59" s="17"/>
      <c r="AA59" s="18">
        <f>AC58</f>
        <v>-11.98176</v>
      </c>
      <c r="AB59" s="14" t="str">
        <f>BC59</f>
        <v>-11°58'54.34 [-11°58.91]  (-11.9818°)</v>
      </c>
      <c r="AC59" s="7">
        <f>BB59</f>
        <v>-11.98176</v>
      </c>
      <c r="AD59" s="5">
        <f>IF(LEFT(TRIM(AA59),1)="-",-1,IF(LEFT(TRIM(AA59),1)="+",1, 0))</f>
        <v>-1</v>
      </c>
      <c r="AE59" s="5" t="str">
        <f>IF(AD59&gt;0,"+",IF(AD59&lt;0,"-",""))</f>
        <v>-</v>
      </c>
      <c r="AF59" s="5" t="str">
        <f>IF(ABS(AD59)&gt;0,RIGHT(AA59,LEN(AA59)-1),AA59)</f>
        <v>11.98176</v>
      </c>
      <c r="AG59" s="5" t="b">
        <f>ISNUMBER(SEARCH("°",AF59,1))</f>
        <v>0</v>
      </c>
      <c r="AH59" s="5" t="b">
        <f>ISNUMBER(SEARCH("'",AF59,1))</f>
        <v>0</v>
      </c>
      <c r="AI59" s="5" t="b">
        <f>ISNUMBER(SEARCH("""",AF59,1))</f>
        <v>0</v>
      </c>
      <c r="AJ59" s="5" t="b">
        <f>NOT(OR(AG59,AH59,AI59))</f>
        <v>1</v>
      </c>
      <c r="AK59" s="5" t="b">
        <f t="shared" ref="AK59" si="69">OR(AJ59,AG59)</f>
        <v>1</v>
      </c>
      <c r="AL59" s="6">
        <f>IF(AJ59,VALUE(AF59),IF(AG59,LEFT(AF59,SEARCH("°",AF59,1)-1),0))</f>
        <v>11.98176</v>
      </c>
      <c r="AM59" s="5" t="str">
        <f>IF(AJ59,"",IF(AG59,RIGHT(AF59,LEN(AF59)-SEARCH("°",AF59,1)),AF59))</f>
        <v/>
      </c>
      <c r="AN59" s="5" t="b">
        <f>(LEN(AM59)&gt;0)</f>
        <v>0</v>
      </c>
      <c r="AO59" s="5" t="b">
        <f>NOT(OR(AH59,AI59))</f>
        <v>1</v>
      </c>
      <c r="AP59" s="6">
        <f t="shared" ref="AP59" si="70">IF(NOT(AN59),0,IF(AO59,VALUE(AM59),IF(NOT(AH59),0,VALUE(LEFT(AM59,SEARCH("'",AM59,1)-1)))))</f>
        <v>0</v>
      </c>
      <c r="AQ59" s="5" t="str">
        <f t="shared" ref="AQ59" si="71">IF(NOT(AN59),"",IF(AO59,"",IF(NOT(AH59),AM59,RIGHT(AM59,LEN(AM59)-SEARCH("'",AM59,1)))))</f>
        <v/>
      </c>
      <c r="AR59" s="5" t="b">
        <f>(LEN(AQ59)&gt;0)</f>
        <v>0</v>
      </c>
      <c r="AS59" s="5" t="b">
        <f t="shared" ref="AS59" si="72">NOT(AI59)</f>
        <v>1</v>
      </c>
      <c r="AT59" s="5" t="b">
        <f>ISNUMBER(SEARCH(".",AQ59,1))</f>
        <v>0</v>
      </c>
      <c r="AU59" s="6">
        <f t="shared" ref="AU59" si="73">IF(AR59,IF(AI59,IF(AT59,VALUE(SUBSTITUTE(AQ59, """", "")),VALUE(SUBSTITUTE(AQ59, """", "."))),VALUE(AQ59)),0)</f>
        <v>0</v>
      </c>
      <c r="AV59" s="6">
        <f t="shared" ref="AV59" si="74">AL59*3600+AP59*60+AU59</f>
        <v>43134.335999999996</v>
      </c>
      <c r="AW59" s="6">
        <f>AV59/3600</f>
        <v>11.98176</v>
      </c>
      <c r="AX59" s="6">
        <f>_xlfn.FLOOR.MATH((AW59))</f>
        <v>11</v>
      </c>
      <c r="AY59" s="6">
        <f>(AV59-3600*AX59)/60</f>
        <v>58.905599999999929</v>
      </c>
      <c r="AZ59" s="6">
        <f>_xlfn.FLOOR.MATH((AY59))</f>
        <v>58</v>
      </c>
      <c r="BA59" s="6">
        <f>AV59-3600*AX59-60*AZ59</f>
        <v>54.335999999995693</v>
      </c>
      <c r="BB59" s="6">
        <f>AW59*IF(AD59&lt;0,-1,1)</f>
        <v>-11.98176</v>
      </c>
      <c r="BC59" s="7" t="str">
        <f>CONCATENATE(AE59,TEXT(AX59,"00"),"°",TEXT(AZ59,"00"),"'",TEXT(BA59,"00.00"), " [", CONCATENATE(AE59,TEXT(AX59,"00"),"°",TEXT(AY59,"00.00")),"]", "  (", AE59,TEXT(AW59,"00.0000"),"°)")</f>
        <v>-11°58'54.34 [-11°58.91]  (-11.9818°)</v>
      </c>
    </row>
    <row r="60" spans="1:57" ht="17.25" customHeight="1" thickBot="1" x14ac:dyDescent="0.3">
      <c r="R60" s="17"/>
      <c r="S60" s="17"/>
      <c r="T60" s="17"/>
      <c r="U60" s="17"/>
      <c r="V60" s="17"/>
      <c r="W60" s="17"/>
      <c r="AC60" s="37"/>
      <c r="AD60" s="17"/>
      <c r="AE60" s="62"/>
      <c r="AF60" s="17"/>
      <c r="AK60" s="17"/>
      <c r="AL60" s="17"/>
      <c r="AM60" s="17"/>
      <c r="AN60" s="17"/>
      <c r="AO60" s="17"/>
      <c r="AP60" s="17"/>
      <c r="AQ60" s="17"/>
      <c r="AR60" s="17"/>
      <c r="AS60" s="17"/>
      <c r="AT60" s="17"/>
    </row>
    <row r="61" spans="1:57" s="50" customFormat="1" ht="17.25" customHeight="1" thickBot="1" x14ac:dyDescent="0.3">
      <c r="A61" s="1"/>
      <c r="B61" s="47" t="s">
        <v>70</v>
      </c>
      <c r="C61" s="48"/>
      <c r="D61" s="48"/>
      <c r="E61" s="362">
        <f>IF(F62=AE62,E66,E74)</f>
        <v>-18.14</v>
      </c>
      <c r="F61" s="362"/>
      <c r="G61" s="362"/>
      <c r="H61" s="48"/>
      <c r="I61" s="48"/>
      <c r="J61" s="48"/>
      <c r="K61" s="569">
        <f>E61-360</f>
        <v>-378.14</v>
      </c>
      <c r="L61" s="569"/>
      <c r="M61" s="48" t="s">
        <v>39</v>
      </c>
      <c r="N61" s="48"/>
      <c r="O61" s="48"/>
      <c r="P61" s="48"/>
      <c r="Q61" s="48"/>
      <c r="R61" s="48"/>
      <c r="S61" s="48"/>
      <c r="T61" s="48"/>
      <c r="U61" s="48"/>
      <c r="V61" s="48"/>
      <c r="W61" s="48"/>
      <c r="X61" s="48"/>
      <c r="Y61" s="48"/>
      <c r="Z61" s="48"/>
      <c r="AA61" s="48"/>
      <c r="AB61" s="48"/>
      <c r="AC61" s="48"/>
      <c r="AD61" s="48"/>
      <c r="AE61" s="48"/>
      <c r="AF61" s="48"/>
      <c r="AG61" s="48"/>
      <c r="AH61" s="48"/>
      <c r="AI61" s="48"/>
      <c r="AJ61" s="48"/>
      <c r="AK61" s="48"/>
      <c r="AL61" s="48"/>
      <c r="AM61" s="48"/>
      <c r="AN61" s="48"/>
      <c r="AO61" s="48"/>
      <c r="AP61" s="48"/>
      <c r="AQ61" s="48"/>
      <c r="AR61" s="48"/>
      <c r="AS61" s="48"/>
      <c r="AT61" s="48"/>
      <c r="AU61" s="48"/>
      <c r="AV61" s="48"/>
      <c r="AW61" s="48"/>
      <c r="AX61" s="48"/>
      <c r="AY61" s="48"/>
      <c r="AZ61" s="48"/>
      <c r="BA61" s="49"/>
    </row>
    <row r="62" spans="1:57" ht="17.25" customHeight="1" outlineLevel="1" x14ac:dyDescent="0.25">
      <c r="A62" s="50"/>
      <c r="B62" s="50"/>
      <c r="C62" s="434" t="s">
        <v>58</v>
      </c>
      <c r="D62" s="434"/>
      <c r="E62" s="434"/>
      <c r="F62" s="582" t="s">
        <v>11</v>
      </c>
      <c r="G62" s="582"/>
      <c r="H62" s="582"/>
      <c r="I62" s="50"/>
      <c r="J62" s="50"/>
      <c r="K62" s="50"/>
      <c r="L62" s="50"/>
      <c r="M62" s="50"/>
      <c r="N62" s="50"/>
      <c r="O62" s="50"/>
      <c r="P62" s="50"/>
      <c r="Q62" s="50"/>
      <c r="R62" s="50"/>
      <c r="S62" s="50"/>
      <c r="T62" s="50"/>
      <c r="U62" s="50"/>
      <c r="V62" s="50"/>
      <c r="W62" s="50"/>
      <c r="X62" s="50"/>
      <c r="Y62" s="50"/>
      <c r="Z62" s="50"/>
      <c r="AA62" s="51"/>
      <c r="AB62" s="52"/>
      <c r="AC62" s="52"/>
      <c r="AD62" s="53" t="s">
        <v>59</v>
      </c>
      <c r="AE62" s="54" t="s">
        <v>11</v>
      </c>
      <c r="AF62" s="55">
        <v>0</v>
      </c>
      <c r="AG62" s="55"/>
      <c r="AH62" s="50"/>
      <c r="AI62" s="50"/>
      <c r="AJ62" s="50"/>
      <c r="AK62" s="50"/>
      <c r="AL62" s="50"/>
      <c r="AM62" s="50"/>
      <c r="AN62" s="50"/>
      <c r="AO62" s="50"/>
      <c r="AP62" s="50"/>
      <c r="AQ62" s="50"/>
      <c r="AR62" s="50"/>
      <c r="AS62" s="50"/>
      <c r="AT62" s="50"/>
      <c r="AU62" s="50"/>
      <c r="AV62" s="50"/>
      <c r="AW62" s="50"/>
      <c r="AX62" s="50"/>
      <c r="AY62" s="50"/>
      <c r="AZ62" s="50"/>
      <c r="BA62" s="50"/>
      <c r="BB62" s="50"/>
      <c r="BC62" s="50"/>
      <c r="BD62" s="50"/>
      <c r="BE62" s="50"/>
    </row>
    <row r="63" spans="1:57" ht="17.25" customHeight="1" outlineLevel="1" x14ac:dyDescent="0.25">
      <c r="C63" s="56" t="s">
        <v>11</v>
      </c>
      <c r="D63" s="57"/>
      <c r="E63" s="57"/>
      <c r="F63" s="17"/>
      <c r="G63" s="17"/>
      <c r="H63" s="17"/>
      <c r="AE63" s="58" t="s">
        <v>17</v>
      </c>
      <c r="AF63" s="22">
        <v>1</v>
      </c>
      <c r="AH63" s="17"/>
      <c r="AI63" s="17"/>
      <c r="AJ63" s="17"/>
      <c r="AK63" s="17"/>
      <c r="AL63" s="17"/>
      <c r="AM63" s="17"/>
      <c r="AN63" s="17"/>
      <c r="AO63" s="17"/>
      <c r="AP63" s="17"/>
      <c r="AQ63" s="17"/>
      <c r="AR63" s="17"/>
      <c r="AS63" s="17"/>
      <c r="AT63" s="17"/>
    </row>
    <row r="64" spans="1:57" ht="17.25" customHeight="1" outlineLevel="1" x14ac:dyDescent="0.25">
      <c r="E64" s="401" t="s">
        <v>10</v>
      </c>
      <c r="F64" s="401"/>
      <c r="G64" s="401"/>
      <c r="H64" s="401" t="s">
        <v>13</v>
      </c>
      <c r="I64" s="401"/>
      <c r="J64" s="401"/>
      <c r="K64" s="401"/>
      <c r="L64" s="402" t="s">
        <v>14</v>
      </c>
      <c r="M64" s="402"/>
      <c r="N64" s="402"/>
      <c r="O64" s="415" t="s">
        <v>18</v>
      </c>
      <c r="P64" s="415"/>
      <c r="Q64" s="415"/>
      <c r="R64" s="415"/>
      <c r="S64" s="415"/>
      <c r="T64" s="17"/>
    </row>
    <row r="65" spans="2:61" ht="17.25" customHeight="1" outlineLevel="1" thickBot="1" x14ac:dyDescent="0.3">
      <c r="E65" s="401"/>
      <c r="F65" s="401"/>
      <c r="G65" s="401"/>
      <c r="H65" s="401"/>
      <c r="I65" s="401"/>
      <c r="J65" s="401"/>
      <c r="K65" s="401"/>
      <c r="L65" s="402"/>
      <c r="M65" s="402"/>
      <c r="N65" s="402"/>
      <c r="O65" s="415"/>
      <c r="P65" s="415"/>
      <c r="Q65" s="415"/>
      <c r="R65" s="415"/>
      <c r="S65" s="415"/>
      <c r="T65" s="17"/>
      <c r="AA65" s="18" t="str">
        <f>P66</f>
        <v>12°</v>
      </c>
      <c r="AB65" s="19"/>
      <c r="AC65" s="20"/>
      <c r="AD65" s="3" t="s">
        <v>57</v>
      </c>
      <c r="AE65" s="3" t="s">
        <v>57</v>
      </c>
      <c r="AF65" s="3" t="s">
        <v>304</v>
      </c>
      <c r="AG65" s="3" t="s">
        <v>120</v>
      </c>
      <c r="AH65" s="3" t="s">
        <v>121</v>
      </c>
      <c r="AI65" s="3" t="s">
        <v>122</v>
      </c>
      <c r="AJ65" s="3" t="s">
        <v>123</v>
      </c>
      <c r="AK65" s="3" t="s">
        <v>124</v>
      </c>
      <c r="AL65" s="3" t="s">
        <v>125</v>
      </c>
      <c r="AM65" s="3" t="s">
        <v>101</v>
      </c>
      <c r="AN65" s="3" t="s">
        <v>129</v>
      </c>
      <c r="AO65" s="3" t="s">
        <v>128</v>
      </c>
      <c r="AP65" s="3" t="s">
        <v>126</v>
      </c>
      <c r="AQ65" s="3" t="s">
        <v>127</v>
      </c>
      <c r="AR65" s="3" t="s">
        <v>129</v>
      </c>
      <c r="AS65" s="3" t="s">
        <v>128</v>
      </c>
      <c r="AT65" s="3" t="s">
        <v>130</v>
      </c>
      <c r="AU65" s="3" t="s">
        <v>112</v>
      </c>
      <c r="AV65" s="3" t="s">
        <v>117</v>
      </c>
      <c r="AW65" s="3" t="s">
        <v>143</v>
      </c>
      <c r="AX65" s="3" t="s">
        <v>149</v>
      </c>
      <c r="AY65" s="3" t="s">
        <v>131</v>
      </c>
      <c r="AZ65" s="3" t="s">
        <v>150</v>
      </c>
      <c r="BA65" s="3" t="s">
        <v>112</v>
      </c>
      <c r="BB65" s="3" t="s">
        <v>308</v>
      </c>
      <c r="BC65" s="3" t="s">
        <v>151</v>
      </c>
    </row>
    <row r="66" spans="2:61" ht="17.25" customHeight="1" outlineLevel="1" thickTop="1" thickBot="1" x14ac:dyDescent="0.3">
      <c r="D66" s="59"/>
      <c r="E66" s="397">
        <f>IF(F62=AE63,"---",AC71)</f>
        <v>-18.14</v>
      </c>
      <c r="F66" s="397"/>
      <c r="G66" s="397"/>
      <c r="H66" s="585">
        <f>D11</f>
        <v>16.14</v>
      </c>
      <c r="I66" s="585"/>
      <c r="J66" s="585"/>
      <c r="K66" s="585"/>
      <c r="L66" s="586">
        <v>10</v>
      </c>
      <c r="M66" s="585"/>
      <c r="N66" s="585"/>
      <c r="O66" s="585" t="s">
        <v>5</v>
      </c>
      <c r="P66" s="585" t="s">
        <v>21</v>
      </c>
      <c r="Q66" s="585"/>
      <c r="R66" s="585"/>
      <c r="S66" s="585"/>
      <c r="T66" s="357" t="str">
        <f>AB66</f>
        <v>-12°00'00.00 [-12°00.00]  (-12.0000°)</v>
      </c>
      <c r="U66" s="358"/>
      <c r="V66" s="358"/>
      <c r="W66" s="358"/>
      <c r="X66" s="358"/>
      <c r="AA66" s="18" t="str">
        <f>IF(VLOOKUP(O66,$A$36:$C$37,3)&gt;0,AA65,CONCATENATE("-",AA65))</f>
        <v>-12°</v>
      </c>
      <c r="AB66" s="14" t="str">
        <f>BC66</f>
        <v>-12°00'00.00 [-12°00.00]  (-12.0000°)</v>
      </c>
      <c r="AC66" s="7">
        <f>BB66</f>
        <v>-12</v>
      </c>
      <c r="AD66" s="5">
        <f>IF(LEFT(TRIM(AA66),1)="-",-1,IF(LEFT(TRIM(AA66),1)="+",1, 0))</f>
        <v>-1</v>
      </c>
      <c r="AE66" s="5" t="str">
        <f>IF(AD66&gt;0,"+",IF(AD66&lt;0,"-",""))</f>
        <v>-</v>
      </c>
      <c r="AF66" s="5" t="str">
        <f>IF(ABS(AD66)&gt;0,RIGHT(AA66,LEN(AA66)-1),AA66)</f>
        <v>12°</v>
      </c>
      <c r="AG66" s="5" t="b">
        <f>ISNUMBER(SEARCH("°",AF66,1))</f>
        <v>1</v>
      </c>
      <c r="AH66" s="5" t="b">
        <f>ISNUMBER(SEARCH("'",AF66,1))</f>
        <v>0</v>
      </c>
      <c r="AI66" s="5" t="b">
        <f>ISNUMBER(SEARCH("""",AF66,1))</f>
        <v>0</v>
      </c>
      <c r="AJ66" s="5" t="b">
        <f>NOT(OR(AG66,AH66,AI66))</f>
        <v>0</v>
      </c>
      <c r="AK66" s="5" t="b">
        <f t="shared" ref="AK66" si="75">OR(AJ66,AG66)</f>
        <v>1</v>
      </c>
      <c r="AL66" s="6" t="str">
        <f>IF(AJ66,VALUE(AF66),IF(AG66,LEFT(AF66,SEARCH("°",AF66,1)-1),0))</f>
        <v>12</v>
      </c>
      <c r="AM66" s="5" t="str">
        <f>IF(AJ66,"",IF(AG66,RIGHT(AF66,LEN(AF66)-SEARCH("°",AF66,1)),AF66))</f>
        <v/>
      </c>
      <c r="AN66" s="5" t="b">
        <f>(LEN(AM66)&gt;0)</f>
        <v>0</v>
      </c>
      <c r="AO66" s="5" t="b">
        <f>NOT(OR(AH66,AI66))</f>
        <v>1</v>
      </c>
      <c r="AP66" s="6">
        <f t="shared" ref="AP66:AP68" si="76">IF(NOT(AN66),0,IF(AO66,VALUE(AM66),IF(NOT(AH66),0,VALUE(LEFT(AM66,SEARCH("'",AM66,1)-1)))))</f>
        <v>0</v>
      </c>
      <c r="AQ66" s="5" t="str">
        <f t="shared" ref="AQ66:AQ68" si="77">IF(NOT(AN66),"",IF(AO66,"",IF(NOT(AH66),AM66,RIGHT(AM66,LEN(AM66)-SEARCH("'",AM66,1)))))</f>
        <v/>
      </c>
      <c r="AR66" s="5" t="b">
        <f>(LEN(AQ66)&gt;0)</f>
        <v>0</v>
      </c>
      <c r="AS66" s="5" t="b">
        <f t="shared" ref="AS66:AS68" si="78">NOT(AI66)</f>
        <v>1</v>
      </c>
      <c r="AT66" s="5" t="b">
        <f>ISNUMBER(SEARCH(".",AQ66,1))</f>
        <v>0</v>
      </c>
      <c r="AU66" s="6">
        <f t="shared" ref="AU66:AU68" si="79">IF(AR66,IF(AI66,IF(AT66,VALUE(SUBSTITUTE(AQ66, """", "")),VALUE(SUBSTITUTE(AQ66, """", "."))),VALUE(AQ66)),0)</f>
        <v>0</v>
      </c>
      <c r="AV66" s="6">
        <f t="shared" ref="AV66:AV68" si="80">AL66*3600+AP66*60+AU66</f>
        <v>43200</v>
      </c>
      <c r="AW66" s="6">
        <f>AV66/3600</f>
        <v>12</v>
      </c>
      <c r="AX66" s="6">
        <f>_xlfn.FLOOR.MATH((AW66))</f>
        <v>12</v>
      </c>
      <c r="AY66" s="6">
        <f>(AV66-3600*AX66)/60</f>
        <v>0</v>
      </c>
      <c r="AZ66" s="6">
        <f>_xlfn.FLOOR.MATH((AY66))</f>
        <v>0</v>
      </c>
      <c r="BA66" s="6">
        <f>AV66-3600*AX66-60*AZ66</f>
        <v>0</v>
      </c>
      <c r="BB66" s="6">
        <f>AW66*IF(AD66&lt;0,-1,1)</f>
        <v>-12</v>
      </c>
      <c r="BC66" s="7" t="str">
        <f>CONCATENATE(AE66,TEXT(AX66,"00"),"°",TEXT(AZ66,"00"),"'",TEXT(BA66,"00.00"), " [", CONCATENATE(AE66,TEXT(AX66,"00"),"°",TEXT(AY66,"00.00")),"]", "  (", AE66,TEXT(AW66,"00.0000"),"°)")</f>
        <v>-12°00'00.00 [-12°00.00]  (-12.0000°)</v>
      </c>
    </row>
    <row r="67" spans="2:61" ht="17.25" customHeight="1" outlineLevel="1" thickTop="1" thickBot="1" x14ac:dyDescent="0.3">
      <c r="E67" s="398"/>
      <c r="F67" s="398"/>
      <c r="G67" s="398"/>
      <c r="H67" s="584"/>
      <c r="I67" s="584"/>
      <c r="J67" s="584"/>
      <c r="K67" s="584"/>
      <c r="L67" s="583"/>
      <c r="M67" s="584"/>
      <c r="N67" s="584"/>
      <c r="O67" s="584"/>
      <c r="P67" s="584"/>
      <c r="Q67" s="584"/>
      <c r="R67" s="584"/>
      <c r="S67" s="584"/>
      <c r="T67" s="358"/>
      <c r="U67" s="358"/>
      <c r="V67" s="358"/>
      <c r="W67" s="358"/>
      <c r="X67" s="358"/>
      <c r="AA67" s="18" t="str">
        <f>P68</f>
        <v>13°</v>
      </c>
      <c r="AB67" s="14"/>
      <c r="AC67" s="7"/>
      <c r="AD67" s="178"/>
      <c r="AE67" s="178"/>
      <c r="AF67" s="178"/>
      <c r="AG67" s="178"/>
      <c r="AH67" s="178"/>
      <c r="AI67" s="178"/>
      <c r="AJ67" s="178"/>
      <c r="AK67" s="178"/>
      <c r="AL67" s="178"/>
      <c r="AM67" s="178"/>
      <c r="AN67" s="178"/>
      <c r="AO67" s="5"/>
      <c r="AP67" s="6">
        <f t="shared" si="76"/>
        <v>0</v>
      </c>
      <c r="AQ67" s="5" t="str">
        <f t="shared" si="77"/>
        <v/>
      </c>
      <c r="AR67" s="5" t="b">
        <f>(LEN(AQ67)&gt;0)</f>
        <v>0</v>
      </c>
      <c r="AS67" s="5" t="b">
        <f t="shared" si="78"/>
        <v>1</v>
      </c>
      <c r="AT67" s="5" t="b">
        <f>ISNUMBER(SEARCH(".",AQ67,1))</f>
        <v>0</v>
      </c>
      <c r="AU67" s="6">
        <f t="shared" si="79"/>
        <v>0</v>
      </c>
      <c r="AV67" s="6">
        <f t="shared" si="80"/>
        <v>0</v>
      </c>
      <c r="AW67" s="6">
        <f>AV67/3600</f>
        <v>0</v>
      </c>
      <c r="AX67" s="6">
        <f>_xlfn.FLOOR.MATH((AW67))</f>
        <v>0</v>
      </c>
      <c r="AY67" s="6">
        <f>(AV67-3600*AX67)/60</f>
        <v>0</v>
      </c>
      <c r="AZ67" s="6">
        <f>_xlfn.FLOOR.MATH((AY67))</f>
        <v>0</v>
      </c>
      <c r="BA67" s="6">
        <f>AV67-3600*AX67-60*AZ67</f>
        <v>0</v>
      </c>
      <c r="BB67" s="6">
        <f>AW67*IF(AD67&lt;0,-1,1)</f>
        <v>0</v>
      </c>
      <c r="BC67" s="7" t="str">
        <f>CONCATENATE(AE67,TEXT(AX67,"00"),"°",TEXT(AZ67,"00"),"'",TEXT(BA67,"00.00"), " [", CONCATENATE(AE67,TEXT(AX67,"00"),"°",TEXT(AY67,"00.00")),"]", "  (", AE67,TEXT(AW67,"00.0000"),"°)")</f>
        <v>00°00'00.00 [00°00.00]  (00.0000°)</v>
      </c>
    </row>
    <row r="68" spans="2:61" ht="17.25" customHeight="1" outlineLevel="1" thickTop="1" thickBot="1" x14ac:dyDescent="0.3">
      <c r="E68" s="398"/>
      <c r="F68" s="398"/>
      <c r="G68" s="398"/>
      <c r="H68" s="584"/>
      <c r="I68" s="584"/>
      <c r="J68" s="584"/>
      <c r="K68" s="584"/>
      <c r="L68" s="583">
        <v>11</v>
      </c>
      <c r="M68" s="584"/>
      <c r="N68" s="584"/>
      <c r="O68" s="584" t="s">
        <v>5</v>
      </c>
      <c r="P68" s="584" t="s">
        <v>22</v>
      </c>
      <c r="Q68" s="584"/>
      <c r="R68" s="584"/>
      <c r="S68" s="584"/>
      <c r="T68" s="357" t="str">
        <f>AB68</f>
        <v>-13°00'00.00 [-13°00.00]  (-13.0000°)</v>
      </c>
      <c r="U68" s="358"/>
      <c r="V68" s="358"/>
      <c r="W68" s="358"/>
      <c r="X68" s="358"/>
      <c r="AA68" s="18" t="str">
        <f>IF(VLOOKUP(O68,$A$36:$C$37,3)&gt;0,AA67,CONCATENATE("-",AA67))</f>
        <v>-13°</v>
      </c>
      <c r="AB68" s="14" t="str">
        <f>BC68</f>
        <v>-13°00'00.00 [-13°00.00]  (-13.0000°)</v>
      </c>
      <c r="AC68" s="7">
        <f>BB68</f>
        <v>-13</v>
      </c>
      <c r="AD68" s="5">
        <f>IF(LEFT(TRIM(AA68),1)="-",-1,IF(LEFT(TRIM(AA68),1)="+",1, 0))</f>
        <v>-1</v>
      </c>
      <c r="AE68" s="5" t="str">
        <f>IF(AD68&gt;0,"+",IF(AD68&lt;0,"-",""))</f>
        <v>-</v>
      </c>
      <c r="AF68" s="5" t="str">
        <f>IF(ABS(AD68)&gt;0,RIGHT(AA68,LEN(AA68)-1),AA68)</f>
        <v>13°</v>
      </c>
      <c r="AG68" s="5" t="b">
        <f>ISNUMBER(SEARCH("°",AF68,1))</f>
        <v>1</v>
      </c>
      <c r="AH68" s="5" t="b">
        <f>ISNUMBER(SEARCH("'",AF68,1))</f>
        <v>0</v>
      </c>
      <c r="AI68" s="5" t="b">
        <f>ISNUMBER(SEARCH("""",AF68,1))</f>
        <v>0</v>
      </c>
      <c r="AJ68" s="5" t="b">
        <f>NOT(OR(AG68,AH68,AI68))</f>
        <v>0</v>
      </c>
      <c r="AK68" s="5" t="b">
        <f t="shared" ref="AK68" si="81">OR(AJ68,AG68)</f>
        <v>1</v>
      </c>
      <c r="AL68" s="6" t="str">
        <f>IF(AJ68,VALUE(AF68),IF(AG68,LEFT(AF68,SEARCH("°",AF68,1)-1),0))</f>
        <v>13</v>
      </c>
      <c r="AM68" s="5" t="str">
        <f>IF(AJ68,"",IF(AG68,RIGHT(AF68,LEN(AF68)-SEARCH("°",AF68,1)),AF68))</f>
        <v/>
      </c>
      <c r="AN68" s="5" t="b">
        <f>(LEN(AM68)&gt;0)</f>
        <v>0</v>
      </c>
      <c r="AO68" s="5" t="b">
        <f>NOT(OR(AH68,AI68))</f>
        <v>1</v>
      </c>
      <c r="AP68" s="6">
        <f t="shared" si="76"/>
        <v>0</v>
      </c>
      <c r="AQ68" s="5" t="str">
        <f t="shared" si="77"/>
        <v/>
      </c>
      <c r="AR68" s="5" t="b">
        <f>(LEN(AQ68)&gt;0)</f>
        <v>0</v>
      </c>
      <c r="AS68" s="5" t="b">
        <f t="shared" si="78"/>
        <v>1</v>
      </c>
      <c r="AT68" s="5" t="b">
        <f>ISNUMBER(SEARCH(".",AQ68,1))</f>
        <v>0</v>
      </c>
      <c r="AU68" s="6">
        <f t="shared" si="79"/>
        <v>0</v>
      </c>
      <c r="AV68" s="6">
        <f t="shared" si="80"/>
        <v>46800</v>
      </c>
      <c r="AW68" s="6">
        <f>AV68/3600</f>
        <v>13</v>
      </c>
      <c r="AX68" s="6">
        <f>_xlfn.FLOOR.MATH((AW68))</f>
        <v>13</v>
      </c>
      <c r="AY68" s="6">
        <f>(AV68-3600*AX68)/60</f>
        <v>0</v>
      </c>
      <c r="AZ68" s="6">
        <f>_xlfn.FLOOR.MATH((AY68))</f>
        <v>0</v>
      </c>
      <c r="BA68" s="6">
        <f>AV68-3600*AX68-60*AZ68</f>
        <v>0</v>
      </c>
      <c r="BB68" s="6">
        <f>AW68*IF(AD68&lt;0,-1,1)</f>
        <v>-13</v>
      </c>
      <c r="BC68" s="7" t="str">
        <f>CONCATENATE(AE68,TEXT(AX68,"00"),"°",TEXT(AZ68,"00"),"'",TEXT(BA68,"00.00"), " [", CONCATENATE(AE68,TEXT(AX68,"00"),"°",TEXT(AY68,"00.00")),"]", "  (", AE68,TEXT(AW68,"00.0000"),"°)")</f>
        <v>-13°00'00.00 [-13°00.00]  (-13.0000°)</v>
      </c>
    </row>
    <row r="69" spans="2:61" ht="17.25" customHeight="1" outlineLevel="1" thickTop="1" thickBot="1" x14ac:dyDescent="0.3">
      <c r="E69" s="398"/>
      <c r="F69" s="398"/>
      <c r="G69" s="398"/>
      <c r="H69" s="584"/>
      <c r="I69" s="584"/>
      <c r="J69" s="584"/>
      <c r="K69" s="584"/>
      <c r="L69" s="583"/>
      <c r="M69" s="584"/>
      <c r="N69" s="584"/>
      <c r="O69" s="584"/>
      <c r="P69" s="584"/>
      <c r="Q69" s="584"/>
      <c r="R69" s="584"/>
      <c r="S69" s="584"/>
      <c r="T69" s="358"/>
      <c r="U69" s="358"/>
      <c r="V69" s="358"/>
      <c r="W69" s="358"/>
      <c r="X69" s="358"/>
      <c r="AA69" s="18">
        <f>AC68</f>
        <v>-13</v>
      </c>
      <c r="AD69" s="31" t="s">
        <v>62</v>
      </c>
      <c r="AE69" s="31" t="s">
        <v>61</v>
      </c>
      <c r="AF69" s="31" t="s">
        <v>63</v>
      </c>
      <c r="AG69" s="31" t="s">
        <v>60</v>
      </c>
      <c r="AH69" s="178"/>
      <c r="AI69" s="178"/>
      <c r="AJ69" s="178"/>
      <c r="AK69" s="178"/>
      <c r="AL69" s="178"/>
      <c r="AM69" s="178"/>
      <c r="AN69" s="17"/>
      <c r="AO69" s="17"/>
      <c r="AP69" s="17"/>
      <c r="AQ69" s="17"/>
      <c r="AR69" s="17"/>
      <c r="AS69" s="17"/>
      <c r="AT69" s="17"/>
    </row>
    <row r="70" spans="2:61" ht="17.25" customHeight="1" outlineLevel="1" thickTop="1" thickBot="1" x14ac:dyDescent="0.3">
      <c r="E70" s="279" t="str">
        <f>AB71</f>
        <v>-18°08'24.00 [-18°08.40]  (-18.1400°)</v>
      </c>
      <c r="F70" s="279"/>
      <c r="G70" s="279"/>
      <c r="H70" s="279"/>
      <c r="I70" s="279"/>
      <c r="J70" s="279"/>
      <c r="Z70" s="17"/>
      <c r="AB70" s="28">
        <f>AL70</f>
        <v>0</v>
      </c>
      <c r="AC70" s="37">
        <f>AG70</f>
        <v>-18.14</v>
      </c>
      <c r="AD70" s="22">
        <f>L68-L66</f>
        <v>1</v>
      </c>
      <c r="AE70" s="22">
        <f>AC68-AC66</f>
        <v>-1</v>
      </c>
      <c r="AF70" s="22">
        <f>H66-L66</f>
        <v>6.1400000000000006</v>
      </c>
      <c r="AG70" s="22">
        <f>AC66+AF70*AE70</f>
        <v>-18.14</v>
      </c>
      <c r="AH70" s="178"/>
      <c r="AI70" s="178"/>
      <c r="AJ70" s="178"/>
      <c r="AK70" s="178"/>
      <c r="AL70" s="178"/>
      <c r="AM70" s="178"/>
      <c r="AN70" s="17"/>
      <c r="AO70" s="17"/>
      <c r="AP70" s="17"/>
      <c r="AQ70" s="17"/>
      <c r="AR70" s="17"/>
      <c r="AS70" s="17"/>
      <c r="AT70" s="17"/>
    </row>
    <row r="71" spans="2:61" ht="17.25" customHeight="1" outlineLevel="1" thickTop="1" x14ac:dyDescent="0.25">
      <c r="C71" s="56" t="s">
        <v>17</v>
      </c>
      <c r="D71" s="57"/>
      <c r="E71" s="57"/>
      <c r="F71" s="17"/>
      <c r="G71" s="17"/>
      <c r="H71" s="17"/>
      <c r="Z71" s="17"/>
      <c r="AA71" s="18">
        <f>AC70</f>
        <v>-18.14</v>
      </c>
      <c r="AB71" s="14" t="str">
        <f>BC71</f>
        <v>-18°08'24.00 [-18°08.40]  (-18.1400°)</v>
      </c>
      <c r="AC71" s="7">
        <f>BB71</f>
        <v>-18.14</v>
      </c>
      <c r="AD71" s="5">
        <f>IF(LEFT(TRIM(AA71),1)="-",-1,IF(LEFT(TRIM(AA71),1)="+",1, 0))</f>
        <v>-1</v>
      </c>
      <c r="AE71" s="5" t="str">
        <f>IF(AD71&gt;0,"+",IF(AD71&lt;0,"-",""))</f>
        <v>-</v>
      </c>
      <c r="AF71" s="5" t="str">
        <f>IF(ABS(AD71)&gt;0,RIGHT(AA71,LEN(AA71)-1),AA71)</f>
        <v>18.14</v>
      </c>
      <c r="AG71" s="5" t="b">
        <f>ISNUMBER(SEARCH("°",AF71,1))</f>
        <v>0</v>
      </c>
      <c r="AH71" s="5" t="b">
        <f>ISNUMBER(SEARCH("'",AF71,1))</f>
        <v>0</v>
      </c>
      <c r="AI71" s="5" t="b">
        <f>ISNUMBER(SEARCH("""",AF71,1))</f>
        <v>0</v>
      </c>
      <c r="AJ71" s="5" t="b">
        <f>NOT(OR(AG71,AH71,AI71))</f>
        <v>1</v>
      </c>
      <c r="AK71" s="5" t="b">
        <f t="shared" ref="AK71" si="82">OR(AJ71,AG71)</f>
        <v>1</v>
      </c>
      <c r="AL71" s="6">
        <f>IF(AJ71,VALUE(AF71),IF(AG71,LEFT(AF71,SEARCH("°",AF71,1)-1),0))</f>
        <v>18.14</v>
      </c>
      <c r="AM71" s="5" t="str">
        <f>IF(AJ71,"",IF(AG71,RIGHT(AF71,LEN(AF71)-SEARCH("°",AF71,1)),AF71))</f>
        <v/>
      </c>
      <c r="AN71" s="5" t="b">
        <f>(LEN(AM71)&gt;0)</f>
        <v>0</v>
      </c>
      <c r="AO71" s="5" t="b">
        <f>NOT(OR(AH71,AI71))</f>
        <v>1</v>
      </c>
      <c r="AP71" s="6">
        <f t="shared" ref="AP71" si="83">IF(NOT(AN71),0,IF(AO71,VALUE(AM71),IF(NOT(AH71),0,VALUE(LEFT(AM71,SEARCH("'",AM71,1)-1)))))</f>
        <v>0</v>
      </c>
      <c r="AQ71" s="5" t="str">
        <f t="shared" ref="AQ71" si="84">IF(NOT(AN71),"",IF(AO71,"",IF(NOT(AH71),AM71,RIGHT(AM71,LEN(AM71)-SEARCH("'",AM71,1)))))</f>
        <v/>
      </c>
      <c r="AR71" s="5" t="b">
        <f>(LEN(AQ71)&gt;0)</f>
        <v>0</v>
      </c>
      <c r="AS71" s="5" t="b">
        <f t="shared" ref="AS71" si="85">NOT(AI71)</f>
        <v>1</v>
      </c>
      <c r="AT71" s="5" t="b">
        <f>ISNUMBER(SEARCH(".",AQ71,1))</f>
        <v>0</v>
      </c>
      <c r="AU71" s="6">
        <f t="shared" ref="AU71" si="86">IF(AR71,IF(AI71,IF(AT71,VALUE(SUBSTITUTE(AQ71, """", "")),VALUE(SUBSTITUTE(AQ71, """", "."))),VALUE(AQ71)),0)</f>
        <v>0</v>
      </c>
      <c r="AV71" s="6">
        <f t="shared" ref="AV71" si="87">AL71*3600+AP71*60+AU71</f>
        <v>65304</v>
      </c>
      <c r="AW71" s="6">
        <f>AV71/3600</f>
        <v>18.14</v>
      </c>
      <c r="AX71" s="6">
        <f>_xlfn.FLOOR.MATH((AW71))</f>
        <v>18</v>
      </c>
      <c r="AY71" s="6">
        <f>(AV71-3600*AX71)/60</f>
        <v>8.4</v>
      </c>
      <c r="AZ71" s="6">
        <f>_xlfn.FLOOR.MATH((AY71))</f>
        <v>8</v>
      </c>
      <c r="BA71" s="6">
        <f>AV71-3600*AX71-60*AZ71</f>
        <v>24</v>
      </c>
      <c r="BB71" s="6">
        <f>AW71*IF(AD71&lt;0,-1,1)</f>
        <v>-18.14</v>
      </c>
      <c r="BC71" s="7" t="str">
        <f>CONCATENATE(AE71,TEXT(AX71,"00"),"°",TEXT(AZ71,"00"),"'",TEXT(BA71,"00.00"), " [", CONCATENATE(AE71,TEXT(AX71,"00"),"°",TEXT(AY71,"00.00")),"]", "  (", AE71,TEXT(AW71,"00.0000"),"°)")</f>
        <v>-18°08'24.00 [-18°08.40]  (-18.1400°)</v>
      </c>
    </row>
    <row r="72" spans="2:61" ht="17.25" customHeight="1" outlineLevel="1" x14ac:dyDescent="0.25">
      <c r="C72" s="17"/>
      <c r="D72" s="17"/>
      <c r="E72" s="401" t="s">
        <v>10</v>
      </c>
      <c r="F72" s="401"/>
      <c r="G72" s="401"/>
      <c r="H72" s="401" t="s">
        <v>13</v>
      </c>
      <c r="I72" s="401"/>
      <c r="J72" s="401"/>
      <c r="K72" s="401"/>
      <c r="L72" s="402" t="s">
        <v>14</v>
      </c>
      <c r="M72" s="402"/>
      <c r="N72" s="402"/>
      <c r="O72" s="415" t="s">
        <v>20</v>
      </c>
      <c r="P72" s="415"/>
      <c r="Q72" s="415"/>
      <c r="R72" s="415"/>
      <c r="S72" s="415"/>
      <c r="T72" s="415" t="s">
        <v>19</v>
      </c>
      <c r="U72" s="415"/>
      <c r="V72" s="415"/>
      <c r="W72" s="415"/>
      <c r="X72" s="415"/>
      <c r="Z72" s="17"/>
      <c r="AA72" s="18" t="str">
        <f>P74</f>
        <v>6°35.9</v>
      </c>
      <c r="AB72" s="19"/>
      <c r="AC72" s="20"/>
      <c r="AD72" s="3" t="s">
        <v>57</v>
      </c>
      <c r="AE72" s="3" t="s">
        <v>57</v>
      </c>
      <c r="AF72" s="3" t="s">
        <v>304</v>
      </c>
      <c r="AG72" s="3" t="s">
        <v>120</v>
      </c>
      <c r="AH72" s="3" t="s">
        <v>121</v>
      </c>
      <c r="AI72" s="3" t="s">
        <v>122</v>
      </c>
      <c r="AJ72" s="3" t="s">
        <v>123</v>
      </c>
      <c r="AK72" s="3" t="s">
        <v>124</v>
      </c>
      <c r="AL72" s="3" t="s">
        <v>125</v>
      </c>
      <c r="AM72" s="3" t="s">
        <v>101</v>
      </c>
      <c r="AN72" s="3" t="s">
        <v>129</v>
      </c>
      <c r="AO72" s="3" t="s">
        <v>128</v>
      </c>
      <c r="AP72" s="3" t="s">
        <v>126</v>
      </c>
      <c r="AQ72" s="3" t="s">
        <v>127</v>
      </c>
      <c r="AR72" s="3" t="s">
        <v>129</v>
      </c>
      <c r="AS72" s="3" t="s">
        <v>128</v>
      </c>
      <c r="AT72" s="3" t="s">
        <v>130</v>
      </c>
      <c r="AU72" s="3" t="s">
        <v>112</v>
      </c>
      <c r="AV72" s="3" t="s">
        <v>117</v>
      </c>
      <c r="AW72" s="3" t="s">
        <v>143</v>
      </c>
      <c r="AX72" s="3" t="s">
        <v>149</v>
      </c>
      <c r="AY72" s="3" t="s">
        <v>131</v>
      </c>
      <c r="AZ72" s="3" t="s">
        <v>150</v>
      </c>
      <c r="BA72" s="3" t="s">
        <v>112</v>
      </c>
      <c r="BB72" s="3" t="s">
        <v>308</v>
      </c>
      <c r="BC72" s="3" t="s">
        <v>151</v>
      </c>
    </row>
    <row r="73" spans="2:61" ht="17.25" customHeight="1" outlineLevel="1" x14ac:dyDescent="0.25">
      <c r="E73" s="401"/>
      <c r="F73" s="401"/>
      <c r="G73" s="401"/>
      <c r="H73" s="401"/>
      <c r="I73" s="401"/>
      <c r="J73" s="401"/>
      <c r="K73" s="401"/>
      <c r="L73" s="402"/>
      <c r="M73" s="402"/>
      <c r="N73" s="402"/>
      <c r="O73" s="415"/>
      <c r="P73" s="415"/>
      <c r="Q73" s="415"/>
      <c r="R73" s="415"/>
      <c r="S73" s="415"/>
      <c r="T73" s="415"/>
      <c r="U73" s="415"/>
      <c r="V73" s="415"/>
      <c r="W73" s="415"/>
      <c r="X73" s="415"/>
      <c r="Y73" s="17"/>
      <c r="Z73" s="17"/>
      <c r="AA73" s="18" t="str">
        <f>IF(VLOOKUP(O74,$A$36:$C$37,3)&gt;0,AA72,CONCATENATE("-",AA72))</f>
        <v>6°35.9</v>
      </c>
      <c r="AB73" s="14" t="str">
        <f>BC73</f>
        <v>06°35'54.00 [06°35.90]  (06.5983°)</v>
      </c>
      <c r="AC73" s="7">
        <f>BB73</f>
        <v>6.5983333333333336</v>
      </c>
      <c r="AD73" s="5">
        <f>IF(LEFT(TRIM(AA73),1)="-",-1,IF(LEFT(TRIM(AA73),1)="+",1, 0))</f>
        <v>0</v>
      </c>
      <c r="AE73" s="5" t="str">
        <f>IF(AD73&gt;0,"+",IF(AD73&lt;0,"-",""))</f>
        <v/>
      </c>
      <c r="AF73" s="5" t="str">
        <f>IF(ABS(AD73)&gt;0,RIGHT(AA73,LEN(AA73)-1),AA73)</f>
        <v>6°35.9</v>
      </c>
      <c r="AG73" s="5" t="b">
        <f>ISNUMBER(SEARCH("°",AF73,1))</f>
        <v>1</v>
      </c>
      <c r="AH73" s="5" t="b">
        <f>ISNUMBER(SEARCH("'",AF73,1))</f>
        <v>0</v>
      </c>
      <c r="AI73" s="5" t="b">
        <f>ISNUMBER(SEARCH("""",AF73,1))</f>
        <v>0</v>
      </c>
      <c r="AJ73" s="5" t="b">
        <f>NOT(OR(AG73,AH73,AI73))</f>
        <v>0</v>
      </c>
      <c r="AK73" s="5" t="b">
        <f t="shared" ref="AK73:AK75" si="88">OR(AJ73,AG73)</f>
        <v>1</v>
      </c>
      <c r="AL73" s="6" t="str">
        <f>IF(AJ73,VALUE(AF73),IF(AG73,LEFT(AF73,SEARCH("°",AF73,1)-1),0))</f>
        <v>6</v>
      </c>
      <c r="AM73" s="5" t="str">
        <f>IF(AJ73,"",IF(AG73,RIGHT(AF73,LEN(AF73)-SEARCH("°",AF73,1)),AF73))</f>
        <v>35.9</v>
      </c>
      <c r="AN73" s="5" t="b">
        <f>(LEN(AM73)&gt;0)</f>
        <v>1</v>
      </c>
      <c r="AO73" s="5" t="b">
        <f>NOT(OR(AH73,AI73))</f>
        <v>1</v>
      </c>
      <c r="AP73" s="6">
        <f t="shared" ref="AP73:AP75" si="89">IF(NOT(AN73),0,IF(AO73,VALUE(AM73),IF(NOT(AH73),0,VALUE(LEFT(AM73,SEARCH("'",AM73,1)-1)))))</f>
        <v>35.9</v>
      </c>
      <c r="AQ73" s="5" t="str">
        <f t="shared" ref="AQ73:AQ75" si="90">IF(NOT(AN73),"",IF(AO73,"",IF(NOT(AH73),AM73,RIGHT(AM73,LEN(AM73)-SEARCH("'",AM73,1)))))</f>
        <v/>
      </c>
      <c r="AR73" s="5" t="b">
        <f>(LEN(AQ73)&gt;0)</f>
        <v>0</v>
      </c>
      <c r="AS73" s="5" t="b">
        <f t="shared" ref="AS73:AS75" si="91">NOT(AI73)</f>
        <v>1</v>
      </c>
      <c r="AT73" s="5" t="b">
        <f>ISNUMBER(SEARCH(".",AQ73,1))</f>
        <v>0</v>
      </c>
      <c r="AU73" s="6">
        <f t="shared" ref="AU73:AU75" si="92">IF(AR73,IF(AI73,IF(AT73,VALUE(SUBSTITUTE(AQ73, """", "")),VALUE(SUBSTITUTE(AQ73, """", "."))),VALUE(AQ73)),0)</f>
        <v>0</v>
      </c>
      <c r="AV73" s="6">
        <f t="shared" ref="AV73:AV75" si="93">AL73*3600+AP73*60+AU73</f>
        <v>23754</v>
      </c>
      <c r="AW73" s="6">
        <f>AV73/3600</f>
        <v>6.5983333333333336</v>
      </c>
      <c r="AX73" s="6">
        <f>_xlfn.FLOOR.MATH((AW73))</f>
        <v>6</v>
      </c>
      <c r="AY73" s="6">
        <f>(AV73-3600*AX73)/60</f>
        <v>35.9</v>
      </c>
      <c r="AZ73" s="6">
        <f>_xlfn.FLOOR.MATH((AY73))</f>
        <v>35</v>
      </c>
      <c r="BA73" s="6">
        <f>AV73-3600*AX73-60*AZ73</f>
        <v>54</v>
      </c>
      <c r="BB73" s="6">
        <f>AW73*IF(AD73&lt;0,-1,1)</f>
        <v>6.5983333333333336</v>
      </c>
      <c r="BC73" s="7" t="str">
        <f>CONCATENATE(AE73,TEXT(AX73,"00"),"°",TEXT(AZ73,"00"),"'",TEXT(BA73,"00.00"), " [", CONCATENATE(AE73,TEXT(AX73,"00"),"°",TEXT(AY73,"00.00")),"]", "  (", AE73,TEXT(AW73,"00.0000"),"°)")</f>
        <v>06°35'54.00 [06°35.90]  (06.5983°)</v>
      </c>
    </row>
    <row r="74" spans="2:61" ht="17.25" customHeight="1" outlineLevel="1" collapsed="1" x14ac:dyDescent="0.25">
      <c r="D74" s="59"/>
      <c r="E74" s="397" t="str">
        <f>IF(F62=AE63,AC76,"---")</f>
        <v>---</v>
      </c>
      <c r="F74" s="397"/>
      <c r="G74" s="397"/>
      <c r="H74" s="585">
        <f>D11</f>
        <v>16.14</v>
      </c>
      <c r="I74" s="585"/>
      <c r="J74" s="585"/>
      <c r="K74" s="585"/>
      <c r="L74" s="586">
        <v>0</v>
      </c>
      <c r="M74" s="585"/>
      <c r="N74" s="585"/>
      <c r="O74" s="585" t="s">
        <v>4</v>
      </c>
      <c r="P74" s="587" t="s">
        <v>29</v>
      </c>
      <c r="Q74" s="585"/>
      <c r="R74" s="585"/>
      <c r="S74" s="585"/>
      <c r="T74" s="585" t="s">
        <v>5</v>
      </c>
      <c r="U74" s="587" t="s">
        <v>64</v>
      </c>
      <c r="V74" s="585"/>
      <c r="W74" s="585"/>
      <c r="X74" s="585"/>
      <c r="Y74" s="17"/>
      <c r="AA74" s="18" t="str">
        <f>U74</f>
        <v>0°10</v>
      </c>
      <c r="AB74" s="14"/>
      <c r="AC74" s="7"/>
      <c r="AD74" s="178"/>
      <c r="AE74" s="178"/>
      <c r="AF74" s="178"/>
      <c r="AG74" s="178"/>
      <c r="AH74" s="178"/>
      <c r="AI74" s="178"/>
      <c r="AJ74" s="178"/>
      <c r="AK74" s="178"/>
      <c r="AL74" s="178"/>
      <c r="AM74" s="178"/>
      <c r="AN74" s="178"/>
      <c r="AO74" s="178"/>
      <c r="AP74" s="178"/>
      <c r="AQ74" s="178"/>
      <c r="AR74" s="178"/>
      <c r="AS74" s="178"/>
      <c r="AT74" s="178"/>
      <c r="AU74" s="178"/>
      <c r="AV74" s="178"/>
      <c r="AW74" s="178"/>
      <c r="AX74" s="178"/>
      <c r="AY74" s="178"/>
      <c r="AZ74" s="178"/>
      <c r="BA74" s="178"/>
      <c r="BB74" s="178"/>
      <c r="BC74" s="178"/>
      <c r="BD74" s="178"/>
      <c r="BE74" s="178"/>
    </row>
    <row r="75" spans="2:61" ht="17.25" customHeight="1" outlineLevel="1" thickBot="1" x14ac:dyDescent="0.3">
      <c r="E75" s="398"/>
      <c r="F75" s="398"/>
      <c r="G75" s="398"/>
      <c r="H75" s="584"/>
      <c r="I75" s="584"/>
      <c r="J75" s="584"/>
      <c r="K75" s="584"/>
      <c r="L75" s="583"/>
      <c r="M75" s="584"/>
      <c r="N75" s="584"/>
      <c r="O75" s="584"/>
      <c r="P75" s="584"/>
      <c r="Q75" s="584"/>
      <c r="R75" s="584"/>
      <c r="S75" s="584"/>
      <c r="T75" s="584"/>
      <c r="U75" s="584"/>
      <c r="V75" s="584"/>
      <c r="W75" s="584"/>
      <c r="X75" s="584"/>
      <c r="Y75" s="17"/>
      <c r="AA75" s="18" t="str">
        <f>IF(VLOOKUP(T74,$A$36:$C$37,3)&gt;0,AA74,CONCATENATE("-",AA74))</f>
        <v>-0°10</v>
      </c>
      <c r="AB75" s="14" t="str">
        <f>BC75</f>
        <v>-00°10'00.00 [-00°10.00]  (-00.1667°)</v>
      </c>
      <c r="AC75" s="7">
        <f>BB75</f>
        <v>-0.16666666666666666</v>
      </c>
      <c r="AD75" s="5">
        <f>IF(LEFT(TRIM(AA75),1)="-",-1,IF(LEFT(TRIM(AA75),1)="+",1, 0))</f>
        <v>-1</v>
      </c>
      <c r="AE75" s="5" t="str">
        <f>IF(AD75&gt;0,"+",IF(AD75&lt;0,"-",""))</f>
        <v>-</v>
      </c>
      <c r="AF75" s="5" t="str">
        <f>IF(ABS(AD75)&gt;0,RIGHT(AA75,LEN(AA75)-1),AA75)</f>
        <v>0°10</v>
      </c>
      <c r="AG75" s="5" t="b">
        <f>ISNUMBER(SEARCH("°",AF75,1))</f>
        <v>1</v>
      </c>
      <c r="AH75" s="5" t="b">
        <f>ISNUMBER(SEARCH("'",AF75,1))</f>
        <v>0</v>
      </c>
      <c r="AI75" s="5" t="b">
        <f>ISNUMBER(SEARCH("""",AF75,1))</f>
        <v>0</v>
      </c>
      <c r="AJ75" s="5" t="b">
        <f>NOT(OR(AG75,AH75,AI75))</f>
        <v>0</v>
      </c>
      <c r="AK75" s="5" t="b">
        <f t="shared" si="88"/>
        <v>1</v>
      </c>
      <c r="AL75" s="6" t="str">
        <f>IF(AJ75,VALUE(AF75),IF(AG75,LEFT(AF75,SEARCH("°",AF75,1)-1),0))</f>
        <v>0</v>
      </c>
      <c r="AM75" s="5" t="str">
        <f>IF(AJ75,"",IF(AG75,RIGHT(AF75,LEN(AF75)-SEARCH("°",AF75,1)),AF75))</f>
        <v>10</v>
      </c>
      <c r="AN75" s="5" t="b">
        <f>(LEN(AM75)&gt;0)</f>
        <v>1</v>
      </c>
      <c r="AO75" s="5" t="b">
        <f>NOT(OR(AH75,AI75))</f>
        <v>1</v>
      </c>
      <c r="AP75" s="6">
        <f t="shared" si="89"/>
        <v>10</v>
      </c>
      <c r="AQ75" s="5" t="str">
        <f t="shared" si="90"/>
        <v/>
      </c>
      <c r="AR75" s="5" t="b">
        <f>(LEN(AQ75)&gt;0)</f>
        <v>0</v>
      </c>
      <c r="AS75" s="5" t="b">
        <f t="shared" si="91"/>
        <v>1</v>
      </c>
      <c r="AT75" s="5" t="b">
        <f>ISNUMBER(SEARCH(".",AQ75,1))</f>
        <v>0</v>
      </c>
      <c r="AU75" s="6">
        <f t="shared" si="92"/>
        <v>0</v>
      </c>
      <c r="AV75" s="6">
        <f t="shared" si="93"/>
        <v>600</v>
      </c>
      <c r="AW75" s="6">
        <f>AV75/3600</f>
        <v>0.16666666666666666</v>
      </c>
      <c r="AX75" s="6">
        <f>_xlfn.FLOOR.MATH((AW75))</f>
        <v>0</v>
      </c>
      <c r="AY75" s="6">
        <f>(AV75-3600*AX75)/60</f>
        <v>10</v>
      </c>
      <c r="AZ75" s="6">
        <f>_xlfn.FLOOR.MATH((AY75))</f>
        <v>10</v>
      </c>
      <c r="BA75" s="6">
        <f>AV75-3600*AX75-60*AZ75</f>
        <v>0</v>
      </c>
      <c r="BB75" s="6">
        <f>AW75*IF(AD75&lt;0,-1,1)</f>
        <v>-0.16666666666666666</v>
      </c>
      <c r="BC75" s="7" t="str">
        <f>CONCATENATE(AE75,TEXT(AX75,"00"),"°",TEXT(AZ75,"00"),"'",TEXT(BA75,"00.00"), " [", CONCATENATE(AE75,TEXT(AX75,"00"),"°",TEXT(AY75,"00.00")),"]", "  (", AE75,TEXT(AW75,"00.0000"),"°)")</f>
        <v>-00°10'00.00 [-00°10.00]  (-00.1667°)</v>
      </c>
    </row>
    <row r="76" spans="2:61" ht="17.25" customHeight="1" outlineLevel="1" thickTop="1" thickBot="1" x14ac:dyDescent="0.3">
      <c r="E76" s="279" t="str">
        <f>AB77</f>
        <v>03°54'30.00 [03°54.50]  (03.9083°)</v>
      </c>
      <c r="F76" s="279"/>
      <c r="G76" s="279"/>
      <c r="H76" s="279"/>
      <c r="I76" s="279"/>
      <c r="J76" s="279"/>
      <c r="O76" s="279" t="str">
        <f>AB73</f>
        <v>06°35'54.00 [06°35.90]  (06.5983°)</v>
      </c>
      <c r="P76" s="279"/>
      <c r="Q76" s="279"/>
      <c r="R76" s="279"/>
      <c r="S76" s="279"/>
      <c r="T76" s="279" t="str">
        <f>AB75</f>
        <v>-00°10'00.00 [-00°10.00]  (-00.1667°)</v>
      </c>
      <c r="U76" s="287"/>
      <c r="V76" s="287"/>
      <c r="W76" s="287"/>
      <c r="X76" s="287"/>
      <c r="AB76" s="14"/>
      <c r="AC76" s="37">
        <f>AE76</f>
        <v>3.9083333333333337</v>
      </c>
      <c r="AD76" s="61" t="s">
        <v>154</v>
      </c>
      <c r="AE76" s="22">
        <f>AC73+(H74-L74)*AC75</f>
        <v>3.9083333333333337</v>
      </c>
      <c r="AF76" s="178"/>
      <c r="AG76" s="178"/>
      <c r="AH76" s="178"/>
      <c r="AI76" s="178"/>
      <c r="AJ76" s="178"/>
      <c r="AK76" s="178"/>
      <c r="AL76" s="178"/>
      <c r="AM76" s="178"/>
      <c r="AN76" s="178"/>
      <c r="AO76" s="178"/>
      <c r="AP76" s="178"/>
      <c r="AQ76" s="178"/>
      <c r="AR76" s="178"/>
      <c r="AS76" s="178"/>
      <c r="AT76" s="178"/>
      <c r="AU76" s="178"/>
      <c r="AV76" s="178"/>
      <c r="AW76" s="178"/>
      <c r="AX76" s="178"/>
      <c r="AY76" s="178"/>
      <c r="AZ76" s="178"/>
      <c r="BA76" s="178"/>
      <c r="BB76" s="178"/>
      <c r="BC76" s="178"/>
      <c r="BD76" s="178"/>
      <c r="BE76" s="178"/>
      <c r="BF76" s="178"/>
    </row>
    <row r="77" spans="2:61" ht="17.25" customHeight="1" outlineLevel="1" thickTop="1" x14ac:dyDescent="0.25"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AA77" s="18">
        <f>AC76</f>
        <v>3.9083333333333337</v>
      </c>
      <c r="AB77" s="14" t="str">
        <f>BC77</f>
        <v>03°54'30.00 [03°54.50]  (03.9083°)</v>
      </c>
      <c r="AC77" s="7">
        <f>BB77</f>
        <v>3.9083333333333337</v>
      </c>
      <c r="AD77" s="5">
        <f>IF(LEFT(TRIM(AA77),1)="-",-1,IF(LEFT(TRIM(AA77),1)="+",1, 0))</f>
        <v>0</v>
      </c>
      <c r="AE77" s="5" t="str">
        <f>IF(AD77&gt;0,"+",IF(AD77&lt;0,"-",""))</f>
        <v/>
      </c>
      <c r="AF77" s="5">
        <f>IF(ABS(AD77)&gt;0,RIGHT(AA77,LEN(AA77)-1),AA77)</f>
        <v>3.9083333333333337</v>
      </c>
      <c r="AG77" s="5" t="b">
        <f>ISNUMBER(SEARCH("°",AF77,1))</f>
        <v>0</v>
      </c>
      <c r="AH77" s="5" t="b">
        <f>ISNUMBER(SEARCH("'",AF77,1))</f>
        <v>0</v>
      </c>
      <c r="AI77" s="5" t="b">
        <f>ISNUMBER(SEARCH("""",AF77,1))</f>
        <v>0</v>
      </c>
      <c r="AJ77" s="5" t="b">
        <f>NOT(OR(AG77,AH77,AI77))</f>
        <v>1</v>
      </c>
      <c r="AK77" s="5" t="b">
        <f t="shared" ref="AK77" si="94">OR(AJ77,AG77)</f>
        <v>1</v>
      </c>
      <c r="AL77" s="6">
        <f>IF(AJ77,VALUE(AF77),IF(AG77,LEFT(AF77,SEARCH("°",AF77,1)-1),0))</f>
        <v>3.9083333333333337</v>
      </c>
      <c r="AM77" s="5" t="str">
        <f>IF(AJ77,"",IF(AG77,RIGHT(AF77,LEN(AF77)-SEARCH("°",AF77,1)),AF77))</f>
        <v/>
      </c>
      <c r="AN77" s="5" t="b">
        <f>(LEN(AM77)&gt;0)</f>
        <v>0</v>
      </c>
      <c r="AO77" s="5" t="b">
        <f>NOT(OR(AH77,AI77))</f>
        <v>1</v>
      </c>
      <c r="AP77" s="6">
        <f t="shared" ref="AP77" si="95">IF(NOT(AN77),0,IF(AO77,VALUE(AM77),IF(NOT(AH77),0,VALUE(LEFT(AM77,SEARCH("'",AM77,1)-1)))))</f>
        <v>0</v>
      </c>
      <c r="AQ77" s="5" t="str">
        <f t="shared" ref="AQ77" si="96">IF(NOT(AN77),"",IF(AO77,"",IF(NOT(AH77),AM77,RIGHT(AM77,LEN(AM77)-SEARCH("'",AM77,1)))))</f>
        <v/>
      </c>
      <c r="AR77" s="5" t="b">
        <f>(LEN(AQ77)&gt;0)</f>
        <v>0</v>
      </c>
      <c r="AS77" s="5" t="b">
        <f t="shared" ref="AS77" si="97">NOT(AI77)</f>
        <v>1</v>
      </c>
      <c r="AT77" s="5" t="b">
        <f>ISNUMBER(SEARCH(".",AQ77,1))</f>
        <v>0</v>
      </c>
      <c r="AU77" s="6">
        <f t="shared" ref="AU77" si="98">IF(AR77,IF(AI77,IF(AT77,VALUE(SUBSTITUTE(AQ77, """", "")),VALUE(SUBSTITUTE(AQ77, """", "."))),VALUE(AQ77)),0)</f>
        <v>0</v>
      </c>
      <c r="AV77" s="6">
        <f t="shared" ref="AV77" si="99">AL77*3600+AP77*60+AU77</f>
        <v>14070.000000000002</v>
      </c>
      <c r="AW77" s="6">
        <f>AV77/3600</f>
        <v>3.9083333333333337</v>
      </c>
      <c r="AX77" s="6">
        <f>_xlfn.FLOOR.MATH((AW77))</f>
        <v>3</v>
      </c>
      <c r="AY77" s="6">
        <f>(AV77-3600*AX77)/60</f>
        <v>54.500000000000028</v>
      </c>
      <c r="AZ77" s="6">
        <f>_xlfn.FLOOR.MATH((AY77))</f>
        <v>54</v>
      </c>
      <c r="BA77" s="6">
        <f>AV77-3600*AX77-60*AZ77</f>
        <v>30.000000000001819</v>
      </c>
      <c r="BB77" s="6">
        <f>AW77*IF(AD77&lt;0,-1,1)</f>
        <v>3.9083333333333337</v>
      </c>
      <c r="BC77" s="7" t="str">
        <f>CONCATENATE(AE77,TEXT(AX77,"00"),"°",TEXT(AZ77,"00"),"'",TEXT(BA77,"00.00"), " [", CONCATENATE(AE77,TEXT(AX77,"00"),"°",TEXT(AY77,"00.00")),"]", "  (", AE77,TEXT(AW77,"00.0000"),"°)")</f>
        <v>03°54'30.00 [03°54.50]  (03.9083°)</v>
      </c>
    </row>
    <row r="78" spans="2:61" ht="17.25" customHeight="1" outlineLevel="1" thickBot="1" x14ac:dyDescent="0.3">
      <c r="R78" s="17"/>
      <c r="S78" s="17"/>
      <c r="T78" s="17"/>
      <c r="U78" s="17"/>
      <c r="V78" s="17"/>
      <c r="W78" s="17"/>
      <c r="AC78" s="37"/>
      <c r="AD78" s="17"/>
      <c r="AE78" s="178"/>
      <c r="AF78" s="178"/>
      <c r="AG78" s="178"/>
      <c r="AH78" s="178"/>
      <c r="AI78" s="178"/>
      <c r="AJ78" s="178"/>
      <c r="AK78" s="17"/>
      <c r="AL78" s="17"/>
      <c r="AM78" s="17"/>
      <c r="AN78" s="17"/>
      <c r="AO78" s="17"/>
      <c r="AP78" s="17"/>
      <c r="AQ78" s="17"/>
      <c r="AR78" s="17"/>
      <c r="AS78" s="17"/>
      <c r="AT78" s="17"/>
    </row>
    <row r="79" spans="2:61" ht="17.25" customHeight="1" outlineLevel="1" thickBot="1" x14ac:dyDescent="0.3">
      <c r="B79" s="47" t="s">
        <v>72</v>
      </c>
      <c r="C79" s="48"/>
      <c r="D79" s="48"/>
      <c r="E79" s="362">
        <f>E81</f>
        <v>2.21665</v>
      </c>
      <c r="F79" s="362"/>
      <c r="G79" s="362"/>
      <c r="H79" s="48"/>
      <c r="I79" s="48"/>
      <c r="J79" s="48"/>
      <c r="K79" s="48"/>
      <c r="L79" s="48"/>
      <c r="M79" s="48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  <c r="AA79" s="48"/>
      <c r="AB79" s="48"/>
      <c r="AC79" s="48"/>
      <c r="AD79" s="48"/>
      <c r="AE79" s="48"/>
      <c r="AF79" s="48"/>
      <c r="AG79" s="48"/>
      <c r="AH79" s="48"/>
      <c r="AI79" s="48"/>
      <c r="AJ79" s="48"/>
      <c r="AK79" s="48"/>
      <c r="AL79" s="48"/>
      <c r="AM79" s="48"/>
      <c r="AN79" s="48"/>
      <c r="AO79" s="48"/>
      <c r="AP79" s="48"/>
      <c r="AQ79" s="48"/>
      <c r="AR79" s="48"/>
      <c r="AS79" s="48"/>
      <c r="AT79" s="48"/>
      <c r="AU79" s="48"/>
      <c r="AV79" s="48"/>
      <c r="AW79" s="48"/>
      <c r="AX79" s="48"/>
      <c r="AY79" s="48"/>
      <c r="AZ79" s="48"/>
      <c r="BA79" s="49"/>
      <c r="BB79" s="50"/>
      <c r="BC79" s="50"/>
      <c r="BD79" s="50"/>
      <c r="BE79" s="50"/>
      <c r="BF79" s="50"/>
      <c r="BG79" s="50"/>
      <c r="BH79" s="50"/>
      <c r="BI79" s="50"/>
    </row>
    <row r="80" spans="2:61" ht="17.25" customHeight="1" outlineLevel="1" thickBot="1" x14ac:dyDescent="0.3">
      <c r="B80" s="178"/>
      <c r="C80" s="588" t="s">
        <v>339</v>
      </c>
      <c r="D80" s="588"/>
      <c r="E80" s="588"/>
      <c r="F80" s="588"/>
      <c r="G80" s="588"/>
      <c r="H80" s="178"/>
      <c r="I80" s="178"/>
      <c r="J80" s="178"/>
      <c r="K80" s="178"/>
      <c r="L80" s="178"/>
      <c r="M80" s="178"/>
      <c r="N80" s="178"/>
      <c r="O80" s="178"/>
      <c r="P80" s="178"/>
      <c r="Q80" s="178"/>
      <c r="R80" s="178"/>
      <c r="S80" s="178"/>
      <c r="T80" s="178"/>
      <c r="U80" s="178"/>
      <c r="V80" s="178"/>
      <c r="W80" s="178"/>
      <c r="X80" s="178"/>
      <c r="Y80" s="178"/>
      <c r="Z80" s="178"/>
      <c r="AA80" s="159"/>
      <c r="AB80" s="159"/>
      <c r="AC80" s="159"/>
      <c r="AD80" s="159"/>
      <c r="AE80" s="159"/>
      <c r="AF80" s="159"/>
      <c r="AG80" s="159"/>
      <c r="AH80" s="159"/>
      <c r="AI80" s="159"/>
      <c r="AJ80" s="159"/>
      <c r="AK80" s="159"/>
      <c r="AL80" s="159"/>
      <c r="AM80" s="159"/>
      <c r="AN80" s="159"/>
      <c r="AO80" s="159"/>
      <c r="AP80" s="159"/>
      <c r="AQ80" s="159"/>
      <c r="AR80" s="159"/>
      <c r="AS80" s="159"/>
      <c r="AT80" s="159"/>
      <c r="AU80" s="159"/>
      <c r="AV80" s="159"/>
      <c r="AW80" s="159"/>
      <c r="AX80" s="159"/>
      <c r="AY80" s="159"/>
      <c r="AZ80" s="159"/>
      <c r="BA80" s="159"/>
      <c r="BB80" s="50"/>
      <c r="BC80" s="50"/>
      <c r="BD80" s="50"/>
      <c r="BE80" s="50"/>
      <c r="BF80" s="50"/>
      <c r="BG80" s="50"/>
      <c r="BH80" s="50"/>
      <c r="BI80" s="50"/>
    </row>
    <row r="81" spans="1:65" ht="17.25" customHeight="1" outlineLevel="1" thickTop="1" thickBot="1" x14ac:dyDescent="0.3">
      <c r="E81" s="373">
        <f>AC82</f>
        <v>2.21665</v>
      </c>
      <c r="F81" s="340"/>
      <c r="G81" s="589"/>
      <c r="H81" s="591" t="s">
        <v>65</v>
      </c>
      <c r="I81" s="592"/>
      <c r="J81" s="592"/>
      <c r="K81" s="593"/>
      <c r="L81" s="357" t="str">
        <f>AB82</f>
        <v>02°12'59.94 [02°13.00]  (02.2167°)</v>
      </c>
      <c r="M81" s="357"/>
      <c r="N81" s="357"/>
      <c r="O81" s="357"/>
      <c r="P81" s="357"/>
      <c r="Q81" s="357"/>
      <c r="R81" s="357"/>
      <c r="V81" s="17"/>
      <c r="W81" s="17"/>
      <c r="AB81" s="19"/>
      <c r="AC81" s="20"/>
      <c r="AD81" s="3" t="s">
        <v>57</v>
      </c>
      <c r="AE81" s="3" t="s">
        <v>57</v>
      </c>
      <c r="AF81" s="3" t="s">
        <v>304</v>
      </c>
      <c r="AG81" s="3" t="s">
        <v>120</v>
      </c>
      <c r="AH81" s="3" t="s">
        <v>121</v>
      </c>
      <c r="AI81" s="3" t="s">
        <v>122</v>
      </c>
      <c r="AJ81" s="3" t="s">
        <v>123</v>
      </c>
      <c r="AK81" s="3" t="s">
        <v>124</v>
      </c>
      <c r="AL81" s="3" t="s">
        <v>125</v>
      </c>
      <c r="AM81" s="3" t="s">
        <v>101</v>
      </c>
      <c r="AN81" s="3" t="s">
        <v>129</v>
      </c>
      <c r="AO81" s="3" t="s">
        <v>128</v>
      </c>
      <c r="AP81" s="3" t="s">
        <v>126</v>
      </c>
      <c r="AQ81" s="3" t="s">
        <v>127</v>
      </c>
      <c r="AR81" s="3" t="s">
        <v>129</v>
      </c>
      <c r="AS81" s="3" t="s">
        <v>128</v>
      </c>
      <c r="AT81" s="3" t="s">
        <v>130</v>
      </c>
      <c r="AU81" s="3" t="s">
        <v>112</v>
      </c>
      <c r="AV81" s="3" t="s">
        <v>117</v>
      </c>
      <c r="AW81" s="3" t="s">
        <v>143</v>
      </c>
      <c r="AX81" s="3" t="s">
        <v>149</v>
      </c>
      <c r="AY81" s="3" t="s">
        <v>131</v>
      </c>
      <c r="AZ81" s="3" t="s">
        <v>150</v>
      </c>
      <c r="BA81" s="3" t="s">
        <v>112</v>
      </c>
      <c r="BB81" s="3" t="s">
        <v>308</v>
      </c>
      <c r="BC81" s="3" t="s">
        <v>151</v>
      </c>
    </row>
    <row r="82" spans="1:65" ht="17.25" customHeight="1" outlineLevel="1" thickTop="1" thickBot="1" x14ac:dyDescent="0.3">
      <c r="E82" s="580"/>
      <c r="F82" s="523"/>
      <c r="G82" s="590"/>
      <c r="H82" s="594"/>
      <c r="I82" s="595"/>
      <c r="J82" s="595"/>
      <c r="K82" s="596"/>
      <c r="L82" s="357"/>
      <c r="M82" s="357"/>
      <c r="N82" s="357"/>
      <c r="O82" s="357"/>
      <c r="P82" s="357"/>
      <c r="Q82" s="357"/>
      <c r="R82" s="357"/>
      <c r="V82" s="17"/>
      <c r="W82" s="17"/>
      <c r="AA82" s="18" t="str">
        <f>H81</f>
        <v>2°12.999</v>
      </c>
      <c r="AB82" s="14" t="str">
        <f>BC82</f>
        <v>02°12'59.94 [02°13.00]  (02.2167°)</v>
      </c>
      <c r="AC82" s="7">
        <f>BB82</f>
        <v>2.21665</v>
      </c>
      <c r="AD82" s="5">
        <f>IF(LEFT(TRIM(AA82),1)="-",-1,IF(LEFT(TRIM(AA82),1)="+",1, 0))</f>
        <v>0</v>
      </c>
      <c r="AE82" s="5" t="str">
        <f>IF(AD82&gt;0,"+",IF(AD82&lt;0,"-",""))</f>
        <v/>
      </c>
      <c r="AF82" s="5" t="str">
        <f>IF(ABS(AD82)&gt;0,RIGHT(AA82,LEN(AA82)-1),AA82)</f>
        <v>2°12.999</v>
      </c>
      <c r="AG82" s="5" t="b">
        <f>ISNUMBER(SEARCH("°",AF82,1))</f>
        <v>1</v>
      </c>
      <c r="AH82" s="5" t="b">
        <f>ISNUMBER(SEARCH("'",AF82,1))</f>
        <v>0</v>
      </c>
      <c r="AI82" s="5" t="b">
        <f>ISNUMBER(SEARCH("""",AF82,1))</f>
        <v>0</v>
      </c>
      <c r="AJ82" s="5" t="b">
        <f>NOT(OR(AG82,AH82,AI82))</f>
        <v>0</v>
      </c>
      <c r="AK82" s="5" t="b">
        <f t="shared" ref="AK82" si="100">OR(AJ82,AG82)</f>
        <v>1</v>
      </c>
      <c r="AL82" s="6" t="str">
        <f>IF(AJ82,VALUE(AF82),IF(AG82,LEFT(AF82,SEARCH("°",AF82,1)-1),0))</f>
        <v>2</v>
      </c>
      <c r="AM82" s="5" t="str">
        <f>IF(AJ82,"",IF(AG82,RIGHT(AF82,LEN(AF82)-SEARCH("°",AF82,1)),AF82))</f>
        <v>12.999</v>
      </c>
      <c r="AN82" s="5" t="b">
        <f>(LEN(AM82)&gt;0)</f>
        <v>1</v>
      </c>
      <c r="AO82" s="5" t="b">
        <f>NOT(OR(AH82,AI82))</f>
        <v>1</v>
      </c>
      <c r="AP82" s="6">
        <f t="shared" ref="AP82" si="101">IF(NOT(AN82),0,IF(AO82,VALUE(AM82),IF(NOT(AH82),0,VALUE(LEFT(AM82,SEARCH("'",AM82,1)-1)))))</f>
        <v>12.999000000000001</v>
      </c>
      <c r="AQ82" s="5" t="str">
        <f t="shared" ref="AQ82" si="102">IF(NOT(AN82),"",IF(AO82,"",IF(NOT(AH82),AM82,RIGHT(AM82,LEN(AM82)-SEARCH("'",AM82,1)))))</f>
        <v/>
      </c>
      <c r="AR82" s="5" t="b">
        <f>(LEN(AQ82)&gt;0)</f>
        <v>0</v>
      </c>
      <c r="AS82" s="5" t="b">
        <f t="shared" ref="AS82" si="103">NOT(AI82)</f>
        <v>1</v>
      </c>
      <c r="AT82" s="5" t="b">
        <f>ISNUMBER(SEARCH(".",AQ82,1))</f>
        <v>0</v>
      </c>
      <c r="AU82" s="6">
        <f t="shared" ref="AU82" si="104">IF(AR82,IF(AI82,IF(AT82,VALUE(SUBSTITUTE(AQ82, """", "")),VALUE(SUBSTITUTE(AQ82, """", "."))),VALUE(AQ82)),0)</f>
        <v>0</v>
      </c>
      <c r="AV82" s="6">
        <f t="shared" ref="AV82" si="105">AL82*3600+AP82*60+AU82</f>
        <v>7979.9400000000005</v>
      </c>
      <c r="AW82" s="6">
        <f>AV82/3600</f>
        <v>2.21665</v>
      </c>
      <c r="AX82" s="6">
        <f>_xlfn.FLOOR.MATH((AW82))</f>
        <v>2</v>
      </c>
      <c r="AY82" s="6">
        <f>(AV82-3600*AX82)/60</f>
        <v>12.999000000000008</v>
      </c>
      <c r="AZ82" s="6">
        <f>_xlfn.FLOOR.MATH((AY82))</f>
        <v>12</v>
      </c>
      <c r="BA82" s="6">
        <f>AV82-3600*AX82-60*AZ82</f>
        <v>59.940000000000509</v>
      </c>
      <c r="BB82" s="6">
        <f>AW82*IF(AD82&lt;0,-1,1)</f>
        <v>2.21665</v>
      </c>
      <c r="BC82" s="7" t="str">
        <f>CONCATENATE(AE82,TEXT(AX82,"00"),"°",TEXT(AZ82,"00"),"'",TEXT(BA82,"00.00"), " [", CONCATENATE(AE82,TEXT(AX82,"00"),"°",TEXT(AY82,"00.00")),"]", "  (", AE82,TEXT(AW82,"00.0000"),"°)")</f>
        <v>02°12'59.94 [02°13.00]  (02.2167°)</v>
      </c>
    </row>
    <row r="83" spans="1:65" ht="17.25" customHeight="1" outlineLevel="1" thickTop="1" x14ac:dyDescent="0.25">
      <c r="R83" s="17"/>
      <c r="S83" s="17"/>
      <c r="T83" s="17"/>
      <c r="U83" s="17"/>
      <c r="V83" s="17"/>
      <c r="W83" s="17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T83" s="17"/>
    </row>
    <row r="84" spans="1:65" s="50" customFormat="1" ht="17.25" customHeight="1" outlineLevel="1" thickBot="1" x14ac:dyDescent="0.3">
      <c r="A84" s="1"/>
      <c r="B84" s="1"/>
      <c r="C84" s="179"/>
      <c r="D84" s="179"/>
      <c r="E84" s="179"/>
      <c r="F84" s="179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8"/>
      <c r="AB84" s="28"/>
      <c r="AC84" s="28"/>
      <c r="AD84" s="22"/>
      <c r="AE84" s="22"/>
      <c r="AF84" s="22"/>
      <c r="AG84" s="22"/>
      <c r="AH84" s="17"/>
      <c r="AI84" s="17"/>
      <c r="AJ84" s="17"/>
      <c r="AK84" s="17"/>
      <c r="AL84" s="17"/>
      <c r="AM84" s="17"/>
      <c r="AN84" s="17"/>
      <c r="AO84" s="17"/>
      <c r="AP84" s="17"/>
      <c r="AQ84" s="17"/>
      <c r="AR84" s="17"/>
      <c r="AS84" s="17"/>
      <c r="AT84" s="17"/>
      <c r="AU84" s="22"/>
      <c r="AV84" s="22"/>
      <c r="AW84" s="22"/>
      <c r="AX84" s="22"/>
      <c r="AY84" s="22"/>
      <c r="AZ84" s="22"/>
      <c r="BA84" s="22"/>
    </row>
    <row r="85" spans="1:65" s="17" customFormat="1" ht="17.25" customHeight="1" thickBot="1" x14ac:dyDescent="0.3">
      <c r="A85" s="1"/>
      <c r="B85" s="47" t="s">
        <v>71</v>
      </c>
      <c r="C85" s="48"/>
      <c r="D85" s="48"/>
      <c r="E85" s="362">
        <f>H86</f>
        <v>341.99331666666666</v>
      </c>
      <c r="F85" s="362"/>
      <c r="G85" s="362"/>
      <c r="H85" s="48"/>
      <c r="I85" s="332" t="s">
        <v>157</v>
      </c>
      <c r="J85" s="332"/>
      <c r="K85" s="332"/>
      <c r="L85" s="460" t="str">
        <f>I20</f>
        <v>Etoile</v>
      </c>
      <c r="M85" s="460"/>
      <c r="N85" s="460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  <c r="AA85" s="48"/>
      <c r="AB85" s="48"/>
      <c r="AC85" s="48"/>
      <c r="AD85" s="48"/>
      <c r="AE85" s="48"/>
      <c r="AF85" s="48"/>
      <c r="AG85" s="48"/>
      <c r="AH85" s="48"/>
      <c r="AI85" s="48"/>
      <c r="AJ85" s="48"/>
      <c r="AK85" s="48"/>
      <c r="AL85" s="48"/>
      <c r="AM85" s="48"/>
      <c r="AN85" s="48"/>
      <c r="AO85" s="48"/>
      <c r="AP85" s="48"/>
      <c r="AQ85" s="48"/>
      <c r="AR85" s="48"/>
      <c r="AS85" s="48"/>
      <c r="AT85" s="48"/>
      <c r="AU85" s="48"/>
      <c r="AV85" s="48"/>
      <c r="AW85" s="48"/>
      <c r="AX85" s="48"/>
      <c r="AY85" s="48"/>
      <c r="AZ85" s="48"/>
      <c r="BA85" s="49"/>
      <c r="BB85" s="50"/>
      <c r="BC85" s="39"/>
      <c r="BD85" s="39"/>
      <c r="BE85" s="39"/>
      <c r="BF85" s="39"/>
      <c r="BG85" s="39"/>
      <c r="BH85" s="39"/>
      <c r="BI85" s="39"/>
      <c r="BJ85" s="39"/>
      <c r="BK85" s="39"/>
      <c r="BL85" s="39"/>
      <c r="BM85" s="39"/>
    </row>
    <row r="86" spans="1:65" ht="17.25" customHeight="1" thickBot="1" x14ac:dyDescent="0.3">
      <c r="C86" s="282" t="s">
        <v>27</v>
      </c>
      <c r="D86" s="282"/>
      <c r="E86" s="282"/>
      <c r="F86" s="282"/>
      <c r="G86" s="283"/>
      <c r="H86" s="292">
        <f>AG87</f>
        <v>341.99331666666666</v>
      </c>
      <c r="I86" s="293"/>
      <c r="J86" s="293"/>
      <c r="K86" s="294"/>
      <c r="L86" s="64" t="s">
        <v>74</v>
      </c>
      <c r="M86" s="362">
        <f>AD87</f>
        <v>-18.006683333333331</v>
      </c>
      <c r="N86" s="362"/>
      <c r="O86" s="362"/>
      <c r="P86" s="362"/>
      <c r="AD86" s="31" t="s">
        <v>75</v>
      </c>
      <c r="AE86" s="31" t="s">
        <v>57</v>
      </c>
      <c r="AF86" s="31" t="s">
        <v>76</v>
      </c>
      <c r="AG86" s="31" t="s">
        <v>77</v>
      </c>
      <c r="AH86" s="17"/>
      <c r="AI86" s="17"/>
      <c r="AJ86" s="17"/>
      <c r="AK86" s="17"/>
      <c r="AL86" s="17"/>
      <c r="AM86" s="17"/>
      <c r="AN86" s="17"/>
      <c r="AO86" s="17"/>
    </row>
    <row r="87" spans="1:65" ht="17.25" customHeight="1" thickTop="1" thickBot="1" x14ac:dyDescent="0.3">
      <c r="A87" s="17"/>
      <c r="C87" s="17"/>
      <c r="D87" s="17"/>
      <c r="E87" s="17"/>
      <c r="F87" s="17"/>
      <c r="G87" s="17"/>
      <c r="H87" s="287" t="str">
        <f>AB88</f>
        <v>341°59'35.94 [341°59.60]  (341.9933°)</v>
      </c>
      <c r="I87" s="287"/>
      <c r="J87" s="287"/>
      <c r="K87" s="287"/>
      <c r="L87" s="287"/>
      <c r="M87" s="287"/>
      <c r="AA87" s="65"/>
      <c r="AB87" s="19"/>
      <c r="AC87" s="19"/>
      <c r="AD87" s="62">
        <f>IF(I20=AF20,E39+E61+E79,E39+#REF!)</f>
        <v>-18.006683333333331</v>
      </c>
      <c r="AE87" s="17">
        <f>SIGN(AD87)</f>
        <v>-1</v>
      </c>
      <c r="AF87" s="17">
        <f>INT(ABS(AD87)/360)</f>
        <v>0</v>
      </c>
      <c r="AG87" s="17">
        <f>IF(AE87&lt;0,(1+AF87)*360+AD87,AD87-AF87*360)</f>
        <v>341.99331666666666</v>
      </c>
      <c r="AH87" s="17"/>
      <c r="AI87" s="17"/>
      <c r="AJ87" s="17"/>
      <c r="AK87" s="17"/>
      <c r="AL87" s="17"/>
      <c r="AM87" s="17"/>
      <c r="AN87" s="17"/>
      <c r="AO87" s="17"/>
      <c r="AP87" s="39"/>
      <c r="AQ87" s="39"/>
      <c r="AR87" s="39"/>
      <c r="AS87" s="39"/>
      <c r="AT87" s="39"/>
      <c r="AU87" s="39"/>
      <c r="AV87" s="39"/>
      <c r="AW87" s="39"/>
      <c r="AX87" s="39"/>
      <c r="AY87" s="39"/>
      <c r="AZ87" s="39"/>
      <c r="BA87" s="39"/>
    </row>
    <row r="88" spans="1:65" ht="17.25" customHeight="1" thickTop="1" thickBot="1" x14ac:dyDescent="0.3">
      <c r="B88" s="17"/>
      <c r="C88" s="1"/>
      <c r="D88" s="1"/>
      <c r="E88" s="1"/>
      <c r="F88" s="1"/>
      <c r="Z88" s="17"/>
      <c r="AA88" s="18">
        <f>AG87</f>
        <v>341.99331666666666</v>
      </c>
      <c r="AB88" s="14" t="str">
        <f>BC88</f>
        <v>341°59'35.94 [341°59.60]  (341.9933°)</v>
      </c>
      <c r="AC88" s="7">
        <f>BB88</f>
        <v>341.99331666666666</v>
      </c>
      <c r="AD88" s="5">
        <f>IF(LEFT(TRIM(AA88),1)="-",-1,IF(LEFT(TRIM(AA88),1)="+",1, 0))</f>
        <v>0</v>
      </c>
      <c r="AE88" s="5" t="str">
        <f>IF(AD88&gt;0,"+",IF(AD88&lt;0,"-",""))</f>
        <v/>
      </c>
      <c r="AF88" s="5">
        <f>IF(ABS(AD88)&gt;0,RIGHT(AA88,LEN(AA88)-1),AA88)</f>
        <v>341.99331666666666</v>
      </c>
      <c r="AG88" s="5" t="b">
        <f>ISNUMBER(SEARCH("°",AF88,1))</f>
        <v>0</v>
      </c>
      <c r="AH88" s="5" t="b">
        <f>ISNUMBER(SEARCH("'",AF88,1))</f>
        <v>0</v>
      </c>
      <c r="AI88" s="5" t="b">
        <f>ISNUMBER(SEARCH("""",AF88,1))</f>
        <v>0</v>
      </c>
      <c r="AJ88" s="5" t="b">
        <f>NOT(OR(AG88,AH88,AI88))</f>
        <v>1</v>
      </c>
      <c r="AK88" s="5" t="b">
        <f t="shared" ref="AK88" si="106">OR(AJ88,AG88)</f>
        <v>1</v>
      </c>
      <c r="AL88" s="6">
        <f>IF(AJ88,VALUE(AF88),IF(AG88,LEFT(AF88,SEARCH("°",AF88,1)-1),0))</f>
        <v>341.99331666666666</v>
      </c>
      <c r="AM88" s="5" t="str">
        <f>IF(AJ88,"",IF(AG88,RIGHT(AF88,LEN(AF88)-SEARCH("°",AF88,1)),AF88))</f>
        <v/>
      </c>
      <c r="AN88" s="5" t="b">
        <f>(LEN(AM88)&gt;0)</f>
        <v>0</v>
      </c>
      <c r="AO88" s="5" t="b">
        <f>NOT(OR(AH88,AI88))</f>
        <v>1</v>
      </c>
      <c r="AP88" s="6">
        <f t="shared" ref="AP88" si="107">IF(NOT(AN88),0,IF(AO88,VALUE(AM88),IF(NOT(AH88),0,VALUE(LEFT(AM88,SEARCH("'",AM88,1)-1)))))</f>
        <v>0</v>
      </c>
      <c r="AQ88" s="5" t="str">
        <f t="shared" ref="AQ88" si="108">IF(NOT(AN88),"",IF(AO88,"",IF(NOT(AH88),AM88,RIGHT(AM88,LEN(AM88)-SEARCH("'",AM88,1)))))</f>
        <v/>
      </c>
      <c r="AR88" s="5" t="b">
        <f>(LEN(AQ88)&gt;0)</f>
        <v>0</v>
      </c>
      <c r="AS88" s="5" t="b">
        <f t="shared" ref="AS88" si="109">NOT(AI88)</f>
        <v>1</v>
      </c>
      <c r="AT88" s="5" t="b">
        <f>ISNUMBER(SEARCH(".",AQ88,1))</f>
        <v>0</v>
      </c>
      <c r="AU88" s="6">
        <f t="shared" ref="AU88" si="110">IF(AR88,IF(AI88,IF(AT88,VALUE(SUBSTITUTE(AQ88, """", "")),VALUE(SUBSTITUTE(AQ88, """", "."))),VALUE(AQ88)),0)</f>
        <v>0</v>
      </c>
      <c r="AV88" s="6">
        <f t="shared" ref="AV88" si="111">AL88*3600+AP88*60+AU88</f>
        <v>1231175.94</v>
      </c>
      <c r="AW88" s="6">
        <f>AV88/3600</f>
        <v>341.99331666666666</v>
      </c>
      <c r="AX88" s="6">
        <f>_xlfn.FLOOR.MATH((AW88))</f>
        <v>341</v>
      </c>
      <c r="AY88" s="6">
        <f>(AV88-3600*AX88)/60</f>
        <v>59.598999999999066</v>
      </c>
      <c r="AZ88" s="6">
        <f>_xlfn.FLOOR.MATH((AY88))</f>
        <v>59</v>
      </c>
      <c r="BA88" s="6">
        <f>AV88-3600*AX88-60*AZ88</f>
        <v>35.939999999944121</v>
      </c>
      <c r="BB88" s="6">
        <f>AW88*IF(AD88&lt;0,-1,1)</f>
        <v>341.99331666666666</v>
      </c>
      <c r="BC88" s="7" t="str">
        <f>CONCATENATE(AE88,TEXT(AX88,"00"),"°",TEXT(AZ88,"00"),"'",TEXT(BA88,"00.00"), " [", CONCATENATE(AE88,TEXT(AX88,"00"),"°",TEXT(AY88,"00.00")),"]", "  (", AE88,TEXT(AW88,"00.0000"),"°)")</f>
        <v>341°59'35.94 [341°59.60]  (341.9933°)</v>
      </c>
    </row>
    <row r="89" spans="1:65" ht="17.25" customHeight="1" thickTop="1" thickBot="1" x14ac:dyDescent="0.3">
      <c r="B89" s="47" t="s">
        <v>30</v>
      </c>
      <c r="C89" s="48"/>
      <c r="D89" s="48" t="s">
        <v>176</v>
      </c>
      <c r="E89" s="362">
        <f>IF(F90=AE90,N126,N119)</f>
        <v>8.8672853606012811</v>
      </c>
      <c r="F89" s="362"/>
      <c r="G89" s="362"/>
      <c r="H89" s="48"/>
      <c r="I89" s="48"/>
      <c r="J89" s="48"/>
      <c r="K89" s="48"/>
      <c r="L89" s="48"/>
      <c r="M89" s="48"/>
      <c r="N89" s="48"/>
      <c r="O89" s="48" t="s">
        <v>217</v>
      </c>
      <c r="P89" s="48"/>
      <c r="Q89" s="48"/>
      <c r="R89" s="292">
        <f>-N106+N101+N110</f>
        <v>-9.9381306065384881E-2</v>
      </c>
      <c r="S89" s="293"/>
      <c r="T89" s="294"/>
      <c r="U89" s="295" t="str">
        <f>AN89</f>
        <v>-00°05.9629</v>
      </c>
      <c r="V89" s="295"/>
      <c r="W89" s="295"/>
      <c r="X89" s="295"/>
      <c r="Y89" s="295"/>
      <c r="Z89" s="48"/>
      <c r="AA89" s="48"/>
      <c r="AB89" s="48"/>
      <c r="AC89" s="48">
        <f>R89</f>
        <v>-9.9381306065384881E-2</v>
      </c>
      <c r="AD89" s="48"/>
      <c r="AE89" s="48"/>
      <c r="AF89" s="48"/>
      <c r="AG89" s="48"/>
      <c r="AH89" s="48"/>
      <c r="AI89" s="22">
        <f>SIGN(AC89)</f>
        <v>-1</v>
      </c>
      <c r="AJ89" s="22" t="str">
        <f>IF(AI89&lt;0,"-","+")</f>
        <v>-</v>
      </c>
      <c r="AK89" s="17">
        <f>ABS(AC89)*3600</f>
        <v>357.77270183538559</v>
      </c>
      <c r="AL89" s="17">
        <f>_xlfn.FLOOR.MATH(AK89/3600)</f>
        <v>0</v>
      </c>
      <c r="AM89" s="17">
        <f>(AK89-3600*AL89)/60</f>
        <v>5.9628783639230933</v>
      </c>
      <c r="AN89" s="17" t="str">
        <f>CONCATENATE(AJ89,TEXT(AL89, "00"),"°",TEXT(AM89, "00.0000"))</f>
        <v>-00°05.9629</v>
      </c>
      <c r="AO89" s="48"/>
      <c r="AP89" s="48"/>
      <c r="AQ89" s="48"/>
      <c r="AR89" s="48"/>
      <c r="AS89" s="48"/>
      <c r="AT89" s="48"/>
      <c r="AU89" s="48"/>
      <c r="AV89" s="48"/>
      <c r="AW89" s="48"/>
      <c r="AX89" s="48"/>
      <c r="AY89" s="48"/>
      <c r="AZ89" s="48"/>
      <c r="BA89" s="49"/>
      <c r="BB89" s="50"/>
    </row>
    <row r="90" spans="1:65" ht="17.25" customHeight="1" x14ac:dyDescent="0.25">
      <c r="C90" s="434" t="s">
        <v>58</v>
      </c>
      <c r="D90" s="434"/>
      <c r="E90" s="434"/>
      <c r="F90" s="333" t="s">
        <v>84</v>
      </c>
      <c r="G90" s="333"/>
      <c r="H90" s="333"/>
      <c r="O90" s="1" t="s">
        <v>177</v>
      </c>
      <c r="U90" s="17"/>
      <c r="V90" s="17"/>
      <c r="W90" s="17"/>
      <c r="X90" s="17"/>
      <c r="Y90" s="17"/>
      <c r="AD90" s="53" t="s">
        <v>59</v>
      </c>
      <c r="AE90" s="66" t="s">
        <v>83</v>
      </c>
    </row>
    <row r="91" spans="1:65" ht="17.25" customHeight="1" thickBot="1" x14ac:dyDescent="0.3">
      <c r="C91" s="70"/>
      <c r="D91" s="70"/>
      <c r="E91" s="334" t="s">
        <v>168</v>
      </c>
      <c r="F91" s="334"/>
      <c r="G91" s="335"/>
      <c r="H91" s="335"/>
      <c r="I91" s="291">
        <f>IF(F90=AE90,"---",N119)</f>
        <v>8.8672853606012811</v>
      </c>
      <c r="J91" s="291"/>
      <c r="K91" s="291"/>
      <c r="U91" s="17"/>
      <c r="V91" s="17"/>
      <c r="W91" s="17"/>
      <c r="X91" s="17"/>
      <c r="Y91" s="17"/>
      <c r="AD91" s="53"/>
      <c r="AE91" s="67" t="s">
        <v>84</v>
      </c>
      <c r="AI91" s="68" t="s">
        <v>182</v>
      </c>
      <c r="AJ91" s="68" t="s">
        <v>182</v>
      </c>
      <c r="AK91" s="68" t="s">
        <v>112</v>
      </c>
      <c r="AL91" s="68" t="s">
        <v>125</v>
      </c>
      <c r="AM91" s="68" t="s">
        <v>137</v>
      </c>
      <c r="AN91" s="17"/>
    </row>
    <row r="92" spans="1:65" ht="17.25" customHeight="1" thickTop="1" thickBot="1" x14ac:dyDescent="0.3">
      <c r="C92" s="1"/>
      <c r="D92" s="1"/>
      <c r="E92" s="1"/>
      <c r="F92" s="1"/>
      <c r="G92" s="461" t="s">
        <v>79</v>
      </c>
      <c r="H92" s="461"/>
      <c r="I92" s="461"/>
      <c r="J92" s="461"/>
      <c r="K92" s="461"/>
      <c r="L92" s="461"/>
      <c r="M92" s="461"/>
      <c r="N92" s="281">
        <f>I19</f>
        <v>8.9666666666666668</v>
      </c>
      <c r="O92" s="281"/>
      <c r="P92" s="281"/>
      <c r="Q92" s="281"/>
      <c r="R92" s="1" t="s">
        <v>125</v>
      </c>
      <c r="T92" s="279" t="str">
        <f>AB92</f>
        <v>+08°58.0000</v>
      </c>
      <c r="U92" s="279"/>
      <c r="V92" s="279"/>
      <c r="W92" s="279"/>
      <c r="X92" s="279"/>
      <c r="Y92" s="279"/>
      <c r="AB92" s="28" t="str">
        <f>AN92</f>
        <v>+08°58.0000</v>
      </c>
      <c r="AC92" s="28">
        <f>N92</f>
        <v>8.9666666666666668</v>
      </c>
      <c r="AD92" s="31" t="s">
        <v>164</v>
      </c>
      <c r="AE92" s="1"/>
      <c r="AF92" s="17"/>
      <c r="AG92" s="17"/>
      <c r="AH92" s="17"/>
      <c r="AI92" s="22">
        <f>SIGN(AC92)</f>
        <v>1</v>
      </c>
      <c r="AJ92" s="22" t="str">
        <f>IF(AI92&lt;0,"-","+")</f>
        <v>+</v>
      </c>
      <c r="AK92" s="17">
        <f>ABS(AC92)*3600</f>
        <v>32280</v>
      </c>
      <c r="AL92" s="17">
        <f>_xlfn.FLOOR.MATH(AK92/3600)</f>
        <v>8</v>
      </c>
      <c r="AM92" s="17">
        <f>(AK92-3600*AL92)/60</f>
        <v>58</v>
      </c>
      <c r="AN92" s="17" t="str">
        <f>CONCATENATE(AJ92,TEXT(AL92, "00"),"°",TEXT(AM92, "00.0000"))</f>
        <v>+08°58.0000</v>
      </c>
      <c r="AO92" s="17"/>
    </row>
    <row r="93" spans="1:65" ht="17.25" customHeight="1" thickTop="1" thickBot="1" x14ac:dyDescent="0.3">
      <c r="C93" s="1"/>
      <c r="D93" s="1"/>
      <c r="E93" s="1"/>
      <c r="F93" s="1"/>
      <c r="G93" s="461" t="s">
        <v>31</v>
      </c>
      <c r="H93" s="461"/>
      <c r="I93" s="461"/>
      <c r="J93" s="461"/>
      <c r="K93" s="461"/>
      <c r="L93" s="461"/>
      <c r="M93" s="461"/>
      <c r="N93" s="281">
        <f>I18</f>
        <v>0</v>
      </c>
      <c r="O93" s="281"/>
      <c r="P93" s="281"/>
      <c r="Q93" s="281"/>
      <c r="R93" s="1" t="s">
        <v>125</v>
      </c>
      <c r="T93" s="279" t="str">
        <f>AB93</f>
        <v>+00°00.0000 (+00.0000')</v>
      </c>
      <c r="U93" s="279"/>
      <c r="V93" s="279"/>
      <c r="W93" s="279"/>
      <c r="X93" s="279"/>
      <c r="Y93" s="279"/>
      <c r="AB93" s="28" t="str">
        <f>AN93</f>
        <v>+00°00.0000 (+00.0000')</v>
      </c>
      <c r="AC93" s="28">
        <f>N93</f>
        <v>0</v>
      </c>
      <c r="AD93" s="31" t="s">
        <v>163</v>
      </c>
      <c r="AE93" s="1"/>
      <c r="AF93" s="17"/>
      <c r="AG93" s="1"/>
      <c r="AH93" s="17"/>
      <c r="AI93" s="22">
        <f>SIGN(AC93)</f>
        <v>0</v>
      </c>
      <c r="AJ93" s="22" t="str">
        <f>IF(AI93&lt;0,"-","+")</f>
        <v>+</v>
      </c>
      <c r="AK93" s="17">
        <f>ABS(AC93)*3600</f>
        <v>0</v>
      </c>
      <c r="AL93" s="17">
        <f>_xlfn.FLOOR.MATH(AK93/3600)</f>
        <v>0</v>
      </c>
      <c r="AM93" s="17">
        <f>(AK93-3600*AL93)/60</f>
        <v>0</v>
      </c>
      <c r="AN93" s="17" t="str">
        <f>CONCATENATE(AJ93,TEXT(AL93, "00"),"°",TEXT(AM93, "00.0000"), " (", CONCATENATE(AJ93,TEXT(AL93*60 + AM93, "00.0000"),"'"), ")")</f>
        <v>+00°00.0000 (+00.0000')</v>
      </c>
      <c r="AO93" s="17"/>
    </row>
    <row r="94" spans="1:65" ht="17.25" customHeight="1" thickTop="1" thickBot="1" x14ac:dyDescent="0.3">
      <c r="F94" s="1"/>
      <c r="G94" s="480" t="s">
        <v>174</v>
      </c>
      <c r="H94" s="480"/>
      <c r="I94" s="480"/>
      <c r="J94" s="480"/>
      <c r="K94" s="480"/>
      <c r="L94" s="480"/>
      <c r="M94" s="480"/>
      <c r="N94" s="280">
        <f>AC94</f>
        <v>0</v>
      </c>
      <c r="O94" s="280"/>
      <c r="P94" s="280"/>
      <c r="Q94" s="280"/>
      <c r="R94" s="1" t="s">
        <v>125</v>
      </c>
      <c r="T94" s="279" t="str">
        <f>AB94</f>
        <v>+00.0000'</v>
      </c>
      <c r="U94" s="279"/>
      <c r="V94" s="279"/>
      <c r="W94" s="279"/>
      <c r="X94" s="279"/>
      <c r="Y94" s="279"/>
      <c r="AB94" s="28" t="str">
        <f>AN94</f>
        <v>+00.0000'</v>
      </c>
      <c r="AC94" s="28">
        <f>AG94</f>
        <v>0</v>
      </c>
      <c r="AD94" s="31" t="s">
        <v>78</v>
      </c>
      <c r="AE94" s="17">
        <f>I17</f>
        <v>0</v>
      </c>
      <c r="AF94" s="69" t="s">
        <v>173</v>
      </c>
      <c r="AG94" s="1">
        <f>0.0293 * SQRT(AE94)</f>
        <v>0</v>
      </c>
      <c r="AH94" s="17"/>
      <c r="AI94" s="22">
        <f>SIGN(AC94)</f>
        <v>0</v>
      </c>
      <c r="AJ94" s="22" t="str">
        <f>IF(AI94&lt;0,"-","+")</f>
        <v>+</v>
      </c>
      <c r="AK94" s="17">
        <f>ABS(AC94)*3600</f>
        <v>0</v>
      </c>
      <c r="AL94" s="17">
        <f>_xlfn.FLOOR.MATH(AK94/3600)</f>
        <v>0</v>
      </c>
      <c r="AM94" s="17">
        <f>(AK94-3600*AL94)/60</f>
        <v>0</v>
      </c>
      <c r="AN94" s="17" t="str">
        <f>CONCATENATE(AJ94,TEXT(AL94*60 + AM94, "00.0000"),"'")</f>
        <v>+00.0000'</v>
      </c>
      <c r="AO94" s="17"/>
    </row>
    <row r="95" spans="1:65" ht="17.25" customHeight="1" thickTop="1" thickBot="1" x14ac:dyDescent="0.3">
      <c r="J95" s="17"/>
      <c r="K95" s="17"/>
      <c r="L95" s="286" t="s">
        <v>320</v>
      </c>
      <c r="M95" s="286"/>
      <c r="N95" s="286"/>
      <c r="O95" s="286"/>
      <c r="P95" s="17"/>
      <c r="Q95" s="17"/>
      <c r="T95" s="17"/>
      <c r="U95" s="17"/>
      <c r="V95" s="17"/>
      <c r="W95" s="17"/>
      <c r="X95" s="17"/>
      <c r="Y95" s="17"/>
      <c r="AD95" s="1"/>
      <c r="AE95" s="1"/>
      <c r="AF95" s="1"/>
      <c r="AG95" s="17"/>
      <c r="AH95" s="17"/>
      <c r="AI95" s="22" t="s">
        <v>309</v>
      </c>
      <c r="AJ95" s="22" t="s">
        <v>309</v>
      </c>
      <c r="AK95" s="22" t="s">
        <v>309</v>
      </c>
      <c r="AL95" s="29" t="s">
        <v>309</v>
      </c>
      <c r="AM95" s="22" t="s">
        <v>309</v>
      </c>
      <c r="AN95" s="22" t="s">
        <v>310</v>
      </c>
      <c r="AO95" s="17"/>
    </row>
    <row r="96" spans="1:65" ht="17.25" customHeight="1" thickTop="1" thickBot="1" x14ac:dyDescent="0.3">
      <c r="F96" s="1"/>
      <c r="G96" s="518" t="s">
        <v>80</v>
      </c>
      <c r="H96" s="518"/>
      <c r="I96" s="518"/>
      <c r="J96" s="518"/>
      <c r="K96" s="518"/>
      <c r="L96" s="518"/>
      <c r="M96" s="518"/>
      <c r="N96" s="450">
        <f>AC96</f>
        <v>8.9666666666666668</v>
      </c>
      <c r="O96" s="294"/>
      <c r="P96" s="1" t="s">
        <v>125</v>
      </c>
      <c r="Q96" s="485">
        <f>N96*D140</f>
        <v>0.15649785626215823</v>
      </c>
      <c r="R96" s="485"/>
      <c r="S96" s="84" t="s">
        <v>170</v>
      </c>
      <c r="T96" s="279" t="str">
        <f>AB96</f>
        <v>+08°58.0000</v>
      </c>
      <c r="U96" s="279"/>
      <c r="V96" s="279"/>
      <c r="W96" s="279"/>
      <c r="X96" s="279"/>
      <c r="Y96" s="279"/>
      <c r="AB96" s="28" t="str">
        <f>AN96</f>
        <v>+08°58.0000</v>
      </c>
      <c r="AC96" s="28">
        <f>AE96</f>
        <v>8.9666666666666668</v>
      </c>
      <c r="AD96" s="68" t="s">
        <v>86</v>
      </c>
      <c r="AE96" s="62">
        <f>N92-AC93-AC94</f>
        <v>8.9666666666666668</v>
      </c>
      <c r="AF96" s="17"/>
      <c r="AG96" s="17"/>
      <c r="AH96" s="17"/>
      <c r="AI96" s="22">
        <f>SIGN(AC96)</f>
        <v>1</v>
      </c>
      <c r="AJ96" s="22" t="str">
        <f>IF(AI96&lt;0,"-","+")</f>
        <v>+</v>
      </c>
      <c r="AK96" s="17">
        <f>AC96*3600</f>
        <v>32280</v>
      </c>
      <c r="AL96" s="17">
        <f>_xlfn.FLOOR.MATH(AK96/3600)</f>
        <v>8</v>
      </c>
      <c r="AM96" s="17">
        <f>(AK96-3600*AL96)/60</f>
        <v>58</v>
      </c>
      <c r="AN96" s="17" t="str">
        <f>CONCATENATE(AJ96,TEXT(AL96, "00"),"°",TEXT(AM96, "00.0000"))</f>
        <v>+08°58.0000</v>
      </c>
      <c r="AO96" s="17"/>
    </row>
    <row r="97" spans="1:61" ht="17.25" customHeight="1" thickTop="1" x14ac:dyDescent="0.25">
      <c r="C97" s="1"/>
      <c r="D97" s="1"/>
      <c r="E97" s="1"/>
      <c r="F97" s="1"/>
      <c r="G97" s="178"/>
      <c r="H97" s="178"/>
      <c r="I97" s="178"/>
      <c r="J97" s="178"/>
      <c r="K97" s="178"/>
      <c r="L97" s="178"/>
      <c r="M97" s="178"/>
      <c r="N97" s="178"/>
      <c r="O97" s="178"/>
      <c r="P97" s="178"/>
      <c r="Q97" s="178"/>
      <c r="T97" s="178"/>
      <c r="U97" s="178"/>
      <c r="V97" s="178"/>
      <c r="W97" s="178"/>
      <c r="X97" s="178"/>
      <c r="Y97" s="178"/>
      <c r="AD97" s="31"/>
      <c r="AE97" s="17"/>
      <c r="AF97" s="17"/>
      <c r="AG97" s="17"/>
      <c r="AH97" s="17"/>
      <c r="AI97" s="17"/>
      <c r="AJ97" s="17"/>
      <c r="AK97" s="17"/>
      <c r="AL97" s="17"/>
      <c r="AM97" s="17"/>
      <c r="AN97" s="17"/>
      <c r="AO97" s="17"/>
    </row>
    <row r="98" spans="1:61" ht="17.25" customHeight="1" x14ac:dyDescent="0.25">
      <c r="F98" s="1"/>
      <c r="G98" s="178"/>
      <c r="H98" s="178"/>
      <c r="I98" s="178"/>
      <c r="J98" s="178"/>
      <c r="K98" s="178"/>
      <c r="L98" s="481" t="s">
        <v>165</v>
      </c>
      <c r="M98" s="481"/>
      <c r="N98" s="481"/>
      <c r="O98" s="481"/>
      <c r="P98" s="178"/>
      <c r="Q98" s="178"/>
      <c r="T98" s="178"/>
      <c r="U98" s="178"/>
      <c r="V98" s="178"/>
      <c r="W98" s="178"/>
      <c r="X98" s="178"/>
      <c r="Y98" s="178"/>
      <c r="AB98" s="14"/>
      <c r="AC98" s="7"/>
      <c r="AD98" s="178"/>
      <c r="AE98" s="178"/>
      <c r="AF98" s="178"/>
      <c r="AG98" s="178"/>
      <c r="AH98" s="178"/>
      <c r="AI98" s="178"/>
      <c r="AJ98" s="178"/>
      <c r="AK98" s="178"/>
      <c r="AL98" s="178"/>
      <c r="AM98" s="178"/>
      <c r="AN98" s="178"/>
      <c r="AO98" s="178"/>
      <c r="AP98" s="178"/>
      <c r="AQ98" s="178"/>
      <c r="AR98" s="178"/>
      <c r="AS98" s="178"/>
      <c r="AT98" s="178"/>
      <c r="AU98" s="178"/>
      <c r="AV98" s="178"/>
      <c r="AW98" s="178"/>
      <c r="AX98" s="178"/>
      <c r="AY98" s="178"/>
      <c r="AZ98" s="178"/>
      <c r="BA98" s="178"/>
      <c r="BB98" s="178"/>
      <c r="BC98" s="178"/>
      <c r="BD98" s="178"/>
    </row>
    <row r="99" spans="1:61" ht="17.25" customHeight="1" thickBot="1" x14ac:dyDescent="0.3">
      <c r="C99" s="1"/>
      <c r="D99" s="1"/>
      <c r="E99" s="1"/>
      <c r="F99" s="1"/>
      <c r="L99" s="482" t="s">
        <v>166</v>
      </c>
      <c r="M99" s="482"/>
      <c r="N99" s="481"/>
      <c r="O99" s="481"/>
      <c r="AB99" s="14"/>
      <c r="AC99" s="7"/>
      <c r="AD99" s="3" t="s">
        <v>57</v>
      </c>
      <c r="AE99" s="3" t="s">
        <v>57</v>
      </c>
      <c r="AF99" s="3" t="s">
        <v>304</v>
      </c>
      <c r="AG99" s="3" t="s">
        <v>120</v>
      </c>
      <c r="AH99" s="3" t="s">
        <v>121</v>
      </c>
      <c r="AI99" s="3" t="s">
        <v>122</v>
      </c>
      <c r="AJ99" s="3" t="s">
        <v>123</v>
      </c>
      <c r="AK99" s="3" t="s">
        <v>124</v>
      </c>
      <c r="AL99" s="3" t="s">
        <v>125</v>
      </c>
      <c r="AM99" s="3" t="s">
        <v>101</v>
      </c>
      <c r="AN99" s="3" t="s">
        <v>129</v>
      </c>
      <c r="AO99" s="3" t="s">
        <v>128</v>
      </c>
      <c r="AP99" s="3" t="s">
        <v>126</v>
      </c>
      <c r="AQ99" s="3" t="s">
        <v>127</v>
      </c>
      <c r="AR99" s="3" t="s">
        <v>129</v>
      </c>
      <c r="AS99" s="3" t="s">
        <v>128</v>
      </c>
      <c r="AT99" s="3" t="s">
        <v>130</v>
      </c>
      <c r="AU99" s="3" t="s">
        <v>112</v>
      </c>
      <c r="AV99" s="3" t="s">
        <v>117</v>
      </c>
      <c r="AW99" s="3" t="s">
        <v>143</v>
      </c>
      <c r="AX99" s="3" t="s">
        <v>149</v>
      </c>
      <c r="AY99" s="3" t="s">
        <v>131</v>
      </c>
      <c r="AZ99" s="3" t="s">
        <v>150</v>
      </c>
      <c r="BA99" s="3" t="s">
        <v>112</v>
      </c>
      <c r="BB99" s="3" t="s">
        <v>308</v>
      </c>
      <c r="BC99" s="3" t="s">
        <v>151</v>
      </c>
    </row>
    <row r="100" spans="1:61" ht="17.25" customHeight="1" thickTop="1" thickBot="1" x14ac:dyDescent="0.3">
      <c r="A100" s="17"/>
      <c r="B100" s="17"/>
      <c r="C100" s="17"/>
      <c r="D100" s="17"/>
      <c r="E100" s="1"/>
      <c r="F100" s="1"/>
      <c r="G100" s="280" t="s">
        <v>88</v>
      </c>
      <c r="H100" s="280"/>
      <c r="I100" s="280"/>
      <c r="J100" s="280"/>
      <c r="K100" s="280"/>
      <c r="L100" s="280"/>
      <c r="M100" s="280"/>
      <c r="N100" s="483">
        <f>I22</f>
        <v>0</v>
      </c>
      <c r="O100" s="484"/>
      <c r="P100" s="484"/>
      <c r="Q100" s="484"/>
      <c r="R100" s="1" t="s">
        <v>125</v>
      </c>
      <c r="T100" s="279" t="str">
        <f>AB100</f>
        <v>00°00'00.00 [00°00.00]  (00.0000°)</v>
      </c>
      <c r="U100" s="279"/>
      <c r="V100" s="279"/>
      <c r="W100" s="279"/>
      <c r="X100" s="279"/>
      <c r="Y100" s="279"/>
      <c r="AA100" s="18">
        <f>N100</f>
        <v>0</v>
      </c>
      <c r="AB100" s="14" t="str">
        <f>BC100</f>
        <v>00°00'00.00 [00°00.00]  (00.0000°)</v>
      </c>
      <c r="AC100" s="7">
        <f>BB100</f>
        <v>0</v>
      </c>
      <c r="AD100" s="5">
        <f>IF(LEFT(TRIM(AA100),1)="-",-1,IF(LEFT(TRIM(AA100),1)="+",1, 0))</f>
        <v>0</v>
      </c>
      <c r="AE100" s="5" t="str">
        <f>IF(AD100&gt;0,"+",IF(AD100&lt;0,"-",""))</f>
        <v/>
      </c>
      <c r="AF100" s="5">
        <f>IF(ABS(AD100)&gt;0,RIGHT(AA100,LEN(AA100)-1),AA100)</f>
        <v>0</v>
      </c>
      <c r="AG100" s="5" t="b">
        <f>ISNUMBER(SEARCH("°",AF100,1))</f>
        <v>0</v>
      </c>
      <c r="AH100" s="5" t="b">
        <f>ISNUMBER(SEARCH("'",AF100,1))</f>
        <v>0</v>
      </c>
      <c r="AI100" s="5" t="b">
        <f>ISNUMBER(SEARCH("""",AF100,1))</f>
        <v>0</v>
      </c>
      <c r="AJ100" s="5" t="b">
        <f>NOT(OR(AG100,AH100,AI100))</f>
        <v>1</v>
      </c>
      <c r="AK100" s="5" t="b">
        <f t="shared" ref="AK100" si="112">OR(AJ100,AG100)</f>
        <v>1</v>
      </c>
      <c r="AL100" s="6">
        <f>IF(AJ100,VALUE(AF100),IF(AG100,LEFT(AF100,SEARCH("°",AF100,1)-1),0))</f>
        <v>0</v>
      </c>
      <c r="AM100" s="5" t="str">
        <f>IF(AJ100,"",IF(AG100,RIGHT(AF100,LEN(AF100)-SEARCH("°",AF100,1)),AF100))</f>
        <v/>
      </c>
      <c r="AN100" s="5" t="b">
        <f>(LEN(AM100)&gt;0)</f>
        <v>0</v>
      </c>
      <c r="AO100" s="5" t="b">
        <f>NOT(OR(AH100,AI100))</f>
        <v>1</v>
      </c>
      <c r="AP100" s="6">
        <f t="shared" ref="AP100" si="113">IF(NOT(AN100),0,IF(AO100,VALUE(AM100),IF(NOT(AH100),0,VALUE(LEFT(AM100,SEARCH("'",AM100,1)-1)))))</f>
        <v>0</v>
      </c>
      <c r="AQ100" s="5" t="str">
        <f t="shared" ref="AQ100" si="114">IF(NOT(AN100),"",IF(AO100,"",IF(NOT(AH100),AM100,RIGHT(AM100,LEN(AM100)-SEARCH("'",AM100,1)))))</f>
        <v/>
      </c>
      <c r="AR100" s="5" t="b">
        <f>(LEN(AQ100)&gt;0)</f>
        <v>0</v>
      </c>
      <c r="AS100" s="5" t="b">
        <f t="shared" ref="AS100" si="115">NOT(AI100)</f>
        <v>1</v>
      </c>
      <c r="AT100" s="5" t="b">
        <f>ISNUMBER(SEARCH(".",AQ100,1))</f>
        <v>0</v>
      </c>
      <c r="AU100" s="6">
        <f t="shared" ref="AU100" si="116">IF(AR100,IF(AI100,IF(AT100,VALUE(SUBSTITUTE(AQ100, """", "")),VALUE(SUBSTITUTE(AQ100, """", "."))),VALUE(AQ100)),0)</f>
        <v>0</v>
      </c>
      <c r="AV100" s="6">
        <f t="shared" ref="AV100" si="117">AL100*3600+AP100*60+AU100</f>
        <v>0</v>
      </c>
      <c r="AW100" s="6">
        <f>AV100/3600</f>
        <v>0</v>
      </c>
      <c r="AX100" s="6">
        <f>_xlfn.FLOOR.MATH((AW100))</f>
        <v>0</v>
      </c>
      <c r="AY100" s="6">
        <f>(AV100-3600*AX100)/60</f>
        <v>0</v>
      </c>
      <c r="AZ100" s="6">
        <f>_xlfn.FLOOR.MATH((AY100))</f>
        <v>0</v>
      </c>
      <c r="BA100" s="6">
        <f>AV100-3600*AX100-60*AZ100</f>
        <v>0</v>
      </c>
      <c r="BB100" s="6">
        <f>AW100*IF(AD100&lt;0,-1,1)</f>
        <v>0</v>
      </c>
      <c r="BC100" s="7" t="str">
        <f>CONCATENATE(AE100,TEXT(AX100,"00"),"°",TEXT(AZ100,"00"),"'",TEXT(BA100,"00.00"), " [", CONCATENATE(AE100,TEXT(AX100,"00"),"°",TEXT(AY100,"00.00")),"]", "  (", AE100,TEXT(AW100,"00.0000"),"°)")</f>
        <v>00°00'00.00 [00°00.00]  (00.0000°)</v>
      </c>
      <c r="BH100" s="1"/>
      <c r="BI100" s="1"/>
    </row>
    <row r="101" spans="1:61" ht="17.25" customHeight="1" thickTop="1" thickBot="1" x14ac:dyDescent="0.3">
      <c r="A101" s="17"/>
      <c r="B101" s="17"/>
      <c r="C101" s="17"/>
      <c r="D101" s="17"/>
      <c r="E101" s="1"/>
      <c r="F101" s="1"/>
      <c r="G101" s="497" t="s">
        <v>167</v>
      </c>
      <c r="H101" s="498"/>
      <c r="I101" s="498"/>
      <c r="J101" s="498"/>
      <c r="K101" s="498"/>
      <c r="L101" s="498"/>
      <c r="M101" s="499"/>
      <c r="N101" s="362">
        <f>AC101</f>
        <v>0</v>
      </c>
      <c r="O101" s="362"/>
      <c r="P101" s="362"/>
      <c r="Q101" s="362"/>
      <c r="R101" s="1" t="s">
        <v>125</v>
      </c>
      <c r="T101" s="279" t="str">
        <f>AB101</f>
        <v>+00°00.0000 (+00.0000')</v>
      </c>
      <c r="U101" s="279"/>
      <c r="V101" s="279"/>
      <c r="W101" s="279"/>
      <c r="X101" s="279"/>
      <c r="Y101" s="279"/>
      <c r="AB101" s="28" t="str">
        <f>AN101</f>
        <v>+00°00.0000 (+00.0000')</v>
      </c>
      <c r="AC101" s="28">
        <f>AE101</f>
        <v>0</v>
      </c>
      <c r="AD101" s="31" t="s">
        <v>87</v>
      </c>
      <c r="AE101" s="17">
        <f>N100*COS(Q96)</f>
        <v>0</v>
      </c>
      <c r="AF101" s="17"/>
      <c r="AG101" s="17"/>
      <c r="AH101" s="17"/>
      <c r="AI101" s="22">
        <f>SIGN(AC101)</f>
        <v>0</v>
      </c>
      <c r="AJ101" s="22" t="str">
        <f>IF(AI101&lt;0,"-","+")</f>
        <v>+</v>
      </c>
      <c r="AK101" s="17">
        <f>ABS(AC101)*3600</f>
        <v>0</v>
      </c>
      <c r="AL101" s="17">
        <f>_xlfn.FLOOR.MATH(AK101/3600)</f>
        <v>0</v>
      </c>
      <c r="AM101" s="17">
        <f>(AK101-3600*AL101)/60</f>
        <v>0</v>
      </c>
      <c r="AN101" s="17" t="str">
        <f>CONCATENATE(AJ101,TEXT(AL101, "00"),"°",TEXT(AM101, "00.0000"), " (", CONCATENATE(AJ101,TEXT(AL101*60 + AM101, "00.0000"),"'"), ")")</f>
        <v>+00°00.0000 (+00.0000')</v>
      </c>
      <c r="AO101" s="17"/>
      <c r="AT101" s="17"/>
    </row>
    <row r="102" spans="1:61" ht="17.25" customHeight="1" thickTop="1" x14ac:dyDescent="0.25">
      <c r="A102" s="17"/>
      <c r="B102" s="17"/>
      <c r="C102" s="17"/>
      <c r="D102" s="17"/>
      <c r="E102" s="1"/>
      <c r="F102" s="1"/>
      <c r="G102" s="178"/>
      <c r="H102" s="178"/>
      <c r="I102" s="178"/>
      <c r="J102" s="178"/>
      <c r="K102" s="178"/>
      <c r="L102" s="178"/>
      <c r="M102" s="178"/>
      <c r="N102" s="178"/>
      <c r="O102" s="178"/>
      <c r="P102" s="178"/>
      <c r="Q102" s="178"/>
      <c r="R102" s="178"/>
      <c r="S102" s="178"/>
      <c r="T102" s="178"/>
      <c r="U102" s="178"/>
      <c r="V102" s="178"/>
      <c r="W102" s="178"/>
      <c r="X102" s="178"/>
      <c r="Y102" s="178"/>
      <c r="AD102" s="31"/>
      <c r="AE102" s="17"/>
      <c r="AF102" s="17"/>
      <c r="AG102" s="17"/>
      <c r="AH102" s="17"/>
      <c r="AK102" s="17"/>
      <c r="AL102" s="17"/>
      <c r="AM102" s="17"/>
      <c r="AN102" s="17"/>
      <c r="AO102" s="17"/>
      <c r="AT102" s="17"/>
    </row>
    <row r="103" spans="1:61" ht="17.25" customHeight="1" x14ac:dyDescent="0.25">
      <c r="A103" s="178"/>
      <c r="B103" s="178"/>
      <c r="C103" s="178"/>
      <c r="E103" s="1"/>
      <c r="F103" s="1"/>
      <c r="G103" s="17"/>
      <c r="H103" s="17"/>
      <c r="I103" s="17"/>
      <c r="J103" s="17"/>
      <c r="K103" s="17"/>
      <c r="L103" s="17"/>
      <c r="M103" s="17"/>
      <c r="N103" s="17"/>
      <c r="R103" s="492" t="s">
        <v>340</v>
      </c>
      <c r="S103" s="493"/>
      <c r="T103" s="494"/>
      <c r="X103" s="17"/>
      <c r="Y103" s="17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</row>
    <row r="104" spans="1:61" ht="17.25" customHeight="1" x14ac:dyDescent="0.25">
      <c r="A104" s="178"/>
      <c r="B104" s="178"/>
      <c r="C104" s="178"/>
      <c r="E104" s="1"/>
      <c r="F104" s="1"/>
      <c r="G104" s="280" t="s">
        <v>171</v>
      </c>
      <c r="H104" s="280"/>
      <c r="I104" s="280"/>
      <c r="J104" s="280"/>
      <c r="K104" s="280"/>
      <c r="L104" s="280"/>
      <c r="M104" s="280"/>
      <c r="N104" s="500">
        <f>R104</f>
        <v>10</v>
      </c>
      <c r="O104" s="501"/>
      <c r="P104" s="501"/>
      <c r="Q104" s="501"/>
      <c r="R104" s="276">
        <v>10</v>
      </c>
      <c r="S104" s="277"/>
      <c r="T104" s="278"/>
      <c r="X104" s="17"/>
      <c r="Y104" s="17"/>
      <c r="AB104" s="28">
        <f>N96</f>
        <v>8.9666666666666668</v>
      </c>
      <c r="AC104" s="28">
        <f>AB104</f>
        <v>8.9666666666666668</v>
      </c>
      <c r="AD104" s="31" t="s">
        <v>218</v>
      </c>
      <c r="AE104" s="1">
        <f>(1/(TAN((AC104+(7.31/(AC104+4.4))) * D140)))</f>
        <v>5.9670953924690071</v>
      </c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</row>
    <row r="105" spans="1:61" ht="17.25" customHeight="1" thickBot="1" x14ac:dyDescent="0.3">
      <c r="A105" s="178"/>
      <c r="B105" s="178"/>
      <c r="C105" s="178"/>
      <c r="D105" s="17"/>
      <c r="E105" s="1"/>
      <c r="F105" s="1"/>
      <c r="G105" s="280" t="s">
        <v>172</v>
      </c>
      <c r="H105" s="280"/>
      <c r="I105" s="280"/>
      <c r="J105" s="280"/>
      <c r="K105" s="280"/>
      <c r="L105" s="280"/>
      <c r="M105" s="280"/>
      <c r="N105" s="500">
        <f>R105</f>
        <v>1010</v>
      </c>
      <c r="O105" s="501"/>
      <c r="P105" s="501"/>
      <c r="Q105" s="501"/>
      <c r="R105" s="276">
        <v>1010</v>
      </c>
      <c r="S105" s="277"/>
      <c r="T105" s="278"/>
      <c r="X105" s="17"/>
      <c r="Y105" s="17"/>
      <c r="AD105" s="31" t="s">
        <v>219</v>
      </c>
      <c r="AE105" s="1">
        <f>(0.28 * N105 / (273 + N104))</f>
        <v>0.99929328621908131</v>
      </c>
      <c r="AF105" s="1"/>
      <c r="AG105" s="1"/>
      <c r="AI105" s="68" t="s">
        <v>182</v>
      </c>
      <c r="AJ105" s="68" t="s">
        <v>182</v>
      </c>
      <c r="AK105" s="68" t="s">
        <v>112</v>
      </c>
      <c r="AL105" s="68" t="s">
        <v>125</v>
      </c>
      <c r="AM105" s="68" t="s">
        <v>137</v>
      </c>
      <c r="AN105" s="1"/>
      <c r="AO105" s="1"/>
      <c r="AP105" s="1"/>
      <c r="AQ105" s="1"/>
      <c r="AR105" s="1"/>
      <c r="AS105" s="1"/>
    </row>
    <row r="106" spans="1:61" ht="17.25" customHeight="1" thickTop="1" thickBot="1" x14ac:dyDescent="0.3">
      <c r="A106" s="178"/>
      <c r="B106" s="178"/>
      <c r="C106" s="178"/>
      <c r="D106" s="17"/>
      <c r="E106" s="1"/>
      <c r="F106" s="1"/>
      <c r="G106" s="497" t="s">
        <v>82</v>
      </c>
      <c r="H106" s="498"/>
      <c r="I106" s="498"/>
      <c r="J106" s="498"/>
      <c r="K106" s="498"/>
      <c r="L106" s="498"/>
      <c r="M106" s="499"/>
      <c r="N106" s="362">
        <f>AC106</f>
        <v>9.9381306065384881E-2</v>
      </c>
      <c r="O106" s="362"/>
      <c r="P106" s="362"/>
      <c r="Q106" s="362"/>
      <c r="R106" s="1" t="s">
        <v>125</v>
      </c>
      <c r="T106" s="279" t="str">
        <f>AB106</f>
        <v>+00°05.9629 (+05.9629')</v>
      </c>
      <c r="U106" s="279"/>
      <c r="V106" s="279"/>
      <c r="W106" s="279"/>
      <c r="X106" s="279"/>
      <c r="Y106" s="279"/>
      <c r="AB106" s="28" t="str">
        <f>AN106</f>
        <v>+00°05.9629 (+05.9629')</v>
      </c>
      <c r="AC106" s="28">
        <f>AE106</f>
        <v>9.9381306065384881E-2</v>
      </c>
      <c r="AD106" s="31" t="s">
        <v>85</v>
      </c>
      <c r="AE106" s="17">
        <f>AE104*AE105/60</f>
        <v>9.9381306065384881E-2</v>
      </c>
      <c r="AF106" s="17"/>
      <c r="AG106" s="17"/>
      <c r="AI106" s="22">
        <f>SIGN(AC106)</f>
        <v>1</v>
      </c>
      <c r="AJ106" s="22" t="str">
        <f>IF(AI106&lt;0,"-","+")</f>
        <v>+</v>
      </c>
      <c r="AK106" s="17">
        <f>ABS(AC106)*3600</f>
        <v>357.77270183538559</v>
      </c>
      <c r="AL106" s="17">
        <f>_xlfn.FLOOR.MATH(AK106/3600)</f>
        <v>0</v>
      </c>
      <c r="AM106" s="17">
        <f>(AK106-3600*AL106)/60</f>
        <v>5.9628783639230933</v>
      </c>
      <c r="AN106" s="17" t="str">
        <f>CONCATENATE(AJ106,TEXT(AL106, "00"),"°",TEXT(AM106, "00.0000"), " (", CONCATENATE(AJ106,TEXT(AL106*60 + AM106, "00.0000"),"'"), ")")</f>
        <v>+00°05.9629 (+05.9629')</v>
      </c>
      <c r="AO106" s="1"/>
      <c r="AP106" s="1"/>
      <c r="AQ106" s="1"/>
      <c r="AR106" s="1"/>
      <c r="AS106" s="1"/>
    </row>
    <row r="107" spans="1:61" ht="17.25" customHeight="1" thickTop="1" x14ac:dyDescent="0.25">
      <c r="A107" s="178"/>
      <c r="B107" s="178"/>
      <c r="C107" s="178"/>
      <c r="D107" s="17"/>
      <c r="E107" s="1"/>
      <c r="F107" s="1"/>
      <c r="G107" s="178"/>
      <c r="H107" s="178"/>
      <c r="I107" s="178"/>
      <c r="J107" s="178"/>
      <c r="K107" s="178"/>
      <c r="L107" s="178"/>
      <c r="M107" s="178"/>
      <c r="N107" s="178"/>
      <c r="X107" s="17"/>
      <c r="Y107" s="17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</row>
    <row r="108" spans="1:61" ht="17.25" customHeight="1" x14ac:dyDescent="0.25">
      <c r="A108" s="17"/>
      <c r="B108" s="17"/>
      <c r="C108" s="17"/>
      <c r="D108" s="17"/>
      <c r="E108" s="1"/>
      <c r="F108" s="1"/>
      <c r="G108" s="280" t="s">
        <v>226</v>
      </c>
      <c r="H108" s="280"/>
      <c r="I108" s="280"/>
      <c r="J108" s="280"/>
      <c r="K108" s="280"/>
      <c r="L108" s="280"/>
      <c r="M108" s="280"/>
      <c r="N108" s="462">
        <f>I26</f>
        <v>0</v>
      </c>
      <c r="O108" s="462"/>
      <c r="P108" s="462"/>
      <c r="Q108" s="462"/>
      <c r="AD108" s="31" t="s">
        <v>183</v>
      </c>
      <c r="AE108" s="31" t="s">
        <v>184</v>
      </c>
      <c r="AF108" s="31" t="s">
        <v>185</v>
      </c>
      <c r="AG108" s="17"/>
      <c r="AH108" s="17"/>
      <c r="AI108" s="17"/>
      <c r="AJ108" s="17"/>
      <c r="AK108" s="17"/>
      <c r="AL108" s="17"/>
      <c r="AM108" s="17"/>
      <c r="AN108" s="17"/>
      <c r="AO108" s="17"/>
    </row>
    <row r="109" spans="1:61" ht="17.25" customHeight="1" thickBot="1" x14ac:dyDescent="0.3">
      <c r="B109" s="17"/>
      <c r="C109" s="17"/>
      <c r="G109" s="280" t="s">
        <v>179</v>
      </c>
      <c r="H109" s="280"/>
      <c r="I109" s="280"/>
      <c r="J109" s="280"/>
      <c r="K109" s="280"/>
      <c r="L109" s="280"/>
      <c r="M109" s="280"/>
      <c r="N109" s="462" t="str">
        <f>I21</f>
        <v>Milieu</v>
      </c>
      <c r="O109" s="462"/>
      <c r="P109" s="462"/>
      <c r="Q109" s="462"/>
      <c r="AD109" s="1" t="b">
        <f>(N109=AE21)</f>
        <v>0</v>
      </c>
      <c r="AE109" s="1" t="b">
        <f>(N109=AF21)</f>
        <v>0</v>
      </c>
      <c r="AF109" s="1" t="b">
        <f>(N109=AG21)</f>
        <v>1</v>
      </c>
      <c r="AG109" s="1"/>
      <c r="AH109" s="178"/>
      <c r="AI109" s="68" t="s">
        <v>182</v>
      </c>
      <c r="AJ109" s="68" t="s">
        <v>182</v>
      </c>
      <c r="AK109" s="68" t="s">
        <v>112</v>
      </c>
      <c r="AL109" s="68" t="s">
        <v>125</v>
      </c>
      <c r="AM109" s="68" t="s">
        <v>137</v>
      </c>
      <c r="AN109" s="1"/>
      <c r="AO109" s="1"/>
      <c r="AP109" s="1"/>
      <c r="AQ109" s="1"/>
      <c r="AR109" s="1"/>
      <c r="AS109" s="17"/>
    </row>
    <row r="110" spans="1:61" ht="17.25" customHeight="1" thickTop="1" thickBot="1" x14ac:dyDescent="0.3">
      <c r="G110" s="502" t="s">
        <v>180</v>
      </c>
      <c r="H110" s="503"/>
      <c r="I110" s="503"/>
      <c r="J110" s="503"/>
      <c r="K110" s="503"/>
      <c r="L110" s="503"/>
      <c r="M110" s="504"/>
      <c r="N110" s="505">
        <f>AC110</f>
        <v>0</v>
      </c>
      <c r="O110" s="505"/>
      <c r="P110" s="505"/>
      <c r="Q110" s="505"/>
      <c r="R110" s="1" t="s">
        <v>125</v>
      </c>
      <c r="T110" s="279" t="str">
        <f>AB110</f>
        <v>+00°00.0000 (+00.0000')</v>
      </c>
      <c r="U110" s="279"/>
      <c r="V110" s="279"/>
      <c r="W110" s="279"/>
      <c r="X110" s="279"/>
      <c r="Y110" s="279"/>
      <c r="AB110" s="28" t="str">
        <f>AN110</f>
        <v>+00°00.0000 (+00.0000')</v>
      </c>
      <c r="AC110" s="28">
        <f>SUM(AD110:AF110)</f>
        <v>0</v>
      </c>
      <c r="AD110" s="1">
        <v>0</v>
      </c>
      <c r="AE110" s="1">
        <f>IF(AE109,-0.5*N108,0)</f>
        <v>0</v>
      </c>
      <c r="AF110" s="1">
        <f>IF(AF109,-0.5*N108,0)</f>
        <v>0</v>
      </c>
      <c r="AG110" s="1"/>
      <c r="AH110" s="178"/>
      <c r="AI110" s="22">
        <f>SIGN(AC110)</f>
        <v>0</v>
      </c>
      <c r="AJ110" s="22" t="str">
        <f>IF(AI110&lt;0,"-","+")</f>
        <v>+</v>
      </c>
      <c r="AK110" s="17">
        <f>ABS(AC110)*3600</f>
        <v>0</v>
      </c>
      <c r="AL110" s="17">
        <f>_xlfn.FLOOR.MATH(AK110/3600)</f>
        <v>0</v>
      </c>
      <c r="AM110" s="17">
        <f>(AK110-3600*AL110)/60</f>
        <v>0</v>
      </c>
      <c r="AN110" s="17" t="str">
        <f>CONCATENATE(AJ110,TEXT(AL110, "00"),"°",TEXT(AM110, "00.0000"), " (", CONCATENATE(AJ110,TEXT(AL110*60 + AM110, "00.0000"),"'"), ")")</f>
        <v>+00°00.0000 (+00.0000')</v>
      </c>
      <c r="AO110" s="1"/>
      <c r="AP110" s="1"/>
      <c r="AQ110" s="1"/>
      <c r="AR110" s="1"/>
      <c r="AS110" s="17"/>
    </row>
    <row r="111" spans="1:61" ht="17.25" customHeight="1" thickTop="1" x14ac:dyDescent="0.25">
      <c r="G111" s="178"/>
      <c r="H111" s="178"/>
      <c r="I111" s="178"/>
      <c r="J111" s="178"/>
      <c r="K111" s="178"/>
      <c r="L111" s="178"/>
      <c r="M111" s="178"/>
      <c r="N111" s="178"/>
      <c r="O111" s="178"/>
      <c r="P111" s="178"/>
      <c r="Q111" s="178"/>
      <c r="R111" s="178"/>
      <c r="S111" s="178"/>
      <c r="T111" s="178"/>
      <c r="U111" s="178"/>
      <c r="V111" s="178"/>
      <c r="W111" s="178"/>
      <c r="X111" s="178"/>
      <c r="Y111" s="178"/>
      <c r="AD111" s="1"/>
      <c r="AE111" s="1"/>
      <c r="AF111" s="1"/>
      <c r="AG111" s="1"/>
      <c r="AH111" s="178"/>
      <c r="AK111" s="17"/>
      <c r="AL111" s="17"/>
      <c r="AM111" s="17"/>
      <c r="AN111" s="17"/>
      <c r="AO111" s="1"/>
      <c r="AP111" s="1"/>
      <c r="AQ111" s="1"/>
      <c r="AR111" s="1"/>
      <c r="AS111" s="17"/>
    </row>
    <row r="112" spans="1:61" ht="17.25" customHeight="1" x14ac:dyDescent="0.25">
      <c r="F112" s="477" t="s">
        <v>311</v>
      </c>
      <c r="G112" s="478"/>
      <c r="H112" s="478"/>
      <c r="I112" s="478"/>
      <c r="J112" s="478"/>
      <c r="K112" s="478"/>
      <c r="L112" s="478"/>
      <c r="M112" s="478"/>
      <c r="N112" s="478"/>
      <c r="O112" s="478"/>
      <c r="P112" s="478"/>
      <c r="Q112" s="478"/>
      <c r="R112" s="479"/>
      <c r="S112" s="178"/>
      <c r="T112" s="178"/>
      <c r="U112" s="178"/>
      <c r="V112" s="178"/>
      <c r="W112" s="178"/>
      <c r="X112" s="178"/>
      <c r="Y112" s="178"/>
      <c r="AD112" s="1"/>
      <c r="AE112" s="1"/>
      <c r="AF112" s="1"/>
      <c r="AG112" s="1"/>
      <c r="AH112" s="178"/>
      <c r="AK112" s="17"/>
      <c r="AL112" s="17"/>
      <c r="AM112" s="17"/>
      <c r="AN112" s="17"/>
      <c r="AO112" s="1"/>
      <c r="AP112" s="1"/>
      <c r="AQ112" s="1"/>
      <c r="AR112" s="1"/>
      <c r="AS112" s="17"/>
    </row>
    <row r="113" spans="4:55" ht="17.25" customHeight="1" x14ac:dyDescent="0.25">
      <c r="F113" s="456" t="s">
        <v>327</v>
      </c>
      <c r="G113" s="457"/>
      <c r="H113" s="486" t="s">
        <v>317</v>
      </c>
      <c r="I113" s="487"/>
      <c r="J113" s="487"/>
      <c r="K113" s="487"/>
      <c r="L113" s="487"/>
      <c r="M113" s="488"/>
      <c r="N113" s="516">
        <f>(N101-N106-N94+N108/2) * 60</f>
        <v>-5.9628783639230925</v>
      </c>
      <c r="O113" s="284"/>
      <c r="P113" s="284"/>
      <c r="Q113" s="284"/>
      <c r="R113" s="451" t="s">
        <v>312</v>
      </c>
      <c r="S113" s="178"/>
      <c r="T113" s="178"/>
      <c r="U113" s="178"/>
      <c r="V113" s="178"/>
      <c r="W113" s="178"/>
      <c r="X113" s="178"/>
      <c r="Y113" s="178"/>
      <c r="AD113" s="1"/>
      <c r="AE113" s="1"/>
      <c r="AF113" s="1"/>
      <c r="AG113" s="1"/>
      <c r="AH113" s="178"/>
      <c r="AK113" s="17"/>
      <c r="AL113" s="17"/>
      <c r="AM113" s="17"/>
      <c r="AN113" s="17"/>
      <c r="AO113" s="1"/>
      <c r="AP113" s="1"/>
      <c r="AQ113" s="1"/>
      <c r="AR113" s="1"/>
      <c r="AS113" s="17"/>
    </row>
    <row r="114" spans="4:55" ht="17.25" customHeight="1" x14ac:dyDescent="0.25">
      <c r="F114" s="458"/>
      <c r="G114" s="459"/>
      <c r="H114" s="489" t="s">
        <v>321</v>
      </c>
      <c r="I114" s="490"/>
      <c r="J114" s="490"/>
      <c r="K114" s="490"/>
      <c r="L114" s="490"/>
      <c r="M114" s="491"/>
      <c r="N114" s="517"/>
      <c r="O114" s="285"/>
      <c r="P114" s="285"/>
      <c r="Q114" s="285"/>
      <c r="R114" s="452"/>
      <c r="S114" s="178"/>
      <c r="T114" s="178"/>
      <c r="U114" s="178"/>
      <c r="V114" s="178"/>
      <c r="W114" s="178"/>
      <c r="X114" s="178"/>
      <c r="Y114" s="178"/>
      <c r="AD114" s="1"/>
      <c r="AE114" s="1"/>
      <c r="AF114" s="1"/>
      <c r="AG114" s="1"/>
      <c r="AH114" s="178"/>
      <c r="AK114" s="17"/>
      <c r="AL114" s="17"/>
      <c r="AM114" s="17"/>
      <c r="AN114" s="17"/>
      <c r="AO114" s="1"/>
      <c r="AP114" s="1"/>
      <c r="AQ114" s="1"/>
      <c r="AR114" s="1"/>
      <c r="AS114" s="17"/>
    </row>
    <row r="115" spans="4:55" ht="17.25" customHeight="1" x14ac:dyDescent="0.25">
      <c r="G115" s="178"/>
      <c r="H115" s="486" t="s">
        <v>318</v>
      </c>
      <c r="I115" s="487"/>
      <c r="J115" s="487"/>
      <c r="K115" s="487"/>
      <c r="L115" s="487"/>
      <c r="M115" s="488"/>
      <c r="N115" s="284">
        <f>(N101-N106+N108/2)*60</f>
        <v>-5.9628783639230925</v>
      </c>
      <c r="O115" s="284"/>
      <c r="P115" s="284"/>
      <c r="Q115" s="284"/>
      <c r="R115" s="451" t="s">
        <v>312</v>
      </c>
      <c r="S115" s="178"/>
      <c r="T115" s="178"/>
      <c r="U115" s="178"/>
      <c r="V115" s="178"/>
      <c r="W115" s="178"/>
      <c r="X115" s="178"/>
      <c r="Y115" s="178"/>
      <c r="AD115" s="1"/>
      <c r="AE115" s="1"/>
      <c r="AF115" s="1"/>
      <c r="AG115" s="1"/>
      <c r="AH115" s="178"/>
      <c r="AK115" s="17"/>
      <c r="AL115" s="17"/>
      <c r="AM115" s="17"/>
      <c r="AN115" s="17"/>
      <c r="AO115" s="1"/>
      <c r="AP115" s="1"/>
      <c r="AQ115" s="1"/>
      <c r="AR115" s="1"/>
      <c r="AS115" s="17"/>
    </row>
    <row r="116" spans="4:55" ht="17.25" customHeight="1" x14ac:dyDescent="0.25">
      <c r="G116" s="178"/>
      <c r="H116" s="453" t="s">
        <v>319</v>
      </c>
      <c r="I116" s="454"/>
      <c r="J116" s="454"/>
      <c r="K116" s="454"/>
      <c r="L116" s="454"/>
      <c r="M116" s="455"/>
      <c r="N116" s="285"/>
      <c r="O116" s="285"/>
      <c r="P116" s="285"/>
      <c r="Q116" s="285"/>
      <c r="R116" s="452"/>
      <c r="S116" s="178"/>
      <c r="T116" s="178"/>
      <c r="U116" s="178"/>
      <c r="V116" s="178"/>
      <c r="W116" s="178"/>
      <c r="X116" s="178"/>
      <c r="Y116" s="178"/>
      <c r="AD116" s="1"/>
      <c r="AE116" s="1"/>
      <c r="AF116" s="1"/>
      <c r="AG116" s="1"/>
      <c r="AH116" s="178"/>
      <c r="AK116" s="17"/>
      <c r="AL116" s="17"/>
      <c r="AM116" s="17"/>
      <c r="AN116" s="17"/>
      <c r="AO116" s="1"/>
      <c r="AP116" s="1"/>
      <c r="AQ116" s="1"/>
      <c r="AR116" s="1"/>
      <c r="AS116" s="17"/>
    </row>
    <row r="117" spans="4:55" ht="17.25" customHeight="1" x14ac:dyDescent="0.25">
      <c r="G117" s="178"/>
      <c r="H117" s="513" t="s">
        <v>180</v>
      </c>
      <c r="I117" s="513"/>
      <c r="J117" s="513"/>
      <c r="K117" s="513"/>
      <c r="L117" s="513"/>
      <c r="M117" s="513"/>
      <c r="N117" s="514">
        <f>N110*60</f>
        <v>0</v>
      </c>
      <c r="O117" s="515"/>
      <c r="P117" s="515"/>
      <c r="Q117" s="515"/>
      <c r="R117" s="148" t="s">
        <v>312</v>
      </c>
      <c r="S117" s="178"/>
      <c r="T117" s="178"/>
      <c r="U117" s="178"/>
      <c r="V117" s="178"/>
      <c r="W117" s="178"/>
      <c r="X117" s="178"/>
      <c r="Y117" s="178"/>
      <c r="AD117" s="1"/>
      <c r="AE117" s="1"/>
      <c r="AF117" s="1"/>
      <c r="AG117" s="1"/>
      <c r="AH117" s="178"/>
      <c r="AK117" s="17"/>
      <c r="AL117" s="17"/>
      <c r="AM117" s="17"/>
      <c r="AN117" s="17"/>
      <c r="AO117" s="1"/>
      <c r="AP117" s="1"/>
      <c r="AQ117" s="1"/>
      <c r="AR117" s="1"/>
      <c r="AS117" s="17"/>
    </row>
    <row r="118" spans="4:55" ht="17.25" customHeight="1" thickBot="1" x14ac:dyDescent="0.3">
      <c r="G118" s="178"/>
      <c r="H118" s="178"/>
      <c r="I118" s="178"/>
      <c r="J118" s="178"/>
      <c r="K118" s="178"/>
      <c r="L118" s="178"/>
      <c r="M118" s="178"/>
      <c r="N118" s="178"/>
      <c r="O118" s="178"/>
      <c r="P118" s="178"/>
      <c r="Q118" s="178"/>
      <c r="AD118" s="1"/>
      <c r="AE118" s="1"/>
      <c r="AF118" s="1"/>
      <c r="AG118" s="1"/>
      <c r="AH118" s="178"/>
      <c r="AI118" s="178" t="s">
        <v>309</v>
      </c>
      <c r="AJ118" s="178" t="s">
        <v>309</v>
      </c>
      <c r="AK118" s="178" t="s">
        <v>309</v>
      </c>
      <c r="AL118" s="178" t="s">
        <v>309</v>
      </c>
      <c r="AM118" s="1" t="s">
        <v>309</v>
      </c>
      <c r="AN118" s="1" t="s">
        <v>309</v>
      </c>
      <c r="AO118" s="1"/>
      <c r="AP118" s="1"/>
      <c r="AQ118" s="1"/>
      <c r="AR118" s="1"/>
      <c r="AS118" s="17"/>
    </row>
    <row r="119" spans="4:55" ht="17.25" customHeight="1" thickTop="1" thickBot="1" x14ac:dyDescent="0.3">
      <c r="G119" s="579" t="s">
        <v>181</v>
      </c>
      <c r="H119" s="579"/>
      <c r="I119" s="579"/>
      <c r="J119" s="579"/>
      <c r="K119" s="579"/>
      <c r="L119" s="579"/>
      <c r="M119" s="579"/>
      <c r="N119" s="362">
        <f>AC119</f>
        <v>8.8672853606012811</v>
      </c>
      <c r="O119" s="362"/>
      <c r="P119" s="362"/>
      <c r="Q119" s="362"/>
      <c r="R119" s="1" t="s">
        <v>125</v>
      </c>
      <c r="T119" s="279" t="str">
        <f>AB120</f>
        <v>08°52'02.23 [08°52.04]  (08.8673°)</v>
      </c>
      <c r="U119" s="279"/>
      <c r="V119" s="279"/>
      <c r="W119" s="279"/>
      <c r="X119" s="279"/>
      <c r="Y119" s="279"/>
      <c r="AB119" s="28" t="str">
        <f>AN119</f>
        <v>+08°52.0371 (+532.0371')</v>
      </c>
      <c r="AC119" s="28">
        <f>AE119</f>
        <v>8.8672853606012811</v>
      </c>
      <c r="AD119" s="68" t="s">
        <v>178</v>
      </c>
      <c r="AE119" s="62">
        <f>N96 - N106 + N101 +N108/2</f>
        <v>8.8672853606012811</v>
      </c>
      <c r="AF119" s="1"/>
      <c r="AG119" s="1"/>
      <c r="AH119" s="178"/>
      <c r="AI119" s="22">
        <f>SIGN(AC119)</f>
        <v>1</v>
      </c>
      <c r="AJ119" s="22" t="str">
        <f>IF(AI119&lt;0,"-","+")</f>
        <v>+</v>
      </c>
      <c r="AK119" s="17">
        <f>ABS(AC119)*3600</f>
        <v>31922.227298164613</v>
      </c>
      <c r="AL119" s="17">
        <f>_xlfn.FLOOR.MATH(AK119/3600)</f>
        <v>8</v>
      </c>
      <c r="AM119" s="17">
        <f>(AK119-3600*AL119)/60</f>
        <v>52.037121636076883</v>
      </c>
      <c r="AN119" s="17" t="str">
        <f>CONCATENATE(AJ119,TEXT(AL119, "00"),"°",TEXT(AM119, "00.0000"), " (", CONCATENATE(AJ119,TEXT(AL119*60 + AM119, "00.0000"),"'"), ")")</f>
        <v>+08°52.0371 (+532.0371')</v>
      </c>
      <c r="AO119" s="1"/>
      <c r="AP119" s="1"/>
      <c r="AQ119" s="1"/>
      <c r="AR119" s="1"/>
      <c r="AS119" s="17"/>
    </row>
    <row r="120" spans="4:55" ht="17.25" customHeight="1" thickTop="1" x14ac:dyDescent="0.25">
      <c r="AA120" s="18">
        <f>AC119</f>
        <v>8.8672853606012811</v>
      </c>
      <c r="AB120" s="14" t="str">
        <f>BC120</f>
        <v>08°52'02.23 [08°52.04]  (08.8673°)</v>
      </c>
      <c r="AC120" s="7">
        <f>BB120</f>
        <v>8.8672853606012811</v>
      </c>
      <c r="AD120" s="5">
        <f>IF(LEFT(TRIM(AA120),1)="-",-1,IF(LEFT(TRIM(AA120),1)="+",1, 0))</f>
        <v>0</v>
      </c>
      <c r="AE120" s="5" t="str">
        <f>IF(AD120&gt;0,"+",IF(AD120&lt;0,"-",""))</f>
        <v/>
      </c>
      <c r="AF120" s="5">
        <f>IF(ABS(AD120)&gt;0,RIGHT(AA120,LEN(AA120)-1),AA120)</f>
        <v>8.8672853606012811</v>
      </c>
      <c r="AG120" s="5" t="b">
        <f>ISNUMBER(SEARCH("°",AF120,1))</f>
        <v>0</v>
      </c>
      <c r="AH120" s="5" t="b">
        <f>ISNUMBER(SEARCH("'",AF120,1))</f>
        <v>0</v>
      </c>
      <c r="AI120" s="5" t="b">
        <f>ISNUMBER(SEARCH("""",AF120,1))</f>
        <v>0</v>
      </c>
      <c r="AJ120" s="5" t="b">
        <f>NOT(OR(AG120,AH120,AI120))</f>
        <v>1</v>
      </c>
      <c r="AK120" s="5" t="b">
        <f t="shared" ref="AK120" si="118">OR(AJ120,AG120)</f>
        <v>1</v>
      </c>
      <c r="AL120" s="6">
        <f>IF(AJ120,VALUE(AF120),IF(AG120,LEFT(AF120,SEARCH("°",AF120,1)-1),0))</f>
        <v>8.8672853606012811</v>
      </c>
      <c r="AM120" s="5" t="str">
        <f>IF(AJ120,"",IF(AG120,RIGHT(AF120,LEN(AF120)-SEARCH("°",AF120,1)),AF120))</f>
        <v/>
      </c>
      <c r="AN120" s="5" t="b">
        <f>(LEN(AM120)&gt;0)</f>
        <v>0</v>
      </c>
      <c r="AO120" s="5" t="b">
        <f>NOT(OR(AH120,AI120))</f>
        <v>1</v>
      </c>
      <c r="AP120" s="6">
        <f t="shared" ref="AP120" si="119">IF(NOT(AN120),0,IF(AO120,VALUE(AM120),IF(NOT(AH120),0,VALUE(LEFT(AM120,SEARCH("'",AM120,1)-1)))))</f>
        <v>0</v>
      </c>
      <c r="AQ120" s="5" t="str">
        <f t="shared" ref="AQ120" si="120">IF(NOT(AN120),"",IF(AO120,"",IF(NOT(AH120),AM120,RIGHT(AM120,LEN(AM120)-SEARCH("'",AM120,1)))))</f>
        <v/>
      </c>
      <c r="AR120" s="5" t="b">
        <f>(LEN(AQ120)&gt;0)</f>
        <v>0</v>
      </c>
      <c r="AS120" s="5" t="b">
        <f t="shared" ref="AS120" si="121">NOT(AI120)</f>
        <v>1</v>
      </c>
      <c r="AT120" s="5" t="b">
        <f>ISNUMBER(SEARCH(".",AQ120,1))</f>
        <v>0</v>
      </c>
      <c r="AU120" s="6">
        <f t="shared" ref="AU120" si="122">IF(AR120,IF(AI120,IF(AT120,VALUE(SUBSTITUTE(AQ120, """", "")),VALUE(SUBSTITUTE(AQ120, """", "."))),VALUE(AQ120)),0)</f>
        <v>0</v>
      </c>
      <c r="AV120" s="6">
        <f t="shared" ref="AV120" si="123">AL120*3600+AP120*60+AU120</f>
        <v>31922.227298164613</v>
      </c>
      <c r="AW120" s="6">
        <f>AV120/3600</f>
        <v>8.8672853606012811</v>
      </c>
      <c r="AX120" s="6">
        <f>_xlfn.FLOOR.MATH((AW120))</f>
        <v>8</v>
      </c>
      <c r="AY120" s="6">
        <f>(AV120-3600*AX120)/60</f>
        <v>52.037121636076883</v>
      </c>
      <c r="AZ120" s="6">
        <f>_xlfn.FLOOR.MATH((AY120))</f>
        <v>52</v>
      </c>
      <c r="BA120" s="6">
        <f>AV120-3600*AX120-60*AZ120</f>
        <v>2.2272981646128756</v>
      </c>
      <c r="BB120" s="6">
        <f>AW120*IF(AD120&lt;0,-1,1)</f>
        <v>8.8672853606012811</v>
      </c>
      <c r="BC120" s="7" t="str">
        <f>CONCATENATE(AE120,TEXT(AX120,"00"),"°",TEXT(AZ120,"00"),"'",TEXT(BA120,"00.00"), " [", CONCATENATE(AE120,TEXT(AX120,"00"),"°",TEXT(AY120,"00.00")),"]", "  (", AE120,TEXT(AW120,"00.0000"),"°)")</f>
        <v>08°52'02.23 [08°52.04]  (08.8673°)</v>
      </c>
    </row>
    <row r="121" spans="4:55" ht="17.25" customHeight="1" x14ac:dyDescent="0.25">
      <c r="E121" s="334" t="s">
        <v>169</v>
      </c>
      <c r="F121" s="334"/>
      <c r="G121" s="334"/>
      <c r="H121" s="334"/>
      <c r="I121" s="362" t="str">
        <f>IF(F90=AE90,N126,"---")</f>
        <v>---</v>
      </c>
      <c r="J121" s="362"/>
      <c r="K121" s="362"/>
      <c r="Q121" s="72" t="s">
        <v>196</v>
      </c>
      <c r="R121" s="1" t="s">
        <v>54</v>
      </c>
      <c r="AB121" s="14"/>
      <c r="AC121" s="7"/>
      <c r="AD121" s="3" t="s">
        <v>57</v>
      </c>
      <c r="AE121" s="3" t="s">
        <v>57</v>
      </c>
      <c r="AF121" s="3" t="s">
        <v>304</v>
      </c>
      <c r="AG121" s="3" t="s">
        <v>120</v>
      </c>
      <c r="AH121" s="3" t="s">
        <v>121</v>
      </c>
      <c r="AI121" s="3" t="s">
        <v>122</v>
      </c>
      <c r="AJ121" s="3" t="s">
        <v>123</v>
      </c>
      <c r="AK121" s="3" t="s">
        <v>124</v>
      </c>
      <c r="AL121" s="3" t="s">
        <v>125</v>
      </c>
      <c r="AM121" s="3" t="s">
        <v>101</v>
      </c>
      <c r="AN121" s="3" t="s">
        <v>129</v>
      </c>
      <c r="AO121" s="3" t="s">
        <v>128</v>
      </c>
      <c r="AP121" s="3" t="s">
        <v>126</v>
      </c>
      <c r="AQ121" s="3" t="s">
        <v>127</v>
      </c>
      <c r="AR121" s="3" t="s">
        <v>129</v>
      </c>
      <c r="AS121" s="3" t="s">
        <v>128</v>
      </c>
      <c r="AT121" s="3" t="s">
        <v>130</v>
      </c>
      <c r="AU121" s="3" t="s">
        <v>112</v>
      </c>
      <c r="AV121" s="3" t="s">
        <v>117</v>
      </c>
      <c r="AW121" s="3" t="s">
        <v>143</v>
      </c>
      <c r="AX121" s="3" t="s">
        <v>149</v>
      </c>
      <c r="AY121" s="3" t="s">
        <v>131</v>
      </c>
      <c r="AZ121" s="3" t="s">
        <v>150</v>
      </c>
      <c r="BA121" s="3" t="s">
        <v>112</v>
      </c>
      <c r="BB121" s="3" t="s">
        <v>308</v>
      </c>
      <c r="BC121" s="3" t="s">
        <v>151</v>
      </c>
    </row>
    <row r="122" spans="4:55" ht="17.25" customHeight="1" thickBot="1" x14ac:dyDescent="0.3">
      <c r="Q122" s="73" t="s">
        <v>192</v>
      </c>
      <c r="R122" s="1" t="s">
        <v>194</v>
      </c>
      <c r="AA122" s="18" t="str">
        <f>M124</f>
        <v>0°11.4</v>
      </c>
      <c r="AB122" s="14" t="str">
        <f>BC122</f>
        <v>00°11'24.00 [00°11.40]  (00.1900°)</v>
      </c>
      <c r="AC122" s="7">
        <f>BB122</f>
        <v>0.19</v>
      </c>
      <c r="AD122" s="5">
        <f>IF(LEFT(TRIM(AA122),1)="-",-1,IF(LEFT(TRIM(AA122),1)="+",1, 0))</f>
        <v>0</v>
      </c>
      <c r="AE122" s="5" t="str">
        <f>IF(AD122&gt;0,"+",IF(AD122&lt;0,"-",""))</f>
        <v/>
      </c>
      <c r="AF122" s="5" t="str">
        <f>IF(ABS(AD122)&gt;0,RIGHT(AA122,LEN(AA122)-1),AA122)</f>
        <v>0°11.4</v>
      </c>
      <c r="AG122" s="5" t="b">
        <f>ISNUMBER(SEARCH("°",AF122,1))</f>
        <v>1</v>
      </c>
      <c r="AH122" s="5" t="b">
        <f>ISNUMBER(SEARCH("'",AF122,1))</f>
        <v>0</v>
      </c>
      <c r="AI122" s="5" t="b">
        <f>ISNUMBER(SEARCH("""",AF122,1))</f>
        <v>0</v>
      </c>
      <c r="AJ122" s="5" t="b">
        <f>NOT(OR(AG122,AH122,AI122))</f>
        <v>0</v>
      </c>
      <c r="AK122" s="5" t="b">
        <f t="shared" ref="AK122" si="124">OR(AJ122,AG122)</f>
        <v>1</v>
      </c>
      <c r="AL122" s="6" t="str">
        <f>IF(AJ122,VALUE(AF122),IF(AG122,LEFT(AF122,SEARCH("°",AF122,1)-1),0))</f>
        <v>0</v>
      </c>
      <c r="AM122" s="5" t="str">
        <f>IF(AJ122,"",IF(AG122,RIGHT(AF122,LEN(AF122)-SEARCH("°",AF122,1)),AF122))</f>
        <v>11.4</v>
      </c>
      <c r="AN122" s="5" t="b">
        <f>(LEN(AM122)&gt;0)</f>
        <v>1</v>
      </c>
      <c r="AO122" s="5" t="b">
        <f>NOT(OR(AH122,AI122))</f>
        <v>1</v>
      </c>
      <c r="AP122" s="6">
        <f t="shared" ref="AP122" si="125">IF(NOT(AN122),0,IF(AO122,VALUE(AM122),IF(NOT(AH122),0,VALUE(LEFT(AM122,SEARCH("'",AM122,1)-1)))))</f>
        <v>11.4</v>
      </c>
      <c r="AQ122" s="5" t="str">
        <f t="shared" ref="AQ122" si="126">IF(NOT(AN122),"",IF(AO122,"",IF(NOT(AH122),AM122,RIGHT(AM122,LEN(AM122)-SEARCH("'",AM122,1)))))</f>
        <v/>
      </c>
      <c r="AR122" s="5" t="b">
        <f>(LEN(AQ122)&gt;0)</f>
        <v>0</v>
      </c>
      <c r="AS122" s="5" t="b">
        <f t="shared" ref="AS122" si="127">NOT(AI122)</f>
        <v>1</v>
      </c>
      <c r="AT122" s="5" t="b">
        <f>ISNUMBER(SEARCH(".",AQ122,1))</f>
        <v>0</v>
      </c>
      <c r="AU122" s="6">
        <f t="shared" ref="AU122" si="128">IF(AR122,IF(AI122,IF(AT122,VALUE(SUBSTITUTE(AQ122, """", "")),VALUE(SUBSTITUTE(AQ122, """", "."))),VALUE(AQ122)),0)</f>
        <v>0</v>
      </c>
      <c r="AV122" s="6">
        <f t="shared" ref="AV122" si="129">AL122*3600+AP122*60+AU122</f>
        <v>684</v>
      </c>
      <c r="AW122" s="6">
        <f>AV122/3600</f>
        <v>0.19</v>
      </c>
      <c r="AX122" s="6">
        <f>_xlfn.FLOOR.MATH((AW122))</f>
        <v>0</v>
      </c>
      <c r="AY122" s="6">
        <f>(AV122-3600*AX122)/60</f>
        <v>11.4</v>
      </c>
      <c r="AZ122" s="6">
        <f>_xlfn.FLOOR.MATH((AY122))</f>
        <v>11</v>
      </c>
      <c r="BA122" s="6">
        <f>AV122-3600*AX122-60*AZ122</f>
        <v>24</v>
      </c>
      <c r="BB122" s="6">
        <f>AW122*IF(AD122&lt;0,-1,1)</f>
        <v>0.19</v>
      </c>
      <c r="BC122" s="7" t="str">
        <f>CONCATENATE(AE122,TEXT(AX122,"00"),"°",TEXT(AZ122,"00"),"'",TEXT(BA122,"00.00"), " [", CONCATENATE(AE122,TEXT(AX122,"00"),"°",TEXT(AY122,"00.00")),"]", "  (", AE122,TEXT(AW122,"00.0000"),"°)")</f>
        <v>00°11'24.00 [00°11.40]  (00.1900°)</v>
      </c>
    </row>
    <row r="123" spans="4:55" ht="17.25" customHeight="1" thickTop="1" thickBot="1" x14ac:dyDescent="0.3">
      <c r="G123" s="1" t="s">
        <v>181</v>
      </c>
      <c r="H123" s="71" t="s">
        <v>186</v>
      </c>
      <c r="I123" s="1" t="s">
        <v>164</v>
      </c>
      <c r="J123" s="71" t="s">
        <v>189</v>
      </c>
      <c r="K123" s="1" t="s">
        <v>163</v>
      </c>
      <c r="M123" s="71" t="s">
        <v>190</v>
      </c>
      <c r="P123" s="71" t="s">
        <v>191</v>
      </c>
      <c r="Q123" s="74" t="s">
        <v>193</v>
      </c>
      <c r="R123" s="1" t="s">
        <v>195</v>
      </c>
      <c r="U123" s="279" t="str">
        <f>AB122</f>
        <v>00°11'24.00 [00°11.40]  (00.1900°)</v>
      </c>
      <c r="V123" s="279"/>
      <c r="W123" s="279"/>
      <c r="X123" s="279"/>
      <c r="Y123" s="279"/>
      <c r="Z123" s="279"/>
      <c r="AA123" s="18" t="str">
        <f>Q124</f>
        <v>-16'</v>
      </c>
      <c r="AB123" s="19" t="str">
        <f>AY123</f>
        <v>-00°16'00.00 [-00°16.00] - (-00.2667°)</v>
      </c>
      <c r="AC123" s="20">
        <f>AF123*AC124</f>
        <v>-0.26666666666666666</v>
      </c>
      <c r="AD123" s="31" t="s">
        <v>197</v>
      </c>
      <c r="AE123" s="27" t="b">
        <f>ISNUMBER(SEARCH("-",AA123,1))</f>
        <v>1</v>
      </c>
      <c r="AF123" s="178">
        <f>IF(AE123,-1,1)</f>
        <v>-1</v>
      </c>
      <c r="AG123" s="178" t="str">
        <f>IF(AE123,"-","+")</f>
        <v>-</v>
      </c>
      <c r="AH123" s="178"/>
      <c r="AI123" s="178"/>
      <c r="AJ123" s="178"/>
      <c r="AK123" s="178"/>
      <c r="AL123" s="178"/>
      <c r="AM123" s="178"/>
      <c r="AN123" s="178"/>
      <c r="AO123" s="178"/>
      <c r="AP123" s="178"/>
      <c r="AQ123" s="178"/>
      <c r="AR123" s="178"/>
      <c r="AS123" s="178"/>
      <c r="AT123" s="178"/>
      <c r="AU123" s="178"/>
      <c r="AV123" s="178"/>
      <c r="AW123" s="178"/>
      <c r="AX123" s="178"/>
      <c r="AY123" s="178" t="str">
        <f>CONCATENATE(AG123,TEXT(AU124,"00"),"°",TEXT(AW124,"00"),"'",TEXT(AX124,"00.00"), " [", CONCATENATE(AG123,TEXT(AU124,"00"),"°",TEXT(AV124,"00.00")),"]", " - (", AG123,TEXT(AT124,"00.0000"),"°)")</f>
        <v>-00°16'00.00 [-00°16.00] - (-00.2667°)</v>
      </c>
      <c r="AZ123" s="178"/>
      <c r="BA123" s="178"/>
    </row>
    <row r="124" spans="4:55" ht="17.25" customHeight="1" thickTop="1" thickBot="1" x14ac:dyDescent="0.3">
      <c r="H124" s="71"/>
      <c r="I124" s="77">
        <f>N92</f>
        <v>8.9666666666666668</v>
      </c>
      <c r="J124" s="71" t="s">
        <v>189</v>
      </c>
      <c r="K124" s="78">
        <f>N93</f>
        <v>0</v>
      </c>
      <c r="M124" s="512" t="s">
        <v>220</v>
      </c>
      <c r="N124" s="512"/>
      <c r="O124" s="512"/>
      <c r="P124" s="71" t="s">
        <v>191</v>
      </c>
      <c r="Q124" s="86" t="s">
        <v>192</v>
      </c>
      <c r="U124" s="279" t="str">
        <f>AB123</f>
        <v>-00°16'00.00 [-00°16.00] - (-00.2667°)</v>
      </c>
      <c r="V124" s="279"/>
      <c r="W124" s="279"/>
      <c r="X124" s="279"/>
      <c r="Y124" s="279"/>
      <c r="Z124" s="279"/>
      <c r="AA124" s="18" t="str">
        <f>IF(AE123,RIGHT(AA123,LEN(AA123)-SEARCH("-",AA123,1)),AA123)</f>
        <v>16'</v>
      </c>
      <c r="AB124" s="19" t="str">
        <f>AY124</f>
        <v>00°16'00.00 [00°16.00] - (00.2667°)</v>
      </c>
      <c r="AC124" s="20">
        <f>AT124</f>
        <v>0.26666666666666666</v>
      </c>
      <c r="AD124" s="27" t="b">
        <f t="shared" ref="AD124" si="130">ISNUMBER(SEARCH("°",AA124,1))</f>
        <v>0</v>
      </c>
      <c r="AE124" s="27" t="b">
        <f t="shared" ref="AE124" si="131">ISNUMBER(SEARCH("'",AA124,1))</f>
        <v>1</v>
      </c>
      <c r="AF124" s="27" t="b">
        <f t="shared" ref="AF124" si="132">ISNUMBER(SEARCH("""",AA124,1))</f>
        <v>0</v>
      </c>
      <c r="AG124" s="27" t="b">
        <f t="shared" ref="AG124" si="133">NOT(OR(AD124,AE124,AF124))</f>
        <v>0</v>
      </c>
      <c r="AH124" s="27" t="b">
        <f t="shared" ref="AH124" si="134">OR(AG124,AD124)</f>
        <v>0</v>
      </c>
      <c r="AI124" s="26">
        <f t="shared" ref="AI124" si="135">IF(AG124,VALUE(AA124),IF(AD124,LEFT(AA124,SEARCH("°",AA124,1)-1),0))</f>
        <v>0</v>
      </c>
      <c r="AJ124" s="27" t="str">
        <f t="shared" ref="AJ124" si="136">IF(AG124,"",IF(AD124,RIGHT(AA124,LEN(AA124)-SEARCH("°",AA124,1)),AA124))</f>
        <v>16'</v>
      </c>
      <c r="AK124" s="27" t="b">
        <f>(LEN(AJ124)&gt;0)</f>
        <v>1</v>
      </c>
      <c r="AL124" s="27" t="b">
        <f>NOT(OR(AE124,AF124))</f>
        <v>0</v>
      </c>
      <c r="AM124" s="26">
        <f>IF(NOT(AK124),0,IF(AL124,VALUE(AJ124),IF(NOT(AE124),0,VALUE(LEFT(AJ124,SEARCH("'",AJ124,1)-1)))))</f>
        <v>16</v>
      </c>
      <c r="AN124" s="27" t="str">
        <f>IF(NOT(AK124),"",IF(AL124,"",IF(NOT(AE124),AJ124,RIGHT(AJ124,LEN(AJ124)-SEARCH("'",AJ124,1)))))</f>
        <v/>
      </c>
      <c r="AO124" s="27" t="b">
        <f>(LEN(AN124)&gt;0)</f>
        <v>0</v>
      </c>
      <c r="AP124" s="27" t="b">
        <f>NOT(AF124)</f>
        <v>1</v>
      </c>
      <c r="AQ124" s="27" t="b">
        <f>ISNUMBER(SEARCH(".",AN124,1))</f>
        <v>0</v>
      </c>
      <c r="AR124" s="26">
        <f>IF(AO124,IF(AF124,IF(AQ124,VALUE(SUBSTITUTE(AN124, """", "")),VALUE(SUBSTITUTE(AN124, """", "."))),VALUE(AN124)),0)</f>
        <v>0</v>
      </c>
      <c r="AS124" s="26">
        <f>AI124*3600+AM124*60+AR124</f>
        <v>960</v>
      </c>
      <c r="AT124" s="26">
        <f>AS124/3600</f>
        <v>0.26666666666666666</v>
      </c>
      <c r="AU124" s="26">
        <f>_xlfn.FLOOR.MATH((AT124))</f>
        <v>0</v>
      </c>
      <c r="AV124" s="26">
        <f>(AS124-3600*AU124)/60</f>
        <v>16</v>
      </c>
      <c r="AW124" s="26">
        <f>_xlfn.FLOOR.MATH((AV124))</f>
        <v>16</v>
      </c>
      <c r="AX124" s="26">
        <f>AS124-3600*AU124-60*AW124</f>
        <v>0</v>
      </c>
      <c r="AY124" s="20" t="str">
        <f>CONCATENATE(TEXT(AU124,"00"),"°",TEXT(AW124,"00"),"'",TEXT(AX124,"00.00"), " [", CONCATENATE(TEXT(AU124,"00"),"°",TEXT(AV124,"00.00")),"]", " - (", TEXT(AT124,"00.0000"),"°)")</f>
        <v>00°16'00.00 [00°16.00] - (00.2667°)</v>
      </c>
    </row>
    <row r="125" spans="4:55" ht="17.25" customHeight="1" thickTop="1" x14ac:dyDescent="0.25">
      <c r="H125" s="71"/>
      <c r="J125" s="71"/>
      <c r="M125" s="71"/>
      <c r="P125" s="71"/>
      <c r="Q125" s="75"/>
      <c r="AD125" s="17"/>
      <c r="AE125" s="17"/>
      <c r="AF125" s="17"/>
      <c r="AG125" s="17"/>
      <c r="AH125" s="17"/>
      <c r="AI125" s="17"/>
      <c r="AJ125" s="17"/>
      <c r="AK125" s="17"/>
      <c r="AL125" s="17"/>
      <c r="AM125" s="17"/>
      <c r="AN125" s="17"/>
      <c r="AO125" s="17"/>
    </row>
    <row r="126" spans="4:55" ht="17.25" customHeight="1" thickBot="1" x14ac:dyDescent="0.3">
      <c r="G126" s="579" t="s">
        <v>181</v>
      </c>
      <c r="H126" s="579"/>
      <c r="I126" s="579"/>
      <c r="J126" s="579"/>
      <c r="K126" s="579"/>
      <c r="L126" s="579"/>
      <c r="M126" s="579"/>
      <c r="N126" s="362">
        <f>N92-N93+AC122+AC123</f>
        <v>8.8899999999999988</v>
      </c>
      <c r="O126" s="362"/>
      <c r="P126" s="362"/>
      <c r="Q126" s="362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</row>
    <row r="127" spans="4:55" ht="17.25" customHeight="1" thickBot="1" x14ac:dyDescent="0.3"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U127" s="48"/>
      <c r="AV127" s="48"/>
      <c r="AW127" s="48"/>
      <c r="AX127" s="48"/>
      <c r="AY127" s="48"/>
      <c r="AZ127" s="48"/>
      <c r="BA127" s="49"/>
      <c r="BB127" s="50"/>
    </row>
    <row r="128" spans="4:55" ht="17.25" customHeight="1" thickBot="1" x14ac:dyDescent="0.3">
      <c r="D128" s="48"/>
      <c r="E128" s="48"/>
      <c r="F128" s="48"/>
      <c r="G128" s="48"/>
      <c r="H128" s="48"/>
      <c r="I128" s="48"/>
      <c r="J128" s="48"/>
      <c r="K128" s="48"/>
      <c r="L128" s="48"/>
      <c r="M128" s="48"/>
      <c r="N128" s="48"/>
      <c r="O128" s="48"/>
      <c r="P128" s="48"/>
      <c r="Q128" s="48"/>
      <c r="R128" s="48"/>
      <c r="S128" s="48"/>
      <c r="T128" s="48"/>
      <c r="U128" s="48"/>
      <c r="V128" s="48"/>
      <c r="W128" s="48"/>
      <c r="X128" s="48"/>
      <c r="Y128" s="48"/>
      <c r="Z128" s="48"/>
      <c r="AA128" s="48"/>
      <c r="AB128" s="48"/>
      <c r="AC128" s="48"/>
      <c r="AD128" s="48"/>
      <c r="AE128" s="48"/>
      <c r="AF128" s="48"/>
      <c r="AG128" s="48"/>
      <c r="AH128" s="48"/>
      <c r="AI128" s="48"/>
      <c r="AJ128" s="48"/>
      <c r="AK128" s="48"/>
      <c r="AL128" s="48"/>
      <c r="AM128" s="48"/>
      <c r="AN128" s="48"/>
      <c r="AO128" s="48"/>
      <c r="AP128" s="48"/>
      <c r="AQ128" s="48"/>
      <c r="AR128" s="48"/>
      <c r="AS128" s="48"/>
      <c r="AT128" s="48"/>
    </row>
    <row r="129" spans="1:55" ht="17.25" customHeight="1" thickBot="1" x14ac:dyDescent="0.3">
      <c r="B129" s="47" t="s">
        <v>73</v>
      </c>
      <c r="C129" s="48"/>
      <c r="D129" s="1"/>
      <c r="E129" s="1"/>
      <c r="F129" s="1"/>
      <c r="N129" s="476" t="s">
        <v>198</v>
      </c>
      <c r="O129" s="476"/>
      <c r="P129" s="476"/>
      <c r="Q129" s="476"/>
      <c r="R129" s="476"/>
      <c r="S129" s="476"/>
      <c r="T129" s="476"/>
      <c r="U129" s="476"/>
      <c r="V129" s="476"/>
      <c r="W129" s="476"/>
      <c r="X129" s="476"/>
      <c r="Y129" s="476"/>
      <c r="Z129" s="476"/>
    </row>
    <row r="130" spans="1:55" ht="17.25" customHeight="1" x14ac:dyDescent="0.25">
      <c r="C130" s="1"/>
      <c r="D130" s="550" t="s">
        <v>28</v>
      </c>
      <c r="E130" s="551"/>
      <c r="F130" s="551"/>
      <c r="G130" s="551"/>
      <c r="H130" s="391">
        <f>AC131</f>
        <v>27.103817900721396</v>
      </c>
      <c r="I130" s="391"/>
      <c r="J130" s="391"/>
      <c r="K130" s="391"/>
      <c r="L130" s="391"/>
      <c r="N130" s="281" t="s">
        <v>199</v>
      </c>
      <c r="O130" s="281"/>
      <c r="P130" s="281">
        <f>D</f>
        <v>-11.98176</v>
      </c>
      <c r="Q130" s="281"/>
      <c r="R130" s="281"/>
      <c r="S130" s="519" t="s">
        <v>125</v>
      </c>
      <c r="T130" s="520">
        <f>P130*$D$140</f>
        <v>-0.20912116218375576</v>
      </c>
      <c r="U130" s="521"/>
      <c r="V130" s="522"/>
      <c r="W130" s="519" t="s">
        <v>170</v>
      </c>
      <c r="AD130" s="79" t="s">
        <v>201</v>
      </c>
      <c r="AE130" s="22">
        <f>SIN(T130)*SIN(T131)+COS(T130)*COS(T131)*COS(T132)</f>
        <v>0.45560422549724638</v>
      </c>
    </row>
    <row r="131" spans="1:55" ht="17.25" customHeight="1" thickBot="1" x14ac:dyDescent="0.3">
      <c r="C131" s="241"/>
      <c r="D131" s="552"/>
      <c r="E131" s="553"/>
      <c r="F131" s="553"/>
      <c r="G131" s="553"/>
      <c r="H131" s="391"/>
      <c r="I131" s="391"/>
      <c r="J131" s="391"/>
      <c r="K131" s="391"/>
      <c r="L131" s="391"/>
      <c r="M131" s="149" t="s">
        <v>328</v>
      </c>
      <c r="N131" s="281" t="s">
        <v>200</v>
      </c>
      <c r="O131" s="281"/>
      <c r="P131" s="281">
        <f>L</f>
        <v>48.866666666666667</v>
      </c>
      <c r="Q131" s="281"/>
      <c r="R131" s="281"/>
      <c r="S131" s="519"/>
      <c r="T131" s="520">
        <f>P131*$D$140</f>
        <v>0.85288422780789575</v>
      </c>
      <c r="U131" s="521"/>
      <c r="V131" s="522"/>
      <c r="W131" s="519"/>
      <c r="AC131" s="28">
        <f>AF131</f>
        <v>27.103817900721396</v>
      </c>
      <c r="AD131" s="31" t="s">
        <v>202</v>
      </c>
      <c r="AE131" s="22">
        <f>ASIN(AE130)</f>
        <v>0.4730508622285659</v>
      </c>
      <c r="AF131" s="22">
        <f>AE131*$D$141</f>
        <v>27.103817900721396</v>
      </c>
    </row>
    <row r="132" spans="1:55" ht="17.25" customHeight="1" thickTop="1" thickBot="1" x14ac:dyDescent="0.3">
      <c r="C132" s="241"/>
      <c r="D132" s="554"/>
      <c r="E132" s="555"/>
      <c r="F132" s="555"/>
      <c r="G132" s="555"/>
      <c r="H132" s="279" t="str">
        <f>AB134</f>
        <v>27°06'13.74 [27°06.23]  (27.1038°)</v>
      </c>
      <c r="I132" s="279"/>
      <c r="J132" s="279"/>
      <c r="K132" s="279"/>
      <c r="L132" s="279"/>
      <c r="N132" s="281" t="s">
        <v>71</v>
      </c>
      <c r="O132" s="281"/>
      <c r="P132" s="281">
        <f>E85</f>
        <v>341.99331666666666</v>
      </c>
      <c r="Q132" s="281"/>
      <c r="R132" s="281"/>
      <c r="S132" s="519"/>
      <c r="T132" s="520">
        <f>P132*$D$140</f>
        <v>5.9689093956489323</v>
      </c>
      <c r="U132" s="521"/>
      <c r="V132" s="522"/>
      <c r="W132" s="519"/>
    </row>
    <row r="133" spans="1:55" ht="17.25" customHeight="1" thickTop="1" x14ac:dyDescent="0.25">
      <c r="C133" s="241"/>
      <c r="D133" s="1"/>
      <c r="E133" s="1"/>
      <c r="F133" s="1"/>
      <c r="AB133" s="14"/>
      <c r="AC133" s="7"/>
      <c r="AD133" s="3" t="s">
        <v>57</v>
      </c>
      <c r="AE133" s="3" t="s">
        <v>57</v>
      </c>
      <c r="AF133" s="3" t="s">
        <v>304</v>
      </c>
      <c r="AG133" s="3" t="s">
        <v>120</v>
      </c>
      <c r="AH133" s="3" t="s">
        <v>121</v>
      </c>
      <c r="AI133" s="3" t="s">
        <v>122</v>
      </c>
      <c r="AJ133" s="3" t="s">
        <v>123</v>
      </c>
      <c r="AK133" s="3" t="s">
        <v>124</v>
      </c>
      <c r="AL133" s="3" t="s">
        <v>125</v>
      </c>
      <c r="AM133" s="3" t="s">
        <v>101</v>
      </c>
      <c r="AN133" s="3" t="s">
        <v>129</v>
      </c>
      <c r="AO133" s="3" t="s">
        <v>128</v>
      </c>
      <c r="AP133" s="3" t="s">
        <v>126</v>
      </c>
      <c r="AQ133" s="3" t="s">
        <v>127</v>
      </c>
      <c r="AR133" s="3" t="s">
        <v>129</v>
      </c>
      <c r="AS133" s="3" t="s">
        <v>128</v>
      </c>
      <c r="AT133" s="3" t="s">
        <v>130</v>
      </c>
      <c r="AU133" s="3" t="s">
        <v>112</v>
      </c>
      <c r="AV133" s="3" t="s">
        <v>117</v>
      </c>
      <c r="AW133" s="3" t="s">
        <v>143</v>
      </c>
      <c r="AX133" s="3" t="s">
        <v>149</v>
      </c>
      <c r="AY133" s="3" t="s">
        <v>131</v>
      </c>
      <c r="AZ133" s="3" t="s">
        <v>150</v>
      </c>
      <c r="BA133" s="3" t="s">
        <v>112</v>
      </c>
      <c r="BB133" s="3" t="s">
        <v>308</v>
      </c>
      <c r="BC133" s="3" t="s">
        <v>151</v>
      </c>
    </row>
    <row r="134" spans="1:55" ht="17.25" customHeight="1" x14ac:dyDescent="0.25">
      <c r="C134" s="1"/>
      <c r="D134" s="550" t="s">
        <v>36</v>
      </c>
      <c r="E134" s="551"/>
      <c r="F134" s="551"/>
      <c r="G134" s="551"/>
      <c r="H134" s="391">
        <f>E89</f>
        <v>8.8672853606012811</v>
      </c>
      <c r="I134" s="391"/>
      <c r="J134" s="391"/>
      <c r="K134" s="391"/>
      <c r="L134" s="391"/>
      <c r="AA134" s="18">
        <f>A</f>
        <v>27.103817900721396</v>
      </c>
      <c r="AB134" s="14" t="str">
        <f>BC134</f>
        <v>27°06'13.74 [27°06.23]  (27.1038°)</v>
      </c>
      <c r="AC134" s="7">
        <f>BB134</f>
        <v>27.103817900721392</v>
      </c>
      <c r="AD134" s="5">
        <f>IF(LEFT(TRIM(AA134),1)="-",-1,IF(LEFT(TRIM(AA134),1)="+",1, 0))</f>
        <v>0</v>
      </c>
      <c r="AE134" s="5" t="str">
        <f>IF(AD134&gt;0,"+",IF(AD134&lt;0,"-",""))</f>
        <v/>
      </c>
      <c r="AF134" s="5">
        <f>IF(ABS(AD134)&gt;0,RIGHT(AA134,LEN(AA134)-1),AA134)</f>
        <v>27.103817900721396</v>
      </c>
      <c r="AG134" s="5" t="b">
        <f>ISNUMBER(SEARCH("°",AF134,1))</f>
        <v>0</v>
      </c>
      <c r="AH134" s="5" t="b">
        <f>ISNUMBER(SEARCH("'",AF134,1))</f>
        <v>0</v>
      </c>
      <c r="AI134" s="5" t="b">
        <f>ISNUMBER(SEARCH("""",AF134,1))</f>
        <v>0</v>
      </c>
      <c r="AJ134" s="5" t="b">
        <f>NOT(OR(AG134,AH134,AI134))</f>
        <v>1</v>
      </c>
      <c r="AK134" s="5" t="b">
        <f t="shared" ref="AK134" si="137">OR(AJ134,AG134)</f>
        <v>1</v>
      </c>
      <c r="AL134" s="6">
        <f>IF(AJ134,VALUE(AF134),IF(AG134,LEFT(AF134,SEARCH("°",AF134,1)-1),0))</f>
        <v>27.103817900721396</v>
      </c>
      <c r="AM134" s="5" t="str">
        <f>IF(AJ134,"",IF(AG134,RIGHT(AF134,LEN(AF134)-SEARCH("°",AF134,1)),AF134))</f>
        <v/>
      </c>
      <c r="AN134" s="5" t="b">
        <f>(LEN(AM134)&gt;0)</f>
        <v>0</v>
      </c>
      <c r="AO134" s="5" t="b">
        <f>NOT(OR(AH134,AI134))</f>
        <v>1</v>
      </c>
      <c r="AP134" s="6">
        <f t="shared" ref="AP134" si="138">IF(NOT(AN134),0,IF(AO134,VALUE(AM134),IF(NOT(AH134),0,VALUE(LEFT(AM134,SEARCH("'",AM134,1)-1)))))</f>
        <v>0</v>
      </c>
      <c r="AQ134" s="5" t="str">
        <f t="shared" ref="AQ134" si="139">IF(NOT(AN134),"",IF(AO134,"",IF(NOT(AH134),AM134,RIGHT(AM134,LEN(AM134)-SEARCH("'",AM134,1)))))</f>
        <v/>
      </c>
      <c r="AR134" s="5" t="b">
        <f>(LEN(AQ134)&gt;0)</f>
        <v>0</v>
      </c>
      <c r="AS134" s="5" t="b">
        <f t="shared" ref="AS134" si="140">NOT(AI134)</f>
        <v>1</v>
      </c>
      <c r="AT134" s="5" t="b">
        <f>ISNUMBER(SEARCH(".",AQ134,1))</f>
        <v>0</v>
      </c>
      <c r="AU134" s="6">
        <f t="shared" ref="AU134" si="141">IF(AR134,IF(AI134,IF(AT134,VALUE(SUBSTITUTE(AQ134, """", "")),VALUE(SUBSTITUTE(AQ134, """", "."))),VALUE(AQ134)),0)</f>
        <v>0</v>
      </c>
      <c r="AV134" s="6">
        <f t="shared" ref="AV134" si="142">AL134*3600+AP134*60+AU134</f>
        <v>97573.744442597017</v>
      </c>
      <c r="AW134" s="6">
        <f>AV134/3600</f>
        <v>27.103817900721392</v>
      </c>
      <c r="AX134" s="6">
        <f>_xlfn.FLOOR.MATH((AW134))</f>
        <v>27</v>
      </c>
      <c r="AY134" s="6">
        <f>(AV134-3600*AX134)/60</f>
        <v>6.2290740432836174</v>
      </c>
      <c r="AZ134" s="6">
        <f>_xlfn.FLOOR.MATH((AY134))</f>
        <v>6</v>
      </c>
      <c r="BA134" s="6">
        <f>AV134-3600*AX134-60*AZ134</f>
        <v>13.744442597017041</v>
      </c>
      <c r="BB134" s="6">
        <f>AW134*IF(AD134&lt;0,-1,1)</f>
        <v>27.103817900721392</v>
      </c>
      <c r="BC134" s="7" t="str">
        <f>CONCATENATE(AE134,TEXT(AX134,"00"),"°",TEXT(AZ134,"00"),"'",TEXT(BA134,"00.00"), " [", CONCATENATE(AE134,TEXT(AX134,"00"),"°",TEXT(AY134,"00.00")),"]", "  (", AE134,TEXT(AW134,"00.0000"),"°)")</f>
        <v>27°06'13.74 [27°06.23]  (27.1038°)</v>
      </c>
    </row>
    <row r="135" spans="1:55" ht="17.25" customHeight="1" thickBot="1" x14ac:dyDescent="0.3">
      <c r="C135" s="241"/>
      <c r="D135" s="552"/>
      <c r="E135" s="553"/>
      <c r="F135" s="553"/>
      <c r="G135" s="553"/>
      <c r="H135" s="391"/>
      <c r="I135" s="391"/>
      <c r="J135" s="391"/>
      <c r="K135" s="391"/>
      <c r="L135" s="391"/>
      <c r="N135" s="509" t="s">
        <v>38</v>
      </c>
      <c r="O135" s="510"/>
      <c r="P135" s="510"/>
      <c r="Q135" s="510"/>
      <c r="R135" s="511"/>
      <c r="S135" s="150">
        <f>H134-A</f>
        <v>-18.236532540120116</v>
      </c>
      <c r="T135" s="151" t="s">
        <v>39</v>
      </c>
      <c r="U135" s="203">
        <f>S135*60</f>
        <v>-1094.1919524072071</v>
      </c>
      <c r="V135" s="151" t="s">
        <v>254</v>
      </c>
      <c r="W135" s="178"/>
      <c r="X135" s="526" t="str">
        <f>IF(S135&gt;0,"Vers Pg", "Oppose de Pg")</f>
        <v>Oppose de Pg</v>
      </c>
      <c r="Y135" s="526"/>
      <c r="AA135" s="18">
        <f>H134</f>
        <v>8.8672853606012811</v>
      </c>
      <c r="AB135" s="19" t="str">
        <f>AY135</f>
        <v>08°52'02.23 [08°52.04] - (08.8673°)</v>
      </c>
      <c r="AC135" s="37">
        <f>H134</f>
        <v>8.8672853606012811</v>
      </c>
      <c r="AD135" s="27" t="b">
        <f t="shared" ref="AD135" si="143">ISNUMBER(SEARCH("°",AA135,1))</f>
        <v>0</v>
      </c>
      <c r="AE135" s="27" t="b">
        <f t="shared" ref="AE135" si="144">ISNUMBER(SEARCH("'",AA135,1))</f>
        <v>0</v>
      </c>
      <c r="AF135" s="27" t="b">
        <f t="shared" ref="AF135" si="145">ISNUMBER(SEARCH("""",AA135,1))</f>
        <v>0</v>
      </c>
      <c r="AG135" s="27" t="b">
        <f t="shared" ref="AG135" si="146">NOT(OR(AD135,AE135,AF135))</f>
        <v>1</v>
      </c>
      <c r="AH135" s="27" t="b">
        <f t="shared" ref="AH135" si="147">OR(AG135,AD135)</f>
        <v>1</v>
      </c>
      <c r="AI135" s="26">
        <f t="shared" ref="AI135" si="148">IF(AG135,VALUE(AA135),IF(AD135,LEFT(AA135,SEARCH("°",AA135,1)-1),0))</f>
        <v>8.8672853606012811</v>
      </c>
      <c r="AJ135" s="27" t="str">
        <f t="shared" ref="AJ135" si="149">IF(AG135,"",IF(AD135,RIGHT(AA135,LEN(AA135)-SEARCH("°",AA135,1)),AA135))</f>
        <v/>
      </c>
      <c r="AK135" s="27" t="b">
        <f>(LEN(AJ135)&gt;0)</f>
        <v>0</v>
      </c>
      <c r="AL135" s="27" t="b">
        <f>NOT(OR(AE135,AF135))</f>
        <v>1</v>
      </c>
      <c r="AM135" s="26">
        <f>IF(NOT(AK135),0,IF(AL135,VALUE(AJ135),IF(NOT(AE135),0,VALUE(LEFT(AJ135,SEARCH("'",AJ135,1)-1)))))</f>
        <v>0</v>
      </c>
      <c r="AN135" s="27" t="str">
        <f>IF(NOT(AK135),"",IF(AL135,"",IF(NOT(AE135),AJ135,RIGHT(AJ135,LEN(AJ135)-SEARCH("'",AJ135,1)))))</f>
        <v/>
      </c>
      <c r="AO135" s="27" t="b">
        <f>(LEN(AN135)&gt;0)</f>
        <v>0</v>
      </c>
      <c r="AP135" s="27" t="b">
        <f>NOT(AF135)</f>
        <v>1</v>
      </c>
      <c r="AQ135" s="27" t="b">
        <f>ISNUMBER(SEARCH(".",AN135,1))</f>
        <v>0</v>
      </c>
      <c r="AR135" s="26">
        <f>IF(AO135,IF(AF135,IF(AQ135,VALUE(SUBSTITUTE(AN135, """", "")),VALUE(SUBSTITUTE(AN135, """", "."))),VALUE(AN135)),0)</f>
        <v>0</v>
      </c>
      <c r="AS135" s="26">
        <f>AI135*3600+AM135*60+AR135</f>
        <v>31922.227298164613</v>
      </c>
      <c r="AT135" s="26">
        <f>AS135/3600</f>
        <v>8.8672853606012811</v>
      </c>
      <c r="AU135" s="26">
        <f>_xlfn.FLOOR.MATH((AT135))</f>
        <v>8</v>
      </c>
      <c r="AV135" s="26">
        <f>(AS135-3600*AU135)/60</f>
        <v>52.037121636076883</v>
      </c>
      <c r="AW135" s="26">
        <f>_xlfn.FLOOR.MATH((AV135))</f>
        <v>52</v>
      </c>
      <c r="AX135" s="26">
        <f>AS135-3600*AU135-60*AW135</f>
        <v>2.2272981646128756</v>
      </c>
      <c r="AY135" s="20" t="str">
        <f>CONCATENATE(TEXT(AU135,"00"),"°",TEXT(AW135,"00"),"'",TEXT(AX135,"00.00"), " [", CONCATENATE(TEXT(AU135,"00"),"°",TEXT(AV135,"00.00")),"]", " - (", TEXT(AT135,"00.0000"),"°)")</f>
        <v>08°52'02.23 [08°52.04] - (08.8673°)</v>
      </c>
    </row>
    <row r="136" spans="1:55" ht="17.25" customHeight="1" thickTop="1" thickBot="1" x14ac:dyDescent="0.3">
      <c r="C136" s="241"/>
      <c r="D136" s="554"/>
      <c r="E136" s="555"/>
      <c r="F136" s="555"/>
      <c r="G136" s="555"/>
      <c r="H136" s="279" t="str">
        <f>AB135</f>
        <v>08°52'02.23 [08°52.04] - (08.8673°)</v>
      </c>
      <c r="I136" s="279"/>
      <c r="J136" s="279"/>
      <c r="K136" s="279"/>
      <c r="L136" s="279"/>
    </row>
    <row r="137" spans="1:55" ht="17.25" customHeight="1" thickTop="1" x14ac:dyDescent="0.25">
      <c r="C137" s="241"/>
      <c r="D137" s="1"/>
      <c r="E137" s="1"/>
      <c r="F137" s="1"/>
      <c r="S137" s="178"/>
      <c r="T137" s="178"/>
      <c r="U137" s="178"/>
      <c r="V137" s="178"/>
      <c r="W137" s="178"/>
      <c r="X137" s="178"/>
    </row>
    <row r="138" spans="1:55" ht="17.25" customHeight="1" thickBot="1" x14ac:dyDescent="0.3">
      <c r="C138" s="1"/>
      <c r="D138" s="1"/>
      <c r="E138" s="1"/>
      <c r="F138" s="1"/>
      <c r="S138" s="178"/>
      <c r="T138" s="178"/>
      <c r="U138" s="178"/>
      <c r="V138" s="178"/>
      <c r="W138" s="178"/>
      <c r="X138" s="178"/>
    </row>
    <row r="139" spans="1:55" ht="17.25" customHeight="1" thickBot="1" x14ac:dyDescent="0.3">
      <c r="A139" s="410" t="s">
        <v>232</v>
      </c>
      <c r="B139" s="411"/>
      <c r="C139" s="412"/>
      <c r="D139" s="1"/>
      <c r="E139" s="1"/>
      <c r="F139" s="1"/>
      <c r="S139" s="178"/>
      <c r="T139" s="178"/>
      <c r="U139" s="178"/>
      <c r="V139" s="178"/>
      <c r="W139" s="178"/>
      <c r="X139" s="178"/>
    </row>
    <row r="140" spans="1:55" ht="17.25" customHeight="1" x14ac:dyDescent="0.25">
      <c r="A140" s="40" t="s">
        <v>104</v>
      </c>
      <c r="B140" s="80" t="s">
        <v>211</v>
      </c>
      <c r="C140" s="265" t="s">
        <v>463</v>
      </c>
      <c r="D140" s="267">
        <f>PI()/180</f>
        <v>1.7453292519943295E-2</v>
      </c>
      <c r="AD140" s="79" t="s">
        <v>204</v>
      </c>
      <c r="AE140" s="22">
        <f>(SIN(T142)-SIN(T143)*SIN(AE131))/(COS(T143)*COS(AE131))</f>
        <v>-0.94053456920369272</v>
      </c>
    </row>
    <row r="141" spans="1:55" ht="17.25" customHeight="1" thickBot="1" x14ac:dyDescent="0.3">
      <c r="A141" s="263" t="s">
        <v>213</v>
      </c>
      <c r="B141" s="264" t="s">
        <v>211</v>
      </c>
      <c r="C141" s="266" t="s">
        <v>464</v>
      </c>
      <c r="D141" s="268">
        <f>180/PI()</f>
        <v>57.295779513082323</v>
      </c>
      <c r="E141" s="1"/>
      <c r="F141" s="1"/>
      <c r="N141" s="495" t="s">
        <v>203</v>
      </c>
      <c r="O141" s="496"/>
      <c r="P141" s="496"/>
      <c r="Q141" s="496"/>
      <c r="R141" s="496"/>
      <c r="S141" s="496"/>
      <c r="T141" s="496"/>
      <c r="U141" s="496"/>
      <c r="V141" s="496"/>
      <c r="W141" s="496"/>
      <c r="X141" s="496"/>
      <c r="Y141" s="496"/>
      <c r="Z141" s="496"/>
      <c r="AC141" s="28">
        <f>AF141</f>
        <v>160.1415249618581</v>
      </c>
      <c r="AD141" s="31" t="s">
        <v>205</v>
      </c>
      <c r="AE141" s="22">
        <f>ACOS(AE140)</f>
        <v>2.7949968797491103</v>
      </c>
      <c r="AF141" s="22">
        <f>AE141*$D$141</f>
        <v>160.1415249618581</v>
      </c>
    </row>
    <row r="142" spans="1:55" ht="17.25" customHeight="1" x14ac:dyDescent="0.25">
      <c r="A142" s="241"/>
      <c r="B142" s="241"/>
      <c r="C142" s="241"/>
      <c r="D142" s="552" t="s">
        <v>214</v>
      </c>
      <c r="E142" s="551"/>
      <c r="F142" s="551"/>
      <c r="G142" s="556"/>
      <c r="H142" s="373">
        <f>AC141</f>
        <v>160.1415249618581</v>
      </c>
      <c r="I142" s="340"/>
      <c r="J142" s="340"/>
      <c r="K142" s="340"/>
      <c r="L142" s="374"/>
      <c r="N142" s="281" t="s">
        <v>199</v>
      </c>
      <c r="O142" s="281"/>
      <c r="P142" s="281">
        <f>D</f>
        <v>-11.98176</v>
      </c>
      <c r="Q142" s="281"/>
      <c r="R142" s="281"/>
      <c r="S142" s="519" t="s">
        <v>125</v>
      </c>
      <c r="T142" s="281">
        <f>P142*$D$140</f>
        <v>-0.20912116218375576</v>
      </c>
      <c r="U142" s="281"/>
      <c r="V142" s="281"/>
      <c r="W142" s="519" t="s">
        <v>170</v>
      </c>
    </row>
    <row r="143" spans="1:55" ht="17.25" customHeight="1" thickBot="1" x14ac:dyDescent="0.3">
      <c r="C143" s="241"/>
      <c r="D143" s="552"/>
      <c r="E143" s="553"/>
      <c r="F143" s="553"/>
      <c r="G143" s="557"/>
      <c r="H143" s="580"/>
      <c r="I143" s="523"/>
      <c r="J143" s="523"/>
      <c r="K143" s="523"/>
      <c r="L143" s="524"/>
      <c r="M143" s="149" t="s">
        <v>328</v>
      </c>
      <c r="N143" s="281" t="s">
        <v>200</v>
      </c>
      <c r="O143" s="281"/>
      <c r="P143" s="281">
        <f>L</f>
        <v>48.866666666666667</v>
      </c>
      <c r="Q143" s="281"/>
      <c r="R143" s="281"/>
      <c r="S143" s="519"/>
      <c r="T143" s="281">
        <f>P143*$D$140</f>
        <v>0.85288422780789575</v>
      </c>
      <c r="U143" s="281"/>
      <c r="V143" s="281"/>
      <c r="W143" s="519"/>
    </row>
    <row r="144" spans="1:55" ht="17.25" customHeight="1" thickTop="1" thickBot="1" x14ac:dyDescent="0.3">
      <c r="C144" s="241"/>
      <c r="D144" s="554"/>
      <c r="E144" s="555"/>
      <c r="F144" s="555"/>
      <c r="G144" s="558"/>
      <c r="H144" s="357" t="str">
        <f>AB145</f>
        <v>160°08'29.49 [160°08.49]  (160.1415°)</v>
      </c>
      <c r="I144" s="357"/>
      <c r="J144" s="357"/>
      <c r="K144" s="357"/>
      <c r="L144" s="357"/>
      <c r="N144" s="281" t="s">
        <v>71</v>
      </c>
      <c r="O144" s="281"/>
      <c r="P144" s="281">
        <f>E85</f>
        <v>341.99331666666666</v>
      </c>
      <c r="Q144" s="281"/>
      <c r="R144" s="281"/>
      <c r="S144" s="519"/>
      <c r="T144" s="281">
        <f>P144*$D$140</f>
        <v>5.9689093956489323</v>
      </c>
      <c r="U144" s="281"/>
      <c r="V144" s="281"/>
      <c r="W144" s="519"/>
      <c r="AB144" s="14"/>
      <c r="AC144" s="7"/>
      <c r="AD144" s="3" t="s">
        <v>57</v>
      </c>
      <c r="AE144" s="3" t="s">
        <v>57</v>
      </c>
      <c r="AF144" s="3" t="s">
        <v>304</v>
      </c>
      <c r="AG144" s="3" t="s">
        <v>120</v>
      </c>
      <c r="AH144" s="3" t="s">
        <v>121</v>
      </c>
      <c r="AI144" s="3" t="s">
        <v>122</v>
      </c>
      <c r="AJ144" s="3" t="s">
        <v>123</v>
      </c>
      <c r="AK144" s="3" t="s">
        <v>124</v>
      </c>
      <c r="AL144" s="3" t="s">
        <v>125</v>
      </c>
      <c r="AM144" s="3" t="s">
        <v>101</v>
      </c>
      <c r="AN144" s="3" t="s">
        <v>129</v>
      </c>
      <c r="AO144" s="3" t="s">
        <v>128</v>
      </c>
      <c r="AP144" s="3" t="s">
        <v>126</v>
      </c>
      <c r="AQ144" s="3" t="s">
        <v>127</v>
      </c>
      <c r="AR144" s="3" t="s">
        <v>129</v>
      </c>
      <c r="AS144" s="3" t="s">
        <v>128</v>
      </c>
      <c r="AT144" s="3" t="s">
        <v>130</v>
      </c>
      <c r="AU144" s="3" t="s">
        <v>112</v>
      </c>
      <c r="AV144" s="3" t="s">
        <v>117</v>
      </c>
      <c r="AW144" s="3" t="s">
        <v>143</v>
      </c>
      <c r="AX144" s="3" t="s">
        <v>149</v>
      </c>
      <c r="AY144" s="3" t="s">
        <v>131</v>
      </c>
      <c r="AZ144" s="3" t="s">
        <v>150</v>
      </c>
      <c r="BA144" s="3" t="s">
        <v>112</v>
      </c>
      <c r="BB144" s="3" t="s">
        <v>308</v>
      </c>
      <c r="BC144" s="3" t="s">
        <v>151</v>
      </c>
    </row>
    <row r="145" spans="3:55" ht="17.25" customHeight="1" thickTop="1" x14ac:dyDescent="0.25">
      <c r="C145" s="241"/>
      <c r="D145" s="1"/>
      <c r="E145" s="1"/>
      <c r="F145" s="1"/>
      <c r="AA145" s="18">
        <f>H142</f>
        <v>160.1415249618581</v>
      </c>
      <c r="AB145" s="14" t="str">
        <f>BC145</f>
        <v>160°08'29.49 [160°08.49]  (160.1415°)</v>
      </c>
      <c r="AC145" s="7">
        <f>BB145</f>
        <v>160.1415249618581</v>
      </c>
      <c r="AD145" s="5">
        <f>IF(LEFT(TRIM(AA145),1)="-",-1,IF(LEFT(TRIM(AA145),1)="+",1, 0))</f>
        <v>0</v>
      </c>
      <c r="AE145" s="5" t="str">
        <f>IF(AD145&gt;0,"+",IF(AD145&lt;0,"-",""))</f>
        <v/>
      </c>
      <c r="AF145" s="5">
        <f>IF(ABS(AD145)&gt;0,RIGHT(AA145,LEN(AA145)-1),AA145)</f>
        <v>160.1415249618581</v>
      </c>
      <c r="AG145" s="5" t="b">
        <f>ISNUMBER(SEARCH("°",AF145,1))</f>
        <v>0</v>
      </c>
      <c r="AH145" s="5" t="b">
        <f>ISNUMBER(SEARCH("'",AF145,1))</f>
        <v>0</v>
      </c>
      <c r="AI145" s="5" t="b">
        <f>ISNUMBER(SEARCH("""",AF145,1))</f>
        <v>0</v>
      </c>
      <c r="AJ145" s="5" t="b">
        <f>NOT(OR(AG145,AH145,AI145))</f>
        <v>1</v>
      </c>
      <c r="AK145" s="5" t="b">
        <f t="shared" ref="AK145" si="150">OR(AJ145,AG145)</f>
        <v>1</v>
      </c>
      <c r="AL145" s="6">
        <f>IF(AJ145,VALUE(AF145),IF(AG145,LEFT(AF145,SEARCH("°",AF145,1)-1),0))</f>
        <v>160.1415249618581</v>
      </c>
      <c r="AM145" s="5" t="str">
        <f>IF(AJ145,"",IF(AG145,RIGHT(AF145,LEN(AF145)-SEARCH("°",AF145,1)),AF145))</f>
        <v/>
      </c>
      <c r="AN145" s="5" t="b">
        <f>(LEN(AM145)&gt;0)</f>
        <v>0</v>
      </c>
      <c r="AO145" s="5" t="b">
        <f>NOT(OR(AH145,AI145))</f>
        <v>1</v>
      </c>
      <c r="AP145" s="6">
        <f t="shared" ref="AP145" si="151">IF(NOT(AN145),0,IF(AO145,VALUE(AM145),IF(NOT(AH145),0,VALUE(LEFT(AM145,SEARCH("'",AM145,1)-1)))))</f>
        <v>0</v>
      </c>
      <c r="AQ145" s="5" t="str">
        <f t="shared" ref="AQ145" si="152">IF(NOT(AN145),"",IF(AO145,"",IF(NOT(AH145),AM145,RIGHT(AM145,LEN(AM145)-SEARCH("'",AM145,1)))))</f>
        <v/>
      </c>
      <c r="AR145" s="5" t="b">
        <f>(LEN(AQ145)&gt;0)</f>
        <v>0</v>
      </c>
      <c r="AS145" s="5" t="b">
        <f t="shared" ref="AS145" si="153">NOT(AI145)</f>
        <v>1</v>
      </c>
      <c r="AT145" s="5" t="b">
        <f>ISNUMBER(SEARCH(".",AQ145,1))</f>
        <v>0</v>
      </c>
      <c r="AU145" s="6">
        <f t="shared" ref="AU145" si="154">IF(AR145,IF(AI145,IF(AT145,VALUE(SUBSTITUTE(AQ145, """", "")),VALUE(SUBSTITUTE(AQ145, """", "."))),VALUE(AQ145)),0)</f>
        <v>0</v>
      </c>
      <c r="AV145" s="6">
        <f t="shared" ref="AV145" si="155">AL145*3600+AP145*60+AU145</f>
        <v>576509.48986268917</v>
      </c>
      <c r="AW145" s="6">
        <f>AV145/3600</f>
        <v>160.1415249618581</v>
      </c>
      <c r="AX145" s="6">
        <f>_xlfn.FLOOR.MATH((AW145))</f>
        <v>160</v>
      </c>
      <c r="AY145" s="6">
        <f>(AV145-3600*AX145)/60</f>
        <v>8.4914977114861063</v>
      </c>
      <c r="AZ145" s="6">
        <f>_xlfn.FLOOR.MATH((AY145))</f>
        <v>8</v>
      </c>
      <c r="BA145" s="6">
        <f>AV145-3600*AX145-60*AZ145</f>
        <v>29.48986268916633</v>
      </c>
      <c r="BB145" s="6">
        <f>AW145*IF(AD145&lt;0,-1,1)</f>
        <v>160.1415249618581</v>
      </c>
      <c r="BC145" s="7" t="str">
        <f>CONCATENATE(AE145,TEXT(AX145,"00"),"°",TEXT(AZ145,"00"),"'",TEXT(BA145,"00.00"), " [", CONCATENATE(AE145,TEXT(AX145,"00"),"°",TEXT(AY145,"00.00")),"]", "  (", AE145,TEXT(AW145,"00.0000"),"°)")</f>
        <v>160°08'29.49 [160°08.49]  (160.1415°)</v>
      </c>
    </row>
    <row r="146" spans="3:55" ht="17.25" customHeight="1" x14ac:dyDescent="0.25">
      <c r="C146" s="1"/>
      <c r="E146" s="59"/>
      <c r="F146" s="59"/>
      <c r="G146" s="59"/>
      <c r="H146" s="540" t="s">
        <v>206</v>
      </c>
      <c r="I146" s="541"/>
      <c r="J146" s="541"/>
      <c r="K146" s="541"/>
      <c r="L146" s="541"/>
      <c r="M146" s="542"/>
      <c r="N146" s="540" t="s">
        <v>209</v>
      </c>
      <c r="O146" s="541"/>
      <c r="P146" s="541"/>
      <c r="Q146" s="541"/>
      <c r="R146" s="541"/>
      <c r="S146" s="542"/>
      <c r="AA146" s="18">
        <f>S152</f>
        <v>160.1415249618581</v>
      </c>
      <c r="AB146" s="19" t="str">
        <f>AY146</f>
        <v>160°08'29.49 [160°08.49] - (160.1415°)</v>
      </c>
      <c r="AC146" s="37">
        <f>H145</f>
        <v>0</v>
      </c>
      <c r="AD146" s="27" t="b">
        <f t="shared" ref="AD146" si="156">ISNUMBER(SEARCH("°",AA146,1))</f>
        <v>0</v>
      </c>
      <c r="AE146" s="27" t="b">
        <f t="shared" ref="AE146" si="157">ISNUMBER(SEARCH("'",AA146,1))</f>
        <v>0</v>
      </c>
      <c r="AF146" s="27" t="b">
        <f t="shared" ref="AF146" si="158">ISNUMBER(SEARCH("""",AA146,1))</f>
        <v>0</v>
      </c>
      <c r="AG146" s="27" t="b">
        <f t="shared" ref="AG146" si="159">NOT(OR(AD146,AE146,AF146))</f>
        <v>1</v>
      </c>
      <c r="AH146" s="27" t="b">
        <f t="shared" ref="AH146" si="160">OR(AG146,AD146)</f>
        <v>1</v>
      </c>
      <c r="AI146" s="26">
        <f t="shared" ref="AI146" si="161">IF(AG146,VALUE(AA146),IF(AD146,LEFT(AA146,SEARCH("°",AA146,1)-1),0))</f>
        <v>160.1415249618581</v>
      </c>
      <c r="AJ146" s="27" t="str">
        <f t="shared" ref="AJ146" si="162">IF(AG146,"",IF(AD146,RIGHT(AA146,LEN(AA146)-SEARCH("°",AA146,1)),AA146))</f>
        <v/>
      </c>
      <c r="AK146" s="27" t="b">
        <f>(LEN(AJ146)&gt;0)</f>
        <v>0</v>
      </c>
      <c r="AL146" s="27" t="b">
        <f>NOT(OR(AE146,AF146))</f>
        <v>1</v>
      </c>
      <c r="AM146" s="26">
        <f>IF(NOT(AK146),0,IF(AL146,VALUE(AJ146),IF(NOT(AE146),0,VALUE(LEFT(AJ146,SEARCH("'",AJ146,1)-1)))))</f>
        <v>0</v>
      </c>
      <c r="AN146" s="27" t="str">
        <f>IF(NOT(AK146),"",IF(AL146,"",IF(NOT(AE146),AJ146,RIGHT(AJ146,LEN(AJ146)-SEARCH("'",AJ146,1)))))</f>
        <v/>
      </c>
      <c r="AO146" s="27" t="b">
        <f>(LEN(AN146)&gt;0)</f>
        <v>0</v>
      </c>
      <c r="AP146" s="27" t="b">
        <f>NOT(AF146)</f>
        <v>1</v>
      </c>
      <c r="AQ146" s="27" t="b">
        <f>ISNUMBER(SEARCH(".",AN146,1))</f>
        <v>0</v>
      </c>
      <c r="AR146" s="26">
        <f>IF(AO146,IF(AF146,IF(AQ146,VALUE(SUBSTITUTE(AN146, """", "")),VALUE(SUBSTITUTE(AN146, """", "."))),VALUE(AN146)),0)</f>
        <v>0</v>
      </c>
      <c r="AS146" s="26">
        <f>AI146*3600+AM146*60+AR146</f>
        <v>576509.48986268917</v>
      </c>
      <c r="AT146" s="26">
        <f>AS146/3600</f>
        <v>160.1415249618581</v>
      </c>
      <c r="AU146" s="26">
        <f>_xlfn.FLOOR.MATH((AT146))</f>
        <v>160</v>
      </c>
      <c r="AV146" s="26">
        <f>(AS146-3600*AU146)/60</f>
        <v>8.4914977114861063</v>
      </c>
      <c r="AW146" s="26">
        <f>_xlfn.FLOOR.MATH((AV146))</f>
        <v>8</v>
      </c>
      <c r="AX146" s="26">
        <f>AS146-3600*AU146-60*AW146</f>
        <v>29.48986268916633</v>
      </c>
      <c r="AY146" s="20" t="str">
        <f>CONCATENATE(TEXT(AU146,"00"),"°",TEXT(AW146,"00"),"'",TEXT(AX146,"00.00"), " [", CONCATENATE(TEXT(AU146,"00"),"°",TEXT(AV146,"00.00")),"]", " - (", TEXT(AT146,"00.0000"),"°)")</f>
        <v>160°08'29.49 [160°08.49] - (160.1415°)</v>
      </c>
    </row>
    <row r="147" spans="3:55" ht="17.25" customHeight="1" x14ac:dyDescent="0.25">
      <c r="E147" s="59"/>
      <c r="F147" s="59"/>
      <c r="G147" s="59"/>
      <c r="H147" s="152"/>
      <c r="I147" s="530" t="s">
        <v>329</v>
      </c>
      <c r="J147" s="531"/>
      <c r="K147" s="532"/>
      <c r="L147" s="536" t="s">
        <v>330</v>
      </c>
      <c r="M147" s="537"/>
      <c r="N147" s="152"/>
      <c r="O147" s="530" t="s">
        <v>329</v>
      </c>
      <c r="P147" s="531"/>
      <c r="Q147" s="532"/>
      <c r="R147" s="536" t="s">
        <v>331</v>
      </c>
      <c r="S147" s="537"/>
    </row>
    <row r="148" spans="3:55" ht="17.25" customHeight="1" x14ac:dyDescent="0.25">
      <c r="E148" s="59"/>
      <c r="F148" s="59"/>
      <c r="G148" s="59"/>
      <c r="H148" s="153"/>
      <c r="I148" s="533" t="s">
        <v>207</v>
      </c>
      <c r="J148" s="534"/>
      <c r="K148" s="535"/>
      <c r="L148" s="538" t="s">
        <v>208</v>
      </c>
      <c r="M148" s="539"/>
      <c r="N148" s="153"/>
      <c r="O148" s="533" t="s">
        <v>207</v>
      </c>
      <c r="P148" s="534"/>
      <c r="Q148" s="535"/>
      <c r="R148" s="538" t="s">
        <v>210</v>
      </c>
      <c r="S148" s="539"/>
    </row>
    <row r="149" spans="3:55" ht="17.25" customHeight="1" x14ac:dyDescent="0.25">
      <c r="E149" s="178"/>
      <c r="F149" s="178"/>
      <c r="G149" s="178"/>
      <c r="H149" s="178"/>
      <c r="I149" s="178"/>
      <c r="J149" s="178"/>
      <c r="P149" s="178"/>
      <c r="Q149" s="178"/>
      <c r="R149" s="178"/>
      <c r="S149" s="449"/>
      <c r="T149" s="449"/>
      <c r="U149" s="449"/>
      <c r="V149" s="178"/>
      <c r="W149" s="449"/>
      <c r="X149" s="449"/>
      <c r="Y149" s="449"/>
    </row>
    <row r="150" spans="3:55" ht="17.25" customHeight="1" x14ac:dyDescent="0.25">
      <c r="E150" s="178"/>
      <c r="M150" s="543"/>
      <c r="N150" s="543"/>
      <c r="P150" s="449"/>
      <c r="Q150" s="449"/>
      <c r="R150" s="449"/>
      <c r="S150" s="449"/>
      <c r="T150" s="449"/>
      <c r="U150" s="449"/>
      <c r="V150" s="178"/>
      <c r="W150" s="449"/>
      <c r="X150" s="449"/>
      <c r="Y150" s="449"/>
    </row>
    <row r="151" spans="3:55" ht="17.25" customHeight="1" x14ac:dyDescent="0.25">
      <c r="H151" s="281" t="s">
        <v>200</v>
      </c>
      <c r="I151" s="281"/>
      <c r="J151" s="154">
        <f>L</f>
        <v>48.866666666666667</v>
      </c>
      <c r="K151" s="362" t="str">
        <f>CONCATENATE("Sens: ",IF(P143&gt;0,"N","S"))</f>
        <v>Sens: N</v>
      </c>
      <c r="L151" s="362"/>
    </row>
    <row r="152" spans="3:55" ht="17.25" customHeight="1" thickBot="1" x14ac:dyDescent="0.3">
      <c r="H152" s="281" t="s">
        <v>71</v>
      </c>
      <c r="I152" s="281"/>
      <c r="J152" s="154">
        <f>P144</f>
        <v>341.99331666666666</v>
      </c>
      <c r="K152" s="362" t="str">
        <f>CONCATENATE("Is 180? ", IF(P144&gt;180,"Y", "N"))</f>
        <v>Is 180? Y</v>
      </c>
      <c r="L152" s="362"/>
      <c r="N152" s="509" t="s">
        <v>215</v>
      </c>
      <c r="O152" s="510"/>
      <c r="P152" s="510"/>
      <c r="Q152" s="510"/>
      <c r="R152" s="510"/>
      <c r="S152" s="528">
        <f>ABS(IF(P131&gt;0,IF(P132&gt;180,H142,360-H142),IF(P132&gt;180,180-H142,180+H142)))</f>
        <v>160.1415249618581</v>
      </c>
      <c r="T152" s="529"/>
      <c r="U152" s="151" t="s">
        <v>39</v>
      </c>
      <c r="V152" s="178"/>
    </row>
    <row r="153" spans="3:55" ht="17.25" customHeight="1" thickTop="1" thickBot="1" x14ac:dyDescent="0.3">
      <c r="H153" s="520" t="s">
        <v>332</v>
      </c>
      <c r="I153" s="521"/>
      <c r="J153" s="527"/>
      <c r="K153" s="362" t="str">
        <f>IF(J151&gt;0,IF(J152&gt;180,L147,L148),IF(J152&gt;180,R147,R148))</f>
        <v>Zn = Z</v>
      </c>
      <c r="L153" s="362"/>
      <c r="S153" s="279" t="str">
        <f>AB146</f>
        <v>160°08'29.49 [160°08.49] - (160.1415°)</v>
      </c>
      <c r="T153" s="279"/>
      <c r="U153" s="279"/>
      <c r="V153" s="279"/>
      <c r="W153" s="279"/>
      <c r="X153" s="279"/>
    </row>
    <row r="154" spans="3:55" ht="17.25" customHeight="1" thickTop="1" x14ac:dyDescent="0.25"/>
  </sheetData>
  <dataConsolidate/>
  <mergeCells count="279">
    <mergeCell ref="D142:G144"/>
    <mergeCell ref="H152:I152"/>
    <mergeCell ref="K152:L152"/>
    <mergeCell ref="N152:R152"/>
    <mergeCell ref="S152:T152"/>
    <mergeCell ref="H153:J153"/>
    <mergeCell ref="K153:L153"/>
    <mergeCell ref="S153:X153"/>
    <mergeCell ref="M150:N150"/>
    <mergeCell ref="P150:R150"/>
    <mergeCell ref="S150:U150"/>
    <mergeCell ref="W150:Y150"/>
    <mergeCell ref="H151:I151"/>
    <mergeCell ref="K151:L151"/>
    <mergeCell ref="I148:K148"/>
    <mergeCell ref="L148:M148"/>
    <mergeCell ref="O148:Q148"/>
    <mergeCell ref="R148:S148"/>
    <mergeCell ref="S149:U149"/>
    <mergeCell ref="W149:Y149"/>
    <mergeCell ref="N144:O144"/>
    <mergeCell ref="P144:R144"/>
    <mergeCell ref="T144:V144"/>
    <mergeCell ref="H146:M146"/>
    <mergeCell ref="N146:S146"/>
    <mergeCell ref="I147:K147"/>
    <mergeCell ref="L147:M147"/>
    <mergeCell ref="O147:Q147"/>
    <mergeCell ref="R147:S147"/>
    <mergeCell ref="H142:L143"/>
    <mergeCell ref="N142:O142"/>
    <mergeCell ref="P142:R142"/>
    <mergeCell ref="S142:S144"/>
    <mergeCell ref="T142:V142"/>
    <mergeCell ref="W142:W144"/>
    <mergeCell ref="N143:O143"/>
    <mergeCell ref="P143:R143"/>
    <mergeCell ref="T143:V143"/>
    <mergeCell ref="H144:L144"/>
    <mergeCell ref="H134:L135"/>
    <mergeCell ref="N135:R135"/>
    <mergeCell ref="X135:Y135"/>
    <mergeCell ref="H136:L136"/>
    <mergeCell ref="A139:C139"/>
    <mergeCell ref="N141:Z141"/>
    <mergeCell ref="W130:W132"/>
    <mergeCell ref="N131:O131"/>
    <mergeCell ref="P131:R131"/>
    <mergeCell ref="T131:V131"/>
    <mergeCell ref="H132:L132"/>
    <mergeCell ref="N132:O132"/>
    <mergeCell ref="P132:R132"/>
    <mergeCell ref="T132:V132"/>
    <mergeCell ref="D130:G132"/>
    <mergeCell ref="D134:G136"/>
    <mergeCell ref="M124:O124"/>
    <mergeCell ref="U124:Z124"/>
    <mergeCell ref="G126:M126"/>
    <mergeCell ref="N126:Q126"/>
    <mergeCell ref="N129:Z129"/>
    <mergeCell ref="H130:L131"/>
    <mergeCell ref="N130:O130"/>
    <mergeCell ref="P130:R130"/>
    <mergeCell ref="S130:S132"/>
    <mergeCell ref="T130:V130"/>
    <mergeCell ref="G119:M119"/>
    <mergeCell ref="N119:Q119"/>
    <mergeCell ref="T119:Y119"/>
    <mergeCell ref="E121:H121"/>
    <mergeCell ref="I121:K121"/>
    <mergeCell ref="U123:Z123"/>
    <mergeCell ref="H115:M115"/>
    <mergeCell ref="N115:Q116"/>
    <mergeCell ref="R115:R116"/>
    <mergeCell ref="H116:M116"/>
    <mergeCell ref="H117:M117"/>
    <mergeCell ref="N117:Q117"/>
    <mergeCell ref="G110:M110"/>
    <mergeCell ref="N110:Q110"/>
    <mergeCell ref="T110:Y110"/>
    <mergeCell ref="F112:R112"/>
    <mergeCell ref="F113:G114"/>
    <mergeCell ref="H113:M113"/>
    <mergeCell ref="N113:Q114"/>
    <mergeCell ref="R113:R114"/>
    <mergeCell ref="H114:M114"/>
    <mergeCell ref="G106:M106"/>
    <mergeCell ref="N106:Q106"/>
    <mergeCell ref="T106:Y106"/>
    <mergeCell ref="G108:M108"/>
    <mergeCell ref="N108:Q108"/>
    <mergeCell ref="G109:M109"/>
    <mergeCell ref="N109:Q109"/>
    <mergeCell ref="R103:T103"/>
    <mergeCell ref="G104:M104"/>
    <mergeCell ref="N104:Q104"/>
    <mergeCell ref="R104:T104"/>
    <mergeCell ref="G105:M105"/>
    <mergeCell ref="N105:Q105"/>
    <mergeCell ref="R105:T105"/>
    <mergeCell ref="L99:O99"/>
    <mergeCell ref="G100:M100"/>
    <mergeCell ref="N100:Q100"/>
    <mergeCell ref="T100:Y100"/>
    <mergeCell ref="G101:M101"/>
    <mergeCell ref="N101:Q101"/>
    <mergeCell ref="T101:Y101"/>
    <mergeCell ref="L95:O95"/>
    <mergeCell ref="G96:M96"/>
    <mergeCell ref="N96:O96"/>
    <mergeCell ref="Q96:R96"/>
    <mergeCell ref="T96:Y96"/>
    <mergeCell ref="L98:O98"/>
    <mergeCell ref="G93:M93"/>
    <mergeCell ref="N93:Q93"/>
    <mergeCell ref="T93:Y93"/>
    <mergeCell ref="G94:M94"/>
    <mergeCell ref="N94:Q94"/>
    <mergeCell ref="T94:Y94"/>
    <mergeCell ref="U89:Y89"/>
    <mergeCell ref="C90:E90"/>
    <mergeCell ref="F90:H90"/>
    <mergeCell ref="E91:H91"/>
    <mergeCell ref="I91:K91"/>
    <mergeCell ref="G92:M92"/>
    <mergeCell ref="N92:Q92"/>
    <mergeCell ref="T92:Y92"/>
    <mergeCell ref="C86:G86"/>
    <mergeCell ref="H86:K86"/>
    <mergeCell ref="M86:P86"/>
    <mergeCell ref="H87:M87"/>
    <mergeCell ref="E89:G89"/>
    <mergeCell ref="R89:T89"/>
    <mergeCell ref="E85:G85"/>
    <mergeCell ref="I85:K85"/>
    <mergeCell ref="L85:N85"/>
    <mergeCell ref="C80:G80"/>
    <mergeCell ref="E81:G82"/>
    <mergeCell ref="H81:K82"/>
    <mergeCell ref="L81:R82"/>
    <mergeCell ref="T74:T75"/>
    <mergeCell ref="U74:X75"/>
    <mergeCell ref="E76:J76"/>
    <mergeCell ref="O76:S76"/>
    <mergeCell ref="T76:X76"/>
    <mergeCell ref="E79:G79"/>
    <mergeCell ref="E72:G73"/>
    <mergeCell ref="H72:K73"/>
    <mergeCell ref="L72:N73"/>
    <mergeCell ref="O72:S73"/>
    <mergeCell ref="T72:X73"/>
    <mergeCell ref="E74:G75"/>
    <mergeCell ref="H74:K75"/>
    <mergeCell ref="L74:N75"/>
    <mergeCell ref="O74:O75"/>
    <mergeCell ref="P74:S75"/>
    <mergeCell ref="T66:X67"/>
    <mergeCell ref="L68:N69"/>
    <mergeCell ref="O68:O69"/>
    <mergeCell ref="P68:S69"/>
    <mergeCell ref="T68:X69"/>
    <mergeCell ref="E70:J70"/>
    <mergeCell ref="E64:G65"/>
    <mergeCell ref="H64:K65"/>
    <mergeCell ref="L64:N65"/>
    <mergeCell ref="O64:S65"/>
    <mergeCell ref="E66:G69"/>
    <mergeCell ref="H66:K69"/>
    <mergeCell ref="L66:N67"/>
    <mergeCell ref="O66:O67"/>
    <mergeCell ref="P66:S67"/>
    <mergeCell ref="U56:X57"/>
    <mergeCell ref="E58:J58"/>
    <mergeCell ref="O58:S58"/>
    <mergeCell ref="T58:X58"/>
    <mergeCell ref="E61:G61"/>
    <mergeCell ref="C62:E62"/>
    <mergeCell ref="F62:H62"/>
    <mergeCell ref="E56:G57"/>
    <mergeCell ref="H56:K57"/>
    <mergeCell ref="L56:N57"/>
    <mergeCell ref="O56:O57"/>
    <mergeCell ref="P56:S57"/>
    <mergeCell ref="T56:T57"/>
    <mergeCell ref="K61:L61"/>
    <mergeCell ref="E52:J52"/>
    <mergeCell ref="E54:G55"/>
    <mergeCell ref="H54:K55"/>
    <mergeCell ref="L54:N55"/>
    <mergeCell ref="O54:S55"/>
    <mergeCell ref="T54:X55"/>
    <mergeCell ref="E48:G51"/>
    <mergeCell ref="H48:K51"/>
    <mergeCell ref="L48:N49"/>
    <mergeCell ref="O48:O49"/>
    <mergeCell ref="P48:S49"/>
    <mergeCell ref="T48:X49"/>
    <mergeCell ref="L50:N51"/>
    <mergeCell ref="O50:O51"/>
    <mergeCell ref="P50:S51"/>
    <mergeCell ref="T50:X51"/>
    <mergeCell ref="C44:E44"/>
    <mergeCell ref="F44:H44"/>
    <mergeCell ref="E46:G47"/>
    <mergeCell ref="H46:K47"/>
    <mergeCell ref="L46:N47"/>
    <mergeCell ref="O46:S47"/>
    <mergeCell ref="D37:G38"/>
    <mergeCell ref="E39:G40"/>
    <mergeCell ref="H39:H40"/>
    <mergeCell ref="I39:M40"/>
    <mergeCell ref="N39:W40"/>
    <mergeCell ref="E43:G43"/>
    <mergeCell ref="D32:G33"/>
    <mergeCell ref="A34:C34"/>
    <mergeCell ref="E34:G35"/>
    <mergeCell ref="H34:H35"/>
    <mergeCell ref="I34:M35"/>
    <mergeCell ref="N34:W35"/>
    <mergeCell ref="C26:H29"/>
    <mergeCell ref="I26:K29"/>
    <mergeCell ref="L26:N29"/>
    <mergeCell ref="O26:Q27"/>
    <mergeCell ref="O28:Q28"/>
    <mergeCell ref="R28:W28"/>
    <mergeCell ref="O29:W29"/>
    <mergeCell ref="C22:H25"/>
    <mergeCell ref="I22:K25"/>
    <mergeCell ref="L22:N25"/>
    <mergeCell ref="O22:Q23"/>
    <mergeCell ref="O24:Q24"/>
    <mergeCell ref="R24:W24"/>
    <mergeCell ref="O25:W25"/>
    <mergeCell ref="C20:H20"/>
    <mergeCell ref="I20:K20"/>
    <mergeCell ref="L20:N20"/>
    <mergeCell ref="C21:H21"/>
    <mergeCell ref="I21:K21"/>
    <mergeCell ref="L21:N21"/>
    <mergeCell ref="C18:H18"/>
    <mergeCell ref="I18:K18"/>
    <mergeCell ref="L18:N18"/>
    <mergeCell ref="O18:W18"/>
    <mergeCell ref="C19:H19"/>
    <mergeCell ref="I19:K19"/>
    <mergeCell ref="L19:N19"/>
    <mergeCell ref="O19:W19"/>
    <mergeCell ref="C16:H16"/>
    <mergeCell ref="I16:K16"/>
    <mergeCell ref="L16:N16"/>
    <mergeCell ref="O16:W16"/>
    <mergeCell ref="C17:H17"/>
    <mergeCell ref="I17:K17"/>
    <mergeCell ref="L17:N17"/>
    <mergeCell ref="C14:H14"/>
    <mergeCell ref="I14:K14"/>
    <mergeCell ref="L14:N14"/>
    <mergeCell ref="O14:W14"/>
    <mergeCell ref="C15:H15"/>
    <mergeCell ref="I15:K15"/>
    <mergeCell ref="L15:N15"/>
    <mergeCell ref="O15:W15"/>
    <mergeCell ref="U9:X10"/>
    <mergeCell ref="D11:E11"/>
    <mergeCell ref="F11:G11"/>
    <mergeCell ref="H11:J11"/>
    <mergeCell ref="K11:O11"/>
    <mergeCell ref="P11:T11"/>
    <mergeCell ref="U11:X11"/>
    <mergeCell ref="D8:F8"/>
    <mergeCell ref="C9:C11"/>
    <mergeCell ref="D9:G10"/>
    <mergeCell ref="H9:J10"/>
    <mergeCell ref="K9:O10"/>
    <mergeCell ref="P9:T10"/>
    <mergeCell ref="C1:F4"/>
    <mergeCell ref="G1:Y2"/>
    <mergeCell ref="G3:I4"/>
    <mergeCell ref="J3:L4"/>
  </mergeCells>
  <dataValidations count="7">
    <dataValidation type="list" allowBlank="1" showInputMessage="1" showErrorMessage="1" sqref="L20:N20" xr:uid="{00000000-0002-0000-0200-000000000000}">
      <formula1>$AE$20:$AG$20</formula1>
    </dataValidation>
    <dataValidation type="list" allowBlank="1" showInputMessage="1" showErrorMessage="1" sqref="F44:H44" xr:uid="{00000000-0002-0000-0200-000001000000}">
      <formula1>$AE$44:$AE$45</formula1>
    </dataValidation>
    <dataValidation type="list" allowBlank="1" showInputMessage="1" showErrorMessage="1" sqref="H34:H35 O56:O57 T56:T57 O48:O51 O66:O69 O74:O75 T74:T75" xr:uid="{00000000-0002-0000-0200-000002000000}">
      <formula1>$A$36:$A$37</formula1>
    </dataValidation>
    <dataValidation type="list" allowBlank="1" showInputMessage="1" showErrorMessage="1" sqref="L41 H41 H39 Q41" xr:uid="{00000000-0002-0000-0200-000003000000}">
      <formula1>$B$36:$B$37</formula1>
    </dataValidation>
    <dataValidation type="list" allowBlank="1" showInputMessage="1" showErrorMessage="1" sqref="F62:H62" xr:uid="{00000000-0002-0000-0200-000004000000}">
      <formula1>$AE$62:$AE$63</formula1>
    </dataValidation>
    <dataValidation type="list" allowBlank="1" showInputMessage="1" showErrorMessage="1" sqref="L21:N21" xr:uid="{00000000-0002-0000-0200-000005000000}">
      <formula1>$AE$21:$AG$21</formula1>
    </dataValidation>
    <dataValidation type="list" allowBlank="1" showInputMessage="1" showErrorMessage="1" sqref="F90:H90" xr:uid="{00000000-0002-0000-0200-000006000000}">
      <formula1>$AE$90:$AE$91</formula1>
    </dataValidation>
  </dataValidations>
  <printOptions horizontalCentered="1" verticalCentered="1"/>
  <pageMargins left="0.25" right="0.25" top="0.1" bottom="0.1" header="0.3" footer="0.3"/>
  <pageSetup paperSize="9" scale="62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C1288-0DBB-4EE1-8F84-D0DF16B75A28}">
  <sheetPr>
    <pageSetUpPr fitToPage="1"/>
  </sheetPr>
  <dimension ref="A1:BN145"/>
  <sheetViews>
    <sheetView topLeftCell="A103" zoomScale="80" zoomScaleNormal="80" workbookViewId="0">
      <selection activeCell="A140" sqref="A140"/>
    </sheetView>
  </sheetViews>
  <sheetFormatPr defaultColWidth="5.140625" defaultRowHeight="17.25" customHeight="1" outlineLevelCol="1" x14ac:dyDescent="0.25"/>
  <cols>
    <col min="1" max="2" width="6.42578125" style="1" customWidth="1"/>
    <col min="3" max="6" width="7" style="270" customWidth="1"/>
    <col min="7" max="8" width="7" style="1" customWidth="1"/>
    <col min="9" max="26" width="6.42578125" style="1" customWidth="1"/>
    <col min="27" max="27" width="19" style="18" customWidth="1" outlineLevel="1"/>
    <col min="28" max="28" width="42.7109375" style="28" customWidth="1" outlineLevel="1"/>
    <col min="29" max="29" width="23.7109375" style="28" customWidth="1" outlineLevel="1"/>
    <col min="30" max="37" width="19" style="22" customWidth="1" outlineLevel="1"/>
    <col min="38" max="38" width="19" style="29" customWidth="1" outlineLevel="1"/>
    <col min="39" max="45" width="19" style="22" customWidth="1" outlineLevel="1"/>
    <col min="46" max="65" width="15.85546875" style="22" customWidth="1" outlineLevel="1"/>
    <col min="66" max="16384" width="5.140625" style="1"/>
  </cols>
  <sheetData>
    <row r="1" spans="2:66" ht="17.25" customHeight="1" x14ac:dyDescent="0.25">
      <c r="C1" s="568" t="s">
        <v>382</v>
      </c>
      <c r="D1" s="568"/>
      <c r="E1" s="568"/>
      <c r="F1" s="568"/>
      <c r="G1" s="562" t="s">
        <v>383</v>
      </c>
      <c r="H1" s="562"/>
      <c r="I1" s="562"/>
      <c r="J1" s="562"/>
      <c r="K1" s="562"/>
      <c r="L1" s="562"/>
      <c r="M1" s="562"/>
      <c r="N1" s="562"/>
      <c r="O1" s="562"/>
      <c r="P1" s="562"/>
      <c r="Q1" s="562"/>
      <c r="R1" s="562"/>
      <c r="S1" s="562"/>
      <c r="T1" s="562"/>
      <c r="U1" s="562"/>
      <c r="V1" s="562"/>
      <c r="W1" s="562"/>
      <c r="X1" s="562"/>
      <c r="Y1" s="562"/>
      <c r="AA1" s="1"/>
      <c r="AB1" s="18"/>
      <c r="AD1" s="28"/>
      <c r="AL1" s="22"/>
      <c r="AM1" s="29"/>
      <c r="BN1" s="22"/>
    </row>
    <row r="2" spans="2:66" ht="17.25" customHeight="1" x14ac:dyDescent="0.25">
      <c r="C2" s="568"/>
      <c r="D2" s="568"/>
      <c r="E2" s="568"/>
      <c r="F2" s="568"/>
      <c r="G2" s="562"/>
      <c r="H2" s="562"/>
      <c r="I2" s="562"/>
      <c r="J2" s="562"/>
      <c r="K2" s="562"/>
      <c r="L2" s="562"/>
      <c r="M2" s="562"/>
      <c r="N2" s="562"/>
      <c r="O2" s="562"/>
      <c r="P2" s="562"/>
      <c r="Q2" s="562"/>
      <c r="R2" s="562"/>
      <c r="S2" s="562"/>
      <c r="T2" s="562"/>
      <c r="U2" s="562"/>
      <c r="V2" s="562"/>
      <c r="W2" s="562"/>
      <c r="X2" s="562"/>
      <c r="Y2" s="562"/>
      <c r="AA2" s="1"/>
      <c r="AB2" s="18"/>
      <c r="AD2" s="28"/>
      <c r="AL2" s="22"/>
      <c r="AM2" s="29"/>
      <c r="BN2" s="22"/>
    </row>
    <row r="3" spans="2:66" ht="17.25" customHeight="1" x14ac:dyDescent="0.25">
      <c r="C3" s="568"/>
      <c r="D3" s="568"/>
      <c r="E3" s="568"/>
      <c r="F3" s="568"/>
      <c r="G3" s="388" t="s">
        <v>387</v>
      </c>
      <c r="H3" s="388"/>
      <c r="I3" s="388"/>
      <c r="J3" s="567" t="s">
        <v>386</v>
      </c>
      <c r="K3" s="567"/>
      <c r="L3" s="567"/>
      <c r="AA3" s="1"/>
      <c r="AB3" s="18"/>
      <c r="AD3" s="28"/>
      <c r="AL3" s="22"/>
      <c r="AM3" s="29"/>
      <c r="BN3" s="22"/>
    </row>
    <row r="4" spans="2:66" ht="17.25" customHeight="1" x14ac:dyDescent="0.25">
      <c r="C4" s="568"/>
      <c r="D4" s="568"/>
      <c r="E4" s="568"/>
      <c r="F4" s="568"/>
      <c r="G4" s="343"/>
      <c r="H4" s="343"/>
      <c r="I4" s="343"/>
      <c r="J4" s="383"/>
      <c r="K4" s="383"/>
      <c r="L4" s="383"/>
      <c r="AA4" s="1"/>
      <c r="AB4" s="18"/>
      <c r="AD4" s="28"/>
      <c r="AL4" s="22"/>
      <c r="AM4" s="29"/>
      <c r="BN4" s="22"/>
    </row>
    <row r="5" spans="2:66" ht="17.25" customHeight="1" x14ac:dyDescent="0.25">
      <c r="G5" s="270"/>
      <c r="AA5" s="1"/>
      <c r="AB5" s="18"/>
      <c r="AD5" s="28"/>
      <c r="AL5" s="22"/>
      <c r="AM5" s="29"/>
      <c r="BN5" s="22"/>
    </row>
    <row r="6" spans="2:66" ht="17.25" customHeight="1" thickBot="1" x14ac:dyDescent="0.3">
      <c r="G6" s="270"/>
      <c r="AA6" s="1"/>
      <c r="AB6" s="18"/>
      <c r="AD6" s="28"/>
      <c r="AL6" s="22"/>
      <c r="AM6" s="29"/>
      <c r="BN6" s="22"/>
    </row>
    <row r="7" spans="2:66" ht="17.25" customHeight="1" thickBot="1" x14ac:dyDescent="0.3">
      <c r="B7" s="47" t="s">
        <v>1</v>
      </c>
      <c r="C7" s="157"/>
      <c r="D7" s="48"/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  <c r="AA7" s="48"/>
      <c r="AB7" s="48"/>
      <c r="AC7" s="48"/>
      <c r="AD7" s="48"/>
      <c r="AE7" s="48"/>
      <c r="AF7" s="48"/>
      <c r="AG7" s="48"/>
      <c r="AH7" s="48"/>
      <c r="AI7" s="48"/>
      <c r="AJ7" s="48"/>
      <c r="AK7" s="48"/>
      <c r="AL7" s="48"/>
      <c r="AM7" s="48"/>
      <c r="AN7" s="48"/>
      <c r="AO7" s="48"/>
      <c r="AP7" s="48"/>
      <c r="AQ7" s="48"/>
      <c r="AR7" s="48"/>
      <c r="AS7" s="48"/>
      <c r="AT7" s="48"/>
      <c r="AU7" s="48"/>
      <c r="AV7" s="48"/>
      <c r="AW7" s="48"/>
      <c r="AX7" s="48"/>
      <c r="AY7" s="48"/>
      <c r="AZ7" s="48"/>
      <c r="BA7" s="49"/>
    </row>
    <row r="8" spans="2:66" ht="17.25" customHeight="1" x14ac:dyDescent="0.25">
      <c r="C8" s="158" t="s">
        <v>2</v>
      </c>
      <c r="D8" s="354" t="s">
        <v>479</v>
      </c>
      <c r="E8" s="355"/>
      <c r="F8" s="355"/>
      <c r="G8" s="270"/>
      <c r="AB8" s="19"/>
      <c r="AC8" s="20"/>
      <c r="AD8" s="21" t="s">
        <v>132</v>
      </c>
      <c r="AE8" s="21" t="s">
        <v>12</v>
      </c>
      <c r="AF8" s="21" t="s">
        <v>133</v>
      </c>
      <c r="AG8" s="21" t="s">
        <v>129</v>
      </c>
      <c r="AH8" s="21" t="s">
        <v>132</v>
      </c>
      <c r="AI8" s="21" t="s">
        <v>137</v>
      </c>
      <c r="AJ8" s="21" t="s">
        <v>138</v>
      </c>
      <c r="AK8" s="21" t="s">
        <v>129</v>
      </c>
      <c r="AL8" s="21" t="s">
        <v>112</v>
      </c>
      <c r="AM8" s="21" t="s">
        <v>117</v>
      </c>
      <c r="AN8" s="21" t="s">
        <v>144</v>
      </c>
      <c r="AO8" s="21" t="s">
        <v>131</v>
      </c>
      <c r="AP8" s="21" t="s">
        <v>152</v>
      </c>
      <c r="AQ8" s="21" t="s">
        <v>150</v>
      </c>
      <c r="AR8" s="21" t="s">
        <v>112</v>
      </c>
      <c r="AS8" s="21" t="s">
        <v>151</v>
      </c>
      <c r="AT8" s="30"/>
      <c r="AU8" s="30"/>
    </row>
    <row r="9" spans="2:66" ht="17.25" customHeight="1" thickBot="1" x14ac:dyDescent="0.3">
      <c r="C9" s="574" t="s">
        <v>12</v>
      </c>
      <c r="D9" s="296" t="s">
        <v>3</v>
      </c>
      <c r="E9" s="297"/>
      <c r="F9" s="297"/>
      <c r="G9" s="298"/>
      <c r="H9" s="399" t="s">
        <v>336</v>
      </c>
      <c r="I9" s="399"/>
      <c r="J9" s="399"/>
      <c r="K9" s="399" t="s">
        <v>337</v>
      </c>
      <c r="L9" s="399"/>
      <c r="M9" s="399"/>
      <c r="N9" s="399"/>
      <c r="O9" s="399"/>
      <c r="P9" s="399" t="s">
        <v>338</v>
      </c>
      <c r="Q9" s="399"/>
      <c r="R9" s="399"/>
      <c r="S9" s="399"/>
      <c r="T9" s="399"/>
      <c r="U9" s="417" t="s">
        <v>335</v>
      </c>
      <c r="V9" s="418"/>
      <c r="W9" s="418"/>
      <c r="X9" s="419"/>
      <c r="AA9" s="204" t="str">
        <f>H11</f>
        <v>8:58</v>
      </c>
      <c r="AB9" s="271" t="str">
        <f>AS9</f>
        <v>08:58:00.00 [08:58.00] - (08.9667)</v>
      </c>
      <c r="AC9" s="23">
        <f>AN9</f>
        <v>8.9666666666666668</v>
      </c>
      <c r="AD9" s="24" t="b">
        <f t="shared" ref="AD9:AD10" si="0">ISNUMBER(SEARCH(":",AA9,1))</f>
        <v>1</v>
      </c>
      <c r="AE9" s="25">
        <f>IF(AD9, VALUE(LEFT(AA9,SEARCH(":",AA9,1)-1)),VALUE(AA9))</f>
        <v>8</v>
      </c>
      <c r="AF9" s="25" t="str">
        <f t="shared" ref="AF9:AF10" si="1">IF(AD9, RIGHT(AA9,LEN(AA9)-SEARCH(":",AA9,1)),"")</f>
        <v>58</v>
      </c>
      <c r="AG9" s="24" t="b">
        <f>(LEN(AF9)&gt;0)</f>
        <v>1</v>
      </c>
      <c r="AH9" s="24" t="b">
        <f>ISNUMBER(SEARCH(":",AF9,1))</f>
        <v>0</v>
      </c>
      <c r="AI9" s="25">
        <f>IF(NOT(AG9),0,IF(AH9, VALUE(LEFT(AF9,SEARCH(":",AF9,1)-1)),VALUE(AF9)))</f>
        <v>58</v>
      </c>
      <c r="AJ9" s="25" t="str">
        <f>IF(AH9, RIGHT(AF9,LEN(AF9)-SEARCH(":",AF9,1)),"")</f>
        <v/>
      </c>
      <c r="AK9" s="24" t="b">
        <f>(LEN(AJ9)&gt;0)</f>
        <v>0</v>
      </c>
      <c r="AL9" s="25">
        <f>IF(AK9,VALUE(AJ9),0)</f>
        <v>0</v>
      </c>
      <c r="AM9" s="26">
        <f>AE9*3600+AI9*60+AL9</f>
        <v>32280</v>
      </c>
      <c r="AN9" s="26">
        <f>AM9/3600</f>
        <v>8.9666666666666668</v>
      </c>
      <c r="AO9" s="26">
        <f>(AM9-3600*INT(AN9))/60</f>
        <v>58</v>
      </c>
      <c r="AP9" s="25">
        <f>_xlfn.FLOOR.MATH(AN9)</f>
        <v>8</v>
      </c>
      <c r="AQ9" s="25">
        <f>_xlfn.FLOOR.MATH(AO9)</f>
        <v>58</v>
      </c>
      <c r="AR9" s="25">
        <f>_xlfn.FLOOR.MATH(AM9-AP9*3600-AQ9*60)</f>
        <v>0</v>
      </c>
      <c r="AS9" s="20" t="str">
        <f>CONCATENATE(TEXT(AP9,"00"),":",TEXT(AQ9,"00"),":",TEXT(AR9,"00.00"), " [", CONCATENATE(TEXT(AP9,"00"),":",TEXT(AO9,"00.00")),"]", " - (", TEXT(AN9,"00.0000"),")")</f>
        <v>08:58:00.00 [08:58.00] - (08.9667)</v>
      </c>
      <c r="AT9" s="30"/>
      <c r="AU9" s="269"/>
      <c r="AV9" s="17"/>
      <c r="AW9" s="17"/>
      <c r="AX9" s="17"/>
      <c r="AY9" s="17"/>
      <c r="AZ9" s="17"/>
    </row>
    <row r="10" spans="2:66" ht="17.25" customHeight="1" x14ac:dyDescent="0.25">
      <c r="C10" s="575"/>
      <c r="D10" s="299"/>
      <c r="E10" s="300"/>
      <c r="F10" s="300"/>
      <c r="G10" s="301"/>
      <c r="H10" s="399"/>
      <c r="I10" s="399"/>
      <c r="J10" s="399"/>
      <c r="K10" s="399"/>
      <c r="L10" s="399"/>
      <c r="M10" s="399"/>
      <c r="N10" s="399"/>
      <c r="O10" s="399"/>
      <c r="P10" s="399"/>
      <c r="Q10" s="399"/>
      <c r="R10" s="399"/>
      <c r="S10" s="399"/>
      <c r="T10" s="399"/>
      <c r="U10" s="420"/>
      <c r="V10" s="421"/>
      <c r="W10" s="421"/>
      <c r="X10" s="422"/>
      <c r="AA10" s="18" t="str">
        <f>CONCATENATE("00:",U11)</f>
        <v>00:0</v>
      </c>
      <c r="AB10" s="271" t="str">
        <f>AS10</f>
        <v>00:00:00.00 [00:00.00] - (00.0000)</v>
      </c>
      <c r="AC10" s="23">
        <f>AN10</f>
        <v>0</v>
      </c>
      <c r="AD10" s="24" t="b">
        <f t="shared" si="0"/>
        <v>1</v>
      </c>
      <c r="AE10" s="25">
        <f t="shared" ref="AE10" si="2">IF(AD10, VALUE(LEFT(AA10,SEARCH(":",AA10,1)-1)),VALUE(AA10))</f>
        <v>0</v>
      </c>
      <c r="AF10" s="25" t="str">
        <f t="shared" si="1"/>
        <v>0</v>
      </c>
      <c r="AG10" s="24" t="b">
        <f>(LEN(AF10)&gt;0)</f>
        <v>1</v>
      </c>
      <c r="AH10" s="24" t="b">
        <f>ISNUMBER(SEARCH(":",AF10,1))</f>
        <v>0</v>
      </c>
      <c r="AI10" s="25">
        <f>IF(NOT(AG10),0,IF(AH10, VALUE(LEFT(AF10,SEARCH(":",AF10,1)-1)),VALUE(AF10)))</f>
        <v>0</v>
      </c>
      <c r="AJ10" s="25" t="str">
        <f>IF(AH10, RIGHT(AF10,LEN(AF10)-SEARCH(":",AF10,1)),"")</f>
        <v/>
      </c>
      <c r="AK10" s="24" t="b">
        <f>(LEN(AJ10)&gt;0)</f>
        <v>0</v>
      </c>
      <c r="AL10" s="25">
        <f>IF(AK10,VALUE(AJ10),0)</f>
        <v>0</v>
      </c>
      <c r="AM10" s="26">
        <f>AE10*3600+AI10*60+AL10</f>
        <v>0</v>
      </c>
      <c r="AN10" s="26">
        <f>AM10/3600</f>
        <v>0</v>
      </c>
      <c r="AO10" s="26">
        <f>(AM10-3600*INT(AN10))/60</f>
        <v>0</v>
      </c>
      <c r="AP10" s="25">
        <f>_xlfn.FLOOR.MATH(AN10)</f>
        <v>0</v>
      </c>
      <c r="AQ10" s="25">
        <f>_xlfn.FLOOR.MATH(AO10)</f>
        <v>0</v>
      </c>
      <c r="AR10" s="25">
        <f>_xlfn.FLOOR.MATH(AM10-AP10*3600-AQ10*60)</f>
        <v>0</v>
      </c>
      <c r="AS10" s="20" t="str">
        <f>CONCATENATE(TEXT(AP10,"00"),":",TEXT(AQ10,"00"),":",TEXT(AR10,"00.00"), " [", CONCATENATE(TEXT(AP10,"00"),":",TEXT(AO10,"00.00")),"]", " - (", TEXT(AN10,"00.0000"),")")</f>
        <v>00:00:00.00 [00:00.00] - (00.0000)</v>
      </c>
      <c r="AT10" s="17"/>
      <c r="AU10" s="17"/>
      <c r="AV10" s="17"/>
      <c r="AW10" s="17"/>
      <c r="AX10" s="17"/>
      <c r="AY10" s="17"/>
      <c r="AZ10" s="17"/>
    </row>
    <row r="11" spans="2:66" ht="17.25" customHeight="1" x14ac:dyDescent="0.25">
      <c r="C11" s="576"/>
      <c r="D11" s="356">
        <f>AC12</f>
        <v>8.9666666666666668</v>
      </c>
      <c r="E11" s="356"/>
      <c r="F11" s="391" t="str">
        <f>AB12</f>
        <v>08:58:00</v>
      </c>
      <c r="G11" s="391"/>
      <c r="H11" s="433" t="s">
        <v>483</v>
      </c>
      <c r="I11" s="433"/>
      <c r="J11" s="433"/>
      <c r="K11" s="393">
        <v>0</v>
      </c>
      <c r="L11" s="393"/>
      <c r="M11" s="393"/>
      <c r="N11" s="393"/>
      <c r="O11" s="393"/>
      <c r="P11" s="393">
        <v>0</v>
      </c>
      <c r="Q11" s="393"/>
      <c r="R11" s="393"/>
      <c r="S11" s="393"/>
      <c r="T11" s="394"/>
      <c r="U11" s="392" t="s">
        <v>334</v>
      </c>
      <c r="V11" s="392"/>
      <c r="W11" s="392"/>
      <c r="X11" s="392"/>
      <c r="AD11" s="31" t="s">
        <v>42</v>
      </c>
      <c r="AE11" s="31" t="s">
        <v>43</v>
      </c>
      <c r="AF11" s="31" t="s">
        <v>44</v>
      </c>
      <c r="AG11" s="31" t="s">
        <v>45</v>
      </c>
      <c r="AH11" s="31" t="s">
        <v>46</v>
      </c>
      <c r="AI11" s="32" t="s">
        <v>47</v>
      </c>
      <c r="AJ11" s="31" t="s">
        <v>49</v>
      </c>
      <c r="AK11" s="31" t="s">
        <v>40</v>
      </c>
      <c r="AL11" s="31" t="s">
        <v>50</v>
      </c>
      <c r="AM11" s="31" t="s">
        <v>48</v>
      </c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</row>
    <row r="12" spans="2:66" ht="17.25" customHeight="1" thickBot="1" x14ac:dyDescent="0.3">
      <c r="C12" s="33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AB12" s="28" t="str">
        <f>AM12</f>
        <v>08:58:00</v>
      </c>
      <c r="AC12" s="34">
        <f>AI12</f>
        <v>8.9666666666666668</v>
      </c>
      <c r="AD12" s="22">
        <f>AC9</f>
        <v>8.9666666666666668</v>
      </c>
      <c r="AE12" s="22">
        <f>K11</f>
        <v>0</v>
      </c>
      <c r="AF12" s="22">
        <f>P11/3600</f>
        <v>0</v>
      </c>
      <c r="AG12" s="22">
        <f>AC10</f>
        <v>0</v>
      </c>
      <c r="AH12" s="22">
        <f>(AD12+AE12+AF12+AG12)*3600</f>
        <v>32280</v>
      </c>
      <c r="AI12" s="22">
        <f>AD12+AE12+AF12+AG12</f>
        <v>8.9666666666666668</v>
      </c>
      <c r="AJ12" s="22">
        <f>INT(AI12)</f>
        <v>8</v>
      </c>
      <c r="AK12" s="22">
        <f>INT((AH12-AJ12*3600)/60)</f>
        <v>58</v>
      </c>
      <c r="AL12" s="29">
        <f>AH12-AJ12*3600-AK12*60</f>
        <v>0</v>
      </c>
      <c r="AM12" s="22" t="str">
        <f>CONCATENATE(TEXT(AJ12,"00"),":",TEXT(AK12,"00"),":",TEXT(AL12,"00"))</f>
        <v>08:58:00</v>
      </c>
      <c r="AQ12" s="17"/>
      <c r="AR12" s="17"/>
      <c r="AS12" s="17"/>
      <c r="AT12" s="17"/>
      <c r="AU12" s="17"/>
      <c r="AV12" s="17"/>
      <c r="AW12" s="17"/>
      <c r="AX12" s="17"/>
      <c r="AY12" s="17"/>
      <c r="AZ12" s="17"/>
    </row>
    <row r="13" spans="2:66" ht="17.25" customHeight="1" thickBot="1" x14ac:dyDescent="0.3">
      <c r="B13" s="47" t="s">
        <v>24</v>
      </c>
      <c r="C13" s="48"/>
      <c r="D13" s="48"/>
      <c r="E13" s="48"/>
      <c r="F13" s="48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  <c r="AA13" s="48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48"/>
      <c r="AS13" s="48"/>
      <c r="AT13" s="48"/>
      <c r="AU13" s="48"/>
      <c r="AV13" s="48"/>
      <c r="AW13" s="48"/>
      <c r="AX13" s="48"/>
      <c r="AY13" s="48"/>
      <c r="AZ13" s="48"/>
      <c r="BA13" s="49"/>
    </row>
    <row r="14" spans="2:66" ht="17.25" customHeight="1" thickTop="1" thickBot="1" x14ac:dyDescent="0.3">
      <c r="B14" s="269"/>
      <c r="C14" s="440" t="s">
        <v>376</v>
      </c>
      <c r="D14" s="441"/>
      <c r="E14" s="441"/>
      <c r="F14" s="441"/>
      <c r="G14" s="441"/>
      <c r="H14" s="442"/>
      <c r="I14" s="362">
        <f>AC14</f>
        <v>0</v>
      </c>
      <c r="J14" s="395"/>
      <c r="K14" s="395"/>
      <c r="L14" s="443">
        <v>0</v>
      </c>
      <c r="M14" s="444"/>
      <c r="N14" s="444"/>
      <c r="O14" s="279" t="str">
        <f>AB14</f>
        <v>00°00'00.00 [00°00.00]  (00.0000°)</v>
      </c>
      <c r="P14" s="279"/>
      <c r="Q14" s="279"/>
      <c r="R14" s="279"/>
      <c r="S14" s="279"/>
      <c r="T14" s="279"/>
      <c r="U14" s="279"/>
      <c r="V14" s="279"/>
      <c r="W14" s="279"/>
      <c r="X14" s="17"/>
      <c r="AA14" s="18">
        <f>L14</f>
        <v>0</v>
      </c>
      <c r="AB14" s="14" t="str">
        <f>BC14</f>
        <v>00°00'00.00 [00°00.00]  (00.0000°)</v>
      </c>
      <c r="AC14" s="7">
        <f>BB14</f>
        <v>0</v>
      </c>
      <c r="AD14" s="5">
        <f>IF(LEFT(TRIM(AA14),1)="-",-1,IF(LEFT(TRIM(AA14),1)="+",1, 0))</f>
        <v>0</v>
      </c>
      <c r="AE14" s="5" t="str">
        <f>IF(AD14&gt;0,"+",IF(AD14&lt;0,"-",""))</f>
        <v/>
      </c>
      <c r="AF14" s="5">
        <f>IF(ABS(AD14)&gt;0,RIGHT(AA14,LEN(AA14)-1),AA14)</f>
        <v>0</v>
      </c>
      <c r="AG14" s="5" t="b">
        <f>ISNUMBER(SEARCH("°",AF14,1))</f>
        <v>0</v>
      </c>
      <c r="AH14" s="5" t="b">
        <f>ISNUMBER(SEARCH("'",AF14,1))</f>
        <v>0</v>
      </c>
      <c r="AI14" s="5" t="b">
        <f>ISNUMBER(SEARCH("""",AF14,1))</f>
        <v>0</v>
      </c>
      <c r="AJ14" s="5" t="b">
        <f>NOT(OR(AG14,AH14,AI14))</f>
        <v>1</v>
      </c>
      <c r="AK14" s="5" t="b">
        <f t="shared" ref="AK14:AK16" si="3">OR(AJ14,AG14)</f>
        <v>1</v>
      </c>
      <c r="AL14" s="6">
        <f>IF(AJ14,VALUE(AF14),IF(AG14,LEFT(AF14,SEARCH("°",AF14,1)-1),0))</f>
        <v>0</v>
      </c>
      <c r="AM14" s="5" t="str">
        <f>IF(AJ14,"",IF(AG14,RIGHT(AF14,LEN(AF14)-SEARCH("°",AF14,1)),AF14))</f>
        <v/>
      </c>
      <c r="AN14" s="5" t="b">
        <f>(LEN(AM14)&gt;0)</f>
        <v>0</v>
      </c>
      <c r="AO14" s="5" t="b">
        <f>NOT(OR(AH14,AI14))</f>
        <v>1</v>
      </c>
      <c r="AP14" s="6">
        <f t="shared" ref="AP14:AP16" si="4">IF(NOT(AN14),0,IF(AO14,VALUE(AM14),IF(NOT(AH14),0,VALUE(LEFT(AM14,SEARCH("'",AM14,1)-1)))))</f>
        <v>0</v>
      </c>
      <c r="AQ14" s="5" t="str">
        <f t="shared" ref="AQ14:AQ16" si="5">IF(NOT(AN14),"",IF(AO14,"",IF(NOT(AH14),AM14,RIGHT(AM14,LEN(AM14)-SEARCH("'",AM14,1)))))</f>
        <v/>
      </c>
      <c r="AR14" s="5" t="b">
        <f>(LEN(AQ14)&gt;0)</f>
        <v>0</v>
      </c>
      <c r="AS14" s="5" t="b">
        <f t="shared" ref="AS14:AS16" si="6">NOT(AI14)</f>
        <v>1</v>
      </c>
      <c r="AT14" s="5" t="b">
        <f>ISNUMBER(SEARCH(".",AQ14,1))</f>
        <v>0</v>
      </c>
      <c r="AU14" s="6">
        <f t="shared" ref="AU14:AU16" si="7">IF(AR14,IF(AI14,IF(AT14,VALUE(SUBSTITUTE(AQ14, """", "")),VALUE(SUBSTITUTE(AQ14, """", "."))),VALUE(AQ14)),0)</f>
        <v>0</v>
      </c>
      <c r="AV14" s="6">
        <f t="shared" ref="AV14:AV16" si="8">AL14*3600+AP14*60+AU14</f>
        <v>0</v>
      </c>
      <c r="AW14" s="6">
        <f>AV14/3600</f>
        <v>0</v>
      </c>
      <c r="AX14" s="6">
        <f>_xlfn.FLOOR.MATH((AW14))</f>
        <v>0</v>
      </c>
      <c r="AY14" s="6">
        <f>(AV14-3600*AX14)/60</f>
        <v>0</v>
      </c>
      <c r="AZ14" s="6">
        <f>_xlfn.FLOOR.MATH((AY14))</f>
        <v>0</v>
      </c>
      <c r="BA14" s="6">
        <f>AV14-3600*AX14-60*AZ14</f>
        <v>0</v>
      </c>
      <c r="BB14" s="6">
        <f>AW14*IF(AD14&lt;0,-1,1)</f>
        <v>0</v>
      </c>
      <c r="BC14" s="7" t="str">
        <f>CONCATENATE(AE14,TEXT(AX14,"00"),"°",TEXT(AZ14,"00"),"'",TEXT(BA14,"00.00"), " [", CONCATENATE(AE14,TEXT(AX14,"00"),"°",TEXT(AY14,"00.00")),"]", "  (", AE14,TEXT(AW14,"00.0000"),"°)")</f>
        <v>00°00'00.00 [00°00.00]  (00.0000°)</v>
      </c>
    </row>
    <row r="15" spans="2:66" ht="17.25" customHeight="1" thickTop="1" thickBot="1" x14ac:dyDescent="0.3">
      <c r="C15" s="436" t="s">
        <v>375</v>
      </c>
      <c r="D15" s="436"/>
      <c r="E15" s="436"/>
      <c r="F15" s="436"/>
      <c r="G15" s="436"/>
      <c r="H15" s="436"/>
      <c r="I15" s="445">
        <f>AC15</f>
        <v>0</v>
      </c>
      <c r="J15" s="446"/>
      <c r="K15" s="446"/>
      <c r="L15" s="439">
        <v>0</v>
      </c>
      <c r="M15" s="428"/>
      <c r="N15" s="429"/>
      <c r="O15" s="279" t="str">
        <f>AB15</f>
        <v>00°00'00.00 [00°00.00]  (00.0000°)</v>
      </c>
      <c r="P15" s="279"/>
      <c r="Q15" s="279"/>
      <c r="R15" s="279"/>
      <c r="S15" s="279"/>
      <c r="T15" s="279"/>
      <c r="U15" s="279"/>
      <c r="V15" s="279"/>
      <c r="W15" s="279"/>
      <c r="X15" s="17"/>
      <c r="AA15" s="18">
        <f>L15</f>
        <v>0</v>
      </c>
      <c r="AB15" s="14" t="str">
        <f>BC15</f>
        <v>00°00'00.00 [00°00.00]  (00.0000°)</v>
      </c>
      <c r="AC15" s="7">
        <f>BB15</f>
        <v>0</v>
      </c>
      <c r="AD15" s="5">
        <f>IF(LEFT(TRIM(AA15),1)="-",-1,IF(LEFT(TRIM(AA15),1)="+",1, 0))</f>
        <v>0</v>
      </c>
      <c r="AE15" s="5" t="str">
        <f>IF(AD15&gt;0,"+",IF(AD15&lt;0,"-",""))</f>
        <v/>
      </c>
      <c r="AF15" s="5">
        <f>IF(ABS(AD15)&gt;0,RIGHT(AA15,LEN(AA15)-1),AA15)</f>
        <v>0</v>
      </c>
      <c r="AG15" s="5" t="b">
        <f>ISNUMBER(SEARCH("°",AF15,1))</f>
        <v>0</v>
      </c>
      <c r="AH15" s="5" t="b">
        <f>ISNUMBER(SEARCH("'",AF15,1))</f>
        <v>0</v>
      </c>
      <c r="AI15" s="5" t="b">
        <f>ISNUMBER(SEARCH("""",AF15,1))</f>
        <v>0</v>
      </c>
      <c r="AJ15" s="5" t="b">
        <f>NOT(OR(AG15,AH15,AI15))</f>
        <v>1</v>
      </c>
      <c r="AK15" s="5" t="b">
        <f t="shared" si="3"/>
        <v>1</v>
      </c>
      <c r="AL15" s="6">
        <f>IF(AJ15,VALUE(AF15),IF(AG15,LEFT(AF15,SEARCH("°",AF15,1)-1),0))</f>
        <v>0</v>
      </c>
      <c r="AM15" s="5" t="str">
        <f>IF(AJ15,"",IF(AG15,RIGHT(AF15,LEN(AF15)-SEARCH("°",AF15,1)),AF15))</f>
        <v/>
      </c>
      <c r="AN15" s="5" t="b">
        <f>(LEN(AM15)&gt;0)</f>
        <v>0</v>
      </c>
      <c r="AO15" s="5" t="b">
        <f>NOT(OR(AH15,AI15))</f>
        <v>1</v>
      </c>
      <c r="AP15" s="6">
        <f t="shared" si="4"/>
        <v>0</v>
      </c>
      <c r="AQ15" s="5" t="str">
        <f t="shared" si="5"/>
        <v/>
      </c>
      <c r="AR15" s="5" t="b">
        <f>(LEN(AQ15)&gt;0)</f>
        <v>0</v>
      </c>
      <c r="AS15" s="5" t="b">
        <f t="shared" si="6"/>
        <v>1</v>
      </c>
      <c r="AT15" s="5" t="b">
        <f>ISNUMBER(SEARCH(".",AQ15,1))</f>
        <v>0</v>
      </c>
      <c r="AU15" s="6">
        <f t="shared" si="7"/>
        <v>0</v>
      </c>
      <c r="AV15" s="6">
        <f t="shared" si="8"/>
        <v>0</v>
      </c>
      <c r="AW15" s="6">
        <f>AV15/3600</f>
        <v>0</v>
      </c>
      <c r="AX15" s="6">
        <f>_xlfn.FLOOR.MATH((AW15))</f>
        <v>0</v>
      </c>
      <c r="AY15" s="6">
        <f>(AV15-3600*AX15)/60</f>
        <v>0</v>
      </c>
      <c r="AZ15" s="6">
        <f>_xlfn.FLOOR.MATH((AY15))</f>
        <v>0</v>
      </c>
      <c r="BA15" s="6">
        <f>AV15-3600*AX15-60*AZ15</f>
        <v>0</v>
      </c>
      <c r="BB15" s="6">
        <f>AW15*IF(AD15&lt;0,-1,1)</f>
        <v>0</v>
      </c>
      <c r="BC15" s="7" t="str">
        <f>CONCATENATE(AE15,TEXT(AX15,"00"),"°",TEXT(AZ15,"00"),"'",TEXT(BA15,"00.00"), " [", CONCATENATE(AE15,TEXT(AX15,"00"),"°",TEXT(AY15,"00.00")),"]", "  (", AE15,TEXT(AW15,"00.0000"),"°)")</f>
        <v>00°00'00.00 [00°00.00]  (00.0000°)</v>
      </c>
    </row>
    <row r="16" spans="2:66" ht="17.25" customHeight="1" thickTop="1" thickBot="1" x14ac:dyDescent="0.3">
      <c r="C16" s="436" t="s">
        <v>375</v>
      </c>
      <c r="D16" s="436"/>
      <c r="E16" s="436"/>
      <c r="F16" s="436"/>
      <c r="G16" s="436"/>
      <c r="H16" s="436"/>
      <c r="I16" s="445">
        <f>AC16</f>
        <v>0</v>
      </c>
      <c r="J16" s="446"/>
      <c r="K16" s="446"/>
      <c r="L16" s="439">
        <f>(AC15-AC14)/2</f>
        <v>0</v>
      </c>
      <c r="M16" s="428"/>
      <c r="N16" s="429"/>
      <c r="O16" s="279" t="str">
        <f>AB16</f>
        <v>00°00'00.00 [00°00.00]  (00.0000°)</v>
      </c>
      <c r="P16" s="279"/>
      <c r="Q16" s="279"/>
      <c r="R16" s="279"/>
      <c r="S16" s="279"/>
      <c r="T16" s="279"/>
      <c r="U16" s="279"/>
      <c r="V16" s="279"/>
      <c r="W16" s="279"/>
      <c r="X16" s="17"/>
      <c r="AA16" s="18">
        <f>L16</f>
        <v>0</v>
      </c>
      <c r="AB16" s="14" t="str">
        <f>BC16</f>
        <v>00°00'00.00 [00°00.00]  (00.0000°)</v>
      </c>
      <c r="AC16" s="7">
        <f>BB16</f>
        <v>0</v>
      </c>
      <c r="AD16" s="5">
        <f>IF(LEFT(TRIM(AA16),1)="-",-1,IF(LEFT(TRIM(AA16),1)="+",1, 0))</f>
        <v>0</v>
      </c>
      <c r="AE16" s="5" t="str">
        <f>IF(AD16&gt;0,"+",IF(AD16&lt;0,"-",""))</f>
        <v/>
      </c>
      <c r="AF16" s="5">
        <f>IF(ABS(AD16)&gt;0,RIGHT(AA16,LEN(AA16)-1),AA16)</f>
        <v>0</v>
      </c>
      <c r="AG16" s="5" t="b">
        <f>ISNUMBER(SEARCH("°",AF16,1))</f>
        <v>0</v>
      </c>
      <c r="AH16" s="5" t="b">
        <f>ISNUMBER(SEARCH("'",AF16,1))</f>
        <v>0</v>
      </c>
      <c r="AI16" s="5" t="b">
        <f>ISNUMBER(SEARCH("""",AF16,1))</f>
        <v>0</v>
      </c>
      <c r="AJ16" s="5" t="b">
        <f>NOT(OR(AG16,AH16,AI16))</f>
        <v>1</v>
      </c>
      <c r="AK16" s="5" t="b">
        <f t="shared" si="3"/>
        <v>1</v>
      </c>
      <c r="AL16" s="6">
        <f>IF(AJ16,VALUE(AF16),IF(AG16,LEFT(AF16,SEARCH("°",AF16,1)-1),0))</f>
        <v>0</v>
      </c>
      <c r="AM16" s="5" t="str">
        <f>IF(AJ16,"",IF(AG16,RIGHT(AF16,LEN(AF16)-SEARCH("°",AF16,1)),AF16))</f>
        <v/>
      </c>
      <c r="AN16" s="5" t="b">
        <f>(LEN(AM16)&gt;0)</f>
        <v>0</v>
      </c>
      <c r="AO16" s="5" t="b">
        <f>NOT(OR(AH16,AI16))</f>
        <v>1</v>
      </c>
      <c r="AP16" s="6">
        <f t="shared" si="4"/>
        <v>0</v>
      </c>
      <c r="AQ16" s="5" t="str">
        <f t="shared" si="5"/>
        <v/>
      </c>
      <c r="AR16" s="5" t="b">
        <f>(LEN(AQ16)&gt;0)</f>
        <v>0</v>
      </c>
      <c r="AS16" s="5" t="b">
        <f t="shared" si="6"/>
        <v>1</v>
      </c>
      <c r="AT16" s="5" t="b">
        <f>ISNUMBER(SEARCH(".",AQ16,1))</f>
        <v>0</v>
      </c>
      <c r="AU16" s="6">
        <f t="shared" si="7"/>
        <v>0</v>
      </c>
      <c r="AV16" s="6">
        <f t="shared" si="8"/>
        <v>0</v>
      </c>
      <c r="AW16" s="6">
        <f>AV16/3600</f>
        <v>0</v>
      </c>
      <c r="AX16" s="6">
        <f>_xlfn.FLOOR.MATH((AW16))</f>
        <v>0</v>
      </c>
      <c r="AY16" s="6">
        <f>(AV16-3600*AX16)/60</f>
        <v>0</v>
      </c>
      <c r="AZ16" s="6">
        <f>_xlfn.FLOOR.MATH((AY16))</f>
        <v>0</v>
      </c>
      <c r="BA16" s="6">
        <f>AV16-3600*AX16-60*AZ16</f>
        <v>0</v>
      </c>
      <c r="BB16" s="6">
        <f>AW16*IF(AD16&lt;0,-1,1)</f>
        <v>0</v>
      </c>
      <c r="BC16" s="7" t="str">
        <f>CONCATENATE(AE16,TEXT(AX16,"00"),"°",TEXT(AZ16,"00"),"'",TEXT(BA16,"00.00"), " [", CONCATENATE(AE16,TEXT(AX16,"00"),"°",TEXT(AY16,"00.00")),"]", "  (", AE16,TEXT(AW16,"00.0000"),"°)")</f>
        <v>00°00'00.00 [00°00.00]  (00.0000°)</v>
      </c>
    </row>
    <row r="17" spans="2:55" ht="17.25" customHeight="1" thickTop="1" thickBot="1" x14ac:dyDescent="0.3">
      <c r="C17" s="406" t="s">
        <v>25</v>
      </c>
      <c r="D17" s="406"/>
      <c r="E17" s="406"/>
      <c r="F17" s="406"/>
      <c r="G17" s="406"/>
      <c r="H17" s="406"/>
      <c r="I17" s="396">
        <f>L17</f>
        <v>15</v>
      </c>
      <c r="J17" s="395"/>
      <c r="K17" s="395"/>
      <c r="L17" s="443">
        <v>15</v>
      </c>
      <c r="M17" s="444"/>
      <c r="N17" s="444"/>
      <c r="O17" s="17"/>
      <c r="P17" s="17"/>
      <c r="Q17" s="17"/>
      <c r="R17" s="17"/>
      <c r="S17" s="17"/>
      <c r="T17" s="17"/>
      <c r="U17" s="17"/>
      <c r="V17" s="17"/>
      <c r="W17" s="17"/>
      <c r="X17" s="17"/>
      <c r="AB17" s="14"/>
      <c r="AC17" s="7"/>
      <c r="AD17" s="3" t="s">
        <v>57</v>
      </c>
      <c r="AE17" s="3" t="s">
        <v>57</v>
      </c>
      <c r="AF17" s="3" t="s">
        <v>304</v>
      </c>
      <c r="AG17" s="3" t="s">
        <v>120</v>
      </c>
      <c r="AH17" s="3" t="s">
        <v>121</v>
      </c>
      <c r="AI17" s="3" t="s">
        <v>122</v>
      </c>
      <c r="AJ17" s="3" t="s">
        <v>123</v>
      </c>
      <c r="AK17" s="3" t="s">
        <v>124</v>
      </c>
      <c r="AL17" s="3" t="s">
        <v>125</v>
      </c>
      <c r="AM17" s="3" t="s">
        <v>101</v>
      </c>
      <c r="AN17" s="3" t="s">
        <v>129</v>
      </c>
      <c r="AO17" s="3" t="s">
        <v>128</v>
      </c>
      <c r="AP17" s="3" t="s">
        <v>126</v>
      </c>
      <c r="AQ17" s="3" t="s">
        <v>127</v>
      </c>
      <c r="AR17" s="3" t="s">
        <v>129</v>
      </c>
      <c r="AS17" s="3" t="s">
        <v>128</v>
      </c>
      <c r="AT17" s="3" t="s">
        <v>130</v>
      </c>
      <c r="AU17" s="3" t="s">
        <v>112</v>
      </c>
      <c r="AV17" s="3" t="s">
        <v>117</v>
      </c>
      <c r="AW17" s="3" t="s">
        <v>143</v>
      </c>
      <c r="AX17" s="3" t="s">
        <v>149</v>
      </c>
      <c r="AY17" s="3" t="s">
        <v>131</v>
      </c>
      <c r="AZ17" s="3" t="s">
        <v>150</v>
      </c>
      <c r="BA17" s="3" t="s">
        <v>112</v>
      </c>
      <c r="BB17" s="3" t="s">
        <v>308</v>
      </c>
      <c r="BC17" s="3" t="s">
        <v>151</v>
      </c>
    </row>
    <row r="18" spans="2:55" ht="17.25" customHeight="1" thickTop="1" thickBot="1" x14ac:dyDescent="0.3">
      <c r="B18" s="269"/>
      <c r="C18" s="403" t="s">
        <v>26</v>
      </c>
      <c r="D18" s="404"/>
      <c r="E18" s="404"/>
      <c r="F18" s="404"/>
      <c r="G18" s="404"/>
      <c r="H18" s="405"/>
      <c r="I18" s="362">
        <f>AC18</f>
        <v>3.6666666666666667E-2</v>
      </c>
      <c r="J18" s="395"/>
      <c r="K18" s="395"/>
      <c r="L18" s="443" t="s">
        <v>484</v>
      </c>
      <c r="M18" s="444"/>
      <c r="N18" s="444"/>
      <c r="O18" s="279" t="str">
        <f>AB18</f>
        <v>00°02'12.00 [00°02.20]  (00.0367°)</v>
      </c>
      <c r="P18" s="279"/>
      <c r="Q18" s="279"/>
      <c r="R18" s="279"/>
      <c r="S18" s="279"/>
      <c r="T18" s="279"/>
      <c r="U18" s="279"/>
      <c r="V18" s="279"/>
      <c r="W18" s="279"/>
      <c r="X18" s="17"/>
      <c r="AA18" s="18" t="str">
        <f>L18</f>
        <v>2.2'</v>
      </c>
      <c r="AB18" s="14" t="str">
        <f>BC18</f>
        <v>00°02'12.00 [00°02.20]  (00.0367°)</v>
      </c>
      <c r="AC18" s="7">
        <f>BB18</f>
        <v>3.6666666666666667E-2</v>
      </c>
      <c r="AD18" s="5">
        <f>IF(LEFT(TRIM(AA18),1)="-",-1,IF(LEFT(TRIM(AA18),1)="+",1, 0))</f>
        <v>0</v>
      </c>
      <c r="AE18" s="5" t="str">
        <f>IF(AD18&gt;0,"+",IF(AD18&lt;0,"-",""))</f>
        <v/>
      </c>
      <c r="AF18" s="5" t="str">
        <f>IF(ABS(AD18)&gt;0,RIGHT(AA18,LEN(AA18)-1),AA18)</f>
        <v>2.2'</v>
      </c>
      <c r="AG18" s="5" t="b">
        <f>ISNUMBER(SEARCH("°",AF18,1))</f>
        <v>0</v>
      </c>
      <c r="AH18" s="5" t="b">
        <f>ISNUMBER(SEARCH("'",AF18,1))</f>
        <v>1</v>
      </c>
      <c r="AI18" s="5" t="b">
        <f>ISNUMBER(SEARCH("""",AF18,1))</f>
        <v>0</v>
      </c>
      <c r="AJ18" s="5" t="b">
        <f>NOT(OR(AG18,AH18,AI18))</f>
        <v>0</v>
      </c>
      <c r="AK18" s="5" t="b">
        <f t="shared" ref="AK18:AK19" si="9">OR(AJ18,AG18)</f>
        <v>0</v>
      </c>
      <c r="AL18" s="6">
        <f>IF(AJ18,VALUE(AF18),IF(AG18,LEFT(AF18,SEARCH("°",AF18,1)-1),0))</f>
        <v>0</v>
      </c>
      <c r="AM18" s="5" t="str">
        <f>IF(AJ18,"",IF(AG18,RIGHT(AF18,LEN(AF18)-SEARCH("°",AF18,1)),AF18))</f>
        <v>2.2'</v>
      </c>
      <c r="AN18" s="5" t="b">
        <f>(LEN(AM18)&gt;0)</f>
        <v>1</v>
      </c>
      <c r="AO18" s="5" t="b">
        <f>NOT(OR(AH18,AI18))</f>
        <v>0</v>
      </c>
      <c r="AP18" s="6">
        <f t="shared" ref="AP18:AP19" si="10">IF(NOT(AN18),0,IF(AO18,VALUE(AM18),IF(NOT(AH18),0,VALUE(LEFT(AM18,SEARCH("'",AM18,1)-1)))))</f>
        <v>2.2000000000000002</v>
      </c>
      <c r="AQ18" s="5" t="str">
        <f t="shared" ref="AQ18:AQ19" si="11">IF(NOT(AN18),"",IF(AO18,"",IF(NOT(AH18),AM18,RIGHT(AM18,LEN(AM18)-SEARCH("'",AM18,1)))))</f>
        <v/>
      </c>
      <c r="AR18" s="5" t="b">
        <f>(LEN(AQ18)&gt;0)</f>
        <v>0</v>
      </c>
      <c r="AS18" s="5" t="b">
        <f t="shared" ref="AS18:AS19" si="12">NOT(AI18)</f>
        <v>1</v>
      </c>
      <c r="AT18" s="5" t="b">
        <f>ISNUMBER(SEARCH(".",AQ18,1))</f>
        <v>0</v>
      </c>
      <c r="AU18" s="6">
        <f t="shared" ref="AU18:AU19" si="13">IF(AR18,IF(AI18,IF(AT18,VALUE(SUBSTITUTE(AQ18, """", "")),VALUE(SUBSTITUTE(AQ18, """", "."))),VALUE(AQ18)),0)</f>
        <v>0</v>
      </c>
      <c r="AV18" s="6">
        <f t="shared" ref="AV18:AV19" si="14">AL18*3600+AP18*60+AU18</f>
        <v>132</v>
      </c>
      <c r="AW18" s="6">
        <f>AV18/3600</f>
        <v>3.6666666666666667E-2</v>
      </c>
      <c r="AX18" s="6">
        <f>_xlfn.FLOOR.MATH((AW18))</f>
        <v>0</v>
      </c>
      <c r="AY18" s="6">
        <f>(AV18-3600*AX18)/60</f>
        <v>2.2000000000000002</v>
      </c>
      <c r="AZ18" s="6">
        <f>_xlfn.FLOOR.MATH((AY18))</f>
        <v>2</v>
      </c>
      <c r="BA18" s="6">
        <f>AV18-3600*AX18-60*AZ18</f>
        <v>12</v>
      </c>
      <c r="BB18" s="6">
        <f>AW18*IF(AD18&lt;0,-1,1)</f>
        <v>3.6666666666666667E-2</v>
      </c>
      <c r="BC18" s="7" t="str">
        <f>CONCATENATE(AE18,TEXT(AX18,"00"),"°",TEXT(AZ18,"00"),"'",TEXT(BA18,"00.00"), " [", CONCATENATE(AE18,TEXT(AX18,"00"),"°",TEXT(AY18,"00.00")),"]", "  (", AE18,TEXT(AW18,"00.0000"),"°)")</f>
        <v>00°02'12.00 [00°02.20]  (00.0367°)</v>
      </c>
    </row>
    <row r="19" spans="2:55" ht="17.25" customHeight="1" thickTop="1" thickBot="1" x14ac:dyDescent="0.3">
      <c r="C19" s="413" t="s">
        <v>37</v>
      </c>
      <c r="D19" s="413"/>
      <c r="E19" s="413"/>
      <c r="F19" s="413"/>
      <c r="G19" s="413"/>
      <c r="H19" s="413"/>
      <c r="I19" s="445">
        <f>AC19</f>
        <v>46.506666666666668</v>
      </c>
      <c r="J19" s="446"/>
      <c r="K19" s="446"/>
      <c r="L19" s="427" t="s">
        <v>485</v>
      </c>
      <c r="M19" s="428"/>
      <c r="N19" s="429"/>
      <c r="O19" s="279" t="str">
        <f>AB19</f>
        <v>46°30'24.00 [46°30.40]  (46.5067°)</v>
      </c>
      <c r="P19" s="279"/>
      <c r="Q19" s="279"/>
      <c r="R19" s="279"/>
      <c r="S19" s="279"/>
      <c r="T19" s="279"/>
      <c r="U19" s="279"/>
      <c r="V19" s="279"/>
      <c r="W19" s="279"/>
      <c r="X19" s="17"/>
      <c r="AA19" s="18" t="str">
        <f>L19</f>
        <v>46°30.4</v>
      </c>
      <c r="AB19" s="14" t="str">
        <f>BC19</f>
        <v>46°30'24.00 [46°30.40]  (46.5067°)</v>
      </c>
      <c r="AC19" s="7">
        <f>BB19</f>
        <v>46.506666666666668</v>
      </c>
      <c r="AD19" s="5">
        <f>IF(LEFT(TRIM(AA19),1)="-",-1,IF(LEFT(TRIM(AA19),1)="+",1, 0))</f>
        <v>0</v>
      </c>
      <c r="AE19" s="5" t="str">
        <f>IF(AD19&gt;0,"+",IF(AD19&lt;0,"-",""))</f>
        <v/>
      </c>
      <c r="AF19" s="5" t="str">
        <f>IF(ABS(AD19)&gt;0,RIGHT(AA19,LEN(AA19)-1),AA19)</f>
        <v>46°30.4</v>
      </c>
      <c r="AG19" s="5" t="b">
        <f>ISNUMBER(SEARCH("°",AF19,1))</f>
        <v>1</v>
      </c>
      <c r="AH19" s="5" t="b">
        <f>ISNUMBER(SEARCH("'",AF19,1))</f>
        <v>0</v>
      </c>
      <c r="AI19" s="5" t="b">
        <f>ISNUMBER(SEARCH("""",AF19,1))</f>
        <v>0</v>
      </c>
      <c r="AJ19" s="5" t="b">
        <f>NOT(OR(AG19,AH19,AI19))</f>
        <v>0</v>
      </c>
      <c r="AK19" s="5" t="b">
        <f t="shared" si="9"/>
        <v>1</v>
      </c>
      <c r="AL19" s="6" t="str">
        <f>IF(AJ19,VALUE(AF19),IF(AG19,LEFT(AF19,SEARCH("°",AF19,1)-1),0))</f>
        <v>46</v>
      </c>
      <c r="AM19" s="5" t="str">
        <f>IF(AJ19,"",IF(AG19,RIGHT(AF19,LEN(AF19)-SEARCH("°",AF19,1)),AF19))</f>
        <v>30.4</v>
      </c>
      <c r="AN19" s="5" t="b">
        <f>(LEN(AM19)&gt;0)</f>
        <v>1</v>
      </c>
      <c r="AO19" s="5" t="b">
        <f>NOT(OR(AH19,AI19))</f>
        <v>1</v>
      </c>
      <c r="AP19" s="6">
        <f t="shared" si="10"/>
        <v>30.4</v>
      </c>
      <c r="AQ19" s="5" t="str">
        <f t="shared" si="11"/>
        <v/>
      </c>
      <c r="AR19" s="5" t="b">
        <f>(LEN(AQ19)&gt;0)</f>
        <v>0</v>
      </c>
      <c r="AS19" s="5" t="b">
        <f t="shared" si="12"/>
        <v>1</v>
      </c>
      <c r="AT19" s="5" t="b">
        <f>ISNUMBER(SEARCH(".",AQ19,1))</f>
        <v>0</v>
      </c>
      <c r="AU19" s="6">
        <f t="shared" si="13"/>
        <v>0</v>
      </c>
      <c r="AV19" s="6">
        <f t="shared" si="14"/>
        <v>167424</v>
      </c>
      <c r="AW19" s="6">
        <f>AV19/3600</f>
        <v>46.506666666666668</v>
      </c>
      <c r="AX19" s="6">
        <f>_xlfn.FLOOR.MATH((AW19))</f>
        <v>46</v>
      </c>
      <c r="AY19" s="6">
        <f>(AV19-3600*AX19)/60</f>
        <v>30.4</v>
      </c>
      <c r="AZ19" s="6">
        <f>_xlfn.FLOOR.MATH((AY19))</f>
        <v>30</v>
      </c>
      <c r="BA19" s="6">
        <f>AV19-3600*AX19-60*AZ19</f>
        <v>24</v>
      </c>
      <c r="BB19" s="6">
        <f>AW19*IF(AD19&lt;0,-1,1)</f>
        <v>46.506666666666668</v>
      </c>
      <c r="BC19" s="7" t="str">
        <f>CONCATENATE(AE19,TEXT(AX19,"00"),"°",TEXT(AZ19,"00"),"'",TEXT(BA19,"00.00"), " [", CONCATENATE(AE19,TEXT(AX19,"00"),"°",TEXT(AY19,"00.00")),"]", "  (", AE19,TEXT(AW19,"00.0000"),"°)")</f>
        <v>46°30'24.00 [46°30.40]  (46.5067°)</v>
      </c>
    </row>
    <row r="20" spans="2:55" ht="17.25" customHeight="1" thickTop="1" x14ac:dyDescent="0.25">
      <c r="C20" s="406" t="s">
        <v>51</v>
      </c>
      <c r="D20" s="406"/>
      <c r="E20" s="406"/>
      <c r="F20" s="406"/>
      <c r="G20" s="406"/>
      <c r="H20" s="406"/>
      <c r="I20" s="407" t="str">
        <f>L20</f>
        <v>Polaire</v>
      </c>
      <c r="J20" s="408"/>
      <c r="K20" s="409"/>
      <c r="L20" s="359" t="s">
        <v>465</v>
      </c>
      <c r="M20" s="360"/>
      <c r="N20" s="361"/>
      <c r="O20" s="17"/>
      <c r="P20" s="17"/>
      <c r="Q20" s="17"/>
      <c r="R20" s="17"/>
      <c r="S20" s="17"/>
      <c r="T20" s="17"/>
      <c r="U20" s="17"/>
      <c r="V20" s="17"/>
      <c r="W20" s="17"/>
      <c r="X20" s="17"/>
      <c r="AD20" s="31" t="s">
        <v>55</v>
      </c>
      <c r="AE20" s="35" t="s">
        <v>52</v>
      </c>
      <c r="AF20" s="35" t="s">
        <v>53</v>
      </c>
      <c r="AG20" s="35" t="s">
        <v>54</v>
      </c>
      <c r="AH20" s="35" t="s">
        <v>465</v>
      </c>
    </row>
    <row r="21" spans="2:55" ht="17.25" customHeight="1" x14ac:dyDescent="0.25">
      <c r="C21" s="406" t="s">
        <v>158</v>
      </c>
      <c r="D21" s="406"/>
      <c r="E21" s="406"/>
      <c r="F21" s="406"/>
      <c r="G21" s="406"/>
      <c r="H21" s="406"/>
      <c r="I21" s="280" t="str">
        <f>IF(L20=AF20,AG21,L21)</f>
        <v>Milieu</v>
      </c>
      <c r="J21" s="280"/>
      <c r="K21" s="280"/>
      <c r="L21" s="423" t="s">
        <v>161</v>
      </c>
      <c r="M21" s="423"/>
      <c r="N21" s="423"/>
      <c r="O21" s="17"/>
      <c r="P21" s="17"/>
      <c r="Q21" s="17"/>
      <c r="R21" s="17"/>
      <c r="S21" s="17"/>
      <c r="T21" s="17"/>
      <c r="U21" s="17"/>
      <c r="V21" s="17"/>
      <c r="W21" s="17"/>
      <c r="X21" s="17"/>
      <c r="AD21" s="31" t="s">
        <v>222</v>
      </c>
      <c r="AE21" s="35" t="s">
        <v>159</v>
      </c>
      <c r="AF21" s="35" t="s">
        <v>160</v>
      </c>
      <c r="AG21" s="35" t="s">
        <v>161</v>
      </c>
      <c r="AH21" s="35" t="s">
        <v>160</v>
      </c>
    </row>
    <row r="22" spans="2:55" ht="17.25" customHeight="1" x14ac:dyDescent="0.25">
      <c r="C22" s="364" t="s">
        <v>175</v>
      </c>
      <c r="D22" s="365"/>
      <c r="E22" s="365"/>
      <c r="F22" s="365"/>
      <c r="G22" s="365"/>
      <c r="H22" s="366"/>
      <c r="I22" s="373">
        <f>AC24</f>
        <v>0</v>
      </c>
      <c r="J22" s="340"/>
      <c r="K22" s="374"/>
      <c r="L22" s="380" t="str">
        <f>O24</f>
        <v>0.0'</v>
      </c>
      <c r="M22" s="381"/>
      <c r="N22" s="381"/>
      <c r="O22" s="386" t="s">
        <v>221</v>
      </c>
      <c r="P22" s="386"/>
      <c r="Q22" s="386"/>
      <c r="R22" s="17"/>
      <c r="S22" s="17"/>
      <c r="T22" s="17"/>
      <c r="U22" s="17"/>
      <c r="V22" s="17"/>
      <c r="W22" s="17"/>
      <c r="X22" s="17"/>
      <c r="AD22" s="31" t="s">
        <v>223</v>
      </c>
      <c r="AE22" s="87" t="s">
        <v>188</v>
      </c>
      <c r="AF22" s="87" t="s">
        <v>224</v>
      </c>
      <c r="AG22" s="87" t="s">
        <v>225</v>
      </c>
      <c r="AH22" s="87" t="s">
        <v>224</v>
      </c>
    </row>
    <row r="23" spans="2:55" ht="17.25" customHeight="1" thickBot="1" x14ac:dyDescent="0.3">
      <c r="C23" s="367"/>
      <c r="D23" s="368"/>
      <c r="E23" s="368"/>
      <c r="F23" s="368"/>
      <c r="G23" s="368"/>
      <c r="H23" s="369"/>
      <c r="I23" s="375"/>
      <c r="J23" s="343"/>
      <c r="K23" s="376"/>
      <c r="L23" s="382"/>
      <c r="M23" s="383"/>
      <c r="N23" s="383"/>
      <c r="O23" s="386"/>
      <c r="P23" s="386"/>
      <c r="Q23" s="386"/>
      <c r="R23" s="17"/>
      <c r="S23" s="17"/>
      <c r="T23" s="17"/>
      <c r="U23" s="17"/>
      <c r="V23" s="17"/>
      <c r="W23" s="17"/>
      <c r="X23" s="17"/>
      <c r="AD23" s="31" t="s">
        <v>227</v>
      </c>
      <c r="AE23" s="87" t="s">
        <v>187</v>
      </c>
      <c r="AF23" s="87" t="s">
        <v>224</v>
      </c>
      <c r="AG23" s="87" t="s">
        <v>228</v>
      </c>
      <c r="AH23" s="87" t="s">
        <v>224</v>
      </c>
    </row>
    <row r="24" spans="2:55" ht="17.25" customHeight="1" thickTop="1" thickBot="1" x14ac:dyDescent="0.3">
      <c r="C24" s="367"/>
      <c r="D24" s="368"/>
      <c r="E24" s="368"/>
      <c r="F24" s="368"/>
      <c r="G24" s="368"/>
      <c r="H24" s="369"/>
      <c r="I24" s="375"/>
      <c r="J24" s="343"/>
      <c r="K24" s="376"/>
      <c r="L24" s="382"/>
      <c r="M24" s="383"/>
      <c r="N24" s="383"/>
      <c r="O24" s="432" t="str">
        <f>HLOOKUP(L20,AE20:AH23,3,FALSE)</f>
        <v>0.0'</v>
      </c>
      <c r="P24" s="432"/>
      <c r="Q24" s="432"/>
      <c r="R24" s="430" t="str">
        <f>AB24</f>
        <v>00°00'00.00 [00°00.00]  (00.0000°)</v>
      </c>
      <c r="S24" s="430"/>
      <c r="T24" s="430"/>
      <c r="U24" s="430"/>
      <c r="V24" s="430"/>
      <c r="W24" s="431"/>
      <c r="X24" s="17"/>
      <c r="AA24" s="18" t="str">
        <f>O24</f>
        <v>0.0'</v>
      </c>
      <c r="AB24" s="14" t="str">
        <f>BC24</f>
        <v>00°00'00.00 [00°00.00]  (00.0000°)</v>
      </c>
      <c r="AC24" s="7">
        <f>BB24</f>
        <v>0</v>
      </c>
      <c r="AD24" s="5">
        <f>IF(LEFT(TRIM(AA24),1)="-",-1,IF(LEFT(TRIM(AA24),1)="+",1, 0))</f>
        <v>0</v>
      </c>
      <c r="AE24" s="5" t="str">
        <f>IF(AD24&gt;0,"+",IF(AD24&lt;0,"-",""))</f>
        <v/>
      </c>
      <c r="AF24" s="5" t="str">
        <f>IF(ABS(AD24)&gt;0,RIGHT(AA24,LEN(AA24)-1),AA24)</f>
        <v>0.0'</v>
      </c>
      <c r="AG24" s="5" t="b">
        <f>ISNUMBER(SEARCH("°",AF24,1))</f>
        <v>0</v>
      </c>
      <c r="AH24" s="5" t="b">
        <f>ISNUMBER(SEARCH("'",AF24,1))</f>
        <v>1</v>
      </c>
      <c r="AI24" s="5" t="b">
        <f>ISNUMBER(SEARCH("""",AF24,1))</f>
        <v>0</v>
      </c>
      <c r="AJ24" s="5" t="b">
        <f>NOT(OR(AG24,AH24,AI24))</f>
        <v>0</v>
      </c>
      <c r="AK24" s="5" t="b">
        <f t="shared" ref="AK24:AK25" si="15">OR(AJ24,AG24)</f>
        <v>0</v>
      </c>
      <c r="AL24" s="6">
        <f>IF(AJ24,VALUE(AF24),IF(AG24,LEFT(AF24,SEARCH("°",AF24,1)-1),0))</f>
        <v>0</v>
      </c>
      <c r="AM24" s="5" t="str">
        <f>IF(AJ24,"",IF(AG24,RIGHT(AF24,LEN(AF24)-SEARCH("°",AF24,1)),AF24))</f>
        <v>0.0'</v>
      </c>
      <c r="AN24" s="5" t="b">
        <f>(LEN(AM24)&gt;0)</f>
        <v>1</v>
      </c>
      <c r="AO24" s="5" t="b">
        <f>NOT(OR(AH24,AI24))</f>
        <v>0</v>
      </c>
      <c r="AP24" s="6">
        <f t="shared" ref="AP24:AP25" si="16">IF(NOT(AN24),0,IF(AO24,VALUE(AM24),IF(NOT(AH24),0,VALUE(LEFT(AM24,SEARCH("'",AM24,1)-1)))))</f>
        <v>0</v>
      </c>
      <c r="AQ24" s="5" t="str">
        <f t="shared" ref="AQ24:AQ25" si="17">IF(NOT(AN24),"",IF(AO24,"",IF(NOT(AH24),AM24,RIGHT(AM24,LEN(AM24)-SEARCH("'",AM24,1)))))</f>
        <v/>
      </c>
      <c r="AR24" s="5" t="b">
        <f>(LEN(AQ24)&gt;0)</f>
        <v>0</v>
      </c>
      <c r="AS24" s="5" t="b">
        <f t="shared" ref="AS24:AS25" si="18">NOT(AI24)</f>
        <v>1</v>
      </c>
      <c r="AT24" s="5" t="b">
        <f>ISNUMBER(SEARCH(".",AQ24,1))</f>
        <v>0</v>
      </c>
      <c r="AU24" s="6">
        <f t="shared" ref="AU24:AU25" si="19">IF(AR24,IF(AI24,IF(AT24,VALUE(SUBSTITUTE(AQ24, """", "")),VALUE(SUBSTITUTE(AQ24, """", "."))),VALUE(AQ24)),0)</f>
        <v>0</v>
      </c>
      <c r="AV24" s="6">
        <f t="shared" ref="AV24:AV25" si="20">AL24*3600+AP24*60+AU24</f>
        <v>0</v>
      </c>
      <c r="AW24" s="6">
        <f>AV24/3600</f>
        <v>0</v>
      </c>
      <c r="AX24" s="6">
        <f>_xlfn.FLOOR.MATH((AW24))</f>
        <v>0</v>
      </c>
      <c r="AY24" s="6">
        <f>(AV24-3600*AX24)/60</f>
        <v>0</v>
      </c>
      <c r="AZ24" s="6">
        <f>_xlfn.FLOOR.MATH((AY24))</f>
        <v>0</v>
      </c>
      <c r="BA24" s="6">
        <f>AV24-3600*AX24-60*AZ24</f>
        <v>0</v>
      </c>
      <c r="BB24" s="6">
        <f>AW24*IF(AD24&lt;0,-1,1)</f>
        <v>0</v>
      </c>
      <c r="BC24" s="7" t="str">
        <f>CONCATENATE(AE24,TEXT(AX24,"00"),"°",TEXT(AZ24,"00"),"'",TEXT(BA24,"00.00"), " [", CONCATENATE(AE24,TEXT(AX24,"00"),"°",TEXT(AY24,"00.00")),"]", "  (", AE24,TEXT(AW24,"00.0000"),"°)")</f>
        <v>00°00'00.00 [00°00.00]  (00.0000°)</v>
      </c>
    </row>
    <row r="25" spans="2:55" ht="17.25" customHeight="1" thickTop="1" thickBot="1" x14ac:dyDescent="0.3">
      <c r="C25" s="370"/>
      <c r="D25" s="371"/>
      <c r="E25" s="371"/>
      <c r="F25" s="371"/>
      <c r="G25" s="371"/>
      <c r="H25" s="372"/>
      <c r="I25" s="377"/>
      <c r="J25" s="378"/>
      <c r="K25" s="379"/>
      <c r="L25" s="384"/>
      <c r="M25" s="385"/>
      <c r="N25" s="385"/>
      <c r="O25" s="447" t="str">
        <f>AB25</f>
        <v>00°00'00.00 [00°00.00]  (00.0000°)</v>
      </c>
      <c r="P25" s="447"/>
      <c r="Q25" s="447"/>
      <c r="R25" s="279"/>
      <c r="S25" s="279"/>
      <c r="T25" s="279"/>
      <c r="U25" s="279"/>
      <c r="V25" s="279"/>
      <c r="W25" s="279"/>
      <c r="X25" s="17"/>
      <c r="AA25" s="18" t="str">
        <f>L22</f>
        <v>0.0'</v>
      </c>
      <c r="AB25" s="14" t="str">
        <f>BC25</f>
        <v>00°00'00.00 [00°00.00]  (00.0000°)</v>
      </c>
      <c r="AC25" s="7">
        <f>BB25</f>
        <v>0</v>
      </c>
      <c r="AD25" s="5">
        <f>IF(LEFT(TRIM(AA25),1)="-",-1,IF(LEFT(TRIM(AA25),1)="+",1, 0))</f>
        <v>0</v>
      </c>
      <c r="AE25" s="5" t="str">
        <f>IF(AD25&gt;0,"+",IF(AD25&lt;0,"-",""))</f>
        <v/>
      </c>
      <c r="AF25" s="5" t="str">
        <f>IF(ABS(AD25)&gt;0,RIGHT(AA25,LEN(AA25)-1),AA25)</f>
        <v>0.0'</v>
      </c>
      <c r="AG25" s="5" t="b">
        <f>ISNUMBER(SEARCH("°",AF25,1))</f>
        <v>0</v>
      </c>
      <c r="AH25" s="5" t="b">
        <f>ISNUMBER(SEARCH("'",AF25,1))</f>
        <v>1</v>
      </c>
      <c r="AI25" s="5" t="b">
        <f>ISNUMBER(SEARCH("""",AF25,1))</f>
        <v>0</v>
      </c>
      <c r="AJ25" s="5" t="b">
        <f>NOT(OR(AG25,AH25,AI25))</f>
        <v>0</v>
      </c>
      <c r="AK25" s="5" t="b">
        <f t="shared" si="15"/>
        <v>0</v>
      </c>
      <c r="AL25" s="6">
        <f>IF(AJ25,VALUE(AF25),IF(AG25,LEFT(AF25,SEARCH("°",AF25,1)-1),0))</f>
        <v>0</v>
      </c>
      <c r="AM25" s="5" t="str">
        <f>IF(AJ25,"",IF(AG25,RIGHT(AF25,LEN(AF25)-SEARCH("°",AF25,1)),AF25))</f>
        <v>0.0'</v>
      </c>
      <c r="AN25" s="5" t="b">
        <f>(LEN(AM25)&gt;0)</f>
        <v>1</v>
      </c>
      <c r="AO25" s="5" t="b">
        <f>NOT(OR(AH25,AI25))</f>
        <v>0</v>
      </c>
      <c r="AP25" s="6">
        <f t="shared" si="16"/>
        <v>0</v>
      </c>
      <c r="AQ25" s="5" t="str">
        <f t="shared" si="17"/>
        <v/>
      </c>
      <c r="AR25" s="5" t="b">
        <f>(LEN(AQ25)&gt;0)</f>
        <v>0</v>
      </c>
      <c r="AS25" s="5" t="b">
        <f t="shared" si="18"/>
        <v>1</v>
      </c>
      <c r="AT25" s="5" t="b">
        <f>ISNUMBER(SEARCH(".",AQ25,1))</f>
        <v>0</v>
      </c>
      <c r="AU25" s="6">
        <f t="shared" si="19"/>
        <v>0</v>
      </c>
      <c r="AV25" s="6">
        <f t="shared" si="20"/>
        <v>0</v>
      </c>
      <c r="AW25" s="6">
        <f>AV25/3600</f>
        <v>0</v>
      </c>
      <c r="AX25" s="6">
        <f>_xlfn.FLOOR.MATH((AW25))</f>
        <v>0</v>
      </c>
      <c r="AY25" s="6">
        <f>(AV25-3600*AX25)/60</f>
        <v>0</v>
      </c>
      <c r="AZ25" s="6">
        <f>_xlfn.FLOOR.MATH((AY25))</f>
        <v>0</v>
      </c>
      <c r="BA25" s="6">
        <f>AV25-3600*AX25-60*AZ25</f>
        <v>0</v>
      </c>
      <c r="BB25" s="6">
        <f>AW25*IF(AD25&lt;0,-1,1)</f>
        <v>0</v>
      </c>
      <c r="BC25" s="7" t="str">
        <f>CONCATENATE(AE25,TEXT(AX25,"00"),"°",TEXT(AZ25,"00"),"'",TEXT(BA25,"00.00"), " [", CONCATENATE(AE25,TEXT(AX25,"00"),"°",TEXT(AY25,"00.00")),"]", "  (", AE25,TEXT(AW25,"00.0000"),"°)")</f>
        <v>00°00'00.00 [00°00.00]  (00.0000°)</v>
      </c>
    </row>
    <row r="26" spans="2:55" ht="17.25" customHeight="1" thickTop="1" x14ac:dyDescent="0.25">
      <c r="C26" s="364" t="s">
        <v>226</v>
      </c>
      <c r="D26" s="365"/>
      <c r="E26" s="365"/>
      <c r="F26" s="365"/>
      <c r="G26" s="365"/>
      <c r="H26" s="366"/>
      <c r="I26" s="387">
        <f>AC29</f>
        <v>0</v>
      </c>
      <c r="J26" s="388"/>
      <c r="K26" s="389"/>
      <c r="L26" s="380" t="str">
        <f>O28</f>
        <v>0.0'</v>
      </c>
      <c r="M26" s="381"/>
      <c r="N26" s="381"/>
      <c r="O26" s="390" t="s">
        <v>221</v>
      </c>
      <c r="P26" s="390"/>
      <c r="Q26" s="390"/>
      <c r="R26" s="269"/>
      <c r="S26" s="269"/>
      <c r="T26" s="269"/>
      <c r="U26" s="269"/>
      <c r="V26" s="269"/>
      <c r="W26" s="269"/>
      <c r="X26" s="17"/>
      <c r="AB26" s="19"/>
      <c r="AC26" s="20"/>
      <c r="AD26" s="269"/>
      <c r="AE26" s="269"/>
      <c r="AF26" s="269"/>
      <c r="AG26" s="269"/>
      <c r="AH26" s="269"/>
      <c r="AI26" s="269"/>
      <c r="AJ26" s="269"/>
      <c r="AK26" s="269"/>
      <c r="AL26" s="269"/>
      <c r="AM26" s="269"/>
      <c r="AN26" s="269"/>
      <c r="AO26" s="269"/>
      <c r="AP26" s="269"/>
      <c r="AQ26" s="269"/>
      <c r="AR26" s="269"/>
      <c r="AS26" s="269"/>
      <c r="AT26" s="269"/>
      <c r="AU26" s="269"/>
      <c r="AV26" s="269"/>
      <c r="AW26" s="269"/>
      <c r="AX26" s="269"/>
      <c r="AY26" s="269"/>
      <c r="AZ26" s="269"/>
    </row>
    <row r="27" spans="2:55" ht="17.25" customHeight="1" thickBot="1" x14ac:dyDescent="0.3">
      <c r="C27" s="367"/>
      <c r="D27" s="368"/>
      <c r="E27" s="368"/>
      <c r="F27" s="368"/>
      <c r="G27" s="368"/>
      <c r="H27" s="369"/>
      <c r="I27" s="375"/>
      <c r="J27" s="343"/>
      <c r="K27" s="376"/>
      <c r="L27" s="382"/>
      <c r="M27" s="383"/>
      <c r="N27" s="383"/>
      <c r="O27" s="390"/>
      <c r="P27" s="390"/>
      <c r="Q27" s="390"/>
      <c r="R27" s="269"/>
      <c r="S27" s="269"/>
      <c r="T27" s="269"/>
      <c r="U27" s="269"/>
      <c r="V27" s="269"/>
      <c r="W27" s="269"/>
      <c r="X27" s="17"/>
      <c r="AB27" s="19"/>
      <c r="AC27" s="20"/>
      <c r="AD27" s="269"/>
      <c r="AE27" s="269"/>
      <c r="AF27" s="269"/>
      <c r="AG27" s="269"/>
      <c r="AH27" s="269"/>
      <c r="AI27" s="269"/>
      <c r="AJ27" s="269"/>
      <c r="AK27" s="269"/>
      <c r="AL27" s="269"/>
      <c r="AM27" s="269"/>
      <c r="AN27" s="269"/>
      <c r="AO27" s="269"/>
      <c r="AP27" s="269"/>
      <c r="AQ27" s="269"/>
      <c r="AR27" s="269"/>
      <c r="AS27" s="269"/>
      <c r="AT27" s="269"/>
      <c r="AU27" s="269"/>
      <c r="AV27" s="269"/>
      <c r="AW27" s="269"/>
      <c r="AX27" s="269"/>
      <c r="AY27" s="269"/>
      <c r="AZ27" s="269"/>
    </row>
    <row r="28" spans="2:55" ht="17.25" customHeight="1" thickTop="1" thickBot="1" x14ac:dyDescent="0.3">
      <c r="C28" s="367"/>
      <c r="D28" s="368"/>
      <c r="E28" s="368"/>
      <c r="F28" s="368"/>
      <c r="G28" s="368"/>
      <c r="H28" s="369"/>
      <c r="I28" s="375"/>
      <c r="J28" s="343"/>
      <c r="K28" s="376"/>
      <c r="L28" s="382"/>
      <c r="M28" s="383"/>
      <c r="N28" s="383"/>
      <c r="O28" s="432" t="str">
        <f>HLOOKUP(L20,AE20:AH23,4,FALSE)</f>
        <v>0.0'</v>
      </c>
      <c r="P28" s="432"/>
      <c r="Q28" s="432"/>
      <c r="R28" s="430" t="str">
        <f>AB28</f>
        <v>00°00'00.00 [00°00.00]  (00.0000°)</v>
      </c>
      <c r="S28" s="430"/>
      <c r="T28" s="430"/>
      <c r="U28" s="430"/>
      <c r="V28" s="430"/>
      <c r="W28" s="431"/>
      <c r="X28" s="17"/>
      <c r="AA28" s="18" t="str">
        <f>O28</f>
        <v>0.0'</v>
      </c>
      <c r="AB28" s="14" t="str">
        <f>BC28</f>
        <v>00°00'00.00 [00°00.00]  (00.0000°)</v>
      </c>
      <c r="AC28" s="7">
        <f>BB28</f>
        <v>0</v>
      </c>
      <c r="AD28" s="5">
        <f>IF(LEFT(TRIM(AA28),1)="-",-1,IF(LEFT(TRIM(AA28),1)="+",1, 0))</f>
        <v>0</v>
      </c>
      <c r="AE28" s="5" t="str">
        <f>IF(AD28&gt;0,"+",IF(AD28&lt;0,"-",""))</f>
        <v/>
      </c>
      <c r="AF28" s="5" t="str">
        <f>IF(ABS(AD28)&gt;0,RIGHT(AA28,LEN(AA28)-1),AA28)</f>
        <v>0.0'</v>
      </c>
      <c r="AG28" s="5" t="b">
        <f>ISNUMBER(SEARCH("°",AF28,1))</f>
        <v>0</v>
      </c>
      <c r="AH28" s="5" t="b">
        <f>ISNUMBER(SEARCH("'",AF28,1))</f>
        <v>1</v>
      </c>
      <c r="AI28" s="5" t="b">
        <f>ISNUMBER(SEARCH("""",AF28,1))</f>
        <v>0</v>
      </c>
      <c r="AJ28" s="5" t="b">
        <f>NOT(OR(AG28,AH28,AI28))</f>
        <v>0</v>
      </c>
      <c r="AK28" s="5" t="b">
        <f t="shared" ref="AK28:AK29" si="21">OR(AJ28,AG28)</f>
        <v>0</v>
      </c>
      <c r="AL28" s="6">
        <f>IF(AJ28,VALUE(AF28),IF(AG28,LEFT(AF28,SEARCH("°",AF28,1)-1),0))</f>
        <v>0</v>
      </c>
      <c r="AM28" s="5" t="str">
        <f>IF(AJ28,"",IF(AG28,RIGHT(AF28,LEN(AF28)-SEARCH("°",AF28,1)),AF28))</f>
        <v>0.0'</v>
      </c>
      <c r="AN28" s="5" t="b">
        <f>(LEN(AM28)&gt;0)</f>
        <v>1</v>
      </c>
      <c r="AO28" s="5" t="b">
        <f>NOT(OR(AH28,AI28))</f>
        <v>0</v>
      </c>
      <c r="AP28" s="6">
        <f t="shared" ref="AP28:AP29" si="22">IF(NOT(AN28),0,IF(AO28,VALUE(AM28),IF(NOT(AH28),0,VALUE(LEFT(AM28,SEARCH("'",AM28,1)-1)))))</f>
        <v>0</v>
      </c>
      <c r="AQ28" s="5" t="str">
        <f t="shared" ref="AQ28:AQ29" si="23">IF(NOT(AN28),"",IF(AO28,"",IF(NOT(AH28),AM28,RIGHT(AM28,LEN(AM28)-SEARCH("'",AM28,1)))))</f>
        <v/>
      </c>
      <c r="AR28" s="5" t="b">
        <f>(LEN(AQ28)&gt;0)</f>
        <v>0</v>
      </c>
      <c r="AS28" s="5" t="b">
        <f t="shared" ref="AS28:AS29" si="24">NOT(AI28)</f>
        <v>1</v>
      </c>
      <c r="AT28" s="5" t="b">
        <f>ISNUMBER(SEARCH(".",AQ28,1))</f>
        <v>0</v>
      </c>
      <c r="AU28" s="6">
        <f t="shared" ref="AU28:AU29" si="25">IF(AR28,IF(AI28,IF(AT28,VALUE(SUBSTITUTE(AQ28, """", "")),VALUE(SUBSTITUTE(AQ28, """", "."))),VALUE(AQ28)),0)</f>
        <v>0</v>
      </c>
      <c r="AV28" s="6">
        <f t="shared" ref="AV28:AV29" si="26">AL28*3600+AP28*60+AU28</f>
        <v>0</v>
      </c>
      <c r="AW28" s="6">
        <f>AV28/3600</f>
        <v>0</v>
      </c>
      <c r="AX28" s="6">
        <f>_xlfn.FLOOR.MATH((AW28))</f>
        <v>0</v>
      </c>
      <c r="AY28" s="6">
        <f>(AV28-3600*AX28)/60</f>
        <v>0</v>
      </c>
      <c r="AZ28" s="6">
        <f>_xlfn.FLOOR.MATH((AY28))</f>
        <v>0</v>
      </c>
      <c r="BA28" s="6">
        <f>AV28-3600*AX28-60*AZ28</f>
        <v>0</v>
      </c>
      <c r="BB28" s="6">
        <f>AW28*IF(AD28&lt;0,-1,1)</f>
        <v>0</v>
      </c>
      <c r="BC28" s="7" t="str">
        <f>CONCATENATE(AE28,TEXT(AX28,"00"),"°",TEXT(AZ28,"00"),"'",TEXT(BA28,"00.00"), " [", CONCATENATE(AE28,TEXT(AX28,"00"),"°",TEXT(AY28,"00.00")),"]", "  (", AE28,TEXT(AW28,"00.0000"),"°)")</f>
        <v>00°00'00.00 [00°00.00]  (00.0000°)</v>
      </c>
    </row>
    <row r="29" spans="2:55" ht="17.25" customHeight="1" thickTop="1" thickBot="1" x14ac:dyDescent="0.3">
      <c r="C29" s="370"/>
      <c r="D29" s="371"/>
      <c r="E29" s="371"/>
      <c r="F29" s="371"/>
      <c r="G29" s="371"/>
      <c r="H29" s="372"/>
      <c r="I29" s="377"/>
      <c r="J29" s="378"/>
      <c r="K29" s="379"/>
      <c r="L29" s="384"/>
      <c r="M29" s="385"/>
      <c r="N29" s="385"/>
      <c r="O29" s="426" t="str">
        <f>AB29</f>
        <v>00°00'00.00 [00°00.00]  (00.0000°)</v>
      </c>
      <c r="P29" s="426"/>
      <c r="Q29" s="426"/>
      <c r="R29" s="279"/>
      <c r="S29" s="279"/>
      <c r="T29" s="279"/>
      <c r="U29" s="279"/>
      <c r="V29" s="279"/>
      <c r="W29" s="279"/>
      <c r="X29" s="17"/>
      <c r="AA29" s="18" t="str">
        <f>L26</f>
        <v>0.0'</v>
      </c>
      <c r="AB29" s="14" t="str">
        <f>BC29</f>
        <v>00°00'00.00 [00°00.00]  (00.0000°)</v>
      </c>
      <c r="AC29" s="7">
        <f>BB29</f>
        <v>0</v>
      </c>
      <c r="AD29" s="5">
        <f>IF(LEFT(TRIM(AA29),1)="-",-1,IF(LEFT(TRIM(AA29),1)="+",1, 0))</f>
        <v>0</v>
      </c>
      <c r="AE29" s="5" t="str">
        <f>IF(AD29&gt;0,"+",IF(AD29&lt;0,"-",""))</f>
        <v/>
      </c>
      <c r="AF29" s="5" t="str">
        <f>IF(ABS(AD29)&gt;0,RIGHT(AA29,LEN(AA29)-1),AA29)</f>
        <v>0.0'</v>
      </c>
      <c r="AG29" s="5" t="b">
        <f>ISNUMBER(SEARCH("°",AF29,1))</f>
        <v>0</v>
      </c>
      <c r="AH29" s="5" t="b">
        <f>ISNUMBER(SEARCH("'",AF29,1))</f>
        <v>1</v>
      </c>
      <c r="AI29" s="5" t="b">
        <f>ISNUMBER(SEARCH("""",AF29,1))</f>
        <v>0</v>
      </c>
      <c r="AJ29" s="5" t="b">
        <f>NOT(OR(AG29,AH29,AI29))</f>
        <v>0</v>
      </c>
      <c r="AK29" s="5" t="b">
        <f t="shared" si="21"/>
        <v>0</v>
      </c>
      <c r="AL29" s="6">
        <f>IF(AJ29,VALUE(AF29),IF(AG29,LEFT(AF29,SEARCH("°",AF29,1)-1),0))</f>
        <v>0</v>
      </c>
      <c r="AM29" s="5" t="str">
        <f>IF(AJ29,"",IF(AG29,RIGHT(AF29,LEN(AF29)-SEARCH("°",AF29,1)),AF29))</f>
        <v>0.0'</v>
      </c>
      <c r="AN29" s="5" t="b">
        <f>(LEN(AM29)&gt;0)</f>
        <v>1</v>
      </c>
      <c r="AO29" s="5" t="b">
        <f>NOT(OR(AH29,AI29))</f>
        <v>0</v>
      </c>
      <c r="AP29" s="6">
        <f t="shared" si="22"/>
        <v>0</v>
      </c>
      <c r="AQ29" s="5" t="str">
        <f t="shared" si="23"/>
        <v/>
      </c>
      <c r="AR29" s="5" t="b">
        <f>(LEN(AQ29)&gt;0)</f>
        <v>0</v>
      </c>
      <c r="AS29" s="5" t="b">
        <f t="shared" si="24"/>
        <v>1</v>
      </c>
      <c r="AT29" s="5" t="b">
        <f>ISNUMBER(SEARCH(".",AQ29,1))</f>
        <v>0</v>
      </c>
      <c r="AU29" s="6">
        <f t="shared" si="25"/>
        <v>0</v>
      </c>
      <c r="AV29" s="6">
        <f t="shared" si="26"/>
        <v>0</v>
      </c>
      <c r="AW29" s="6">
        <f>AV29/3600</f>
        <v>0</v>
      </c>
      <c r="AX29" s="6">
        <f>_xlfn.FLOOR.MATH((AW29))</f>
        <v>0</v>
      </c>
      <c r="AY29" s="6">
        <f>(AV29-3600*AX29)/60</f>
        <v>0</v>
      </c>
      <c r="AZ29" s="6">
        <f>_xlfn.FLOOR.MATH((AY29))</f>
        <v>0</v>
      </c>
      <c r="BA29" s="6">
        <f>AV29-3600*AX29-60*AZ29</f>
        <v>0</v>
      </c>
      <c r="BB29" s="6">
        <f>AW29*IF(AD29&lt;0,-1,1)</f>
        <v>0</v>
      </c>
      <c r="BC29" s="7" t="str">
        <f>CONCATENATE(AE29,TEXT(AX29,"00"),"°",TEXT(AZ29,"00"),"'",TEXT(BA29,"00.00"), " [", CONCATENATE(AE29,TEXT(AX29,"00"),"°",TEXT(AY29,"00.00")),"]", "  (", AE29,TEXT(AW29,"00.0000"),"°)")</f>
        <v>00°00'00.00 [00°00.00]  (00.0000°)</v>
      </c>
    </row>
    <row r="30" spans="2:55" ht="17.25" customHeight="1" thickTop="1" thickBot="1" x14ac:dyDescent="0.3"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</row>
    <row r="31" spans="2:55" ht="17.25" customHeight="1" thickBot="1" x14ac:dyDescent="0.3">
      <c r="B31" s="47" t="s">
        <v>23</v>
      </c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48"/>
      <c r="AF31" s="48"/>
      <c r="AG31" s="48"/>
      <c r="AH31" s="48"/>
      <c r="AI31" s="48"/>
      <c r="AJ31" s="48"/>
      <c r="AK31" s="48"/>
      <c r="AL31" s="48"/>
      <c r="AM31" s="48"/>
      <c r="AN31" s="48"/>
      <c r="AO31" s="48"/>
      <c r="AP31" s="48"/>
      <c r="AQ31" s="48"/>
      <c r="AR31" s="48"/>
      <c r="AS31" s="48"/>
      <c r="AT31" s="48"/>
      <c r="AU31" s="48"/>
      <c r="AV31" s="48"/>
      <c r="AW31" s="48"/>
      <c r="AX31" s="48"/>
      <c r="AY31" s="48"/>
      <c r="AZ31" s="48"/>
      <c r="BA31" s="49"/>
    </row>
    <row r="32" spans="2:55" ht="17.25" customHeight="1" x14ac:dyDescent="0.25">
      <c r="C32" s="17"/>
      <c r="D32" s="448" t="s">
        <v>8</v>
      </c>
      <c r="E32" s="448"/>
      <c r="F32" s="448"/>
      <c r="G32" s="448"/>
      <c r="H32" s="17"/>
      <c r="I32" s="17"/>
      <c r="J32" s="17"/>
      <c r="K32" s="17"/>
      <c r="L32" s="17"/>
      <c r="M32" s="36"/>
      <c r="N32" s="36"/>
      <c r="O32" s="36"/>
      <c r="P32" s="36"/>
      <c r="Q32" s="36"/>
      <c r="R32" s="36"/>
      <c r="S32" s="36"/>
      <c r="T32" s="36"/>
      <c r="U32" s="36"/>
      <c r="AB32" s="14"/>
      <c r="AC32" s="7"/>
      <c r="AD32" s="3" t="s">
        <v>57</v>
      </c>
      <c r="AE32" s="3" t="s">
        <v>57</v>
      </c>
      <c r="AF32" s="3" t="s">
        <v>304</v>
      </c>
      <c r="AG32" s="3" t="s">
        <v>120</v>
      </c>
      <c r="AH32" s="3" t="s">
        <v>121</v>
      </c>
      <c r="AI32" s="3" t="s">
        <v>122</v>
      </c>
      <c r="AJ32" s="3" t="s">
        <v>123</v>
      </c>
      <c r="AK32" s="3" t="s">
        <v>124</v>
      </c>
      <c r="AL32" s="3" t="s">
        <v>125</v>
      </c>
      <c r="AM32" s="3" t="s">
        <v>101</v>
      </c>
      <c r="AN32" s="3" t="s">
        <v>129</v>
      </c>
      <c r="AO32" s="3" t="s">
        <v>128</v>
      </c>
      <c r="AP32" s="3" t="s">
        <v>126</v>
      </c>
      <c r="AQ32" s="3" t="s">
        <v>127</v>
      </c>
      <c r="AR32" s="3" t="s">
        <v>129</v>
      </c>
      <c r="AS32" s="3" t="s">
        <v>128</v>
      </c>
      <c r="AT32" s="3" t="s">
        <v>130</v>
      </c>
      <c r="AU32" s="3" t="s">
        <v>112</v>
      </c>
      <c r="AV32" s="3" t="s">
        <v>117</v>
      </c>
      <c r="AW32" s="3" t="s">
        <v>143</v>
      </c>
      <c r="AX32" s="3" t="s">
        <v>149</v>
      </c>
      <c r="AY32" s="3" t="s">
        <v>131</v>
      </c>
      <c r="AZ32" s="3" t="s">
        <v>150</v>
      </c>
      <c r="BA32" s="3" t="s">
        <v>112</v>
      </c>
      <c r="BB32" s="3" t="s">
        <v>308</v>
      </c>
      <c r="BC32" s="3" t="s">
        <v>151</v>
      </c>
    </row>
    <row r="33" spans="1:66" ht="17.25" customHeight="1" thickBot="1" x14ac:dyDescent="0.3">
      <c r="C33" s="17"/>
      <c r="D33" s="448"/>
      <c r="E33" s="448"/>
      <c r="F33" s="448"/>
      <c r="G33" s="448"/>
      <c r="H33" s="17"/>
      <c r="I33" s="17"/>
      <c r="J33" s="17"/>
      <c r="K33" s="17"/>
      <c r="L33" s="17"/>
      <c r="M33" s="36"/>
      <c r="N33" s="36"/>
      <c r="O33" s="36"/>
      <c r="P33" s="36"/>
      <c r="Q33" s="36"/>
      <c r="R33" s="36"/>
      <c r="S33" s="36"/>
      <c r="T33" s="36"/>
      <c r="U33" s="36"/>
      <c r="AA33" s="18" t="str">
        <f>IF(VLOOKUP(H34,$A$36:$C$37,3)&gt;0,AA34,CONCATENATE("-",AA34))</f>
        <v>46°30</v>
      </c>
      <c r="AB33" s="14" t="str">
        <f>BC33</f>
        <v>46°30'00.00 [46°30.00]  (46.5000°)</v>
      </c>
      <c r="AC33" s="7">
        <f>BB33</f>
        <v>46.5</v>
      </c>
      <c r="AD33" s="5">
        <f>IF(LEFT(TRIM(AA33),1)="-",-1,IF(LEFT(TRIM(AA33),1)="+",1, 0))</f>
        <v>0</v>
      </c>
      <c r="AE33" s="5" t="str">
        <f>IF(AD33&gt;0,"+",IF(AD33&lt;0,"-",""))</f>
        <v/>
      </c>
      <c r="AF33" s="5" t="str">
        <f>IF(ABS(AD33)&gt;0,RIGHT(AA33,LEN(AA33)-1),AA33)</f>
        <v>46°30</v>
      </c>
      <c r="AG33" s="5" t="b">
        <f>ISNUMBER(SEARCH("°",AF33,1))</f>
        <v>1</v>
      </c>
      <c r="AH33" s="5" t="b">
        <f>ISNUMBER(SEARCH("'",AF33,1))</f>
        <v>0</v>
      </c>
      <c r="AI33" s="5" t="b">
        <f>ISNUMBER(SEARCH("""",AF33,1))</f>
        <v>0</v>
      </c>
      <c r="AJ33" s="5" t="b">
        <f>NOT(OR(AG33,AH33,AI33))</f>
        <v>0</v>
      </c>
      <c r="AK33" s="5" t="b">
        <f t="shared" ref="AK33" si="27">OR(AJ33,AG33)</f>
        <v>1</v>
      </c>
      <c r="AL33" s="6" t="str">
        <f>IF(AJ33,VALUE(AF33),IF(AG33,LEFT(AF33,SEARCH("°",AF33,1)-1),0))</f>
        <v>46</v>
      </c>
      <c r="AM33" s="5" t="str">
        <f>IF(AJ33,"",IF(AG33,RIGHT(AF33,LEN(AF33)-SEARCH("°",AF33,1)),AF33))</f>
        <v>30</v>
      </c>
      <c r="AN33" s="5" t="b">
        <f>(LEN(AM33)&gt;0)</f>
        <v>1</v>
      </c>
      <c r="AO33" s="5" t="b">
        <f>NOT(OR(AH33,AI33))</f>
        <v>1</v>
      </c>
      <c r="AP33" s="6">
        <f t="shared" ref="AP33" si="28">IF(NOT(AN33),0,IF(AO33,VALUE(AM33),IF(NOT(AH33),0,VALUE(LEFT(AM33,SEARCH("'",AM33,1)-1)))))</f>
        <v>30</v>
      </c>
      <c r="AQ33" s="5" t="str">
        <f t="shared" ref="AQ33" si="29">IF(NOT(AN33),"",IF(AO33,"",IF(NOT(AH33),AM33,RIGHT(AM33,LEN(AM33)-SEARCH("'",AM33,1)))))</f>
        <v/>
      </c>
      <c r="AR33" s="5" t="b">
        <f>(LEN(AQ33)&gt;0)</f>
        <v>0</v>
      </c>
      <c r="AS33" s="5" t="b">
        <f t="shared" ref="AS33" si="30">NOT(AI33)</f>
        <v>1</v>
      </c>
      <c r="AT33" s="5" t="b">
        <f>ISNUMBER(SEARCH(".",AQ33,1))</f>
        <v>0</v>
      </c>
      <c r="AU33" s="6">
        <f t="shared" ref="AU33" si="31">IF(AR33,IF(AI33,IF(AT33,VALUE(SUBSTITUTE(AQ33, """", "")),VALUE(SUBSTITUTE(AQ33, """", "."))),VALUE(AQ33)),0)</f>
        <v>0</v>
      </c>
      <c r="AV33" s="6">
        <f t="shared" ref="AV33" si="32">AL33*3600+AP33*60+AU33</f>
        <v>167400</v>
      </c>
      <c r="AW33" s="6">
        <f>AV33/3600</f>
        <v>46.5</v>
      </c>
      <c r="AX33" s="6">
        <f>_xlfn.FLOOR.MATH((AW33))</f>
        <v>46</v>
      </c>
      <c r="AY33" s="6">
        <f>(AV33-3600*AX33)/60</f>
        <v>30</v>
      </c>
      <c r="AZ33" s="6">
        <f>_xlfn.FLOOR.MATH((AY33))</f>
        <v>30</v>
      </c>
      <c r="BA33" s="6">
        <f>AV33-3600*AX33-60*AZ33</f>
        <v>0</v>
      </c>
      <c r="BB33" s="6">
        <f>AW33*IF(AD33&lt;0,-1,1)</f>
        <v>46.5</v>
      </c>
      <c r="BC33" s="7" t="str">
        <f>CONCATENATE(AE33,TEXT(AX33,"00"),"°",TEXT(AZ33,"00"),"'",TEXT(BA33,"00.00"), " [", CONCATENATE(AE33,TEXT(AX33,"00"),"°",TEXT(AY33,"00.00")),"]", "  (", AE33,TEXT(AW33,"00.0000"),"°)")</f>
        <v>46°30'00.00 [46°30.00]  (46.5000°)</v>
      </c>
    </row>
    <row r="34" spans="1:66" ht="17.25" customHeight="1" thickTop="1" thickBot="1" x14ac:dyDescent="0.3">
      <c r="A34" s="410" t="s">
        <v>56</v>
      </c>
      <c r="B34" s="411"/>
      <c r="C34" s="412"/>
      <c r="D34" s="17"/>
      <c r="E34" s="398">
        <f>AC33</f>
        <v>46.5</v>
      </c>
      <c r="F34" s="424"/>
      <c r="G34" s="424"/>
      <c r="H34" s="363" t="s">
        <v>4</v>
      </c>
      <c r="I34" s="414" t="s">
        <v>486</v>
      </c>
      <c r="J34" s="363"/>
      <c r="K34" s="363"/>
      <c r="L34" s="363"/>
      <c r="M34" s="363"/>
      <c r="N34" s="357" t="str">
        <f>AB33</f>
        <v>46°30'00.00 [46°30.00]  (46.5000°)</v>
      </c>
      <c r="O34" s="357"/>
      <c r="P34" s="357"/>
      <c r="Q34" s="357"/>
      <c r="R34" s="357"/>
      <c r="S34" s="357"/>
      <c r="T34" s="357"/>
      <c r="U34" s="357"/>
      <c r="V34" s="357"/>
      <c r="W34" s="357"/>
      <c r="X34" s="36"/>
      <c r="Y34" s="36"/>
      <c r="AA34" s="18" t="str">
        <f>I34</f>
        <v>46°30</v>
      </c>
      <c r="AC34" s="37"/>
      <c r="AD34" s="269"/>
      <c r="AE34" s="269"/>
      <c r="AF34" s="269"/>
      <c r="AG34" s="269"/>
      <c r="AL34" s="22"/>
      <c r="AN34" s="29"/>
      <c r="AT34" s="38"/>
      <c r="AU34" s="38"/>
      <c r="AV34" s="39"/>
      <c r="AW34" s="39"/>
      <c r="AX34" s="269"/>
      <c r="AY34" s="269"/>
      <c r="AZ34" s="269"/>
      <c r="BA34" s="269"/>
      <c r="BB34" s="39"/>
      <c r="BC34" s="39"/>
      <c r="BD34" s="39"/>
      <c r="BE34" s="39"/>
      <c r="BF34" s="39"/>
      <c r="BG34" s="39"/>
      <c r="BH34" s="39"/>
      <c r="BI34" s="39"/>
      <c r="BJ34" s="39"/>
      <c r="BK34" s="39"/>
      <c r="BL34" s="39"/>
      <c r="BM34" s="39"/>
    </row>
    <row r="35" spans="1:66" ht="17.25" customHeight="1" thickTop="1" thickBot="1" x14ac:dyDescent="0.3">
      <c r="A35" s="40" t="s">
        <v>68</v>
      </c>
      <c r="B35" s="41" t="s">
        <v>69</v>
      </c>
      <c r="C35" s="42"/>
      <c r="D35" s="17"/>
      <c r="E35" s="424"/>
      <c r="F35" s="424"/>
      <c r="G35" s="424"/>
      <c r="H35" s="363"/>
      <c r="I35" s="363"/>
      <c r="J35" s="363"/>
      <c r="K35" s="363"/>
      <c r="L35" s="363"/>
      <c r="M35" s="363"/>
      <c r="N35" s="357"/>
      <c r="O35" s="357"/>
      <c r="P35" s="357"/>
      <c r="Q35" s="357"/>
      <c r="R35" s="357"/>
      <c r="S35" s="357"/>
      <c r="T35" s="357"/>
      <c r="U35" s="357"/>
      <c r="V35" s="357"/>
      <c r="W35" s="357"/>
      <c r="X35" s="36"/>
      <c r="Y35" s="36"/>
      <c r="AL35" s="22"/>
      <c r="AN35" s="29"/>
      <c r="AV35" s="39"/>
      <c r="AW35" s="39"/>
      <c r="AX35" s="39"/>
      <c r="AY35" s="39"/>
      <c r="AZ35" s="39"/>
      <c r="BA35" s="39"/>
      <c r="BB35" s="39"/>
      <c r="BC35" s="39"/>
      <c r="BD35" s="39"/>
      <c r="BE35" s="39"/>
      <c r="BF35" s="39"/>
      <c r="BG35" s="39"/>
      <c r="BH35" s="39"/>
      <c r="BI35" s="39"/>
      <c r="BJ35" s="39"/>
      <c r="BK35" s="39"/>
      <c r="BL35" s="39"/>
      <c r="BM35" s="39"/>
    </row>
    <row r="36" spans="1:66" ht="17.25" customHeight="1" thickTop="1" x14ac:dyDescent="0.25">
      <c r="A36" s="40" t="s">
        <v>4</v>
      </c>
      <c r="B36" s="41" t="s">
        <v>6</v>
      </c>
      <c r="C36" s="42">
        <v>1</v>
      </c>
      <c r="D36" s="17"/>
      <c r="E36" s="17"/>
      <c r="F36" s="17"/>
      <c r="G36" s="17"/>
      <c r="AD36" s="17"/>
      <c r="AE36" s="17"/>
      <c r="AF36" s="17"/>
      <c r="AG36" s="17"/>
      <c r="AH36" s="17"/>
      <c r="AI36" s="17"/>
      <c r="AJ36" s="17"/>
      <c r="AK36" s="17"/>
      <c r="AV36" s="39"/>
      <c r="AW36" s="39"/>
      <c r="AX36" s="39"/>
      <c r="AY36" s="39"/>
      <c r="AZ36" s="39"/>
      <c r="BA36" s="39"/>
      <c r="BB36" s="39"/>
      <c r="BC36" s="39"/>
      <c r="BD36" s="39"/>
      <c r="BE36" s="39"/>
      <c r="BF36" s="39"/>
      <c r="BG36" s="39"/>
      <c r="BH36" s="39"/>
      <c r="BI36" s="39"/>
      <c r="BJ36" s="39"/>
      <c r="BK36" s="39"/>
      <c r="BL36" s="39"/>
      <c r="BM36" s="39"/>
    </row>
    <row r="37" spans="1:66" ht="17.25" customHeight="1" thickBot="1" x14ac:dyDescent="0.3">
      <c r="A37" s="43" t="s">
        <v>5</v>
      </c>
      <c r="B37" s="44" t="s">
        <v>7</v>
      </c>
      <c r="C37" s="45">
        <v>-1</v>
      </c>
      <c r="D37" s="425" t="s">
        <v>9</v>
      </c>
      <c r="E37" s="425"/>
      <c r="F37" s="425"/>
      <c r="G37" s="425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AB37" s="14"/>
      <c r="AC37" s="7"/>
      <c r="AD37" s="3" t="s">
        <v>57</v>
      </c>
      <c r="AE37" s="3" t="s">
        <v>57</v>
      </c>
      <c r="AF37" s="3" t="s">
        <v>304</v>
      </c>
      <c r="AG37" s="3" t="s">
        <v>120</v>
      </c>
      <c r="AH37" s="3" t="s">
        <v>121</v>
      </c>
      <c r="AI37" s="3" t="s">
        <v>122</v>
      </c>
      <c r="AJ37" s="3" t="s">
        <v>123</v>
      </c>
      <c r="AK37" s="3" t="s">
        <v>124</v>
      </c>
      <c r="AL37" s="3" t="s">
        <v>125</v>
      </c>
      <c r="AM37" s="3" t="s">
        <v>101</v>
      </c>
      <c r="AN37" s="3" t="s">
        <v>129</v>
      </c>
      <c r="AO37" s="3" t="s">
        <v>128</v>
      </c>
      <c r="AP37" s="3" t="s">
        <v>126</v>
      </c>
      <c r="AQ37" s="3" t="s">
        <v>127</v>
      </c>
      <c r="AR37" s="3" t="s">
        <v>129</v>
      </c>
      <c r="AS37" s="3" t="s">
        <v>128</v>
      </c>
      <c r="AT37" s="3" t="s">
        <v>130</v>
      </c>
      <c r="AU37" s="3" t="s">
        <v>112</v>
      </c>
      <c r="AV37" s="3" t="s">
        <v>117</v>
      </c>
      <c r="AW37" s="3" t="s">
        <v>143</v>
      </c>
      <c r="AX37" s="3" t="s">
        <v>149</v>
      </c>
      <c r="AY37" s="3" t="s">
        <v>131</v>
      </c>
      <c r="AZ37" s="3" t="s">
        <v>150</v>
      </c>
      <c r="BA37" s="3" t="s">
        <v>112</v>
      </c>
      <c r="BB37" s="3" t="s">
        <v>308</v>
      </c>
      <c r="BC37" s="3" t="s">
        <v>151</v>
      </c>
      <c r="BD37" s="39"/>
      <c r="BE37" s="39"/>
      <c r="BF37" s="39"/>
      <c r="BG37" s="39"/>
      <c r="BH37" s="39"/>
      <c r="BI37" s="39"/>
      <c r="BJ37" s="39"/>
      <c r="BK37" s="39"/>
      <c r="BL37" s="39"/>
      <c r="BM37" s="39"/>
    </row>
    <row r="38" spans="1:66" ht="17.25" customHeight="1" thickBot="1" x14ac:dyDescent="0.3">
      <c r="C38" s="17"/>
      <c r="D38" s="425"/>
      <c r="E38" s="425"/>
      <c r="F38" s="425"/>
      <c r="G38" s="425"/>
      <c r="H38" s="36"/>
      <c r="I38" s="36"/>
      <c r="J38" s="36"/>
      <c r="K38" s="36"/>
      <c r="L38" s="17"/>
      <c r="M38" s="17"/>
      <c r="N38" s="36"/>
      <c r="O38" s="36"/>
      <c r="P38" s="36"/>
      <c r="Q38" s="36"/>
      <c r="R38" s="36"/>
      <c r="S38" s="36"/>
      <c r="T38" s="36"/>
      <c r="U38" s="36"/>
      <c r="AA38" s="18" t="str">
        <f>IF(VLOOKUP(H39,$B$36:$C$37,2)&gt;0,AA39,CONCATENATE("-",AA39))</f>
        <v>-46°15</v>
      </c>
      <c r="AB38" s="14" t="str">
        <f>BC38</f>
        <v>-46°15'00.00 [-46°15.00]  (-46.2500°)</v>
      </c>
      <c r="AC38" s="7">
        <f>BB38</f>
        <v>-46.25</v>
      </c>
      <c r="AD38" s="5">
        <f>IF(LEFT(TRIM(AA38),1)="-",-1,IF(LEFT(TRIM(AA38),1)="+",1, 0))</f>
        <v>-1</v>
      </c>
      <c r="AE38" s="5" t="str">
        <f>IF(AD38&gt;0,"+",IF(AD38&lt;0,"-",""))</f>
        <v>-</v>
      </c>
      <c r="AF38" s="5" t="str">
        <f>IF(ABS(AD38)&gt;0,RIGHT(AA38,LEN(AA38)-1),AA38)</f>
        <v>46°15</v>
      </c>
      <c r="AG38" s="5" t="b">
        <f>ISNUMBER(SEARCH("°",AF38,1))</f>
        <v>1</v>
      </c>
      <c r="AH38" s="5" t="b">
        <f>ISNUMBER(SEARCH("'",AF38,1))</f>
        <v>0</v>
      </c>
      <c r="AI38" s="5" t="b">
        <f>ISNUMBER(SEARCH("""",AF38,1))</f>
        <v>0</v>
      </c>
      <c r="AJ38" s="5" t="b">
        <f>NOT(OR(AG38,AH38,AI38))</f>
        <v>0</v>
      </c>
      <c r="AK38" s="5" t="b">
        <f t="shared" ref="AK38" si="33">OR(AJ38,AG38)</f>
        <v>1</v>
      </c>
      <c r="AL38" s="6" t="str">
        <f>IF(AJ38,VALUE(AF38),IF(AG38,LEFT(AF38,SEARCH("°",AF38,1)-1),0))</f>
        <v>46</v>
      </c>
      <c r="AM38" s="5" t="str">
        <f>IF(AJ38,"",IF(AG38,RIGHT(AF38,LEN(AF38)-SEARCH("°",AF38,1)),AF38))</f>
        <v>15</v>
      </c>
      <c r="AN38" s="5" t="b">
        <f>(LEN(AM38)&gt;0)</f>
        <v>1</v>
      </c>
      <c r="AO38" s="5" t="b">
        <f>NOT(OR(AH38,AI38))</f>
        <v>1</v>
      </c>
      <c r="AP38" s="6">
        <f t="shared" ref="AP38" si="34">IF(NOT(AN38),0,IF(AO38,VALUE(AM38),IF(NOT(AH38),0,VALUE(LEFT(AM38,SEARCH("'",AM38,1)-1)))))</f>
        <v>15</v>
      </c>
      <c r="AQ38" s="5" t="str">
        <f t="shared" ref="AQ38" si="35">IF(NOT(AN38),"",IF(AO38,"",IF(NOT(AH38),AM38,RIGHT(AM38,LEN(AM38)-SEARCH("'",AM38,1)))))</f>
        <v/>
      </c>
      <c r="AR38" s="5" t="b">
        <f>(LEN(AQ38)&gt;0)</f>
        <v>0</v>
      </c>
      <c r="AS38" s="5" t="b">
        <f t="shared" ref="AS38" si="36">NOT(AI38)</f>
        <v>1</v>
      </c>
      <c r="AT38" s="5" t="b">
        <f>ISNUMBER(SEARCH(".",AQ38,1))</f>
        <v>0</v>
      </c>
      <c r="AU38" s="6">
        <f t="shared" ref="AU38" si="37">IF(AR38,IF(AI38,IF(AT38,VALUE(SUBSTITUTE(AQ38, """", "")),VALUE(SUBSTITUTE(AQ38, """", "."))),VALUE(AQ38)),0)</f>
        <v>0</v>
      </c>
      <c r="AV38" s="6">
        <f t="shared" ref="AV38" si="38">AL38*3600+AP38*60+AU38</f>
        <v>166500</v>
      </c>
      <c r="AW38" s="6">
        <f>AV38/3600</f>
        <v>46.25</v>
      </c>
      <c r="AX38" s="6">
        <f>_xlfn.FLOOR.MATH((AW38))</f>
        <v>46</v>
      </c>
      <c r="AY38" s="6">
        <f>(AV38-3600*AX38)/60</f>
        <v>15</v>
      </c>
      <c r="AZ38" s="6">
        <f>_xlfn.FLOOR.MATH((AY38))</f>
        <v>15</v>
      </c>
      <c r="BA38" s="6">
        <f>AV38-3600*AX38-60*AZ38</f>
        <v>0</v>
      </c>
      <c r="BB38" s="6">
        <f>AW38*IF(AD38&lt;0,-1,1)</f>
        <v>-46.25</v>
      </c>
      <c r="BC38" s="7" t="str">
        <f>CONCATENATE(AE38,TEXT(AX38,"00"),"°",TEXT(AZ38,"00"),"'",TEXT(BA38,"00.00"), " [", CONCATENATE(AE38,TEXT(AX38,"00"),"°",TEXT(AY38,"00.00")),"]", "  (", AE38,TEXT(AW38,"00.0000"),"°)")</f>
        <v>-46°15'00.00 [-46°15.00]  (-46.2500°)</v>
      </c>
      <c r="BD38" s="39"/>
      <c r="BE38" s="39"/>
      <c r="BF38" s="39"/>
      <c r="BG38" s="39"/>
      <c r="BH38" s="39"/>
      <c r="BI38" s="39"/>
      <c r="BJ38" s="39"/>
      <c r="BK38" s="39"/>
      <c r="BL38" s="39"/>
      <c r="BM38" s="39"/>
    </row>
    <row r="39" spans="1:66" ht="17.25" customHeight="1" thickTop="1" thickBot="1" x14ac:dyDescent="0.3">
      <c r="B39" s="17"/>
      <c r="C39" s="46"/>
      <c r="D39" s="17"/>
      <c r="E39" s="398">
        <f>AC38</f>
        <v>-46.25</v>
      </c>
      <c r="F39" s="424"/>
      <c r="G39" s="424"/>
      <c r="H39" s="363" t="s">
        <v>7</v>
      </c>
      <c r="I39" s="414" t="s">
        <v>487</v>
      </c>
      <c r="J39" s="363"/>
      <c r="K39" s="363"/>
      <c r="L39" s="363"/>
      <c r="M39" s="363"/>
      <c r="N39" s="357" t="str">
        <f>AB38</f>
        <v>-46°15'00.00 [-46°15.00]  (-46.2500°)</v>
      </c>
      <c r="O39" s="357"/>
      <c r="P39" s="357"/>
      <c r="Q39" s="357"/>
      <c r="R39" s="357"/>
      <c r="S39" s="357"/>
      <c r="T39" s="357"/>
      <c r="U39" s="357"/>
      <c r="V39" s="357"/>
      <c r="W39" s="357"/>
      <c r="X39" s="36"/>
      <c r="Y39" s="36"/>
      <c r="AA39" s="18" t="str">
        <f>I39</f>
        <v>46°15</v>
      </c>
      <c r="AC39" s="37"/>
      <c r="AD39" s="269"/>
      <c r="AE39" s="269"/>
      <c r="AF39" s="269"/>
      <c r="AG39" s="269"/>
      <c r="AL39" s="22"/>
      <c r="AN39" s="29"/>
      <c r="AT39" s="38"/>
      <c r="AU39" s="38"/>
      <c r="AV39" s="39"/>
      <c r="AW39" s="39"/>
      <c r="AX39" s="269"/>
      <c r="AY39" s="269"/>
      <c r="AZ39" s="269"/>
      <c r="BA39" s="269"/>
    </row>
    <row r="40" spans="1:66" ht="17.25" customHeight="1" thickTop="1" thickBot="1" x14ac:dyDescent="0.3">
      <c r="C40" s="46"/>
      <c r="D40" s="17"/>
      <c r="E40" s="424"/>
      <c r="F40" s="424"/>
      <c r="G40" s="424"/>
      <c r="H40" s="363"/>
      <c r="I40" s="363"/>
      <c r="J40" s="363"/>
      <c r="K40" s="363"/>
      <c r="L40" s="363"/>
      <c r="M40" s="363"/>
      <c r="N40" s="357"/>
      <c r="O40" s="357"/>
      <c r="P40" s="357"/>
      <c r="Q40" s="357"/>
      <c r="R40" s="357"/>
      <c r="S40" s="357"/>
      <c r="T40" s="357"/>
      <c r="U40" s="357"/>
      <c r="V40" s="357"/>
      <c r="W40" s="357"/>
      <c r="X40" s="36"/>
      <c r="Y40" s="36"/>
      <c r="AL40" s="22"/>
      <c r="AN40" s="29"/>
    </row>
    <row r="41" spans="1:66" ht="17.25" customHeight="1" thickTop="1" x14ac:dyDescent="0.25">
      <c r="C41" s="46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AL41" s="22"/>
      <c r="AN41" s="29"/>
    </row>
    <row r="42" spans="1:66" ht="17.25" customHeight="1" thickBot="1" x14ac:dyDescent="0.3">
      <c r="AD42" s="17"/>
      <c r="AE42" s="17"/>
      <c r="AF42" s="17"/>
      <c r="AG42" s="17"/>
      <c r="AH42" s="17"/>
      <c r="AI42" s="17"/>
      <c r="AJ42" s="17"/>
      <c r="AK42" s="17"/>
    </row>
    <row r="43" spans="1:66" ht="17.25" customHeight="1" thickBot="1" x14ac:dyDescent="0.3">
      <c r="A43" s="50"/>
      <c r="B43" s="47" t="s">
        <v>466</v>
      </c>
      <c r="C43" s="48"/>
      <c r="D43" s="48"/>
      <c r="E43" s="48"/>
      <c r="F43" s="571">
        <f>IF(G44=AF44,F48,F56)</f>
        <v>338.39493333333331</v>
      </c>
      <c r="G43" s="572"/>
      <c r="H43" s="445"/>
      <c r="I43" s="48"/>
      <c r="J43" s="48"/>
      <c r="K43" s="48"/>
      <c r="L43" s="789">
        <f>F43-360</f>
        <v>-21.605066666666687</v>
      </c>
      <c r="M43" s="789"/>
      <c r="N43" s="48" t="s">
        <v>39</v>
      </c>
      <c r="O43" s="48"/>
      <c r="P43" s="48"/>
      <c r="Q43" s="48"/>
      <c r="R43" s="48"/>
      <c r="S43" s="48"/>
      <c r="T43" s="48"/>
      <c r="U43" s="48"/>
      <c r="V43" s="48"/>
      <c r="W43" s="48"/>
      <c r="X43" s="48"/>
      <c r="Y43" s="48"/>
      <c r="Z43" s="48"/>
      <c r="AA43" s="48"/>
      <c r="AB43" s="48"/>
      <c r="AC43" s="48"/>
      <c r="AD43" s="48"/>
      <c r="AE43" s="48"/>
      <c r="AF43" s="48"/>
      <c r="AG43" s="48"/>
      <c r="AH43" s="48"/>
      <c r="AI43" s="48"/>
      <c r="AJ43" s="48"/>
      <c r="AK43" s="48"/>
      <c r="AL43" s="48"/>
      <c r="AM43" s="48"/>
      <c r="AN43" s="48"/>
      <c r="AO43" s="48"/>
      <c r="AP43" s="48"/>
      <c r="AQ43" s="48"/>
      <c r="AR43" s="48"/>
      <c r="AS43" s="48"/>
      <c r="AT43" s="48"/>
      <c r="AU43" s="48"/>
      <c r="AV43" s="48"/>
      <c r="AW43" s="48"/>
      <c r="AX43" s="48"/>
      <c r="AY43" s="48"/>
      <c r="AZ43" s="48"/>
      <c r="BA43" s="48"/>
      <c r="BB43" s="49"/>
      <c r="BC43" s="50"/>
      <c r="BN43" s="22"/>
    </row>
    <row r="44" spans="1:66" ht="17.25" customHeight="1" x14ac:dyDescent="0.25">
      <c r="B44" s="50"/>
      <c r="C44" s="434" t="s">
        <v>58</v>
      </c>
      <c r="D44" s="434"/>
      <c r="E44" s="434"/>
      <c r="F44" s="570"/>
      <c r="G44" s="311" t="s">
        <v>17</v>
      </c>
      <c r="H44" s="312"/>
      <c r="I44" s="313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0"/>
      <c r="Z44" s="50"/>
      <c r="AA44" s="50"/>
      <c r="AB44" s="51"/>
      <c r="AC44" s="52"/>
      <c r="AD44" s="52"/>
      <c r="AE44" s="53" t="s">
        <v>59</v>
      </c>
      <c r="AF44" s="54" t="s">
        <v>11</v>
      </c>
      <c r="AG44" s="55">
        <v>0</v>
      </c>
      <c r="AH44" s="55"/>
      <c r="AI44" s="50"/>
      <c r="AJ44" s="50"/>
      <c r="AK44" s="50"/>
      <c r="AL44" s="50"/>
      <c r="AM44" s="50"/>
      <c r="AN44" s="50"/>
      <c r="AO44" s="50"/>
      <c r="AP44" s="50"/>
      <c r="AQ44" s="50"/>
      <c r="AR44" s="50"/>
      <c r="AS44" s="50"/>
      <c r="AT44" s="50"/>
      <c r="AU44" s="50"/>
      <c r="AV44" s="50"/>
      <c r="AW44" s="50"/>
      <c r="AX44" s="50"/>
      <c r="AY44" s="50"/>
      <c r="AZ44" s="50"/>
      <c r="BA44" s="50"/>
      <c r="BB44" s="50"/>
      <c r="BN44" s="22"/>
    </row>
    <row r="45" spans="1:66" ht="17.25" customHeight="1" x14ac:dyDescent="0.25">
      <c r="C45" s="56" t="s">
        <v>11</v>
      </c>
      <c r="D45" s="56"/>
      <c r="E45" s="57"/>
      <c r="F45" s="57"/>
      <c r="G45" s="17"/>
      <c r="H45" s="17"/>
      <c r="I45" s="17"/>
      <c r="AA45" s="1"/>
      <c r="AB45" s="18"/>
      <c r="AD45" s="28"/>
      <c r="AF45" s="58" t="s">
        <v>17</v>
      </c>
      <c r="AG45" s="22">
        <v>1</v>
      </c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BN45" s="22"/>
    </row>
    <row r="46" spans="1:66" ht="17.25" customHeight="1" x14ac:dyDescent="0.25">
      <c r="F46" s="296" t="s">
        <v>10</v>
      </c>
      <c r="G46" s="297"/>
      <c r="H46" s="298"/>
      <c r="I46" s="296" t="s">
        <v>13</v>
      </c>
      <c r="J46" s="297"/>
      <c r="K46" s="297"/>
      <c r="L46" s="298"/>
      <c r="M46" s="470" t="s">
        <v>14</v>
      </c>
      <c r="N46" s="471"/>
      <c r="O46" s="472"/>
      <c r="P46" s="314" t="s">
        <v>18</v>
      </c>
      <c r="Q46" s="315"/>
      <c r="R46" s="315"/>
      <c r="S46" s="315"/>
      <c r="T46" s="316"/>
      <c r="U46" s="17"/>
      <c r="AA46" s="1"/>
      <c r="AB46" s="18"/>
      <c r="AC46" s="19"/>
      <c r="AD46" s="20"/>
      <c r="AL46" s="22"/>
      <c r="AM46" s="29"/>
      <c r="BN46" s="22"/>
    </row>
    <row r="47" spans="1:66" ht="17.25" customHeight="1" thickBot="1" x14ac:dyDescent="0.3">
      <c r="F47" s="299"/>
      <c r="G47" s="300"/>
      <c r="H47" s="301"/>
      <c r="I47" s="299"/>
      <c r="J47" s="300"/>
      <c r="K47" s="300"/>
      <c r="L47" s="301"/>
      <c r="M47" s="473"/>
      <c r="N47" s="474"/>
      <c r="O47" s="475"/>
      <c r="P47" s="317"/>
      <c r="Q47" s="318"/>
      <c r="R47" s="318"/>
      <c r="S47" s="318"/>
      <c r="T47" s="319"/>
      <c r="U47" s="17"/>
      <c r="AA47" s="1"/>
      <c r="AB47" s="18" t="str">
        <f>Q48</f>
        <v>78°52.7</v>
      </c>
      <c r="AC47" s="14"/>
      <c r="AD47" s="7"/>
      <c r="AE47" s="3" t="s">
        <v>57</v>
      </c>
      <c r="AF47" s="3" t="s">
        <v>57</v>
      </c>
      <c r="AG47" s="3" t="s">
        <v>304</v>
      </c>
      <c r="AH47" s="3" t="s">
        <v>120</v>
      </c>
      <c r="AI47" s="3" t="s">
        <v>121</v>
      </c>
      <c r="AJ47" s="3" t="s">
        <v>122</v>
      </c>
      <c r="AK47" s="3" t="s">
        <v>123</v>
      </c>
      <c r="AL47" s="3" t="s">
        <v>124</v>
      </c>
      <c r="AM47" s="3" t="s">
        <v>125</v>
      </c>
      <c r="AN47" s="3" t="s">
        <v>101</v>
      </c>
      <c r="AO47" s="3" t="s">
        <v>129</v>
      </c>
      <c r="AP47" s="3" t="s">
        <v>128</v>
      </c>
      <c r="AQ47" s="3" t="s">
        <v>126</v>
      </c>
      <c r="AR47" s="3" t="s">
        <v>127</v>
      </c>
      <c r="AS47" s="3" t="s">
        <v>129</v>
      </c>
      <c r="AT47" s="3" t="s">
        <v>128</v>
      </c>
      <c r="AU47" s="3" t="s">
        <v>130</v>
      </c>
      <c r="AV47" s="3" t="s">
        <v>112</v>
      </c>
      <c r="AW47" s="3" t="s">
        <v>117</v>
      </c>
      <c r="AX47" s="3" t="s">
        <v>143</v>
      </c>
      <c r="AY47" s="3" t="s">
        <v>149</v>
      </c>
      <c r="AZ47" s="3" t="s">
        <v>131</v>
      </c>
      <c r="BA47" s="3" t="s">
        <v>150</v>
      </c>
      <c r="BB47" s="3" t="s">
        <v>112</v>
      </c>
      <c r="BC47" s="3" t="s">
        <v>308</v>
      </c>
      <c r="BD47" s="3" t="s">
        <v>151</v>
      </c>
      <c r="BN47" s="22"/>
    </row>
    <row r="48" spans="1:66" ht="17.25" customHeight="1" thickTop="1" x14ac:dyDescent="0.25">
      <c r="E48" s="59"/>
      <c r="F48" s="339" t="str">
        <f>IF(G44=AF45,"---",AD53)</f>
        <v>---</v>
      </c>
      <c r="G48" s="340"/>
      <c r="H48" s="341"/>
      <c r="I48" s="308">
        <f>D11</f>
        <v>8.9666666666666668</v>
      </c>
      <c r="J48" s="309"/>
      <c r="K48" s="309"/>
      <c r="L48" s="310"/>
      <c r="M48" s="308">
        <v>3</v>
      </c>
      <c r="N48" s="309"/>
      <c r="O48" s="310"/>
      <c r="P48" s="320" t="s">
        <v>6</v>
      </c>
      <c r="Q48" s="322" t="s">
        <v>480</v>
      </c>
      <c r="R48" s="323"/>
      <c r="S48" s="323"/>
      <c r="T48" s="324"/>
      <c r="U48" s="348" t="str">
        <f>AC48</f>
        <v>78°52'42.00 [78°52.70]  (78.8783°)</v>
      </c>
      <c r="V48" s="349"/>
      <c r="W48" s="349"/>
      <c r="X48" s="349"/>
      <c r="Y48" s="349"/>
      <c r="Z48" s="350"/>
      <c r="AA48" s="1"/>
      <c r="AB48" s="18" t="str">
        <f>IF(VLOOKUP(P48,$B$36:$C$37,2)&gt;0,AB47,CONCATENATE("-",AB47))</f>
        <v>78°52.7</v>
      </c>
      <c r="AC48" s="28" t="str">
        <f>BD48</f>
        <v>78°52'42.00 [78°52.70]  (78.8783°)</v>
      </c>
      <c r="AD48" s="37">
        <f>BC48</f>
        <v>78.87833333333333</v>
      </c>
      <c r="AE48" s="5">
        <f>IF(LEFT(TRIM(AB48),1)="-",-1,IF(LEFT(TRIM(AB48),1)="+",1, 0))</f>
        <v>0</v>
      </c>
      <c r="AF48" s="5" t="str">
        <f>IF(AE48&gt;0,"+",IF(AE48&lt;0,"-",""))</f>
        <v/>
      </c>
      <c r="AG48" s="5" t="str">
        <f>IF(ABS(AE48)&gt;0,RIGHT(AB48,LEN(AB48)-1),AB48)</f>
        <v>78°52.7</v>
      </c>
      <c r="AH48" s="5" t="b">
        <f>ISNUMBER(SEARCH("°",AG48,1))</f>
        <v>1</v>
      </c>
      <c r="AI48" s="5" t="b">
        <f>ISNUMBER(SEARCH("'",AG48,1))</f>
        <v>0</v>
      </c>
      <c r="AJ48" s="5" t="b">
        <f>ISNUMBER(SEARCH("""",AG48,1))</f>
        <v>0</v>
      </c>
      <c r="AK48" s="5" t="b">
        <f>NOT(OR(AH48,AI48,AJ48))</f>
        <v>0</v>
      </c>
      <c r="AL48" s="5" t="b">
        <f t="shared" ref="AL48" si="39">OR(AK48,AH48)</f>
        <v>1</v>
      </c>
      <c r="AM48" s="6">
        <f>IF(AK48,VALUE(AG48),IF(AH48,VALUE(LEFT(AG48,SEARCH("°",AG48,1)-1)),0))</f>
        <v>78</v>
      </c>
      <c r="AN48" s="5" t="str">
        <f>IF(AK48,"",IF(AH48,RIGHT(AG48,LEN(AG48)-SEARCH("°",AG48,1)),AG48))</f>
        <v>52.7</v>
      </c>
      <c r="AO48" s="5" t="b">
        <f>(LEN(AN48)&gt;0)</f>
        <v>1</v>
      </c>
      <c r="AP48" s="5" t="b">
        <f>NOT(OR(AI48,AJ48))</f>
        <v>1</v>
      </c>
      <c r="AQ48" s="6">
        <f t="shared" ref="AQ48" si="40">IF(NOT(AO48),0,IF(AP48,VALUE(AN48),IF(NOT(AI48),0,VALUE(LEFT(AN48,SEARCH("'",AN48,1)-1)))))</f>
        <v>52.7</v>
      </c>
      <c r="AR48" s="5" t="str">
        <f t="shared" ref="AR48" si="41">IF(NOT(AO48),"",IF(AP48,"",IF(NOT(AI48),AN48,RIGHT(AN48,LEN(AN48)-SEARCH("'",AN48,1)))))</f>
        <v/>
      </c>
      <c r="AS48" s="5" t="b">
        <f>(LEN(AR48)&gt;0)</f>
        <v>0</v>
      </c>
      <c r="AT48" s="5" t="b">
        <f t="shared" ref="AT48" si="42">NOT(AJ48)</f>
        <v>1</v>
      </c>
      <c r="AU48" s="5" t="b">
        <f>ISNUMBER(SEARCH(".",AR48,1))</f>
        <v>0</v>
      </c>
      <c r="AV48" s="6">
        <f t="shared" ref="AV48" si="43">IF(AS48,IF(AJ48,IF(AU48,VALUE(SUBSTITUTE(AR48, """", "")),VALUE(SUBSTITUTE(AR48, """", "."))),VALUE(AR48)),0)</f>
        <v>0</v>
      </c>
      <c r="AW48" s="6">
        <f t="shared" ref="AW48" si="44">AM48*3600+AQ48*60+AV48</f>
        <v>283962</v>
      </c>
      <c r="AX48" s="6">
        <f>AW48/3600</f>
        <v>78.87833333333333</v>
      </c>
      <c r="AY48" s="6">
        <f>_xlfn.FLOOR.MATH((AX48))</f>
        <v>78</v>
      </c>
      <c r="AZ48" s="6">
        <f>(AW48-3600*AY48)/60</f>
        <v>52.7</v>
      </c>
      <c r="BA48" s="6">
        <f>_xlfn.FLOOR.MATH((AZ48))</f>
        <v>52</v>
      </c>
      <c r="BB48" s="6">
        <f>AW48-3600*AY48-60*BA48</f>
        <v>42</v>
      </c>
      <c r="BC48" s="6">
        <f>AX48*IF(AE48&lt;0,-1,1)</f>
        <v>78.87833333333333</v>
      </c>
      <c r="BD48" s="7" t="str">
        <f>CONCATENATE(AF48,TEXT(AY48,"00"),"°",TEXT(BA48,"00"),"'",TEXT(BB48,"00.00"), " [", CONCATENATE(AF48,TEXT(AY48,"00"),"°",TEXT(AZ48,"00.00")),"]", "  (", AF48,TEXT(AX48,"00.0000"),"°)")</f>
        <v>78°52'42.00 [78°52.70]  (78.8783°)</v>
      </c>
      <c r="BN48" s="22"/>
    </row>
    <row r="49" spans="1:66" ht="17.25" customHeight="1" thickBot="1" x14ac:dyDescent="0.3">
      <c r="F49" s="342"/>
      <c r="G49" s="343"/>
      <c r="H49" s="344"/>
      <c r="I49" s="463"/>
      <c r="J49" s="464"/>
      <c r="K49" s="464"/>
      <c r="L49" s="465"/>
      <c r="M49" s="305"/>
      <c r="N49" s="306"/>
      <c r="O49" s="307"/>
      <c r="P49" s="321"/>
      <c r="Q49" s="325"/>
      <c r="R49" s="326"/>
      <c r="S49" s="326"/>
      <c r="T49" s="327"/>
      <c r="U49" s="351"/>
      <c r="V49" s="352"/>
      <c r="W49" s="352"/>
      <c r="X49" s="352"/>
      <c r="Y49" s="352"/>
      <c r="Z49" s="353"/>
      <c r="AA49" s="1"/>
      <c r="AB49" s="18" t="str">
        <f>Q50</f>
        <v>93°55.2</v>
      </c>
      <c r="AC49" s="19"/>
      <c r="AD49" s="20"/>
      <c r="AE49" s="269"/>
      <c r="AF49" s="269"/>
      <c r="AG49" s="269"/>
      <c r="AH49" s="269"/>
      <c r="AI49" s="269"/>
      <c r="AJ49" s="269"/>
      <c r="AK49" s="269"/>
      <c r="AL49" s="269"/>
      <c r="AM49" s="269"/>
      <c r="AN49" s="269"/>
      <c r="AO49" s="269"/>
      <c r="AP49" s="269"/>
      <c r="AQ49" s="269"/>
      <c r="AR49" s="269"/>
      <c r="AS49" s="269"/>
      <c r="AT49" s="269"/>
      <c r="AU49" s="269"/>
      <c r="AV49" s="269"/>
      <c r="AW49" s="269"/>
      <c r="AX49" s="269"/>
      <c r="AY49" s="269"/>
      <c r="AZ49" s="269"/>
      <c r="BA49" s="269"/>
      <c r="BB49" s="269"/>
      <c r="BC49" s="269"/>
      <c r="BD49" s="269"/>
      <c r="BE49" s="269"/>
      <c r="BF49" s="269"/>
      <c r="BN49" s="22"/>
    </row>
    <row r="50" spans="1:66" ht="17.25" customHeight="1" thickTop="1" x14ac:dyDescent="0.25">
      <c r="F50" s="342"/>
      <c r="G50" s="343"/>
      <c r="H50" s="344"/>
      <c r="I50" s="463"/>
      <c r="J50" s="464"/>
      <c r="K50" s="464"/>
      <c r="L50" s="465"/>
      <c r="M50" s="302">
        <v>4</v>
      </c>
      <c r="N50" s="303"/>
      <c r="O50" s="304"/>
      <c r="P50" s="328" t="s">
        <v>6</v>
      </c>
      <c r="Q50" s="329" t="s">
        <v>481</v>
      </c>
      <c r="R50" s="330"/>
      <c r="S50" s="330"/>
      <c r="T50" s="331"/>
      <c r="U50" s="348" t="str">
        <f>AC50</f>
        <v>93°55'12.00 [93°55.20]  (93.9200°)</v>
      </c>
      <c r="V50" s="349"/>
      <c r="W50" s="349"/>
      <c r="X50" s="349"/>
      <c r="Y50" s="349"/>
      <c r="Z50" s="350"/>
      <c r="AA50" s="1"/>
      <c r="AB50" s="18" t="str">
        <f>IF(VLOOKUP(P50,$B$36:$C$37,2)&gt;0,AB49,CONCATENATE("-",AB49))</f>
        <v>93°55.2</v>
      </c>
      <c r="AC50" s="28" t="str">
        <f>BD50</f>
        <v>93°55'12.00 [93°55.20]  (93.9200°)</v>
      </c>
      <c r="AD50" s="37">
        <f>BC50</f>
        <v>93.92</v>
      </c>
      <c r="AE50" s="5">
        <f>IF(LEFT(TRIM(AB50),1)="-",-1,IF(LEFT(TRIM(AB50),1)="+",1, 0))</f>
        <v>0</v>
      </c>
      <c r="AF50" s="5" t="str">
        <f>IF(AE50&gt;0,"+",IF(AE50&lt;0,"-",""))</f>
        <v/>
      </c>
      <c r="AG50" s="5" t="str">
        <f>IF(ABS(AE50)&gt;0,RIGHT(AB50,LEN(AB50)-1),AB50)</f>
        <v>93°55.2</v>
      </c>
      <c r="AH50" s="5" t="b">
        <f>ISNUMBER(SEARCH("°",AG50,1))</f>
        <v>1</v>
      </c>
      <c r="AI50" s="5" t="b">
        <f>ISNUMBER(SEARCH("'",AG50,1))</f>
        <v>0</v>
      </c>
      <c r="AJ50" s="5" t="b">
        <f>ISNUMBER(SEARCH("""",AG50,1))</f>
        <v>0</v>
      </c>
      <c r="AK50" s="5" t="b">
        <f>NOT(OR(AH50,AI50,AJ50))</f>
        <v>0</v>
      </c>
      <c r="AL50" s="5" t="b">
        <f t="shared" ref="AL50" si="45">OR(AK50,AH50)</f>
        <v>1</v>
      </c>
      <c r="AM50" s="6">
        <f>IF(AK50,VALUE(AG50),IF(AH50,VALUE(LEFT(AG50,SEARCH("°",AG50,1)-1)),0))</f>
        <v>93</v>
      </c>
      <c r="AN50" s="5" t="str">
        <f>IF(AK50,"",IF(AH50,RIGHT(AG50,LEN(AG50)-SEARCH("°",AG50,1)),AG50))</f>
        <v>55.2</v>
      </c>
      <c r="AO50" s="5" t="b">
        <f>(LEN(AN50)&gt;0)</f>
        <v>1</v>
      </c>
      <c r="AP50" s="5" t="b">
        <f>NOT(OR(AI50,AJ50))</f>
        <v>1</v>
      </c>
      <c r="AQ50" s="6">
        <f t="shared" ref="AQ50" si="46">IF(NOT(AO50),0,IF(AP50,VALUE(AN50),IF(NOT(AI50),0,VALUE(LEFT(AN50,SEARCH("'",AN50,1)-1)))))</f>
        <v>55.2</v>
      </c>
      <c r="AR50" s="5" t="str">
        <f t="shared" ref="AR50" si="47">IF(NOT(AO50),"",IF(AP50,"",IF(NOT(AI50),AN50,RIGHT(AN50,LEN(AN50)-SEARCH("'",AN50,1)))))</f>
        <v/>
      </c>
      <c r="AS50" s="5" t="b">
        <f>(LEN(AR50)&gt;0)</f>
        <v>0</v>
      </c>
      <c r="AT50" s="5" t="b">
        <f t="shared" ref="AT50" si="48">NOT(AJ50)</f>
        <v>1</v>
      </c>
      <c r="AU50" s="5" t="b">
        <f>ISNUMBER(SEARCH(".",AR50,1))</f>
        <v>0</v>
      </c>
      <c r="AV50" s="6">
        <f t="shared" ref="AV50" si="49">IF(AS50,IF(AJ50,IF(AU50,VALUE(SUBSTITUTE(AR50, """", "")),VALUE(SUBSTITUTE(AR50, """", "."))),VALUE(AR50)),0)</f>
        <v>0</v>
      </c>
      <c r="AW50" s="6">
        <f t="shared" ref="AW50" si="50">AM50*3600+AQ50*60+AV50</f>
        <v>338112</v>
      </c>
      <c r="AX50" s="6">
        <f>AW50/3600</f>
        <v>93.92</v>
      </c>
      <c r="AY50" s="6">
        <f>_xlfn.FLOOR.MATH((AX50))</f>
        <v>93</v>
      </c>
      <c r="AZ50" s="6">
        <f>(AW50-3600*AY50)/60</f>
        <v>55.2</v>
      </c>
      <c r="BA50" s="6">
        <f>_xlfn.FLOOR.MATH((AZ50))</f>
        <v>55</v>
      </c>
      <c r="BB50" s="6">
        <f>AW50-3600*AY50-60*BA50</f>
        <v>12</v>
      </c>
      <c r="BC50" s="6">
        <f>AX50*IF(AE50&lt;0,-1,1)</f>
        <v>93.92</v>
      </c>
      <c r="BD50" s="7" t="str">
        <f>CONCATENATE(AF50,TEXT(AY50,"00"),"°",TEXT(BA50,"00"),"'",TEXT(BB50,"00.00"), " [", CONCATENATE(AF50,TEXT(AY50,"00"),"°",TEXT(AZ50,"00.00")),"]", "  (", AF50,TEXT(AX50,"00.0000"),"°)")</f>
        <v>93°55'12.00 [93°55.20]  (93.9200°)</v>
      </c>
      <c r="BN50" s="22"/>
    </row>
    <row r="51" spans="1:66" ht="17.25" customHeight="1" thickBot="1" x14ac:dyDescent="0.3">
      <c r="F51" s="345"/>
      <c r="G51" s="346"/>
      <c r="H51" s="347"/>
      <c r="I51" s="463"/>
      <c r="J51" s="464"/>
      <c r="K51" s="464"/>
      <c r="L51" s="465"/>
      <c r="M51" s="305"/>
      <c r="N51" s="306"/>
      <c r="O51" s="307"/>
      <c r="P51" s="321"/>
      <c r="Q51" s="325"/>
      <c r="R51" s="326"/>
      <c r="S51" s="326"/>
      <c r="T51" s="327"/>
      <c r="U51" s="351"/>
      <c r="V51" s="352"/>
      <c r="W51" s="352"/>
      <c r="X51" s="352"/>
      <c r="Y51" s="352"/>
      <c r="Z51" s="353"/>
      <c r="AA51" s="1"/>
      <c r="AB51" s="18"/>
      <c r="AD51" s="28"/>
      <c r="AE51" s="31" t="s">
        <v>62</v>
      </c>
      <c r="AF51" s="31" t="s">
        <v>61</v>
      </c>
      <c r="AG51" s="31" t="s">
        <v>63</v>
      </c>
      <c r="AH51" s="31" t="s">
        <v>60</v>
      </c>
      <c r="AI51" s="269"/>
      <c r="AJ51" s="269"/>
      <c r="AK51" s="269"/>
      <c r="AL51" s="269"/>
      <c r="AM51" s="269"/>
      <c r="AN51" s="31"/>
      <c r="AO51" s="17"/>
      <c r="AP51" s="17"/>
      <c r="AQ51" s="17"/>
      <c r="AR51" s="17"/>
      <c r="AS51" s="17"/>
      <c r="AT51" s="17"/>
      <c r="AU51" s="17"/>
      <c r="BN51" s="22"/>
    </row>
    <row r="52" spans="1:66" ht="17.25" customHeight="1" thickTop="1" thickBot="1" x14ac:dyDescent="0.3">
      <c r="F52" s="336" t="str">
        <f>AC53</f>
        <v>168°37'37.00 [168°37.62]  (168.6269°)</v>
      </c>
      <c r="G52" s="337"/>
      <c r="H52" s="337"/>
      <c r="I52" s="337"/>
      <c r="J52" s="337"/>
      <c r="K52" s="338"/>
      <c r="AA52" s="17"/>
      <c r="AB52" s="18"/>
      <c r="AD52" s="37">
        <f>AH52</f>
        <v>168.62694444444446</v>
      </c>
      <c r="AE52" s="22">
        <f>M50-M48</f>
        <v>1</v>
      </c>
      <c r="AF52" s="22">
        <f>AD50-AD48</f>
        <v>15.041666666666671</v>
      </c>
      <c r="AG52" s="22">
        <f>I48-M48</f>
        <v>5.9666666666666668</v>
      </c>
      <c r="AH52" s="22">
        <f>AD48+AG52*AF52</f>
        <v>168.62694444444446</v>
      </c>
      <c r="AI52" s="269"/>
      <c r="AJ52" s="269"/>
      <c r="AK52" s="269"/>
      <c r="AL52" s="269"/>
      <c r="AM52" s="269"/>
      <c r="AO52" s="17"/>
      <c r="AP52" s="17"/>
      <c r="AQ52" s="17"/>
      <c r="AR52" s="17"/>
      <c r="AS52" s="17"/>
      <c r="AT52" s="17"/>
      <c r="AU52" s="17"/>
      <c r="BN52" s="22"/>
    </row>
    <row r="53" spans="1:66" ht="17.25" customHeight="1" thickTop="1" x14ac:dyDescent="0.25">
      <c r="C53" s="56" t="s">
        <v>17</v>
      </c>
      <c r="D53" s="56"/>
      <c r="E53" s="57"/>
      <c r="F53" s="57"/>
      <c r="G53" s="17"/>
      <c r="H53" s="17"/>
      <c r="I53" s="17"/>
      <c r="AA53" s="17"/>
      <c r="AB53" s="18">
        <f>AD52</f>
        <v>168.62694444444446</v>
      </c>
      <c r="AC53" s="28" t="str">
        <f>BD53</f>
        <v>168°37'37.00 [168°37.62]  (168.6269°)</v>
      </c>
      <c r="AD53" s="37">
        <f>BC53</f>
        <v>168.62694444444449</v>
      </c>
      <c r="AE53" s="5">
        <f>IF(LEFT(TRIM(AB53),1)="-",-1,IF(LEFT(TRIM(AB53),1)="+",1, 0))</f>
        <v>0</v>
      </c>
      <c r="AF53" s="5" t="str">
        <f>IF(AE53&gt;0,"+",IF(AE53&lt;0,"-",""))</f>
        <v/>
      </c>
      <c r="AG53" s="5">
        <f>IF(ABS(AE53)&gt;0,RIGHT(AB53,LEN(AB53)-1),AB53)</f>
        <v>168.62694444444446</v>
      </c>
      <c r="AH53" s="5" t="b">
        <f>ISNUMBER(SEARCH("°",AG53,1))</f>
        <v>0</v>
      </c>
      <c r="AI53" s="5" t="b">
        <f>ISNUMBER(SEARCH("'",AG53,1))</f>
        <v>0</v>
      </c>
      <c r="AJ53" s="5" t="b">
        <f>ISNUMBER(SEARCH("""",AG53,1))</f>
        <v>0</v>
      </c>
      <c r="AK53" s="5" t="b">
        <f>NOT(OR(AH53,AI53,AJ53))</f>
        <v>1</v>
      </c>
      <c r="AL53" s="5" t="b">
        <f t="shared" ref="AL53" si="51">OR(AK53,AH53)</f>
        <v>1</v>
      </c>
      <c r="AM53" s="6">
        <f>IF(AK53,VALUE(AG53),IF(AH53,VALUE(LEFT(AG53,SEARCH("°",AG53,1)-1)),0))</f>
        <v>168.62694444444446</v>
      </c>
      <c r="AN53" s="5" t="str">
        <f>IF(AK53,"",IF(AH53,RIGHT(AG53,LEN(AG53)-SEARCH("°",AG53,1)),AG53))</f>
        <v/>
      </c>
      <c r="AO53" s="5" t="b">
        <f>(LEN(AN53)&gt;0)</f>
        <v>0</v>
      </c>
      <c r="AP53" s="5" t="b">
        <f>NOT(OR(AI53,AJ53))</f>
        <v>1</v>
      </c>
      <c r="AQ53" s="6">
        <f t="shared" ref="AQ53" si="52">IF(NOT(AO53),0,IF(AP53,VALUE(AN53),IF(NOT(AI53),0,VALUE(LEFT(AN53,SEARCH("'",AN53,1)-1)))))</f>
        <v>0</v>
      </c>
      <c r="AR53" s="5" t="str">
        <f t="shared" ref="AR53" si="53">IF(NOT(AO53),"",IF(AP53,"",IF(NOT(AI53),AN53,RIGHT(AN53,LEN(AN53)-SEARCH("'",AN53,1)))))</f>
        <v/>
      </c>
      <c r="AS53" s="5" t="b">
        <f>(LEN(AR53)&gt;0)</f>
        <v>0</v>
      </c>
      <c r="AT53" s="5" t="b">
        <f t="shared" ref="AT53" si="54">NOT(AJ53)</f>
        <v>1</v>
      </c>
      <c r="AU53" s="5" t="b">
        <f>ISNUMBER(SEARCH(".",AR53,1))</f>
        <v>0</v>
      </c>
      <c r="AV53" s="6">
        <f t="shared" ref="AV53" si="55">IF(AS53,IF(AJ53,IF(AU53,VALUE(SUBSTITUTE(AR53, """", "")),VALUE(SUBSTITUTE(AR53, """", "."))),VALUE(AR53)),0)</f>
        <v>0</v>
      </c>
      <c r="AW53" s="6">
        <f t="shared" ref="AW53" si="56">AM53*3600+AQ53*60+AV53</f>
        <v>607057.00000000012</v>
      </c>
      <c r="AX53" s="6">
        <f>AW53/3600</f>
        <v>168.62694444444449</v>
      </c>
      <c r="AY53" s="6">
        <f>_xlfn.FLOOR.MATH((AX53))</f>
        <v>168</v>
      </c>
      <c r="AZ53" s="6">
        <f>(AW53-3600*AY53)/60</f>
        <v>37.616666666668607</v>
      </c>
      <c r="BA53" s="6">
        <f>_xlfn.FLOOR.MATH((AZ53))</f>
        <v>37</v>
      </c>
      <c r="BB53" s="6">
        <f>AW53-3600*AY53-60*BA53</f>
        <v>37.000000000116415</v>
      </c>
      <c r="BC53" s="6">
        <f>AX53*IF(AE53&lt;0,-1,1)</f>
        <v>168.62694444444449</v>
      </c>
      <c r="BD53" s="7" t="str">
        <f>CONCATENATE(AF53,TEXT(AY53,"00"),"°",TEXT(BA53,"00"),"'",TEXT(BB53,"00.00"), " [", CONCATENATE(AF53,TEXT(AY53,"00"),"°",TEXT(AZ53,"00.00")),"]", "  (", AF53,TEXT(AX53,"00.0000"),"°)")</f>
        <v>168°37'37.00 [168°37.62]  (168.6269°)</v>
      </c>
      <c r="BN53" s="22"/>
    </row>
    <row r="54" spans="1:66" ht="17.25" customHeight="1" x14ac:dyDescent="0.25">
      <c r="C54" s="17"/>
      <c r="D54" s="17"/>
      <c r="E54" s="17"/>
      <c r="F54" s="296" t="s">
        <v>10</v>
      </c>
      <c r="G54" s="297"/>
      <c r="H54" s="298"/>
      <c r="I54" s="296" t="s">
        <v>13</v>
      </c>
      <c r="J54" s="297"/>
      <c r="K54" s="297"/>
      <c r="L54" s="298"/>
      <c r="M54" s="470" t="s">
        <v>14</v>
      </c>
      <c r="N54" s="471"/>
      <c r="O54" s="472"/>
      <c r="P54" s="314" t="s">
        <v>20</v>
      </c>
      <c r="Q54" s="315"/>
      <c r="R54" s="315"/>
      <c r="S54" s="315"/>
      <c r="T54" s="316"/>
      <c r="U54" s="314" t="s">
        <v>216</v>
      </c>
      <c r="V54" s="315"/>
      <c r="W54" s="315"/>
      <c r="X54" s="315"/>
      <c r="Y54" s="316"/>
      <c r="AA54" s="17"/>
      <c r="AB54" s="18"/>
      <c r="AC54" s="14"/>
      <c r="AD54" s="7"/>
      <c r="AE54" s="3" t="s">
        <v>57</v>
      </c>
      <c r="AF54" s="3" t="s">
        <v>57</v>
      </c>
      <c r="AG54" s="3" t="s">
        <v>304</v>
      </c>
      <c r="AH54" s="3" t="s">
        <v>120</v>
      </c>
      <c r="AI54" s="3" t="s">
        <v>121</v>
      </c>
      <c r="AJ54" s="3" t="s">
        <v>122</v>
      </c>
      <c r="AK54" s="3" t="s">
        <v>123</v>
      </c>
      <c r="AL54" s="3" t="s">
        <v>124</v>
      </c>
      <c r="AM54" s="3" t="s">
        <v>125</v>
      </c>
      <c r="AN54" s="3" t="s">
        <v>101</v>
      </c>
      <c r="AO54" s="3" t="s">
        <v>129</v>
      </c>
      <c r="AP54" s="3" t="s">
        <v>128</v>
      </c>
      <c r="AQ54" s="3" t="s">
        <v>126</v>
      </c>
      <c r="AR54" s="3" t="s">
        <v>127</v>
      </c>
      <c r="AS54" s="3" t="s">
        <v>129</v>
      </c>
      <c r="AT54" s="3" t="s">
        <v>128</v>
      </c>
      <c r="AU54" s="3" t="s">
        <v>130</v>
      </c>
      <c r="AV54" s="3" t="s">
        <v>112</v>
      </c>
      <c r="AW54" s="3" t="s">
        <v>117</v>
      </c>
      <c r="AX54" s="3" t="s">
        <v>143</v>
      </c>
      <c r="AY54" s="3" t="s">
        <v>149</v>
      </c>
      <c r="AZ54" s="3" t="s">
        <v>131</v>
      </c>
      <c r="BA54" s="3" t="s">
        <v>150</v>
      </c>
      <c r="BB54" s="3" t="s">
        <v>112</v>
      </c>
      <c r="BC54" s="3" t="s">
        <v>308</v>
      </c>
      <c r="BD54" s="3" t="s">
        <v>151</v>
      </c>
      <c r="BN54" s="22"/>
    </row>
    <row r="55" spans="1:66" ht="17.25" customHeight="1" collapsed="1" x14ac:dyDescent="0.25">
      <c r="F55" s="299"/>
      <c r="G55" s="300"/>
      <c r="H55" s="301"/>
      <c r="I55" s="299"/>
      <c r="J55" s="300"/>
      <c r="K55" s="300"/>
      <c r="L55" s="301"/>
      <c r="M55" s="473"/>
      <c r="N55" s="474"/>
      <c r="O55" s="475"/>
      <c r="P55" s="317"/>
      <c r="Q55" s="318"/>
      <c r="R55" s="318"/>
      <c r="S55" s="318"/>
      <c r="T55" s="319"/>
      <c r="U55" s="317"/>
      <c r="V55" s="318"/>
      <c r="W55" s="318"/>
      <c r="X55" s="318"/>
      <c r="Y55" s="319"/>
      <c r="Z55" s="17"/>
      <c r="AA55" s="17"/>
      <c r="AB55" s="18" t="str">
        <f>IF(VLOOKUP(P56,$B$36:$C$37,2)&gt;0,AB56,CONCATENATE("-",AB56))</f>
        <v>338°53.7</v>
      </c>
      <c r="AC55" s="14" t="str">
        <f>BD55</f>
        <v>338°53'42.00 [338°53.70]  (338.8950°)</v>
      </c>
      <c r="AD55" s="7">
        <f>BC55</f>
        <v>338.89499999999998</v>
      </c>
      <c r="AE55" s="5">
        <f>IF(LEFT(TRIM(AB55),1)="-",-1,IF(LEFT(TRIM(AB55),1)="+",1, 0))</f>
        <v>0</v>
      </c>
      <c r="AF55" s="5" t="str">
        <f>IF(AE55&gt;0,"+",IF(AE55&lt;0,"-",""))</f>
        <v/>
      </c>
      <c r="AG55" s="5" t="str">
        <f>IF(ABS(AE55)&gt;0,RIGHT(AB55,LEN(AB55)-1),AB55)</f>
        <v>338°53.7</v>
      </c>
      <c r="AH55" s="5" t="b">
        <f>ISNUMBER(SEARCH("°",AG55,1))</f>
        <v>1</v>
      </c>
      <c r="AI55" s="5" t="b">
        <f>ISNUMBER(SEARCH("'",AG55,1))</f>
        <v>0</v>
      </c>
      <c r="AJ55" s="5" t="b">
        <f>ISNUMBER(SEARCH("""",AG55,1))</f>
        <v>0</v>
      </c>
      <c r="AK55" s="5" t="b">
        <f>NOT(OR(AH55,AI55,AJ55))</f>
        <v>0</v>
      </c>
      <c r="AL55" s="5" t="b">
        <f t="shared" ref="AL55" si="57">OR(AK55,AH55)</f>
        <v>1</v>
      </c>
      <c r="AM55" s="6">
        <f>IF(AK55,VALUE(AG55),IF(AH55,VALUE(LEFT(AG55,SEARCH("°",AG55,1)-1)),0))</f>
        <v>338</v>
      </c>
      <c r="AN55" s="5" t="str">
        <f>IF(AK55,"",IF(AH55,RIGHT(AG55,LEN(AG55)-SEARCH("°",AG55,1)),AG55))</f>
        <v>53.7</v>
      </c>
      <c r="AO55" s="5" t="b">
        <f>(LEN(AN55)&gt;0)</f>
        <v>1</v>
      </c>
      <c r="AP55" s="5" t="b">
        <f>NOT(OR(AI55,AJ55))</f>
        <v>1</v>
      </c>
      <c r="AQ55" s="6">
        <f t="shared" ref="AQ55" si="58">IF(NOT(AO55),0,IF(AP55,VALUE(AN55),IF(NOT(AI55),0,VALUE(LEFT(AN55,SEARCH("'",AN55,1)-1)))))</f>
        <v>53.7</v>
      </c>
      <c r="AR55" s="5" t="str">
        <f t="shared" ref="AR55" si="59">IF(NOT(AO55),"",IF(AP55,"",IF(NOT(AI55),AN55,RIGHT(AN55,LEN(AN55)-SEARCH("'",AN55,1)))))</f>
        <v/>
      </c>
      <c r="AS55" s="5" t="b">
        <f>(LEN(AR55)&gt;0)</f>
        <v>0</v>
      </c>
      <c r="AT55" s="5" t="b">
        <f t="shared" ref="AT55" si="60">NOT(AJ55)</f>
        <v>1</v>
      </c>
      <c r="AU55" s="5" t="b">
        <f>ISNUMBER(SEARCH(".",AR55,1))</f>
        <v>0</v>
      </c>
      <c r="AV55" s="6">
        <f t="shared" ref="AV55" si="61">IF(AS55,IF(AJ55,IF(AU55,VALUE(SUBSTITUTE(AR55, """", "")),VALUE(SUBSTITUTE(AR55, """", "."))),VALUE(AR55)),0)</f>
        <v>0</v>
      </c>
      <c r="AW55" s="6">
        <f t="shared" ref="AW55" si="62">AM55*3600+AQ55*60+AV55</f>
        <v>1220022</v>
      </c>
      <c r="AX55" s="6">
        <f>AW55/3600</f>
        <v>338.89499999999998</v>
      </c>
      <c r="AY55" s="6">
        <f>_xlfn.FLOOR.MATH((AX55))</f>
        <v>338</v>
      </c>
      <c r="AZ55" s="6">
        <f>(AW55-3600*AY55)/60</f>
        <v>53.7</v>
      </c>
      <c r="BA55" s="6">
        <f>_xlfn.FLOOR.MATH((AZ55))</f>
        <v>53</v>
      </c>
      <c r="BB55" s="6">
        <f>AW55-3600*AY55-60*BA55</f>
        <v>42</v>
      </c>
      <c r="BC55" s="6">
        <f>AX55*IF(AE55&lt;0,-1,1)</f>
        <v>338.89499999999998</v>
      </c>
      <c r="BD55" s="7" t="str">
        <f>CONCATENATE(AF55,TEXT(AY55,"00"),"°",TEXT(BA55,"00"),"'",TEXT(BB55,"00.00"), " [", CONCATENATE(AF55,TEXT(AY55,"00"),"°",TEXT(AZ55,"00.00")),"]", "  (", AF55,TEXT(AX55,"00.0000"),"°)")</f>
        <v>338°53'42.00 [338°53.70]  (338.8950°)</v>
      </c>
      <c r="BN55" s="22"/>
    </row>
    <row r="56" spans="1:66" ht="17.25" customHeight="1" x14ac:dyDescent="0.25">
      <c r="E56" s="59"/>
      <c r="F56" s="339">
        <f>AD60</f>
        <v>338.39493333333331</v>
      </c>
      <c r="G56" s="340"/>
      <c r="H56" s="341"/>
      <c r="I56" s="308">
        <f>D11</f>
        <v>8.9666666666666668</v>
      </c>
      <c r="J56" s="309"/>
      <c r="K56" s="309"/>
      <c r="L56" s="310"/>
      <c r="M56" s="308">
        <v>9</v>
      </c>
      <c r="N56" s="309"/>
      <c r="O56" s="310"/>
      <c r="P56" s="320" t="s">
        <v>6</v>
      </c>
      <c r="Q56" s="322" t="s">
        <v>488</v>
      </c>
      <c r="R56" s="323"/>
      <c r="S56" s="323"/>
      <c r="T56" s="466"/>
      <c r="U56" s="320" t="s">
        <v>6</v>
      </c>
      <c r="V56" s="322" t="s">
        <v>316</v>
      </c>
      <c r="W56" s="323"/>
      <c r="X56" s="323"/>
      <c r="Y56" s="466"/>
      <c r="Z56" s="17"/>
      <c r="AA56" s="1"/>
      <c r="AB56" s="18" t="str">
        <f>Q56</f>
        <v>338°53.7</v>
      </c>
      <c r="AD56" s="37"/>
      <c r="AE56" s="269"/>
      <c r="AF56" s="269"/>
      <c r="AG56" s="269"/>
      <c r="AH56" s="269"/>
      <c r="AI56" s="269"/>
      <c r="AJ56" s="269"/>
      <c r="AK56" s="269"/>
      <c r="AL56" s="269"/>
      <c r="AM56" s="269"/>
      <c r="AN56" s="269"/>
      <c r="AO56" s="269"/>
      <c r="AP56" s="269"/>
      <c r="AU56" s="38"/>
      <c r="AV56" s="38"/>
      <c r="AW56" s="39"/>
      <c r="AX56" s="39"/>
      <c r="AY56" s="269"/>
      <c r="AZ56" s="269"/>
      <c r="BA56" s="269"/>
      <c r="BB56" s="269"/>
      <c r="BN56" s="22"/>
    </row>
    <row r="57" spans="1:66" ht="17.25" customHeight="1" thickBot="1" x14ac:dyDescent="0.3">
      <c r="F57" s="345"/>
      <c r="G57" s="346"/>
      <c r="H57" s="347"/>
      <c r="I57" s="463"/>
      <c r="J57" s="464"/>
      <c r="K57" s="464"/>
      <c r="L57" s="465"/>
      <c r="M57" s="305"/>
      <c r="N57" s="306"/>
      <c r="O57" s="307"/>
      <c r="P57" s="573"/>
      <c r="Q57" s="467"/>
      <c r="R57" s="468"/>
      <c r="S57" s="468"/>
      <c r="T57" s="469"/>
      <c r="U57" s="573"/>
      <c r="V57" s="467"/>
      <c r="W57" s="468"/>
      <c r="X57" s="468"/>
      <c r="Y57" s="469"/>
      <c r="Z57" s="17"/>
      <c r="AA57" s="1"/>
      <c r="AB57" s="18" t="str">
        <f>V56</f>
        <v>15.002°</v>
      </c>
      <c r="AC57" s="19"/>
      <c r="AD57" s="20"/>
      <c r="AE57" s="269"/>
      <c r="AF57" s="269"/>
      <c r="AG57" s="269"/>
      <c r="AH57" s="269"/>
      <c r="AI57" s="269"/>
      <c r="AJ57" s="269"/>
      <c r="AK57" s="269"/>
      <c r="AL57" s="269"/>
      <c r="AM57" s="269"/>
      <c r="AN57" s="269"/>
      <c r="AO57" s="269"/>
      <c r="AP57" s="269"/>
      <c r="AQ57" s="269"/>
      <c r="AR57" s="269"/>
      <c r="AS57" s="269"/>
      <c r="AT57" s="269"/>
      <c r="AU57" s="269"/>
      <c r="AV57" s="269"/>
      <c r="AW57" s="269"/>
      <c r="AX57" s="269"/>
      <c r="AY57" s="269"/>
      <c r="AZ57" s="269"/>
      <c r="BA57" s="269"/>
      <c r="BB57" s="269"/>
      <c r="BC57" s="269"/>
      <c r="BD57" s="269"/>
      <c r="BE57" s="269"/>
      <c r="BF57" s="269"/>
      <c r="BG57" s="269"/>
      <c r="BH57" s="269"/>
      <c r="BI57" s="269"/>
      <c r="BJ57" s="269"/>
      <c r="BK57" s="269"/>
      <c r="BN57" s="22"/>
    </row>
    <row r="58" spans="1:66" ht="17.25" customHeight="1" thickTop="1" thickBot="1" x14ac:dyDescent="0.3">
      <c r="F58" s="336" t="str">
        <f>AC60</f>
        <v>338°23'41.76 [338°23.70]  (338.3949°)</v>
      </c>
      <c r="G58" s="337"/>
      <c r="H58" s="337"/>
      <c r="I58" s="337"/>
      <c r="J58" s="337"/>
      <c r="K58" s="338"/>
      <c r="P58" s="288" t="str">
        <f>AC55</f>
        <v>338°53'42.00 [338°53.70]  (338.8950°)</v>
      </c>
      <c r="Q58" s="289"/>
      <c r="R58" s="289"/>
      <c r="S58" s="289"/>
      <c r="T58" s="290"/>
      <c r="U58" s="288" t="str">
        <f>AC58</f>
        <v>15°00'07.20 [15°00.12]  (15.0020°)</v>
      </c>
      <c r="V58" s="289"/>
      <c r="W58" s="289"/>
      <c r="X58" s="289"/>
      <c r="Y58" s="290"/>
      <c r="AA58" s="1"/>
      <c r="AB58" s="18" t="str">
        <f>IF(VLOOKUP(U56,$B$36:$C$37,2)&gt;0,AB57,CONCATENATE("-",AB57))</f>
        <v>15.002°</v>
      </c>
      <c r="AC58" s="14" t="str">
        <f>BD58</f>
        <v>15°00'07.20 [15°00.12]  (15.0020°)</v>
      </c>
      <c r="AD58" s="7">
        <f>BC58</f>
        <v>15.002000000000001</v>
      </c>
      <c r="AE58" s="5">
        <f>IF(LEFT(TRIM(AB58),1)="-",-1,IF(LEFT(TRIM(AB58),1)="+",1, 0))</f>
        <v>0</v>
      </c>
      <c r="AF58" s="5" t="str">
        <f>IF(AE58&gt;0,"+",IF(AE58&lt;0,"-",""))</f>
        <v/>
      </c>
      <c r="AG58" s="5" t="str">
        <f>IF(ABS(AE58)&gt;0,RIGHT(AB58,LEN(AB58)-1),AB58)</f>
        <v>15.002°</v>
      </c>
      <c r="AH58" s="5" t="b">
        <f>ISNUMBER(SEARCH("°",AG58,1))</f>
        <v>1</v>
      </c>
      <c r="AI58" s="5" t="b">
        <f>ISNUMBER(SEARCH("'",AG58,1))</f>
        <v>0</v>
      </c>
      <c r="AJ58" s="5" t="b">
        <f>ISNUMBER(SEARCH("""",AG58,1))</f>
        <v>0</v>
      </c>
      <c r="AK58" s="5" t="b">
        <f>NOT(OR(AH58,AI58,AJ58))</f>
        <v>0</v>
      </c>
      <c r="AL58" s="5" t="b">
        <f t="shared" ref="AL58" si="63">OR(AK58,AH58)</f>
        <v>1</v>
      </c>
      <c r="AM58" s="6">
        <f>IF(AK58,VALUE(AG58),IF(AH58,VALUE(LEFT(AG58,SEARCH("°",AG58,1)-1)),0))</f>
        <v>15.002000000000001</v>
      </c>
      <c r="AN58" s="5" t="str">
        <f>IF(AK58,"",IF(AH58,RIGHT(AG58,LEN(AG58)-SEARCH("°",AG58,1)),AG58))</f>
        <v/>
      </c>
      <c r="AO58" s="5" t="b">
        <f>(LEN(AN58)&gt;0)</f>
        <v>0</v>
      </c>
      <c r="AP58" s="5" t="b">
        <f>NOT(OR(AI58,AJ58))</f>
        <v>1</v>
      </c>
      <c r="AQ58" s="6">
        <f t="shared" ref="AQ58" si="64">IF(NOT(AO58),0,IF(AP58,VALUE(AN58),IF(NOT(AI58),0,VALUE(LEFT(AN58,SEARCH("'",AN58,1)-1)))))</f>
        <v>0</v>
      </c>
      <c r="AR58" s="5" t="str">
        <f t="shared" ref="AR58" si="65">IF(NOT(AO58),"",IF(AP58,"",IF(NOT(AI58),AN58,RIGHT(AN58,LEN(AN58)-SEARCH("'",AN58,1)))))</f>
        <v/>
      </c>
      <c r="AS58" s="5" t="b">
        <f>(LEN(AR58)&gt;0)</f>
        <v>0</v>
      </c>
      <c r="AT58" s="5" t="b">
        <f t="shared" ref="AT58" si="66">NOT(AJ58)</f>
        <v>1</v>
      </c>
      <c r="AU58" s="5" t="b">
        <f>ISNUMBER(SEARCH(".",AR58,1))</f>
        <v>0</v>
      </c>
      <c r="AV58" s="6">
        <f t="shared" ref="AV58" si="67">IF(AS58,IF(AJ58,IF(AU58,VALUE(SUBSTITUTE(AR58, """", "")),VALUE(SUBSTITUTE(AR58, """", "."))),VALUE(AR58)),0)</f>
        <v>0</v>
      </c>
      <c r="AW58" s="6">
        <f t="shared" ref="AW58" si="68">AM58*3600+AQ58*60+AV58</f>
        <v>54007.200000000004</v>
      </c>
      <c r="AX58" s="6">
        <f>AW58/3600</f>
        <v>15.002000000000001</v>
      </c>
      <c r="AY58" s="6">
        <f>_xlfn.FLOOR.MATH((AX58))</f>
        <v>15</v>
      </c>
      <c r="AZ58" s="6">
        <f>(AW58-3600*AY58)/60</f>
        <v>0.12000000000007276</v>
      </c>
      <c r="BA58" s="6">
        <f>_xlfn.FLOOR.MATH((AZ58))</f>
        <v>0</v>
      </c>
      <c r="BB58" s="6">
        <f>AW58-3600*AY58-60*BA58</f>
        <v>7.2000000000043656</v>
      </c>
      <c r="BC58" s="6">
        <f>AX58*IF(AE58&lt;0,-1,1)</f>
        <v>15.002000000000001</v>
      </c>
      <c r="BD58" s="7" t="str">
        <f>CONCATENATE(AF58,TEXT(AY58,"00"),"°",TEXT(BA58,"00"),"'",TEXT(BB58,"00.00"), " [", CONCATENATE(AF58,TEXT(AY58,"00"),"°",TEXT(AZ58,"00.00")),"]", "  (", AF58,TEXT(AX58,"00.0000"),"°)")</f>
        <v>15°00'07.20 [15°00.12]  (15.0020°)</v>
      </c>
      <c r="BN58" s="22"/>
    </row>
    <row r="59" spans="1:66" ht="17.25" customHeight="1" thickTop="1" x14ac:dyDescent="0.25">
      <c r="G59" s="270"/>
      <c r="S59" s="17"/>
      <c r="T59" s="17"/>
      <c r="U59" s="17"/>
      <c r="V59" s="17"/>
      <c r="W59" s="17"/>
      <c r="X59" s="17"/>
      <c r="AA59" s="1"/>
      <c r="AB59" s="18"/>
      <c r="AD59" s="37"/>
      <c r="AE59" s="61" t="s">
        <v>154</v>
      </c>
      <c r="AF59" s="22">
        <f>AD55+(I56-M56)*AD58</f>
        <v>338.39493333333331</v>
      </c>
      <c r="AG59" s="269"/>
      <c r="AH59" s="269"/>
      <c r="AI59" s="269"/>
      <c r="AJ59" s="269"/>
      <c r="AK59" s="269"/>
      <c r="AL59" s="269"/>
      <c r="AM59" s="269"/>
      <c r="AN59" s="269"/>
      <c r="AO59" s="269"/>
      <c r="AP59" s="269"/>
      <c r="AQ59" s="269"/>
      <c r="AR59" s="269"/>
      <c r="AS59" s="269"/>
      <c r="AT59" s="269"/>
      <c r="AU59" s="269"/>
      <c r="AV59" s="269"/>
      <c r="AW59" s="269"/>
      <c r="AX59" s="269"/>
      <c r="AY59" s="269"/>
      <c r="AZ59" s="269"/>
      <c r="BA59" s="269"/>
      <c r="BB59" s="269"/>
      <c r="BC59" s="269"/>
      <c r="BD59" s="269"/>
      <c r="BE59" s="269"/>
      <c r="BF59" s="269"/>
      <c r="BN59" s="22"/>
    </row>
    <row r="60" spans="1:66" ht="17.25" customHeight="1" x14ac:dyDescent="0.25">
      <c r="G60" s="270"/>
      <c r="S60" s="17"/>
      <c r="T60" s="17"/>
      <c r="U60" s="17"/>
      <c r="V60" s="17"/>
      <c r="W60" s="17"/>
      <c r="AA60" s="1"/>
      <c r="AB60" s="18">
        <f>AF59</f>
        <v>338.39493333333331</v>
      </c>
      <c r="AC60" s="14" t="str">
        <f>BD60</f>
        <v>338°23'41.76 [338°23.70]  (338.3949°)</v>
      </c>
      <c r="AD60" s="7">
        <f>BC60</f>
        <v>338.39493333333331</v>
      </c>
      <c r="AE60" s="5">
        <f>IF(LEFT(TRIM(AB60),1)="-",-1,IF(LEFT(TRIM(AB60),1)="+",1, 0))</f>
        <v>0</v>
      </c>
      <c r="AF60" s="5" t="str">
        <f>IF(AE60&gt;0,"+",IF(AE60&lt;0,"-",""))</f>
        <v/>
      </c>
      <c r="AG60" s="5">
        <f>IF(ABS(AE60)&gt;0,RIGHT(AB60,LEN(AB60)-1),AB60)</f>
        <v>338.39493333333331</v>
      </c>
      <c r="AH60" s="5" t="b">
        <f>ISNUMBER(SEARCH("°",AG60,1))</f>
        <v>0</v>
      </c>
      <c r="AI60" s="5" t="b">
        <f>ISNUMBER(SEARCH("'",AG60,1))</f>
        <v>0</v>
      </c>
      <c r="AJ60" s="5" t="b">
        <f>ISNUMBER(SEARCH("""",AG60,1))</f>
        <v>0</v>
      </c>
      <c r="AK60" s="5" t="b">
        <f>NOT(OR(AH60,AI60,AJ60))</f>
        <v>1</v>
      </c>
      <c r="AL60" s="5" t="b">
        <f t="shared" ref="AL60" si="69">OR(AK60,AH60)</f>
        <v>1</v>
      </c>
      <c r="AM60" s="6">
        <f>IF(AK60,VALUE(AG60),IF(AH60,VALUE(LEFT(AG60,SEARCH("°",AG60,1)-1)),0))</f>
        <v>338.39493333333331</v>
      </c>
      <c r="AN60" s="5" t="str">
        <f>IF(AK60,"",IF(AH60,RIGHT(AG60,LEN(AG60)-SEARCH("°",AG60,1)),AG60))</f>
        <v/>
      </c>
      <c r="AO60" s="5" t="b">
        <f>(LEN(AN60)&gt;0)</f>
        <v>0</v>
      </c>
      <c r="AP60" s="5" t="b">
        <f>NOT(OR(AI60,AJ60))</f>
        <v>1</v>
      </c>
      <c r="AQ60" s="6">
        <f t="shared" ref="AQ60" si="70">IF(NOT(AO60),0,IF(AP60,VALUE(AN60),IF(NOT(AI60),0,VALUE(LEFT(AN60,SEARCH("'",AN60,1)-1)))))</f>
        <v>0</v>
      </c>
      <c r="AR60" s="5" t="str">
        <f t="shared" ref="AR60" si="71">IF(NOT(AO60),"",IF(AP60,"",IF(NOT(AI60),AN60,RIGHT(AN60,LEN(AN60)-SEARCH("'",AN60,1)))))</f>
        <v/>
      </c>
      <c r="AS60" s="5" t="b">
        <f>(LEN(AR60)&gt;0)</f>
        <v>0</v>
      </c>
      <c r="AT60" s="5" t="b">
        <f t="shared" ref="AT60" si="72">NOT(AJ60)</f>
        <v>1</v>
      </c>
      <c r="AU60" s="5" t="b">
        <f>ISNUMBER(SEARCH(".",AR60,1))</f>
        <v>0</v>
      </c>
      <c r="AV60" s="6">
        <f t="shared" ref="AV60" si="73">IF(AS60,IF(AJ60,IF(AU60,VALUE(SUBSTITUTE(AR60, """", "")),VALUE(SUBSTITUTE(AR60, """", "."))),VALUE(AR60)),0)</f>
        <v>0</v>
      </c>
      <c r="AW60" s="6">
        <f t="shared" ref="AW60" si="74">AM60*3600+AQ60*60+AV60</f>
        <v>1218221.76</v>
      </c>
      <c r="AX60" s="6">
        <f>AW60/3600</f>
        <v>338.39493333333331</v>
      </c>
      <c r="AY60" s="6">
        <f>_xlfn.FLOOR.MATH((AX60))</f>
        <v>338</v>
      </c>
      <c r="AZ60" s="6">
        <f>(AW60-3600*AY60)/60</f>
        <v>23.696000000000154</v>
      </c>
      <c r="BA60" s="6">
        <f>_xlfn.FLOOR.MATH((AZ60))</f>
        <v>23</v>
      </c>
      <c r="BB60" s="6">
        <f>AW60-3600*AY60-60*BA60</f>
        <v>41.760000000009313</v>
      </c>
      <c r="BC60" s="6">
        <f>AX60*IF(AE60&lt;0,-1,1)</f>
        <v>338.39493333333331</v>
      </c>
      <c r="BD60" s="7" t="str">
        <f>CONCATENATE(AF60,TEXT(AY60,"00"),"°",TEXT(BA60,"00"),"'",TEXT(BB60,"00.00"), " [", CONCATENATE(AF60,TEXT(AY60,"00"),"°",TEXT(AZ60,"00.00")),"]", "  (", AF60,TEXT(AX60,"00.0000"),"°)")</f>
        <v>338°23'41.76 [338°23.70]  (338.3949°)</v>
      </c>
      <c r="BN60" s="22"/>
    </row>
    <row r="61" spans="1:66" s="22" customFormat="1" ht="17.25" customHeight="1" thickBot="1" x14ac:dyDescent="0.3">
      <c r="A61" s="1"/>
      <c r="B61" s="1"/>
      <c r="C61" s="270"/>
      <c r="D61" s="270"/>
      <c r="E61" s="270"/>
      <c r="F61" s="270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7"/>
      <c r="S61" s="17"/>
      <c r="T61" s="17"/>
      <c r="U61" s="17"/>
      <c r="V61" s="17"/>
      <c r="W61" s="17"/>
      <c r="X61" s="1"/>
      <c r="Y61" s="1"/>
      <c r="Z61" s="1"/>
      <c r="AA61" s="18"/>
      <c r="AB61" s="28"/>
      <c r="AC61" s="37"/>
      <c r="AD61" s="17"/>
      <c r="AE61" s="269"/>
      <c r="AF61" s="269"/>
      <c r="AG61" s="269"/>
      <c r="AH61" s="269"/>
      <c r="AI61" s="269"/>
      <c r="AJ61" s="269"/>
      <c r="AK61" s="17"/>
      <c r="AL61" s="17"/>
      <c r="AM61" s="17"/>
      <c r="AN61" s="17"/>
      <c r="AO61" s="17"/>
      <c r="AP61" s="17"/>
      <c r="AQ61" s="17"/>
      <c r="AR61" s="17"/>
      <c r="AS61" s="17"/>
      <c r="AT61" s="17"/>
      <c r="BN61" s="1"/>
    </row>
    <row r="62" spans="1:66" s="22" customFormat="1" ht="17.25" customHeight="1" thickBot="1" x14ac:dyDescent="0.3">
      <c r="A62" s="1"/>
      <c r="B62" s="47" t="s">
        <v>467</v>
      </c>
      <c r="C62" s="48"/>
      <c r="D62" s="48"/>
      <c r="E62" s="790"/>
      <c r="F62" s="790"/>
      <c r="G62" s="790"/>
      <c r="H62" s="48"/>
      <c r="I62" s="48"/>
      <c r="J62" s="48"/>
      <c r="K62" s="48"/>
      <c r="L62" s="48"/>
      <c r="M62" s="48"/>
      <c r="N62" s="48"/>
      <c r="O62" s="48"/>
      <c r="P62" s="48"/>
      <c r="Q62" s="48"/>
      <c r="R62" s="48"/>
      <c r="S62" s="48"/>
      <c r="T62" s="48"/>
      <c r="U62" s="48"/>
      <c r="V62" s="48"/>
      <c r="W62" s="48"/>
      <c r="X62" s="48"/>
      <c r="Y62" s="48"/>
      <c r="Z62" s="48"/>
      <c r="AA62" s="48"/>
      <c r="AB62" s="48"/>
      <c r="AC62" s="48"/>
      <c r="AD62" s="48"/>
      <c r="AE62" s="48"/>
      <c r="AF62" s="48"/>
      <c r="AG62" s="48"/>
      <c r="AH62" s="48"/>
      <c r="AI62" s="48"/>
      <c r="AJ62" s="48"/>
      <c r="AK62" s="48"/>
      <c r="AL62" s="48"/>
      <c r="AM62" s="48"/>
      <c r="AN62" s="48"/>
      <c r="AO62" s="48"/>
      <c r="AP62" s="48"/>
      <c r="AQ62" s="48"/>
      <c r="AR62" s="48"/>
      <c r="AS62" s="48"/>
      <c r="AT62" s="48"/>
      <c r="AU62" s="48"/>
      <c r="AV62" s="48"/>
      <c r="AW62" s="48"/>
      <c r="AX62" s="48"/>
      <c r="AY62" s="48"/>
      <c r="AZ62" s="48"/>
      <c r="BA62" s="49"/>
      <c r="BB62" s="50"/>
      <c r="BC62" s="50"/>
      <c r="BD62" s="50"/>
      <c r="BE62" s="50"/>
      <c r="BF62" s="50"/>
      <c r="BG62" s="50"/>
      <c r="BH62" s="50"/>
      <c r="BI62" s="50"/>
      <c r="BN62" s="1"/>
    </row>
    <row r="63" spans="1:66" s="22" customFormat="1" ht="17.25" customHeight="1" thickBot="1" x14ac:dyDescent="0.3">
      <c r="B63" s="269"/>
      <c r="C63" s="588" t="s">
        <v>469</v>
      </c>
      <c r="D63" s="588"/>
      <c r="E63" s="588"/>
      <c r="F63" s="588"/>
      <c r="G63" s="588"/>
      <c r="H63" s="269"/>
      <c r="I63" s="269"/>
      <c r="J63" s="269"/>
      <c r="K63" s="269"/>
      <c r="L63" s="269"/>
      <c r="M63" s="269"/>
      <c r="N63" s="269"/>
      <c r="O63" s="269"/>
      <c r="P63" s="269"/>
      <c r="Q63" s="269"/>
      <c r="R63" s="269"/>
      <c r="S63" s="269"/>
      <c r="T63" s="269"/>
      <c r="U63" s="269"/>
      <c r="V63" s="269"/>
      <c r="W63" s="269"/>
      <c r="X63" s="269"/>
      <c r="Y63" s="269"/>
      <c r="Z63" s="269"/>
      <c r="AA63" s="159"/>
      <c r="AB63" s="159"/>
      <c r="AC63" s="159"/>
      <c r="AD63" s="159"/>
      <c r="AE63" s="159"/>
      <c r="AF63" s="159"/>
      <c r="AG63" s="159"/>
      <c r="AH63" s="159"/>
      <c r="AI63" s="159"/>
      <c r="AJ63" s="159"/>
      <c r="AK63" s="159"/>
      <c r="AL63" s="159"/>
      <c r="AM63" s="159"/>
      <c r="AN63" s="159"/>
      <c r="AO63" s="159"/>
      <c r="AP63" s="159"/>
      <c r="AQ63" s="159"/>
      <c r="AR63" s="159"/>
      <c r="AS63" s="159"/>
      <c r="AT63" s="159"/>
      <c r="AU63" s="159"/>
      <c r="AV63" s="159"/>
      <c r="AW63" s="159"/>
      <c r="AX63" s="159"/>
      <c r="AY63" s="159"/>
      <c r="AZ63" s="159"/>
      <c r="BA63" s="159"/>
      <c r="BB63" s="50"/>
      <c r="BC63" s="50"/>
      <c r="BD63" s="50"/>
      <c r="BE63" s="50"/>
      <c r="BF63" s="50"/>
      <c r="BG63" s="50"/>
      <c r="BH63" s="50"/>
      <c r="BI63" s="50"/>
    </row>
    <row r="64" spans="1:66" s="22" customFormat="1" ht="17.25" customHeight="1" thickTop="1" thickBot="1" x14ac:dyDescent="0.3">
      <c r="A64" s="1"/>
      <c r="B64" s="1"/>
      <c r="C64" s="270"/>
      <c r="D64" s="270"/>
      <c r="E64" s="373">
        <f>AC65</f>
        <v>320.11166666666668</v>
      </c>
      <c r="F64" s="340"/>
      <c r="G64" s="589"/>
      <c r="H64" s="591" t="s">
        <v>489</v>
      </c>
      <c r="I64" s="592"/>
      <c r="J64" s="592"/>
      <c r="K64" s="593"/>
      <c r="L64" s="357" t="str">
        <f>AB65</f>
        <v>320°06'42.00 [320°06.70]  (320.1117°)</v>
      </c>
      <c r="M64" s="357"/>
      <c r="N64" s="357"/>
      <c r="O64" s="357"/>
      <c r="P64" s="357"/>
      <c r="Q64" s="357"/>
      <c r="R64" s="357"/>
      <c r="S64" s="1"/>
      <c r="T64" s="1"/>
      <c r="U64" s="1"/>
      <c r="V64" s="17"/>
      <c r="W64" s="17"/>
      <c r="X64" s="1"/>
      <c r="Y64" s="1"/>
      <c r="Z64" s="1"/>
      <c r="AA64" s="18"/>
      <c r="AB64" s="19"/>
      <c r="AC64" s="20"/>
      <c r="AD64" s="3" t="s">
        <v>57</v>
      </c>
      <c r="AE64" s="3" t="s">
        <v>57</v>
      </c>
      <c r="AF64" s="3" t="s">
        <v>304</v>
      </c>
      <c r="AG64" s="3" t="s">
        <v>120</v>
      </c>
      <c r="AH64" s="3" t="s">
        <v>121</v>
      </c>
      <c r="AI64" s="3" t="s">
        <v>122</v>
      </c>
      <c r="AJ64" s="3" t="s">
        <v>123</v>
      </c>
      <c r="AK64" s="3" t="s">
        <v>124</v>
      </c>
      <c r="AL64" s="3" t="s">
        <v>125</v>
      </c>
      <c r="AM64" s="3" t="s">
        <v>101</v>
      </c>
      <c r="AN64" s="3" t="s">
        <v>129</v>
      </c>
      <c r="AO64" s="3" t="s">
        <v>128</v>
      </c>
      <c r="AP64" s="3" t="s">
        <v>126</v>
      </c>
      <c r="AQ64" s="3" t="s">
        <v>127</v>
      </c>
      <c r="AR64" s="3" t="s">
        <v>129</v>
      </c>
      <c r="AS64" s="3" t="s">
        <v>128</v>
      </c>
      <c r="AT64" s="3" t="s">
        <v>130</v>
      </c>
      <c r="AU64" s="3" t="s">
        <v>112</v>
      </c>
      <c r="AV64" s="3" t="s">
        <v>117</v>
      </c>
      <c r="AW64" s="3" t="s">
        <v>143</v>
      </c>
      <c r="AX64" s="3" t="s">
        <v>149</v>
      </c>
      <c r="AY64" s="3" t="s">
        <v>131</v>
      </c>
      <c r="AZ64" s="3" t="s">
        <v>150</v>
      </c>
      <c r="BA64" s="3" t="s">
        <v>112</v>
      </c>
      <c r="BB64" s="3" t="s">
        <v>308</v>
      </c>
      <c r="BC64" s="3" t="s">
        <v>151</v>
      </c>
      <c r="BN64" s="1"/>
    </row>
    <row r="65" spans="1:66" s="22" customFormat="1" ht="17.25" customHeight="1" thickTop="1" thickBot="1" x14ac:dyDescent="0.3">
      <c r="A65" s="1"/>
      <c r="B65" s="1"/>
      <c r="C65" s="270"/>
      <c r="D65" s="270"/>
      <c r="E65" s="580"/>
      <c r="F65" s="523"/>
      <c r="G65" s="590"/>
      <c r="H65" s="594"/>
      <c r="I65" s="595"/>
      <c r="J65" s="595"/>
      <c r="K65" s="596"/>
      <c r="L65" s="357"/>
      <c r="M65" s="357"/>
      <c r="N65" s="357"/>
      <c r="O65" s="357"/>
      <c r="P65" s="357"/>
      <c r="Q65" s="357"/>
      <c r="R65" s="357"/>
      <c r="S65" s="1"/>
      <c r="T65" s="1"/>
      <c r="U65" s="1"/>
      <c r="V65" s="17"/>
      <c r="W65" s="17"/>
      <c r="X65" s="1"/>
      <c r="Y65" s="1"/>
      <c r="Z65" s="1"/>
      <c r="AA65" s="18" t="str">
        <f>H64</f>
        <v>320°06.7</v>
      </c>
      <c r="AB65" s="14" t="str">
        <f>BC65</f>
        <v>320°06'42.00 [320°06.70]  (320.1117°)</v>
      </c>
      <c r="AC65" s="7">
        <f>BB65</f>
        <v>320.11166666666668</v>
      </c>
      <c r="AD65" s="5">
        <f>IF(LEFT(TRIM(AA65),1)="-",-1,IF(LEFT(TRIM(AA65),1)="+",1, 0))</f>
        <v>0</v>
      </c>
      <c r="AE65" s="5" t="str">
        <f>IF(AD65&gt;0,"+",IF(AD65&lt;0,"-",""))</f>
        <v/>
      </c>
      <c r="AF65" s="5" t="str">
        <f>IF(ABS(AD65)&gt;0,RIGHT(AA65,LEN(AA65)-1),AA65)</f>
        <v>320°06.7</v>
      </c>
      <c r="AG65" s="5" t="b">
        <f>ISNUMBER(SEARCH("°",AF65,1))</f>
        <v>1</v>
      </c>
      <c r="AH65" s="5" t="b">
        <f>ISNUMBER(SEARCH("'",AF65,1))</f>
        <v>0</v>
      </c>
      <c r="AI65" s="5" t="b">
        <f>ISNUMBER(SEARCH("""",AF65,1))</f>
        <v>0</v>
      </c>
      <c r="AJ65" s="5" t="b">
        <f>NOT(OR(AG65,AH65,AI65))</f>
        <v>0</v>
      </c>
      <c r="AK65" s="5" t="b">
        <f t="shared" ref="AK65" si="75">OR(AJ65,AG65)</f>
        <v>1</v>
      </c>
      <c r="AL65" s="6" t="str">
        <f>IF(AJ65,VALUE(AF65),IF(AG65,LEFT(AF65,SEARCH("°",AF65,1)-1),0))</f>
        <v>320</v>
      </c>
      <c r="AM65" s="5" t="str">
        <f>IF(AJ65,"",IF(AG65,RIGHT(AF65,LEN(AF65)-SEARCH("°",AF65,1)),AF65))</f>
        <v>06.7</v>
      </c>
      <c r="AN65" s="5" t="b">
        <f>(LEN(AM65)&gt;0)</f>
        <v>1</v>
      </c>
      <c r="AO65" s="5" t="b">
        <f>NOT(OR(AH65,AI65))</f>
        <v>1</v>
      </c>
      <c r="AP65" s="6">
        <f t="shared" ref="AP65" si="76">IF(NOT(AN65),0,IF(AO65,VALUE(AM65),IF(NOT(AH65),0,VALUE(LEFT(AM65,SEARCH("'",AM65,1)-1)))))</f>
        <v>6.7</v>
      </c>
      <c r="AQ65" s="5" t="str">
        <f t="shared" ref="AQ65" si="77">IF(NOT(AN65),"",IF(AO65,"",IF(NOT(AH65),AM65,RIGHT(AM65,LEN(AM65)-SEARCH("'",AM65,1)))))</f>
        <v/>
      </c>
      <c r="AR65" s="5" t="b">
        <f>(LEN(AQ65)&gt;0)</f>
        <v>0</v>
      </c>
      <c r="AS65" s="5" t="b">
        <f t="shared" ref="AS65" si="78">NOT(AI65)</f>
        <v>1</v>
      </c>
      <c r="AT65" s="5" t="b">
        <f>ISNUMBER(SEARCH(".",AQ65,1))</f>
        <v>0</v>
      </c>
      <c r="AU65" s="6">
        <f t="shared" ref="AU65" si="79">IF(AR65,IF(AI65,IF(AT65,VALUE(SUBSTITUTE(AQ65, """", "")),VALUE(SUBSTITUTE(AQ65, """", "."))),VALUE(AQ65)),0)</f>
        <v>0</v>
      </c>
      <c r="AV65" s="6">
        <f t="shared" ref="AV65" si="80">AL65*3600+AP65*60+AU65</f>
        <v>1152402</v>
      </c>
      <c r="AW65" s="6">
        <f>AV65/3600</f>
        <v>320.11166666666668</v>
      </c>
      <c r="AX65" s="6">
        <f>_xlfn.FLOOR.MATH((AW65))</f>
        <v>320</v>
      </c>
      <c r="AY65" s="6">
        <f>(AV65-3600*AX65)/60</f>
        <v>6.7</v>
      </c>
      <c r="AZ65" s="6">
        <f>_xlfn.FLOOR.MATH((AY65))</f>
        <v>6</v>
      </c>
      <c r="BA65" s="6">
        <f>AV65-3600*AX65-60*AZ65</f>
        <v>42</v>
      </c>
      <c r="BB65" s="6">
        <f>AW65*IF(AD65&lt;0,-1,1)</f>
        <v>320.11166666666668</v>
      </c>
      <c r="BC65" s="7" t="str">
        <f>CONCATENATE(AE65,TEXT(AX65,"00"),"°",TEXT(AZ65,"00"),"'",TEXT(BA65,"00.00"), " [", CONCATENATE(AE65,TEXT(AX65,"00"),"°",TEXT(AY65,"00.00")),"]", "  (", AE65,TEXT(AW65,"00.0000"),"°)")</f>
        <v>320°06'42.00 [320°06.70]  (320.1117°)</v>
      </c>
      <c r="BN65" s="1"/>
    </row>
    <row r="66" spans="1:66" s="22" customFormat="1" ht="17.25" customHeight="1" thickTop="1" thickBot="1" x14ac:dyDescent="0.3">
      <c r="B66" s="269"/>
      <c r="C66" s="588" t="s">
        <v>468</v>
      </c>
      <c r="D66" s="588"/>
      <c r="E66" s="588"/>
      <c r="F66" s="588"/>
      <c r="G66" s="588"/>
      <c r="H66" s="269"/>
      <c r="I66" s="269"/>
      <c r="J66" s="269"/>
      <c r="K66" s="269"/>
      <c r="L66" s="269"/>
      <c r="M66" s="269"/>
      <c r="N66" s="269"/>
      <c r="O66" s="269"/>
      <c r="P66" s="269"/>
      <c r="Q66" s="269"/>
      <c r="R66" s="269"/>
      <c r="S66" s="269"/>
      <c r="T66" s="269"/>
      <c r="U66" s="269"/>
      <c r="V66" s="269"/>
      <c r="W66" s="269"/>
      <c r="X66" s="269"/>
      <c r="Y66" s="269"/>
      <c r="Z66" s="269"/>
      <c r="AA66" s="159"/>
      <c r="AB66" s="159"/>
      <c r="AC66" s="159"/>
      <c r="AD66" s="159"/>
      <c r="AE66" s="159"/>
      <c r="AF66" s="159"/>
      <c r="AG66" s="159"/>
      <c r="AH66" s="159"/>
      <c r="AI66" s="159"/>
      <c r="AJ66" s="159"/>
      <c r="AK66" s="159"/>
      <c r="AL66" s="159"/>
      <c r="AM66" s="159"/>
      <c r="AN66" s="159"/>
      <c r="AO66" s="159"/>
      <c r="AP66" s="159"/>
      <c r="AQ66" s="159"/>
      <c r="AR66" s="159"/>
      <c r="AS66" s="159"/>
      <c r="AT66" s="159"/>
      <c r="AU66" s="159"/>
      <c r="AV66" s="159"/>
      <c r="AW66" s="159"/>
      <c r="AX66" s="159"/>
      <c r="AY66" s="159"/>
      <c r="AZ66" s="159"/>
      <c r="BA66" s="159"/>
      <c r="BB66" s="50"/>
      <c r="BC66" s="50"/>
      <c r="BD66" s="50"/>
      <c r="BE66" s="50"/>
      <c r="BF66" s="50"/>
      <c r="BG66" s="50"/>
      <c r="BH66" s="50"/>
      <c r="BI66" s="50"/>
    </row>
    <row r="67" spans="1:66" s="22" customFormat="1" ht="17.25" customHeight="1" thickTop="1" thickBot="1" x14ac:dyDescent="0.3">
      <c r="A67" s="1"/>
      <c r="B67" s="1"/>
      <c r="C67" s="270"/>
      <c r="D67" s="270"/>
      <c r="E67" s="373">
        <f>AC68</f>
        <v>89.303333333333327</v>
      </c>
      <c r="F67" s="340"/>
      <c r="G67" s="589"/>
      <c r="H67" s="591" t="s">
        <v>482</v>
      </c>
      <c r="I67" s="592"/>
      <c r="J67" s="592"/>
      <c r="K67" s="593"/>
      <c r="L67" s="357" t="str">
        <f>AB68</f>
        <v>89°18'12.00 [89°18.20]  (89.3033°)</v>
      </c>
      <c r="M67" s="357"/>
      <c r="N67" s="357"/>
      <c r="O67" s="357"/>
      <c r="P67" s="357"/>
      <c r="Q67" s="357"/>
      <c r="R67" s="357"/>
      <c r="S67" s="1"/>
      <c r="T67" s="1"/>
      <c r="U67" s="1"/>
      <c r="V67" s="17"/>
      <c r="W67" s="17"/>
      <c r="X67" s="1"/>
      <c r="Y67" s="1"/>
      <c r="Z67" s="1"/>
      <c r="AA67" s="18"/>
      <c r="AB67" s="19"/>
      <c r="AC67" s="20"/>
      <c r="AD67" s="3" t="s">
        <v>57</v>
      </c>
      <c r="AE67" s="3" t="s">
        <v>57</v>
      </c>
      <c r="AF67" s="3" t="s">
        <v>304</v>
      </c>
      <c r="AG67" s="3" t="s">
        <v>120</v>
      </c>
      <c r="AH67" s="3" t="s">
        <v>121</v>
      </c>
      <c r="AI67" s="3" t="s">
        <v>122</v>
      </c>
      <c r="AJ67" s="3" t="s">
        <v>123</v>
      </c>
      <c r="AK67" s="3" t="s">
        <v>124</v>
      </c>
      <c r="AL67" s="3" t="s">
        <v>125</v>
      </c>
      <c r="AM67" s="3" t="s">
        <v>101</v>
      </c>
      <c r="AN67" s="3" t="s">
        <v>129</v>
      </c>
      <c r="AO67" s="3" t="s">
        <v>128</v>
      </c>
      <c r="AP67" s="3" t="s">
        <v>126</v>
      </c>
      <c r="AQ67" s="3" t="s">
        <v>127</v>
      </c>
      <c r="AR67" s="3" t="s">
        <v>129</v>
      </c>
      <c r="AS67" s="3" t="s">
        <v>128</v>
      </c>
      <c r="AT67" s="3" t="s">
        <v>130</v>
      </c>
      <c r="AU67" s="3" t="s">
        <v>112</v>
      </c>
      <c r="AV67" s="3" t="s">
        <v>117</v>
      </c>
      <c r="AW67" s="3" t="s">
        <v>143</v>
      </c>
      <c r="AX67" s="3" t="s">
        <v>149</v>
      </c>
      <c r="AY67" s="3" t="s">
        <v>131</v>
      </c>
      <c r="AZ67" s="3" t="s">
        <v>150</v>
      </c>
      <c r="BA67" s="3" t="s">
        <v>112</v>
      </c>
      <c r="BB67" s="3" t="s">
        <v>308</v>
      </c>
      <c r="BC67" s="3" t="s">
        <v>151</v>
      </c>
      <c r="BN67" s="1"/>
    </row>
    <row r="68" spans="1:66" s="22" customFormat="1" ht="17.25" customHeight="1" thickTop="1" thickBot="1" x14ac:dyDescent="0.3">
      <c r="A68" s="1"/>
      <c r="B68" s="1"/>
      <c r="C68" s="270"/>
      <c r="D68" s="270"/>
      <c r="E68" s="580"/>
      <c r="F68" s="523"/>
      <c r="G68" s="590"/>
      <c r="H68" s="594"/>
      <c r="I68" s="595"/>
      <c r="J68" s="595"/>
      <c r="K68" s="596"/>
      <c r="L68" s="357"/>
      <c r="M68" s="357"/>
      <c r="N68" s="357"/>
      <c r="O68" s="357"/>
      <c r="P68" s="357"/>
      <c r="Q68" s="357"/>
      <c r="R68" s="357"/>
      <c r="S68" s="1"/>
      <c r="T68" s="1"/>
      <c r="U68" s="1"/>
      <c r="V68" s="17"/>
      <c r="W68" s="17"/>
      <c r="X68" s="1"/>
      <c r="Y68" s="1"/>
      <c r="Z68" s="1"/>
      <c r="AA68" s="18" t="str">
        <f>H67</f>
        <v>89°18.2</v>
      </c>
      <c r="AB68" s="14" t="str">
        <f>BC68</f>
        <v>89°18'12.00 [89°18.20]  (89.3033°)</v>
      </c>
      <c r="AC68" s="7">
        <f>BB68</f>
        <v>89.303333333333327</v>
      </c>
      <c r="AD68" s="5">
        <f>IF(LEFT(TRIM(AA68),1)="-",-1,IF(LEFT(TRIM(AA68),1)="+",1, 0))</f>
        <v>0</v>
      </c>
      <c r="AE68" s="5" t="str">
        <f>IF(AD68&gt;0,"+",IF(AD68&lt;0,"-",""))</f>
        <v/>
      </c>
      <c r="AF68" s="5" t="str">
        <f>IF(ABS(AD68)&gt;0,RIGHT(AA68,LEN(AA68)-1),AA68)</f>
        <v>89°18.2</v>
      </c>
      <c r="AG68" s="5" t="b">
        <f>ISNUMBER(SEARCH("°",AF68,1))</f>
        <v>1</v>
      </c>
      <c r="AH68" s="5" t="b">
        <f>ISNUMBER(SEARCH("'",AF68,1))</f>
        <v>0</v>
      </c>
      <c r="AI68" s="5" t="b">
        <f>ISNUMBER(SEARCH("""",AF68,1))</f>
        <v>0</v>
      </c>
      <c r="AJ68" s="5" t="b">
        <f>NOT(OR(AG68,AH68,AI68))</f>
        <v>0</v>
      </c>
      <c r="AK68" s="5" t="b">
        <f t="shared" ref="AK68" si="81">OR(AJ68,AG68)</f>
        <v>1</v>
      </c>
      <c r="AL68" s="6" t="str">
        <f>IF(AJ68,VALUE(AF68),IF(AG68,LEFT(AF68,SEARCH("°",AF68,1)-1),0))</f>
        <v>89</v>
      </c>
      <c r="AM68" s="5" t="str">
        <f>IF(AJ68,"",IF(AG68,RIGHT(AF68,LEN(AF68)-SEARCH("°",AF68,1)),AF68))</f>
        <v>18.2</v>
      </c>
      <c r="AN68" s="5" t="b">
        <f>(LEN(AM68)&gt;0)</f>
        <v>1</v>
      </c>
      <c r="AO68" s="5" t="b">
        <f>NOT(OR(AH68,AI68))</f>
        <v>1</v>
      </c>
      <c r="AP68" s="6">
        <f t="shared" ref="AP68" si="82">IF(NOT(AN68),0,IF(AO68,VALUE(AM68),IF(NOT(AH68),0,VALUE(LEFT(AM68,SEARCH("'",AM68,1)-1)))))</f>
        <v>18.2</v>
      </c>
      <c r="AQ68" s="5" t="str">
        <f t="shared" ref="AQ68" si="83">IF(NOT(AN68),"",IF(AO68,"",IF(NOT(AH68),AM68,RIGHT(AM68,LEN(AM68)-SEARCH("'",AM68,1)))))</f>
        <v/>
      </c>
      <c r="AR68" s="5" t="b">
        <f>(LEN(AQ68)&gt;0)</f>
        <v>0</v>
      </c>
      <c r="AS68" s="5" t="b">
        <f t="shared" ref="AS68" si="84">NOT(AI68)</f>
        <v>1</v>
      </c>
      <c r="AT68" s="5" t="b">
        <f>ISNUMBER(SEARCH(".",AQ68,1))</f>
        <v>0</v>
      </c>
      <c r="AU68" s="6">
        <f t="shared" ref="AU68" si="85">IF(AR68,IF(AI68,IF(AT68,VALUE(SUBSTITUTE(AQ68, """", "")),VALUE(SUBSTITUTE(AQ68, """", "."))),VALUE(AQ68)),0)</f>
        <v>0</v>
      </c>
      <c r="AV68" s="6">
        <f t="shared" ref="AV68" si="86">AL68*3600+AP68*60+AU68</f>
        <v>321492</v>
      </c>
      <c r="AW68" s="6">
        <f>AV68/3600</f>
        <v>89.303333333333327</v>
      </c>
      <c r="AX68" s="6">
        <f>_xlfn.FLOOR.MATH((AW68))</f>
        <v>89</v>
      </c>
      <c r="AY68" s="6">
        <f>(AV68-3600*AX68)/60</f>
        <v>18.2</v>
      </c>
      <c r="AZ68" s="6">
        <f>_xlfn.FLOOR.MATH((AY68))</f>
        <v>18</v>
      </c>
      <c r="BA68" s="6">
        <f>AV68-3600*AX68-60*AZ68</f>
        <v>12</v>
      </c>
      <c r="BB68" s="6">
        <f>AW68*IF(AD68&lt;0,-1,1)</f>
        <v>89.303333333333327</v>
      </c>
      <c r="BC68" s="7" t="str">
        <f>CONCATENATE(AE68,TEXT(AX68,"00"),"°",TEXT(AZ68,"00"),"'",TEXT(BA68,"00.00"), " [", CONCATENATE(AE68,TEXT(AX68,"00"),"°",TEXT(AY68,"00.00")),"]", "  (", AE68,TEXT(AW68,"00.0000"),"°)")</f>
        <v>89°18'12.00 [89°18.20]  (89.3033°)</v>
      </c>
      <c r="BN68" s="1"/>
    </row>
    <row r="69" spans="1:66" s="22" customFormat="1" ht="17.25" customHeight="1" thickTop="1" x14ac:dyDescent="0.25">
      <c r="A69" s="1"/>
      <c r="B69" s="1"/>
      <c r="C69" s="270"/>
      <c r="D69" s="270"/>
      <c r="E69" s="270"/>
      <c r="F69" s="270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7"/>
      <c r="S69" s="17"/>
      <c r="T69" s="17"/>
      <c r="U69" s="17"/>
      <c r="V69" s="17"/>
      <c r="W69" s="17"/>
      <c r="X69" s="1"/>
      <c r="Y69" s="1"/>
      <c r="Z69" s="1"/>
      <c r="AA69" s="18"/>
      <c r="AB69" s="28"/>
      <c r="AC69" s="28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T69" s="17"/>
      <c r="BN69" s="1"/>
    </row>
    <row r="70" spans="1:66" s="50" customFormat="1" ht="17.25" customHeight="1" x14ac:dyDescent="0.25">
      <c r="A70" s="1"/>
      <c r="B70" s="1"/>
      <c r="C70" s="270"/>
      <c r="D70" s="270"/>
      <c r="E70" s="270"/>
      <c r="F70" s="270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8"/>
      <c r="AB70" s="28"/>
      <c r="AC70" s="28"/>
      <c r="AD70" s="22"/>
      <c r="AE70" s="22"/>
      <c r="AF70" s="22"/>
      <c r="AG70" s="22"/>
      <c r="AH70" s="17"/>
      <c r="AI70" s="17"/>
      <c r="AJ70" s="17"/>
      <c r="AK70" s="17"/>
      <c r="AL70" s="17"/>
      <c r="AM70" s="17"/>
      <c r="AN70" s="17"/>
      <c r="AO70" s="17"/>
      <c r="AP70" s="17"/>
      <c r="AQ70" s="17"/>
      <c r="AR70" s="17"/>
      <c r="AS70" s="17"/>
      <c r="AT70" s="17"/>
      <c r="AU70" s="22"/>
      <c r="AV70" s="22"/>
      <c r="AW70" s="22"/>
      <c r="AX70" s="22"/>
      <c r="AY70" s="22"/>
      <c r="AZ70" s="22"/>
      <c r="BA70" s="22"/>
    </row>
    <row r="71" spans="1:66" ht="17.25" customHeight="1" thickBot="1" x14ac:dyDescent="0.3"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AD71" s="31"/>
      <c r="AE71" s="31"/>
      <c r="AF71" s="31"/>
      <c r="AG71" s="31"/>
      <c r="AH71" s="60"/>
      <c r="AI71" s="31"/>
      <c r="AJ71" s="31"/>
      <c r="AK71" s="31"/>
      <c r="AL71" s="31"/>
      <c r="AM71" s="31"/>
      <c r="AN71" s="63"/>
      <c r="AO71" s="31"/>
      <c r="AP71" s="31"/>
      <c r="AQ71" s="31"/>
      <c r="AR71" s="31"/>
      <c r="AS71" s="31"/>
      <c r="AT71" s="17"/>
    </row>
    <row r="72" spans="1:66" s="17" customFormat="1" ht="17.25" customHeight="1" thickBot="1" x14ac:dyDescent="0.3">
      <c r="A72" s="1"/>
      <c r="B72" s="47" t="s">
        <v>470</v>
      </c>
      <c r="C72" s="48"/>
      <c r="D72" s="48"/>
      <c r="E72" s="362">
        <f>H73</f>
        <v>252.25659999999993</v>
      </c>
      <c r="F72" s="362"/>
      <c r="G72" s="362"/>
      <c r="H72" s="48"/>
      <c r="I72" s="332" t="s">
        <v>157</v>
      </c>
      <c r="J72" s="332"/>
      <c r="K72" s="332"/>
      <c r="L72" s="460" t="str">
        <f>I20</f>
        <v>Polaire</v>
      </c>
      <c r="M72" s="460"/>
      <c r="N72" s="460"/>
      <c r="O72" s="48"/>
      <c r="P72" s="48"/>
      <c r="Q72" s="48"/>
      <c r="R72" s="48"/>
      <c r="S72" s="48"/>
      <c r="T72" s="48"/>
      <c r="U72" s="48"/>
      <c r="V72" s="48"/>
      <c r="W72" s="48"/>
      <c r="X72" s="48"/>
      <c r="Y72" s="48"/>
      <c r="Z72" s="48"/>
      <c r="AA72" s="48"/>
      <c r="AB72" s="48"/>
      <c r="AC72" s="48"/>
      <c r="AD72" s="48"/>
      <c r="AE72" s="48"/>
      <c r="AF72" s="48"/>
      <c r="AG72" s="48"/>
      <c r="AH72" s="48"/>
      <c r="AI72" s="48"/>
      <c r="AJ72" s="48"/>
      <c r="AK72" s="48"/>
      <c r="AL72" s="48"/>
      <c r="AM72" s="48"/>
      <c r="AN72" s="48"/>
      <c r="AO72" s="48"/>
      <c r="AP72" s="48"/>
      <c r="AQ72" s="48"/>
      <c r="AR72" s="48"/>
      <c r="AS72" s="48"/>
      <c r="AT72" s="48"/>
      <c r="AU72" s="48"/>
      <c r="AV72" s="48"/>
      <c r="AW72" s="48"/>
      <c r="AX72" s="48"/>
      <c r="AY72" s="48"/>
      <c r="AZ72" s="48"/>
      <c r="BA72" s="49"/>
      <c r="BB72" s="50"/>
      <c r="BC72" s="39"/>
      <c r="BD72" s="39"/>
      <c r="BE72" s="39"/>
      <c r="BF72" s="39"/>
      <c r="BG72" s="39"/>
      <c r="BH72" s="39"/>
      <c r="BI72" s="39"/>
      <c r="BJ72" s="39"/>
      <c r="BK72" s="39"/>
      <c r="BL72" s="39"/>
      <c r="BM72" s="39"/>
    </row>
    <row r="73" spans="1:66" ht="17.25" customHeight="1" thickBot="1" x14ac:dyDescent="0.3">
      <c r="C73" s="282" t="s">
        <v>27</v>
      </c>
      <c r="D73" s="282"/>
      <c r="E73" s="282"/>
      <c r="F73" s="282"/>
      <c r="G73" s="283"/>
      <c r="H73" s="292">
        <f>AG74</f>
        <v>252.25659999999993</v>
      </c>
      <c r="I73" s="293"/>
      <c r="J73" s="293"/>
      <c r="K73" s="294"/>
      <c r="L73" s="64" t="s">
        <v>74</v>
      </c>
      <c r="M73" s="362">
        <f>AD74</f>
        <v>612.25659999999993</v>
      </c>
      <c r="N73" s="362"/>
      <c r="O73" s="362"/>
      <c r="P73" s="362"/>
      <c r="AD73" s="31" t="s">
        <v>75</v>
      </c>
      <c r="AE73" s="31" t="s">
        <v>57</v>
      </c>
      <c r="AF73" s="31" t="s">
        <v>76</v>
      </c>
      <c r="AG73" s="31" t="s">
        <v>77</v>
      </c>
      <c r="AH73" s="17"/>
      <c r="AI73" s="17"/>
      <c r="AJ73" s="17"/>
      <c r="AK73" s="17"/>
      <c r="AL73" s="17"/>
      <c r="AM73" s="17"/>
      <c r="AN73" s="17"/>
      <c r="AO73" s="17"/>
    </row>
    <row r="74" spans="1:66" ht="17.25" customHeight="1" thickTop="1" thickBot="1" x14ac:dyDescent="0.3">
      <c r="A74" s="17"/>
      <c r="C74" s="17"/>
      <c r="D74" s="17"/>
      <c r="E74" s="17"/>
      <c r="F74" s="17"/>
      <c r="G74" s="17"/>
      <c r="H74" s="287" t="str">
        <f>AB75</f>
        <v>252°15'23.76 [252°15.40]  (252.2566°)</v>
      </c>
      <c r="I74" s="287"/>
      <c r="J74" s="287"/>
      <c r="K74" s="287"/>
      <c r="L74" s="287"/>
      <c r="M74" s="287"/>
      <c r="AA74" s="65"/>
      <c r="AB74" s="19"/>
      <c r="AC74" s="19"/>
      <c r="AD74" s="62">
        <f>E39+F43+E64</f>
        <v>612.25659999999993</v>
      </c>
      <c r="AE74" s="17">
        <f>SIGN(AD74)</f>
        <v>1</v>
      </c>
      <c r="AF74" s="17">
        <f>INT(ABS(AD74)/360)</f>
        <v>1</v>
      </c>
      <c r="AG74" s="17">
        <f>IF(AE74&lt;0,(1+AF74)*360+AD74,AD74-AF74*360)</f>
        <v>252.25659999999993</v>
      </c>
      <c r="AH74" s="17"/>
      <c r="AI74" s="17"/>
      <c r="AJ74" s="17"/>
      <c r="AK74" s="17"/>
      <c r="AL74" s="17"/>
      <c r="AM74" s="17"/>
      <c r="AN74" s="17"/>
      <c r="AO74" s="17"/>
      <c r="AP74" s="39"/>
      <c r="AQ74" s="39"/>
      <c r="AR74" s="39"/>
      <c r="AS74" s="39"/>
      <c r="AT74" s="39"/>
      <c r="AU74" s="39"/>
      <c r="AV74" s="39"/>
      <c r="AW74" s="39"/>
      <c r="AX74" s="39"/>
      <c r="AY74" s="39"/>
      <c r="AZ74" s="39"/>
      <c r="BA74" s="39"/>
    </row>
    <row r="75" spans="1:66" ht="17.25" customHeight="1" thickTop="1" x14ac:dyDescent="0.25">
      <c r="B75" s="17"/>
      <c r="C75" s="1"/>
      <c r="D75" s="1"/>
      <c r="E75" s="1"/>
      <c r="F75" s="1"/>
      <c r="Z75" s="17"/>
      <c r="AA75" s="18">
        <f>AG74</f>
        <v>252.25659999999993</v>
      </c>
      <c r="AB75" s="14" t="str">
        <f>BC75</f>
        <v>252°15'23.76 [252°15.40]  (252.2566°)</v>
      </c>
      <c r="AC75" s="7">
        <f>BB75</f>
        <v>252.25659999999993</v>
      </c>
      <c r="AD75" s="5">
        <f>IF(LEFT(TRIM(AA75),1)="-",-1,IF(LEFT(TRIM(AA75),1)="+",1, 0))</f>
        <v>0</v>
      </c>
      <c r="AE75" s="5" t="str">
        <f>IF(AD75&gt;0,"+",IF(AD75&lt;0,"-",""))</f>
        <v/>
      </c>
      <c r="AF75" s="5">
        <f>IF(ABS(AD75)&gt;0,RIGHT(AA75,LEN(AA75)-1),AA75)</f>
        <v>252.25659999999993</v>
      </c>
      <c r="AG75" s="5" t="b">
        <f>ISNUMBER(SEARCH("°",AF75,1))</f>
        <v>0</v>
      </c>
      <c r="AH75" s="5" t="b">
        <f>ISNUMBER(SEARCH("'",AF75,1))</f>
        <v>0</v>
      </c>
      <c r="AI75" s="5" t="b">
        <f>ISNUMBER(SEARCH("""",AF75,1))</f>
        <v>0</v>
      </c>
      <c r="AJ75" s="5" t="b">
        <f>NOT(OR(AG75,AH75,AI75))</f>
        <v>1</v>
      </c>
      <c r="AK75" s="5" t="b">
        <f t="shared" ref="AK75" si="87">OR(AJ75,AG75)</f>
        <v>1</v>
      </c>
      <c r="AL75" s="6">
        <f>IF(AJ75,VALUE(AF75),IF(AG75,LEFT(AF75,SEARCH("°",AF75,1)-1),0))</f>
        <v>252.25659999999993</v>
      </c>
      <c r="AM75" s="5" t="str">
        <f>IF(AJ75,"",IF(AG75,RIGHT(AF75,LEN(AF75)-SEARCH("°",AF75,1)),AF75))</f>
        <v/>
      </c>
      <c r="AN75" s="5" t="b">
        <f>(LEN(AM75)&gt;0)</f>
        <v>0</v>
      </c>
      <c r="AO75" s="5" t="b">
        <f>NOT(OR(AH75,AI75))</f>
        <v>1</v>
      </c>
      <c r="AP75" s="6">
        <f t="shared" ref="AP75" si="88">IF(NOT(AN75),0,IF(AO75,VALUE(AM75),IF(NOT(AH75),0,VALUE(LEFT(AM75,SEARCH("'",AM75,1)-1)))))</f>
        <v>0</v>
      </c>
      <c r="AQ75" s="5" t="str">
        <f t="shared" ref="AQ75" si="89">IF(NOT(AN75),"",IF(AO75,"",IF(NOT(AH75),AM75,RIGHT(AM75,LEN(AM75)-SEARCH("'",AM75,1)))))</f>
        <v/>
      </c>
      <c r="AR75" s="5" t="b">
        <f>(LEN(AQ75)&gt;0)</f>
        <v>0</v>
      </c>
      <c r="AS75" s="5" t="b">
        <f t="shared" ref="AS75" si="90">NOT(AI75)</f>
        <v>1</v>
      </c>
      <c r="AT75" s="5" t="b">
        <f>ISNUMBER(SEARCH(".",AQ75,1))</f>
        <v>0</v>
      </c>
      <c r="AU75" s="6">
        <f t="shared" ref="AU75" si="91">IF(AR75,IF(AI75,IF(AT75,VALUE(SUBSTITUTE(AQ75, """", "")),VALUE(SUBSTITUTE(AQ75, """", "."))),VALUE(AQ75)),0)</f>
        <v>0</v>
      </c>
      <c r="AV75" s="6">
        <f t="shared" ref="AV75" si="92">AL75*3600+AP75*60+AU75</f>
        <v>908123.75999999978</v>
      </c>
      <c r="AW75" s="6">
        <f>AV75/3600</f>
        <v>252.25659999999993</v>
      </c>
      <c r="AX75" s="6">
        <f>_xlfn.FLOOR.MATH((AW75))</f>
        <v>252</v>
      </c>
      <c r="AY75" s="6">
        <f>(AV75-3600*AX75)/60</f>
        <v>15.395999999996274</v>
      </c>
      <c r="AZ75" s="6">
        <f>_xlfn.FLOOR.MATH((AY75))</f>
        <v>15</v>
      </c>
      <c r="BA75" s="6">
        <f>AV75-3600*AX75-60*AZ75</f>
        <v>23.759999999776483</v>
      </c>
      <c r="BB75" s="6">
        <f>AW75*IF(AD75&lt;0,-1,1)</f>
        <v>252.25659999999993</v>
      </c>
      <c r="BC75" s="7" t="str">
        <f>CONCATENATE(AE75,TEXT(AX75,"00"),"°",TEXT(AZ75,"00"),"'",TEXT(BA75,"00.00"), " [", CONCATENATE(AE75,TEXT(AX75,"00"),"°",TEXT(AY75,"00.00")),"]", "  (", AE75,TEXT(AW75,"00.0000"),"°)")</f>
        <v>252°15'23.76 [252°15.40]  (252.2566°)</v>
      </c>
    </row>
    <row r="76" spans="1:66" ht="17.25" customHeight="1" x14ac:dyDescent="0.25">
      <c r="B76" s="17"/>
      <c r="C76" s="1"/>
      <c r="D76" s="1"/>
      <c r="E76" s="1"/>
      <c r="F76" s="1"/>
      <c r="Z76" s="17"/>
      <c r="AB76" s="14"/>
      <c r="AC76" s="7"/>
      <c r="AD76" s="5"/>
      <c r="AE76" s="5"/>
      <c r="AF76" s="5"/>
      <c r="AG76" s="5"/>
      <c r="AH76" s="5"/>
      <c r="AI76" s="5"/>
      <c r="AJ76" s="5"/>
      <c r="AK76" s="5"/>
      <c r="AL76" s="6"/>
      <c r="AM76" s="5"/>
      <c r="AN76" s="5"/>
      <c r="AO76" s="5"/>
      <c r="AP76" s="6"/>
      <c r="AQ76" s="5"/>
      <c r="AR76" s="5"/>
      <c r="AS76" s="5"/>
      <c r="AT76" s="5"/>
      <c r="AU76" s="6"/>
      <c r="AV76" s="6"/>
      <c r="AW76" s="6"/>
      <c r="AX76" s="6"/>
      <c r="AY76" s="6"/>
      <c r="AZ76" s="6"/>
      <c r="BA76" s="6"/>
      <c r="BB76" s="6"/>
      <c r="BC76" s="7"/>
    </row>
    <row r="77" spans="1:66" ht="17.25" customHeight="1" thickBot="1" x14ac:dyDescent="0.3">
      <c r="B77" s="17"/>
      <c r="C77" s="1"/>
      <c r="D77" s="1"/>
      <c r="E77" s="1"/>
      <c r="F77" s="1"/>
      <c r="Z77" s="17"/>
      <c r="AB77" s="14"/>
      <c r="AC77" s="7"/>
      <c r="AD77" s="5"/>
      <c r="AE77" s="5"/>
      <c r="AF77" s="5"/>
      <c r="AG77" s="5"/>
      <c r="AH77" s="5"/>
      <c r="AI77" s="5"/>
      <c r="AJ77" s="5"/>
      <c r="AK77" s="5"/>
      <c r="AL77" s="6"/>
      <c r="AM77" s="5"/>
      <c r="AN77" s="5"/>
      <c r="AO77" s="5"/>
      <c r="AP77" s="6"/>
      <c r="AQ77" s="5"/>
      <c r="AR77" s="5"/>
      <c r="AS77" s="5"/>
      <c r="AT77" s="5"/>
      <c r="AU77" s="6"/>
      <c r="AV77" s="6"/>
      <c r="AW77" s="6"/>
      <c r="AX77" s="6"/>
      <c r="AY77" s="6"/>
      <c r="AZ77" s="6"/>
      <c r="BA77" s="6"/>
      <c r="BB77" s="6"/>
      <c r="BC77" s="7"/>
    </row>
    <row r="78" spans="1:66" ht="17.25" customHeight="1" thickTop="1" thickBot="1" x14ac:dyDescent="0.3">
      <c r="B78" s="47" t="s">
        <v>30</v>
      </c>
      <c r="C78" s="48"/>
      <c r="D78" s="48" t="s">
        <v>176</v>
      </c>
      <c r="E78" s="362">
        <f>IF(F79=AE79,N115,N108)</f>
        <v>46.340716988979977</v>
      </c>
      <c r="F78" s="362"/>
      <c r="G78" s="362"/>
      <c r="H78" s="48"/>
      <c r="I78" s="48"/>
      <c r="J78" s="48"/>
      <c r="K78" s="48"/>
      <c r="L78" s="48"/>
      <c r="M78" s="48"/>
      <c r="N78" s="48"/>
      <c r="O78" s="48" t="s">
        <v>217</v>
      </c>
      <c r="P78" s="48"/>
      <c r="Q78" s="48"/>
      <c r="R78" s="292">
        <f>-N95+N90+N99</f>
        <v>-1.5804598976146982E-2</v>
      </c>
      <c r="S78" s="293"/>
      <c r="T78" s="294"/>
      <c r="U78" s="295" t="str">
        <f>AN78</f>
        <v>-00°00.9483</v>
      </c>
      <c r="V78" s="295"/>
      <c r="W78" s="295"/>
      <c r="X78" s="295"/>
      <c r="Y78" s="295"/>
      <c r="Z78" s="48"/>
      <c r="AA78" s="48"/>
      <c r="AB78" s="48"/>
      <c r="AC78" s="48">
        <f>R78</f>
        <v>-1.5804598976146982E-2</v>
      </c>
      <c r="AD78" s="48"/>
      <c r="AE78" s="48"/>
      <c r="AF78" s="48"/>
      <c r="AG78" s="48"/>
      <c r="AH78" s="48"/>
      <c r="AI78" s="22">
        <f>SIGN(AC78)</f>
        <v>-1</v>
      </c>
      <c r="AJ78" s="22" t="str">
        <f>IF(AI78&lt;0,"-","+")</f>
        <v>-</v>
      </c>
      <c r="AK78" s="17">
        <f>ABS(AC78)*3600</f>
        <v>56.896556314129136</v>
      </c>
      <c r="AL78" s="17">
        <f>_xlfn.FLOOR.MATH(AK78/3600)</f>
        <v>0</v>
      </c>
      <c r="AM78" s="17">
        <f>(AK78-3600*AL78)/60</f>
        <v>0.94827593856881898</v>
      </c>
      <c r="AN78" s="17" t="str">
        <f>CONCATENATE(AJ78,TEXT(AL78, "00"),"°",TEXT(AM78, "00.0000"))</f>
        <v>-00°00.9483</v>
      </c>
      <c r="AO78" s="48"/>
      <c r="AP78" s="48"/>
      <c r="AQ78" s="48"/>
      <c r="AR78" s="48"/>
      <c r="AS78" s="48"/>
      <c r="AT78" s="48"/>
      <c r="AU78" s="48"/>
      <c r="AV78" s="48"/>
      <c r="AW78" s="48"/>
      <c r="AX78" s="48"/>
      <c r="AY78" s="48"/>
      <c r="AZ78" s="48"/>
      <c r="BA78" s="49"/>
      <c r="BB78" s="50"/>
    </row>
    <row r="79" spans="1:66" ht="17.25" customHeight="1" x14ac:dyDescent="0.25">
      <c r="C79" s="434" t="s">
        <v>58</v>
      </c>
      <c r="D79" s="434"/>
      <c r="E79" s="434"/>
      <c r="F79" s="333" t="s">
        <v>84</v>
      </c>
      <c r="G79" s="333"/>
      <c r="H79" s="333"/>
      <c r="O79" s="1" t="s">
        <v>177</v>
      </c>
      <c r="U79" s="17"/>
      <c r="V79" s="17"/>
      <c r="W79" s="17"/>
      <c r="X79" s="17"/>
      <c r="Y79" s="17"/>
      <c r="AD79" s="53" t="s">
        <v>59</v>
      </c>
      <c r="AE79" s="66" t="s">
        <v>83</v>
      </c>
    </row>
    <row r="80" spans="1:66" ht="17.25" customHeight="1" thickBot="1" x14ac:dyDescent="0.3">
      <c r="C80" s="70"/>
      <c r="D80" s="70"/>
      <c r="E80" s="334" t="s">
        <v>168</v>
      </c>
      <c r="F80" s="334"/>
      <c r="G80" s="335"/>
      <c r="H80" s="335"/>
      <c r="I80" s="291">
        <f>IF(F79=AE79,"---",N108)</f>
        <v>46.340716988979977</v>
      </c>
      <c r="J80" s="291"/>
      <c r="K80" s="291"/>
      <c r="U80" s="17"/>
      <c r="V80" s="17"/>
      <c r="W80" s="17"/>
      <c r="X80" s="17"/>
      <c r="Y80" s="17"/>
      <c r="AD80" s="53"/>
      <c r="AE80" s="67" t="s">
        <v>84</v>
      </c>
      <c r="AI80" s="68" t="s">
        <v>182</v>
      </c>
      <c r="AJ80" s="68" t="s">
        <v>182</v>
      </c>
      <c r="AK80" s="68" t="s">
        <v>112</v>
      </c>
      <c r="AL80" s="68" t="s">
        <v>125</v>
      </c>
      <c r="AM80" s="68" t="s">
        <v>137</v>
      </c>
      <c r="AN80" s="17"/>
    </row>
    <row r="81" spans="1:66" ht="17.25" customHeight="1" thickTop="1" thickBot="1" x14ac:dyDescent="0.3">
      <c r="C81" s="1"/>
      <c r="D81" s="1"/>
      <c r="E81" s="1"/>
      <c r="F81" s="1"/>
      <c r="G81" s="461" t="s">
        <v>79</v>
      </c>
      <c r="H81" s="461"/>
      <c r="I81" s="461"/>
      <c r="J81" s="461"/>
      <c r="K81" s="461"/>
      <c r="L81" s="461"/>
      <c r="M81" s="461"/>
      <c r="N81" s="281">
        <f>I19</f>
        <v>46.506666666666668</v>
      </c>
      <c r="O81" s="281"/>
      <c r="P81" s="281"/>
      <c r="Q81" s="281"/>
      <c r="R81" s="1" t="s">
        <v>125</v>
      </c>
      <c r="T81" s="279" t="str">
        <f>AB81</f>
        <v>+46°30.4000</v>
      </c>
      <c r="U81" s="279"/>
      <c r="V81" s="279"/>
      <c r="W81" s="279"/>
      <c r="X81" s="279"/>
      <c r="Y81" s="279"/>
      <c r="AB81" s="28" t="str">
        <f>AN81</f>
        <v>+46°30.4000</v>
      </c>
      <c r="AC81" s="28">
        <f>N81</f>
        <v>46.506666666666668</v>
      </c>
      <c r="AD81" s="31" t="s">
        <v>164</v>
      </c>
      <c r="AE81" s="1"/>
      <c r="AF81" s="17"/>
      <c r="AG81" s="17"/>
      <c r="AH81" s="17"/>
      <c r="AI81" s="22">
        <f>SIGN(AC81)</f>
        <v>1</v>
      </c>
      <c r="AJ81" s="22" t="str">
        <f>IF(AI81&lt;0,"-","+")</f>
        <v>+</v>
      </c>
      <c r="AK81" s="17">
        <f>ABS(AC81)*3600</f>
        <v>167424</v>
      </c>
      <c r="AL81" s="17">
        <f>_xlfn.FLOOR.MATH(AK81/3600)</f>
        <v>46</v>
      </c>
      <c r="AM81" s="17">
        <f>(AK81-3600*AL81)/60</f>
        <v>30.4</v>
      </c>
      <c r="AN81" s="17" t="str">
        <f>CONCATENATE(AJ81,TEXT(AL81, "00"),"°",TEXT(AM81, "00.0000"))</f>
        <v>+46°30.4000</v>
      </c>
      <c r="AO81" s="17"/>
    </row>
    <row r="82" spans="1:66" ht="17.25" customHeight="1" thickTop="1" thickBot="1" x14ac:dyDescent="0.3">
      <c r="C82" s="1"/>
      <c r="D82" s="1"/>
      <c r="E82" s="1"/>
      <c r="F82" s="1"/>
      <c r="G82" s="461" t="s">
        <v>31</v>
      </c>
      <c r="H82" s="461"/>
      <c r="I82" s="461"/>
      <c r="J82" s="461"/>
      <c r="K82" s="461"/>
      <c r="L82" s="461"/>
      <c r="M82" s="461"/>
      <c r="N82" s="281">
        <f>I18</f>
        <v>3.6666666666666667E-2</v>
      </c>
      <c r="O82" s="281"/>
      <c r="P82" s="281"/>
      <c r="Q82" s="281"/>
      <c r="R82" s="1" t="s">
        <v>125</v>
      </c>
      <c r="T82" s="279" t="str">
        <f>AB82</f>
        <v>+00°02.2000 (+02.2000')</v>
      </c>
      <c r="U82" s="279"/>
      <c r="V82" s="279"/>
      <c r="W82" s="279"/>
      <c r="X82" s="279"/>
      <c r="Y82" s="279"/>
      <c r="AB82" s="28" t="str">
        <f>AN82</f>
        <v>+00°02.2000 (+02.2000')</v>
      </c>
      <c r="AC82" s="28">
        <f>N82</f>
        <v>3.6666666666666667E-2</v>
      </c>
      <c r="AD82" s="31" t="s">
        <v>163</v>
      </c>
      <c r="AE82" s="1"/>
      <c r="AF82" s="17"/>
      <c r="AG82" s="1"/>
      <c r="AH82" s="17"/>
      <c r="AI82" s="22">
        <f>SIGN(AC82)</f>
        <v>1</v>
      </c>
      <c r="AJ82" s="22" t="str">
        <f>IF(AI82&lt;0,"-","+")</f>
        <v>+</v>
      </c>
      <c r="AK82" s="17">
        <f>ABS(AC82)*3600</f>
        <v>132</v>
      </c>
      <c r="AL82" s="17">
        <f>_xlfn.FLOOR.MATH(AK82/3600)</f>
        <v>0</v>
      </c>
      <c r="AM82" s="17">
        <f>(AK82-3600*AL82)/60</f>
        <v>2.2000000000000002</v>
      </c>
      <c r="AN82" s="17" t="str">
        <f>CONCATENATE(AJ82,TEXT(AL82, "00"),"°",TEXT(AM82, "00.0000"), " (", CONCATENATE(AJ82,TEXT(AL82*60 + AM82, "00.0000"),"'"), ")")</f>
        <v>+00°02.2000 (+02.2000')</v>
      </c>
      <c r="AO82" s="17"/>
    </row>
    <row r="83" spans="1:66" s="22" customFormat="1" ht="17.25" customHeight="1" thickTop="1" thickBot="1" x14ac:dyDescent="0.3">
      <c r="A83" s="1"/>
      <c r="B83" s="1"/>
      <c r="C83" s="270"/>
      <c r="D83" s="270"/>
      <c r="E83" s="270"/>
      <c r="F83" s="1"/>
      <c r="G83" s="480" t="s">
        <v>174</v>
      </c>
      <c r="H83" s="480"/>
      <c r="I83" s="480"/>
      <c r="J83" s="480"/>
      <c r="K83" s="480"/>
      <c r="L83" s="480"/>
      <c r="M83" s="480"/>
      <c r="N83" s="280">
        <f>AC83</f>
        <v>0.11347841204387732</v>
      </c>
      <c r="O83" s="280"/>
      <c r="P83" s="280"/>
      <c r="Q83" s="280"/>
      <c r="R83" s="1" t="s">
        <v>125</v>
      </c>
      <c r="S83" s="1"/>
      <c r="T83" s="279" t="str">
        <f>AB83</f>
        <v>+06.8087'</v>
      </c>
      <c r="U83" s="279"/>
      <c r="V83" s="279"/>
      <c r="W83" s="279"/>
      <c r="X83" s="279"/>
      <c r="Y83" s="279"/>
      <c r="Z83" s="1"/>
      <c r="AA83" s="18"/>
      <c r="AB83" s="28" t="str">
        <f>AN83</f>
        <v>+06.8087'</v>
      </c>
      <c r="AC83" s="28">
        <f>AG83</f>
        <v>0.11347841204387732</v>
      </c>
      <c r="AD83" s="31" t="s">
        <v>78</v>
      </c>
      <c r="AE83" s="17">
        <f>I17</f>
        <v>15</v>
      </c>
      <c r="AF83" s="69" t="s">
        <v>173</v>
      </c>
      <c r="AG83" s="1">
        <f>0.0293 * SQRT(AE83)</f>
        <v>0.11347841204387732</v>
      </c>
      <c r="AH83" s="17"/>
      <c r="AI83" s="22">
        <f>SIGN(AC83)</f>
        <v>1</v>
      </c>
      <c r="AJ83" s="22" t="str">
        <f>IF(AI83&lt;0,"-","+")</f>
        <v>+</v>
      </c>
      <c r="AK83" s="17">
        <f>ABS(AC83)*3600</f>
        <v>408.52228335795837</v>
      </c>
      <c r="AL83" s="17">
        <f>_xlfn.FLOOR.MATH(AK83/3600)</f>
        <v>0</v>
      </c>
      <c r="AM83" s="17">
        <f>(AK83-3600*AL83)/60</f>
        <v>6.8087047226326396</v>
      </c>
      <c r="AN83" s="17" t="str">
        <f>CONCATENATE(AJ83,TEXT(AL83*60 + AM83, "00.0000"),"'")</f>
        <v>+06.8087'</v>
      </c>
      <c r="AO83" s="17"/>
      <c r="BN83" s="1"/>
    </row>
    <row r="84" spans="1:66" s="22" customFormat="1" ht="17.25" customHeight="1" thickTop="1" thickBot="1" x14ac:dyDescent="0.3">
      <c r="A84" s="1"/>
      <c r="B84" s="1"/>
      <c r="C84" s="270"/>
      <c r="D84" s="270"/>
      <c r="E84" s="270"/>
      <c r="F84" s="270"/>
      <c r="G84" s="1"/>
      <c r="H84" s="1"/>
      <c r="I84" s="1"/>
      <c r="J84" s="17"/>
      <c r="K84" s="17"/>
      <c r="L84" s="286" t="s">
        <v>320</v>
      </c>
      <c r="M84" s="286"/>
      <c r="N84" s="286"/>
      <c r="O84" s="286"/>
      <c r="P84" s="17"/>
      <c r="Q84" s="17"/>
      <c r="R84" s="1"/>
      <c r="S84" s="1"/>
      <c r="T84" s="17"/>
      <c r="U84" s="17"/>
      <c r="V84" s="17"/>
      <c r="W84" s="17"/>
      <c r="X84" s="17"/>
      <c r="Y84" s="17"/>
      <c r="Z84" s="1"/>
      <c r="AA84" s="18"/>
      <c r="AB84" s="28"/>
      <c r="AC84" s="28"/>
      <c r="AD84" s="1"/>
      <c r="AE84" s="1"/>
      <c r="AF84" s="1"/>
      <c r="AG84" s="17"/>
      <c r="AH84" s="17"/>
      <c r="AI84" s="22" t="s">
        <v>309</v>
      </c>
      <c r="AJ84" s="22" t="s">
        <v>309</v>
      </c>
      <c r="AK84" s="22" t="s">
        <v>309</v>
      </c>
      <c r="AL84" s="29" t="s">
        <v>309</v>
      </c>
      <c r="AM84" s="22" t="s">
        <v>309</v>
      </c>
      <c r="AN84" s="22" t="s">
        <v>310</v>
      </c>
      <c r="AO84" s="17"/>
      <c r="BN84" s="1"/>
    </row>
    <row r="85" spans="1:66" s="22" customFormat="1" ht="17.25" customHeight="1" thickTop="1" thickBot="1" x14ac:dyDescent="0.3">
      <c r="A85" s="1"/>
      <c r="B85" s="1"/>
      <c r="C85" s="270"/>
      <c r="D85" s="270"/>
      <c r="E85" s="270"/>
      <c r="F85" s="1"/>
      <c r="G85" s="518" t="s">
        <v>80</v>
      </c>
      <c r="H85" s="518"/>
      <c r="I85" s="518"/>
      <c r="J85" s="518"/>
      <c r="K85" s="518"/>
      <c r="L85" s="518"/>
      <c r="M85" s="518"/>
      <c r="N85" s="450">
        <f>AC85</f>
        <v>46.356521587956124</v>
      </c>
      <c r="O85" s="294"/>
      <c r="P85" s="1" t="s">
        <v>125</v>
      </c>
      <c r="Q85" s="485">
        <f>N85*D136</f>
        <v>0.80907393148166451</v>
      </c>
      <c r="R85" s="485"/>
      <c r="S85" s="84" t="s">
        <v>170</v>
      </c>
      <c r="T85" s="279" t="str">
        <f>AB85</f>
        <v>+46°21.3913</v>
      </c>
      <c r="U85" s="279"/>
      <c r="V85" s="279"/>
      <c r="W85" s="279"/>
      <c r="X85" s="279"/>
      <c r="Y85" s="279"/>
      <c r="Z85" s="1"/>
      <c r="AA85" s="18"/>
      <c r="AB85" s="28" t="str">
        <f>AN85</f>
        <v>+46°21.3913</v>
      </c>
      <c r="AC85" s="28">
        <f>AE85</f>
        <v>46.356521587956124</v>
      </c>
      <c r="AD85" s="68" t="s">
        <v>86</v>
      </c>
      <c r="AE85" s="62">
        <f>N81-AC82-AC83</f>
        <v>46.356521587956124</v>
      </c>
      <c r="AF85" s="17"/>
      <c r="AG85" s="17"/>
      <c r="AH85" s="17"/>
      <c r="AI85" s="22">
        <f>SIGN(AC85)</f>
        <v>1</v>
      </c>
      <c r="AJ85" s="22" t="str">
        <f>IF(AI85&lt;0,"-","+")</f>
        <v>+</v>
      </c>
      <c r="AK85" s="17">
        <f>AC85*3600</f>
        <v>166883.47771664205</v>
      </c>
      <c r="AL85" s="17">
        <f>_xlfn.FLOOR.MATH(AK85/3600)</f>
        <v>46</v>
      </c>
      <c r="AM85" s="17">
        <f>(AK85-3600*AL85)/60</f>
        <v>21.391295277367558</v>
      </c>
      <c r="AN85" s="17" t="str">
        <f>CONCATENATE(AJ85,TEXT(AL85, "00"),"°",TEXT(AM85, "00.0000"))</f>
        <v>+46°21.3913</v>
      </c>
      <c r="AO85" s="17"/>
      <c r="BN85" s="1"/>
    </row>
    <row r="86" spans="1:66" s="22" customFormat="1" ht="17.25" customHeight="1" thickTop="1" x14ac:dyDescent="0.25">
      <c r="A86" s="1"/>
      <c r="B86" s="1"/>
      <c r="C86" s="1"/>
      <c r="D86" s="1"/>
      <c r="E86" s="1"/>
      <c r="F86" s="1"/>
      <c r="G86" s="269"/>
      <c r="H86" s="269"/>
      <c r="I86" s="269"/>
      <c r="J86" s="269"/>
      <c r="K86" s="269"/>
      <c r="L86" s="269"/>
      <c r="M86" s="269"/>
      <c r="N86" s="269"/>
      <c r="O86" s="269"/>
      <c r="P86" s="269"/>
      <c r="Q86" s="269"/>
      <c r="R86" s="1"/>
      <c r="S86" s="1"/>
      <c r="T86" s="269"/>
      <c r="U86" s="269"/>
      <c r="V86" s="269"/>
      <c r="W86" s="269"/>
      <c r="X86" s="269"/>
      <c r="Y86" s="269"/>
      <c r="Z86" s="1"/>
      <c r="AA86" s="18"/>
      <c r="AB86" s="28"/>
      <c r="AC86" s="28"/>
      <c r="AD86" s="31"/>
      <c r="AE86" s="17"/>
      <c r="AF86" s="17"/>
      <c r="AG86" s="17"/>
      <c r="AH86" s="17"/>
      <c r="AI86" s="17"/>
      <c r="AJ86" s="17"/>
      <c r="AK86" s="17"/>
      <c r="AL86" s="17"/>
      <c r="AM86" s="17"/>
      <c r="AN86" s="17"/>
      <c r="AO86" s="17"/>
      <c r="BN86" s="1"/>
    </row>
    <row r="87" spans="1:66" s="22" customFormat="1" ht="17.25" customHeight="1" x14ac:dyDescent="0.25">
      <c r="A87" s="1"/>
      <c r="B87" s="1"/>
      <c r="C87" s="270"/>
      <c r="D87" s="270"/>
      <c r="E87" s="270"/>
      <c r="F87" s="1"/>
      <c r="G87" s="269"/>
      <c r="H87" s="269"/>
      <c r="I87" s="269"/>
      <c r="J87" s="269"/>
      <c r="K87" s="269"/>
      <c r="L87" s="481" t="s">
        <v>165</v>
      </c>
      <c r="M87" s="481"/>
      <c r="N87" s="481"/>
      <c r="O87" s="481"/>
      <c r="P87" s="269"/>
      <c r="Q87" s="269"/>
      <c r="R87" s="1"/>
      <c r="S87" s="1"/>
      <c r="T87" s="269"/>
      <c r="U87" s="269"/>
      <c r="V87" s="269"/>
      <c r="W87" s="269"/>
      <c r="X87" s="269"/>
      <c r="Y87" s="269"/>
      <c r="Z87" s="1"/>
      <c r="AA87" s="18"/>
      <c r="AB87" s="14"/>
      <c r="AC87" s="7"/>
      <c r="AD87" s="269"/>
      <c r="AE87" s="269"/>
      <c r="AF87" s="269"/>
      <c r="AG87" s="269"/>
      <c r="AH87" s="269"/>
      <c r="AI87" s="269"/>
      <c r="AJ87" s="269"/>
      <c r="AK87" s="269"/>
      <c r="AL87" s="269"/>
      <c r="AM87" s="269"/>
      <c r="AN87" s="269"/>
      <c r="AO87" s="269"/>
      <c r="AP87" s="269"/>
      <c r="AQ87" s="269"/>
      <c r="AR87" s="269"/>
      <c r="AS87" s="269"/>
      <c r="AT87" s="269"/>
      <c r="AU87" s="269"/>
      <c r="AV87" s="269"/>
      <c r="AW87" s="269"/>
      <c r="AX87" s="269"/>
      <c r="AY87" s="269"/>
      <c r="AZ87" s="269"/>
      <c r="BA87" s="269"/>
      <c r="BB87" s="269"/>
      <c r="BC87" s="269"/>
      <c r="BD87" s="269"/>
      <c r="BN87" s="1"/>
    </row>
    <row r="88" spans="1:66" s="22" customFormat="1" ht="17.25" customHeight="1" thickBo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482" t="s">
        <v>166</v>
      </c>
      <c r="M88" s="482"/>
      <c r="N88" s="481"/>
      <c r="O88" s="48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8"/>
      <c r="AB88" s="14"/>
      <c r="AC88" s="7"/>
      <c r="AD88" s="3" t="s">
        <v>57</v>
      </c>
      <c r="AE88" s="3" t="s">
        <v>57</v>
      </c>
      <c r="AF88" s="3" t="s">
        <v>304</v>
      </c>
      <c r="AG88" s="3" t="s">
        <v>120</v>
      </c>
      <c r="AH88" s="3" t="s">
        <v>121</v>
      </c>
      <c r="AI88" s="3" t="s">
        <v>122</v>
      </c>
      <c r="AJ88" s="3" t="s">
        <v>123</v>
      </c>
      <c r="AK88" s="3" t="s">
        <v>124</v>
      </c>
      <c r="AL88" s="3" t="s">
        <v>125</v>
      </c>
      <c r="AM88" s="3" t="s">
        <v>101</v>
      </c>
      <c r="AN88" s="3" t="s">
        <v>129</v>
      </c>
      <c r="AO88" s="3" t="s">
        <v>128</v>
      </c>
      <c r="AP88" s="3" t="s">
        <v>126</v>
      </c>
      <c r="AQ88" s="3" t="s">
        <v>127</v>
      </c>
      <c r="AR88" s="3" t="s">
        <v>129</v>
      </c>
      <c r="AS88" s="3" t="s">
        <v>128</v>
      </c>
      <c r="AT88" s="3" t="s">
        <v>130</v>
      </c>
      <c r="AU88" s="3" t="s">
        <v>112</v>
      </c>
      <c r="AV88" s="3" t="s">
        <v>117</v>
      </c>
      <c r="AW88" s="3" t="s">
        <v>143</v>
      </c>
      <c r="AX88" s="3" t="s">
        <v>149</v>
      </c>
      <c r="AY88" s="3" t="s">
        <v>131</v>
      </c>
      <c r="AZ88" s="3" t="s">
        <v>150</v>
      </c>
      <c r="BA88" s="3" t="s">
        <v>112</v>
      </c>
      <c r="BB88" s="3" t="s">
        <v>308</v>
      </c>
      <c r="BC88" s="3" t="s">
        <v>151</v>
      </c>
      <c r="BN88" s="1"/>
    </row>
    <row r="89" spans="1:66" s="22" customFormat="1" ht="17.25" customHeight="1" thickTop="1" thickBot="1" x14ac:dyDescent="0.3">
      <c r="A89" s="17"/>
      <c r="B89" s="17"/>
      <c r="C89" s="17"/>
      <c r="D89" s="17"/>
      <c r="E89" s="1"/>
      <c r="F89" s="1"/>
      <c r="G89" s="280" t="s">
        <v>88</v>
      </c>
      <c r="H89" s="280"/>
      <c r="I89" s="280"/>
      <c r="J89" s="280"/>
      <c r="K89" s="280"/>
      <c r="L89" s="280"/>
      <c r="M89" s="280"/>
      <c r="N89" s="483">
        <f>I22</f>
        <v>0</v>
      </c>
      <c r="O89" s="484"/>
      <c r="P89" s="484"/>
      <c r="Q89" s="484"/>
      <c r="R89" s="1" t="s">
        <v>125</v>
      </c>
      <c r="S89" s="1"/>
      <c r="T89" s="279" t="str">
        <f>AB89</f>
        <v>00°00'00.00 [00°00.00]  (00.0000°)</v>
      </c>
      <c r="U89" s="279"/>
      <c r="V89" s="279"/>
      <c r="W89" s="279"/>
      <c r="X89" s="279"/>
      <c r="Y89" s="279"/>
      <c r="Z89" s="1"/>
      <c r="AA89" s="18">
        <f>N89</f>
        <v>0</v>
      </c>
      <c r="AB89" s="14" t="str">
        <f>BC89</f>
        <v>00°00'00.00 [00°00.00]  (00.0000°)</v>
      </c>
      <c r="AC89" s="7">
        <f>BB89</f>
        <v>0</v>
      </c>
      <c r="AD89" s="5">
        <f>IF(LEFT(TRIM(AA89),1)="-",-1,IF(LEFT(TRIM(AA89),1)="+",1, 0))</f>
        <v>0</v>
      </c>
      <c r="AE89" s="5" t="str">
        <f>IF(AD89&gt;0,"+",IF(AD89&lt;0,"-",""))</f>
        <v/>
      </c>
      <c r="AF89" s="5">
        <f>IF(ABS(AD89)&gt;0,RIGHT(AA89,LEN(AA89)-1),AA89)</f>
        <v>0</v>
      </c>
      <c r="AG89" s="5" t="b">
        <f>ISNUMBER(SEARCH("°",AF89,1))</f>
        <v>0</v>
      </c>
      <c r="AH89" s="5" t="b">
        <f>ISNUMBER(SEARCH("'",AF89,1))</f>
        <v>0</v>
      </c>
      <c r="AI89" s="5" t="b">
        <f>ISNUMBER(SEARCH("""",AF89,1))</f>
        <v>0</v>
      </c>
      <c r="AJ89" s="5" t="b">
        <f>NOT(OR(AG89,AH89,AI89))</f>
        <v>1</v>
      </c>
      <c r="AK89" s="5" t="b">
        <f t="shared" ref="AK89" si="93">OR(AJ89,AG89)</f>
        <v>1</v>
      </c>
      <c r="AL89" s="6">
        <f>IF(AJ89,VALUE(AF89),IF(AG89,LEFT(AF89,SEARCH("°",AF89,1)-1),0))</f>
        <v>0</v>
      </c>
      <c r="AM89" s="5" t="str">
        <f>IF(AJ89,"",IF(AG89,RIGHT(AF89,LEN(AF89)-SEARCH("°",AF89,1)),AF89))</f>
        <v/>
      </c>
      <c r="AN89" s="5" t="b">
        <f>(LEN(AM89)&gt;0)</f>
        <v>0</v>
      </c>
      <c r="AO89" s="5" t="b">
        <f>NOT(OR(AH89,AI89))</f>
        <v>1</v>
      </c>
      <c r="AP89" s="6">
        <f t="shared" ref="AP89" si="94">IF(NOT(AN89),0,IF(AO89,VALUE(AM89),IF(NOT(AH89),0,VALUE(LEFT(AM89,SEARCH("'",AM89,1)-1)))))</f>
        <v>0</v>
      </c>
      <c r="AQ89" s="5" t="str">
        <f t="shared" ref="AQ89" si="95">IF(NOT(AN89),"",IF(AO89,"",IF(NOT(AH89),AM89,RIGHT(AM89,LEN(AM89)-SEARCH("'",AM89,1)))))</f>
        <v/>
      </c>
      <c r="AR89" s="5" t="b">
        <f>(LEN(AQ89)&gt;0)</f>
        <v>0</v>
      </c>
      <c r="AS89" s="5" t="b">
        <f t="shared" ref="AS89" si="96">NOT(AI89)</f>
        <v>1</v>
      </c>
      <c r="AT89" s="5" t="b">
        <f>ISNUMBER(SEARCH(".",AQ89,1))</f>
        <v>0</v>
      </c>
      <c r="AU89" s="6">
        <f t="shared" ref="AU89" si="97">IF(AR89,IF(AI89,IF(AT89,VALUE(SUBSTITUTE(AQ89, """", "")),VALUE(SUBSTITUTE(AQ89, """", "."))),VALUE(AQ89)),0)</f>
        <v>0</v>
      </c>
      <c r="AV89" s="6">
        <f t="shared" ref="AV89" si="98">AL89*3600+AP89*60+AU89</f>
        <v>0</v>
      </c>
      <c r="AW89" s="6">
        <f>AV89/3600</f>
        <v>0</v>
      </c>
      <c r="AX89" s="6">
        <f>_xlfn.FLOOR.MATH((AW89))</f>
        <v>0</v>
      </c>
      <c r="AY89" s="6">
        <f>(AV89-3600*AX89)/60</f>
        <v>0</v>
      </c>
      <c r="AZ89" s="6">
        <f>_xlfn.FLOOR.MATH((AY89))</f>
        <v>0</v>
      </c>
      <c r="BA89" s="6">
        <f>AV89-3600*AX89-60*AZ89</f>
        <v>0</v>
      </c>
      <c r="BB89" s="6">
        <f>AW89*IF(AD89&lt;0,-1,1)</f>
        <v>0</v>
      </c>
      <c r="BC89" s="7" t="str">
        <f>CONCATENATE(AE89,TEXT(AX89,"00"),"°",TEXT(AZ89,"00"),"'",TEXT(BA89,"00.00"), " [", CONCATENATE(AE89,TEXT(AX89,"00"),"°",TEXT(AY89,"00.00")),"]", "  (", AE89,TEXT(AW89,"00.0000"),"°)")</f>
        <v>00°00'00.00 [00°00.00]  (00.0000°)</v>
      </c>
      <c r="BH89" s="1"/>
      <c r="BI89" s="1"/>
      <c r="BN89" s="1"/>
    </row>
    <row r="90" spans="1:66" s="22" customFormat="1" ht="17.25" customHeight="1" thickTop="1" thickBot="1" x14ac:dyDescent="0.3">
      <c r="A90" s="17"/>
      <c r="B90" s="17"/>
      <c r="C90" s="17"/>
      <c r="D90" s="17"/>
      <c r="E90" s="1"/>
      <c r="F90" s="1"/>
      <c r="G90" s="497" t="s">
        <v>167</v>
      </c>
      <c r="H90" s="498"/>
      <c r="I90" s="498"/>
      <c r="J90" s="498"/>
      <c r="K90" s="498"/>
      <c r="L90" s="498"/>
      <c r="M90" s="499"/>
      <c r="N90" s="362">
        <f>AC90</f>
        <v>0</v>
      </c>
      <c r="O90" s="362"/>
      <c r="P90" s="362"/>
      <c r="Q90" s="362"/>
      <c r="R90" s="1" t="s">
        <v>125</v>
      </c>
      <c r="S90" s="1"/>
      <c r="T90" s="279" t="str">
        <f>AB90</f>
        <v>+00°00.0000 (+00.0000')</v>
      </c>
      <c r="U90" s="279"/>
      <c r="V90" s="279"/>
      <c r="W90" s="279"/>
      <c r="X90" s="279"/>
      <c r="Y90" s="279"/>
      <c r="Z90" s="1"/>
      <c r="AA90" s="18"/>
      <c r="AB90" s="28" t="str">
        <f>AN90</f>
        <v>+00°00.0000 (+00.0000')</v>
      </c>
      <c r="AC90" s="28">
        <f>AE90</f>
        <v>0</v>
      </c>
      <c r="AD90" s="31" t="s">
        <v>87</v>
      </c>
      <c r="AE90" s="17">
        <f>N89*COS(Q85)</f>
        <v>0</v>
      </c>
      <c r="AF90" s="17"/>
      <c r="AG90" s="17"/>
      <c r="AH90" s="17"/>
      <c r="AI90" s="22">
        <f>SIGN(AC90)</f>
        <v>0</v>
      </c>
      <c r="AJ90" s="22" t="str">
        <f>IF(AI90&lt;0,"-","+")</f>
        <v>+</v>
      </c>
      <c r="AK90" s="17">
        <f>ABS(AC90)*3600</f>
        <v>0</v>
      </c>
      <c r="AL90" s="17">
        <f>_xlfn.FLOOR.MATH(AK90/3600)</f>
        <v>0</v>
      </c>
      <c r="AM90" s="17">
        <f>(AK90-3600*AL90)/60</f>
        <v>0</v>
      </c>
      <c r="AN90" s="17" t="str">
        <f>CONCATENATE(AJ90,TEXT(AL90, "00"),"°",TEXT(AM90, "00.0000"), " (", CONCATENATE(AJ90,TEXT(AL90*60 + AM90, "00.0000"),"'"), ")")</f>
        <v>+00°00.0000 (+00.0000')</v>
      </c>
      <c r="AO90" s="17"/>
      <c r="AT90" s="17"/>
      <c r="BN90" s="1"/>
    </row>
    <row r="91" spans="1:66" s="22" customFormat="1" ht="17.25" customHeight="1" thickTop="1" x14ac:dyDescent="0.25">
      <c r="A91" s="17"/>
      <c r="B91" s="17"/>
      <c r="C91" s="17"/>
      <c r="D91" s="17"/>
      <c r="E91" s="1"/>
      <c r="F91" s="1"/>
      <c r="G91" s="269"/>
      <c r="H91" s="269"/>
      <c r="I91" s="269"/>
      <c r="J91" s="269"/>
      <c r="K91" s="269"/>
      <c r="L91" s="269"/>
      <c r="M91" s="269"/>
      <c r="N91" s="269"/>
      <c r="O91" s="269"/>
      <c r="P91" s="269"/>
      <c r="Q91" s="269"/>
      <c r="R91" s="269"/>
      <c r="S91" s="269"/>
      <c r="T91" s="269"/>
      <c r="U91" s="269"/>
      <c r="V91" s="269"/>
      <c r="W91" s="269"/>
      <c r="X91" s="269"/>
      <c r="Y91" s="269"/>
      <c r="Z91" s="1"/>
      <c r="AA91" s="18"/>
      <c r="AB91" s="28"/>
      <c r="AC91" s="28"/>
      <c r="AD91" s="31"/>
      <c r="AE91" s="17"/>
      <c r="AF91" s="17"/>
      <c r="AG91" s="17"/>
      <c r="AH91" s="17"/>
      <c r="AK91" s="17"/>
      <c r="AL91" s="17"/>
      <c r="AM91" s="17"/>
      <c r="AN91" s="17"/>
      <c r="AO91" s="17"/>
      <c r="AT91" s="17"/>
      <c r="BN91" s="1"/>
    </row>
    <row r="92" spans="1:66" s="22" customFormat="1" ht="17.25" customHeight="1" x14ac:dyDescent="0.25">
      <c r="A92" s="269"/>
      <c r="B92" s="269"/>
      <c r="C92" s="269"/>
      <c r="D92" s="270"/>
      <c r="E92" s="1"/>
      <c r="F92" s="1"/>
      <c r="G92" s="17"/>
      <c r="H92" s="17"/>
      <c r="I92" s="17"/>
      <c r="J92" s="17"/>
      <c r="K92" s="17"/>
      <c r="L92" s="17"/>
      <c r="M92" s="17"/>
      <c r="N92" s="17"/>
      <c r="O92" s="1"/>
      <c r="P92" s="1"/>
      <c r="Q92" s="1"/>
      <c r="R92" s="492" t="s">
        <v>340</v>
      </c>
      <c r="S92" s="493"/>
      <c r="T92" s="494"/>
      <c r="U92" s="1"/>
      <c r="V92" s="1"/>
      <c r="W92" s="1"/>
      <c r="X92" s="17"/>
      <c r="Y92" s="17"/>
      <c r="Z92" s="1"/>
      <c r="AA92" s="18"/>
      <c r="AB92" s="28"/>
      <c r="AC92" s="28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BN92" s="1"/>
    </row>
    <row r="93" spans="1:66" s="22" customFormat="1" ht="17.25" customHeight="1" x14ac:dyDescent="0.25">
      <c r="A93" s="269"/>
      <c r="B93" s="269"/>
      <c r="C93" s="269"/>
      <c r="D93" s="270"/>
      <c r="E93" s="1"/>
      <c r="F93" s="1"/>
      <c r="G93" s="280" t="s">
        <v>171</v>
      </c>
      <c r="H93" s="280"/>
      <c r="I93" s="280"/>
      <c r="J93" s="280"/>
      <c r="K93" s="280"/>
      <c r="L93" s="280"/>
      <c r="M93" s="280"/>
      <c r="N93" s="500">
        <f>R93</f>
        <v>10</v>
      </c>
      <c r="O93" s="501"/>
      <c r="P93" s="501"/>
      <c r="Q93" s="501"/>
      <c r="R93" s="276">
        <v>10</v>
      </c>
      <c r="S93" s="277"/>
      <c r="T93" s="278"/>
      <c r="U93" s="1"/>
      <c r="V93" s="1"/>
      <c r="W93" s="1"/>
      <c r="X93" s="17"/>
      <c r="Y93" s="17"/>
      <c r="Z93" s="1"/>
      <c r="AA93" s="18"/>
      <c r="AB93" s="28">
        <f>N85</f>
        <v>46.356521587956124</v>
      </c>
      <c r="AC93" s="28">
        <f>AB93</f>
        <v>46.356521587956124</v>
      </c>
      <c r="AD93" s="31" t="s">
        <v>218</v>
      </c>
      <c r="AE93" s="1">
        <f>(1/(TAN((AC93+(7.31/(AC93+4.4))) * D136)))</f>
        <v>0.94894657218874034</v>
      </c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BN93" s="1"/>
    </row>
    <row r="94" spans="1:66" s="22" customFormat="1" ht="17.25" customHeight="1" thickBot="1" x14ac:dyDescent="0.3">
      <c r="A94" s="269"/>
      <c r="B94" s="269"/>
      <c r="C94" s="269"/>
      <c r="D94" s="17"/>
      <c r="E94" s="1"/>
      <c r="F94" s="1"/>
      <c r="G94" s="280" t="s">
        <v>172</v>
      </c>
      <c r="H94" s="280"/>
      <c r="I94" s="280"/>
      <c r="J94" s="280"/>
      <c r="K94" s="280"/>
      <c r="L94" s="280"/>
      <c r="M94" s="280"/>
      <c r="N94" s="500">
        <f>R94</f>
        <v>1010</v>
      </c>
      <c r="O94" s="501"/>
      <c r="P94" s="501"/>
      <c r="Q94" s="501"/>
      <c r="R94" s="276">
        <v>1010</v>
      </c>
      <c r="S94" s="277"/>
      <c r="T94" s="278"/>
      <c r="U94" s="1"/>
      <c r="V94" s="1"/>
      <c r="W94" s="1"/>
      <c r="X94" s="17"/>
      <c r="Y94" s="17"/>
      <c r="Z94" s="1"/>
      <c r="AA94" s="18"/>
      <c r="AB94" s="28"/>
      <c r="AC94" s="28"/>
      <c r="AD94" s="31" t="s">
        <v>219</v>
      </c>
      <c r="AE94" s="1">
        <f>(0.28 * N94 / (273 + N93))</f>
        <v>0.99929328621908131</v>
      </c>
      <c r="AF94" s="1"/>
      <c r="AG94" s="1"/>
      <c r="AI94" s="68" t="s">
        <v>182</v>
      </c>
      <c r="AJ94" s="68" t="s">
        <v>182</v>
      </c>
      <c r="AK94" s="68" t="s">
        <v>112</v>
      </c>
      <c r="AL94" s="68" t="s">
        <v>125</v>
      </c>
      <c r="AM94" s="68" t="s">
        <v>137</v>
      </c>
      <c r="AN94" s="1"/>
      <c r="AO94" s="1"/>
      <c r="AP94" s="1"/>
      <c r="AQ94" s="1"/>
      <c r="AR94" s="1"/>
      <c r="AS94" s="1"/>
      <c r="BN94" s="1"/>
    </row>
    <row r="95" spans="1:66" s="22" customFormat="1" ht="17.25" customHeight="1" thickTop="1" thickBot="1" x14ac:dyDescent="0.3">
      <c r="A95" s="269"/>
      <c r="B95" s="269"/>
      <c r="C95" s="269"/>
      <c r="D95" s="17"/>
      <c r="E95" s="1"/>
      <c r="F95" s="1"/>
      <c r="G95" s="497" t="s">
        <v>82</v>
      </c>
      <c r="H95" s="498"/>
      <c r="I95" s="498"/>
      <c r="J95" s="498"/>
      <c r="K95" s="498"/>
      <c r="L95" s="498"/>
      <c r="M95" s="499"/>
      <c r="N95" s="362">
        <f>AC95</f>
        <v>1.5804598976146982E-2</v>
      </c>
      <c r="O95" s="362"/>
      <c r="P95" s="362"/>
      <c r="Q95" s="362"/>
      <c r="R95" s="1" t="s">
        <v>125</v>
      </c>
      <c r="S95" s="1"/>
      <c r="T95" s="279" t="str">
        <f>AB95</f>
        <v>+00°00.9483 (+00.9483')</v>
      </c>
      <c r="U95" s="279"/>
      <c r="V95" s="279"/>
      <c r="W95" s="279"/>
      <c r="X95" s="279"/>
      <c r="Y95" s="279"/>
      <c r="Z95" s="1"/>
      <c r="AA95" s="18"/>
      <c r="AB95" s="28" t="str">
        <f>AN95</f>
        <v>+00°00.9483 (+00.9483')</v>
      </c>
      <c r="AC95" s="28">
        <f>AE95</f>
        <v>1.5804598976146982E-2</v>
      </c>
      <c r="AD95" s="31" t="s">
        <v>85</v>
      </c>
      <c r="AE95" s="17">
        <f>AE93*AE94/60</f>
        <v>1.5804598976146982E-2</v>
      </c>
      <c r="AF95" s="17"/>
      <c r="AG95" s="17"/>
      <c r="AI95" s="22">
        <f>SIGN(AC95)</f>
        <v>1</v>
      </c>
      <c r="AJ95" s="22" t="str">
        <f>IF(AI95&lt;0,"-","+")</f>
        <v>+</v>
      </c>
      <c r="AK95" s="17">
        <f>ABS(AC95)*3600</f>
        <v>56.896556314129136</v>
      </c>
      <c r="AL95" s="17">
        <f>_xlfn.FLOOR.MATH(AK95/3600)</f>
        <v>0</v>
      </c>
      <c r="AM95" s="17">
        <f>(AK95-3600*AL95)/60</f>
        <v>0.94827593856881898</v>
      </c>
      <c r="AN95" s="17" t="str">
        <f>CONCATENATE(AJ95,TEXT(AL95, "00"),"°",TEXT(AM95, "00.0000"), " (", CONCATENATE(AJ95,TEXT(AL95*60 + AM95, "00.0000"),"'"), ")")</f>
        <v>+00°00.9483 (+00.9483')</v>
      </c>
      <c r="AO95" s="1"/>
      <c r="AP95" s="1"/>
      <c r="AQ95" s="1"/>
      <c r="AR95" s="1"/>
      <c r="AS95" s="1"/>
      <c r="BN95" s="1"/>
    </row>
    <row r="96" spans="1:66" s="22" customFormat="1" ht="17.25" customHeight="1" thickTop="1" x14ac:dyDescent="0.25">
      <c r="A96" s="269"/>
      <c r="B96" s="269"/>
      <c r="C96" s="269"/>
      <c r="D96" s="17"/>
      <c r="E96" s="1"/>
      <c r="F96" s="1"/>
      <c r="G96" s="269"/>
      <c r="H96" s="269"/>
      <c r="I96" s="269"/>
      <c r="J96" s="269"/>
      <c r="K96" s="269"/>
      <c r="L96" s="269"/>
      <c r="M96" s="269"/>
      <c r="N96" s="269"/>
      <c r="O96" s="1"/>
      <c r="P96" s="1"/>
      <c r="Q96" s="1"/>
      <c r="R96" s="1"/>
      <c r="S96" s="1"/>
      <c r="T96" s="1"/>
      <c r="U96" s="1"/>
      <c r="V96" s="1"/>
      <c r="W96" s="1"/>
      <c r="X96" s="17"/>
      <c r="Y96" s="17"/>
      <c r="Z96" s="1"/>
      <c r="AA96" s="18"/>
      <c r="AB96" s="28"/>
      <c r="AC96" s="28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BN96" s="1"/>
    </row>
    <row r="97" spans="1:66" s="22" customFormat="1" ht="17.25" customHeight="1" x14ac:dyDescent="0.25">
      <c r="A97" s="17"/>
      <c r="B97" s="17"/>
      <c r="C97" s="17"/>
      <c r="D97" s="17"/>
      <c r="E97" s="1"/>
      <c r="F97" s="1"/>
      <c r="G97" s="280" t="s">
        <v>226</v>
      </c>
      <c r="H97" s="280"/>
      <c r="I97" s="280"/>
      <c r="J97" s="280"/>
      <c r="K97" s="280"/>
      <c r="L97" s="280"/>
      <c r="M97" s="280"/>
      <c r="N97" s="462">
        <f>I26</f>
        <v>0</v>
      </c>
      <c r="O97" s="462"/>
      <c r="P97" s="462"/>
      <c r="Q97" s="462"/>
      <c r="R97" s="1"/>
      <c r="S97" s="1"/>
      <c r="T97" s="1"/>
      <c r="U97" s="1"/>
      <c r="V97" s="1"/>
      <c r="W97" s="1"/>
      <c r="X97" s="1"/>
      <c r="Y97" s="1"/>
      <c r="Z97" s="1"/>
      <c r="AA97" s="18"/>
      <c r="AB97" s="28"/>
      <c r="AC97" s="28"/>
      <c r="AD97" s="31" t="s">
        <v>183</v>
      </c>
      <c r="AE97" s="31" t="s">
        <v>184</v>
      </c>
      <c r="AF97" s="31" t="s">
        <v>185</v>
      </c>
      <c r="AG97" s="17"/>
      <c r="AH97" s="17"/>
      <c r="AI97" s="17"/>
      <c r="AJ97" s="17"/>
      <c r="AK97" s="17"/>
      <c r="AL97" s="17"/>
      <c r="AM97" s="17"/>
      <c r="AN97" s="17"/>
      <c r="AO97" s="17"/>
      <c r="BN97" s="1"/>
    </row>
    <row r="98" spans="1:66" s="22" customFormat="1" ht="17.25" customHeight="1" thickBot="1" x14ac:dyDescent="0.3">
      <c r="A98" s="1"/>
      <c r="B98" s="17"/>
      <c r="C98" s="17"/>
      <c r="D98" s="270"/>
      <c r="E98" s="270"/>
      <c r="F98" s="270"/>
      <c r="G98" s="280" t="s">
        <v>179</v>
      </c>
      <c r="H98" s="280"/>
      <c r="I98" s="280"/>
      <c r="J98" s="280"/>
      <c r="K98" s="280"/>
      <c r="L98" s="280"/>
      <c r="M98" s="280"/>
      <c r="N98" s="462" t="str">
        <f>I21</f>
        <v>Milieu</v>
      </c>
      <c r="O98" s="462"/>
      <c r="P98" s="462"/>
      <c r="Q98" s="462"/>
      <c r="R98" s="1"/>
      <c r="S98" s="1"/>
      <c r="T98" s="1"/>
      <c r="U98" s="1"/>
      <c r="V98" s="1"/>
      <c r="W98" s="1"/>
      <c r="X98" s="1"/>
      <c r="Y98" s="1"/>
      <c r="Z98" s="1"/>
      <c r="AA98" s="18"/>
      <c r="AB98" s="28"/>
      <c r="AC98" s="28"/>
      <c r="AD98" s="1" t="b">
        <f>(N98=AE21)</f>
        <v>0</v>
      </c>
      <c r="AE98" s="1" t="b">
        <f>(N98=AF21)</f>
        <v>0</v>
      </c>
      <c r="AF98" s="1" t="b">
        <f>(N98=AG21)</f>
        <v>1</v>
      </c>
      <c r="AG98" s="1"/>
      <c r="AH98" s="269"/>
      <c r="AI98" s="68" t="s">
        <v>182</v>
      </c>
      <c r="AJ98" s="68" t="s">
        <v>182</v>
      </c>
      <c r="AK98" s="68" t="s">
        <v>112</v>
      </c>
      <c r="AL98" s="68" t="s">
        <v>125</v>
      </c>
      <c r="AM98" s="68" t="s">
        <v>137</v>
      </c>
      <c r="AN98" s="1"/>
      <c r="AO98" s="1"/>
      <c r="AP98" s="1"/>
      <c r="AQ98" s="1"/>
      <c r="AR98" s="1"/>
      <c r="AS98" s="17"/>
      <c r="BN98" s="1"/>
    </row>
    <row r="99" spans="1:66" s="22" customFormat="1" ht="17.25" customHeight="1" thickTop="1" thickBot="1" x14ac:dyDescent="0.3">
      <c r="A99" s="1"/>
      <c r="B99" s="1"/>
      <c r="C99" s="270"/>
      <c r="D99" s="270"/>
      <c r="E99" s="270"/>
      <c r="F99" s="270"/>
      <c r="G99" s="502" t="s">
        <v>180</v>
      </c>
      <c r="H99" s="503"/>
      <c r="I99" s="503"/>
      <c r="J99" s="503"/>
      <c r="K99" s="503"/>
      <c r="L99" s="503"/>
      <c r="M99" s="504"/>
      <c r="N99" s="505">
        <f>AC99</f>
        <v>0</v>
      </c>
      <c r="O99" s="505"/>
      <c r="P99" s="505"/>
      <c r="Q99" s="505"/>
      <c r="R99" s="1" t="s">
        <v>125</v>
      </c>
      <c r="S99" s="1"/>
      <c r="T99" s="279" t="str">
        <f>AB99</f>
        <v>+00°00.0000 (+00.0000')</v>
      </c>
      <c r="U99" s="279"/>
      <c r="V99" s="279"/>
      <c r="W99" s="279"/>
      <c r="X99" s="279"/>
      <c r="Y99" s="279"/>
      <c r="Z99" s="1"/>
      <c r="AA99" s="18"/>
      <c r="AB99" s="28" t="str">
        <f>AN99</f>
        <v>+00°00.0000 (+00.0000')</v>
      </c>
      <c r="AC99" s="28">
        <f>SUM(AD99:AF99)</f>
        <v>0</v>
      </c>
      <c r="AD99" s="1">
        <v>0</v>
      </c>
      <c r="AE99" s="1">
        <f>IF(AE98,-0.5*N97,0)</f>
        <v>0</v>
      </c>
      <c r="AF99" s="1">
        <f>IF(AF98,-0.5*N97,0)</f>
        <v>0</v>
      </c>
      <c r="AG99" s="1"/>
      <c r="AH99" s="269"/>
      <c r="AI99" s="22">
        <f>SIGN(AC99)</f>
        <v>0</v>
      </c>
      <c r="AJ99" s="22" t="str">
        <f>IF(AI99&lt;0,"-","+")</f>
        <v>+</v>
      </c>
      <c r="AK99" s="17">
        <f>ABS(AC99)*3600</f>
        <v>0</v>
      </c>
      <c r="AL99" s="17">
        <f>_xlfn.FLOOR.MATH(AK99/3600)</f>
        <v>0</v>
      </c>
      <c r="AM99" s="17">
        <f>(AK99-3600*AL99)/60</f>
        <v>0</v>
      </c>
      <c r="AN99" s="17" t="str">
        <f>CONCATENATE(AJ99,TEXT(AL99, "00"),"°",TEXT(AM99, "00.0000"), " (", CONCATENATE(AJ99,TEXT(AL99*60 + AM99, "00.0000"),"'"), ")")</f>
        <v>+00°00.0000 (+00.0000')</v>
      </c>
      <c r="AO99" s="1"/>
      <c r="AP99" s="1"/>
      <c r="AQ99" s="1"/>
      <c r="AR99" s="1"/>
      <c r="AS99" s="17"/>
      <c r="BN99" s="1"/>
    </row>
    <row r="100" spans="1:66" s="22" customFormat="1" ht="17.25" customHeight="1" thickTop="1" x14ac:dyDescent="0.25">
      <c r="A100" s="1"/>
      <c r="B100" s="1"/>
      <c r="C100" s="270"/>
      <c r="D100" s="270"/>
      <c r="E100" s="270"/>
      <c r="F100" s="270"/>
      <c r="G100" s="269"/>
      <c r="H100" s="269"/>
      <c r="I100" s="269"/>
      <c r="J100" s="269"/>
      <c r="K100" s="269"/>
      <c r="L100" s="269"/>
      <c r="M100" s="269"/>
      <c r="N100" s="269"/>
      <c r="O100" s="269"/>
      <c r="P100" s="269"/>
      <c r="Q100" s="269"/>
      <c r="R100" s="269"/>
      <c r="S100" s="269"/>
      <c r="T100" s="269"/>
      <c r="U100" s="269"/>
      <c r="V100" s="269"/>
      <c r="W100" s="269"/>
      <c r="X100" s="269"/>
      <c r="Y100" s="269"/>
      <c r="Z100" s="1"/>
      <c r="AA100" s="18"/>
      <c r="AB100" s="28"/>
      <c r="AC100" s="28"/>
      <c r="AD100" s="1"/>
      <c r="AE100" s="1"/>
      <c r="AF100" s="1"/>
      <c r="AG100" s="1"/>
      <c r="AH100" s="269"/>
      <c r="AK100" s="17"/>
      <c r="AL100" s="17"/>
      <c r="AM100" s="17"/>
      <c r="AN100" s="17"/>
      <c r="AO100" s="1"/>
      <c r="AP100" s="1"/>
      <c r="AQ100" s="1"/>
      <c r="AR100" s="1"/>
      <c r="AS100" s="17"/>
      <c r="BN100" s="1"/>
    </row>
    <row r="101" spans="1:66" s="22" customFormat="1" ht="17.25" customHeight="1" x14ac:dyDescent="0.25">
      <c r="A101" s="1"/>
      <c r="B101" s="1"/>
      <c r="C101" s="270"/>
      <c r="D101" s="270"/>
      <c r="E101" s="270"/>
      <c r="F101" s="477" t="s">
        <v>311</v>
      </c>
      <c r="G101" s="478"/>
      <c r="H101" s="478"/>
      <c r="I101" s="478"/>
      <c r="J101" s="478"/>
      <c r="K101" s="478"/>
      <c r="L101" s="478"/>
      <c r="M101" s="478"/>
      <c r="N101" s="478"/>
      <c r="O101" s="478"/>
      <c r="P101" s="478"/>
      <c r="Q101" s="478"/>
      <c r="R101" s="479"/>
      <c r="S101" s="269"/>
      <c r="T101" s="269"/>
      <c r="U101" s="269"/>
      <c r="V101" s="269"/>
      <c r="W101" s="269"/>
      <c r="X101" s="269"/>
      <c r="Y101" s="269"/>
      <c r="Z101" s="1"/>
      <c r="AA101" s="18"/>
      <c r="AB101" s="28"/>
      <c r="AC101" s="28"/>
      <c r="AD101" s="1"/>
      <c r="AE101" s="1"/>
      <c r="AF101" s="1"/>
      <c r="AG101" s="1"/>
      <c r="AH101" s="269"/>
      <c r="AK101" s="17"/>
      <c r="AL101" s="17"/>
      <c r="AM101" s="17"/>
      <c r="AN101" s="17"/>
      <c r="AO101" s="1"/>
      <c r="AP101" s="1"/>
      <c r="AQ101" s="1"/>
      <c r="AR101" s="1"/>
      <c r="AS101" s="17"/>
      <c r="BN101" s="1"/>
    </row>
    <row r="102" spans="1:66" s="22" customFormat="1" ht="17.25" customHeight="1" x14ac:dyDescent="0.25">
      <c r="A102" s="1"/>
      <c r="B102" s="1"/>
      <c r="C102" s="270"/>
      <c r="D102" s="270"/>
      <c r="E102" s="270"/>
      <c r="F102" s="456" t="s">
        <v>327</v>
      </c>
      <c r="G102" s="457"/>
      <c r="H102" s="486" t="s">
        <v>317</v>
      </c>
      <c r="I102" s="487"/>
      <c r="J102" s="487"/>
      <c r="K102" s="487"/>
      <c r="L102" s="487"/>
      <c r="M102" s="488"/>
      <c r="N102" s="516">
        <f>(N90-N95-N83+N97/2) * 60</f>
        <v>-7.7569806612014576</v>
      </c>
      <c r="O102" s="284"/>
      <c r="P102" s="284"/>
      <c r="Q102" s="284"/>
      <c r="R102" s="451" t="s">
        <v>312</v>
      </c>
      <c r="S102" s="269"/>
      <c r="T102" s="269"/>
      <c r="U102" s="269"/>
      <c r="V102" s="269"/>
      <c r="W102" s="269"/>
      <c r="X102" s="269"/>
      <c r="Y102" s="269"/>
      <c r="Z102" s="1"/>
      <c r="AA102" s="18"/>
      <c r="AB102" s="28"/>
      <c r="AC102" s="28"/>
      <c r="AD102" s="1"/>
      <c r="AE102" s="1"/>
      <c r="AF102" s="1"/>
      <c r="AG102" s="1"/>
      <c r="AH102" s="269"/>
      <c r="AK102" s="17"/>
      <c r="AL102" s="17"/>
      <c r="AM102" s="17"/>
      <c r="AN102" s="17"/>
      <c r="AO102" s="1"/>
      <c r="AP102" s="1"/>
      <c r="AQ102" s="1"/>
      <c r="AR102" s="1"/>
      <c r="AS102" s="17"/>
      <c r="BN102" s="1"/>
    </row>
    <row r="103" spans="1:66" s="22" customFormat="1" ht="17.25" customHeight="1" x14ac:dyDescent="0.25">
      <c r="A103" s="1"/>
      <c r="B103" s="1"/>
      <c r="C103" s="270"/>
      <c r="D103" s="270"/>
      <c r="E103" s="270"/>
      <c r="F103" s="458"/>
      <c r="G103" s="459"/>
      <c r="H103" s="489" t="s">
        <v>321</v>
      </c>
      <c r="I103" s="490"/>
      <c r="J103" s="490"/>
      <c r="K103" s="490"/>
      <c r="L103" s="490"/>
      <c r="M103" s="491"/>
      <c r="N103" s="517"/>
      <c r="O103" s="285"/>
      <c r="P103" s="285"/>
      <c r="Q103" s="285"/>
      <c r="R103" s="452"/>
      <c r="S103" s="269"/>
      <c r="T103" s="269"/>
      <c r="U103" s="269"/>
      <c r="V103" s="269"/>
      <c r="W103" s="269"/>
      <c r="X103" s="269"/>
      <c r="Y103" s="269"/>
      <c r="Z103" s="1"/>
      <c r="AA103" s="18"/>
      <c r="AB103" s="28"/>
      <c r="AC103" s="28"/>
      <c r="AD103" s="1"/>
      <c r="AE103" s="1"/>
      <c r="AF103" s="1"/>
      <c r="AG103" s="1"/>
      <c r="AH103" s="269"/>
      <c r="AK103" s="17"/>
      <c r="AL103" s="17"/>
      <c r="AM103" s="17"/>
      <c r="AN103" s="17"/>
      <c r="AO103" s="1"/>
      <c r="AP103" s="1"/>
      <c r="AQ103" s="1"/>
      <c r="AR103" s="1"/>
      <c r="AS103" s="17"/>
      <c r="BN103" s="1"/>
    </row>
    <row r="104" spans="1:66" s="22" customFormat="1" ht="17.25" customHeight="1" x14ac:dyDescent="0.25">
      <c r="A104" s="1"/>
      <c r="B104" s="1"/>
      <c r="C104" s="270"/>
      <c r="D104" s="270"/>
      <c r="E104" s="270"/>
      <c r="F104" s="270"/>
      <c r="G104" s="269"/>
      <c r="H104" s="486" t="s">
        <v>318</v>
      </c>
      <c r="I104" s="487"/>
      <c r="J104" s="487"/>
      <c r="K104" s="487"/>
      <c r="L104" s="487"/>
      <c r="M104" s="488"/>
      <c r="N104" s="284">
        <f>(N90-N95+N97/2)*60</f>
        <v>-0.94827593856881898</v>
      </c>
      <c r="O104" s="284"/>
      <c r="P104" s="284"/>
      <c r="Q104" s="284"/>
      <c r="R104" s="451" t="s">
        <v>312</v>
      </c>
      <c r="S104" s="269"/>
      <c r="T104" s="269"/>
      <c r="U104" s="269"/>
      <c r="V104" s="269"/>
      <c r="W104" s="269"/>
      <c r="X104" s="269"/>
      <c r="Y104" s="269"/>
      <c r="Z104" s="1"/>
      <c r="AA104" s="18"/>
      <c r="AB104" s="28"/>
      <c r="AC104" s="28"/>
      <c r="AD104" s="1"/>
      <c r="AE104" s="1"/>
      <c r="AF104" s="1"/>
      <c r="AG104" s="1"/>
      <c r="AH104" s="269"/>
      <c r="AK104" s="17"/>
      <c r="AL104" s="17"/>
      <c r="AM104" s="17"/>
      <c r="AN104" s="17"/>
      <c r="AO104" s="1"/>
      <c r="AP104" s="1"/>
      <c r="AQ104" s="1"/>
      <c r="AR104" s="1"/>
      <c r="AS104" s="17"/>
      <c r="BN104" s="1"/>
    </row>
    <row r="105" spans="1:66" s="22" customFormat="1" ht="17.25" customHeight="1" x14ac:dyDescent="0.25">
      <c r="A105" s="1"/>
      <c r="B105" s="1"/>
      <c r="C105" s="270"/>
      <c r="D105" s="270"/>
      <c r="E105" s="270"/>
      <c r="F105" s="270"/>
      <c r="G105" s="269"/>
      <c r="H105" s="453" t="s">
        <v>319</v>
      </c>
      <c r="I105" s="454"/>
      <c r="J105" s="454"/>
      <c r="K105" s="454"/>
      <c r="L105" s="454"/>
      <c r="M105" s="455"/>
      <c r="N105" s="285"/>
      <c r="O105" s="285"/>
      <c r="P105" s="285"/>
      <c r="Q105" s="285"/>
      <c r="R105" s="452"/>
      <c r="S105" s="269"/>
      <c r="T105" s="269"/>
      <c r="U105" s="269"/>
      <c r="V105" s="269"/>
      <c r="W105" s="269"/>
      <c r="X105" s="269"/>
      <c r="Y105" s="269"/>
      <c r="Z105" s="1"/>
      <c r="AA105" s="18"/>
      <c r="AB105" s="28"/>
      <c r="AC105" s="28"/>
      <c r="AD105" s="1"/>
      <c r="AE105" s="1"/>
      <c r="AF105" s="1"/>
      <c r="AG105" s="1"/>
      <c r="AH105" s="269"/>
      <c r="AK105" s="17"/>
      <c r="AL105" s="17"/>
      <c r="AM105" s="17"/>
      <c r="AN105" s="17"/>
      <c r="AO105" s="1"/>
      <c r="AP105" s="1"/>
      <c r="AQ105" s="1"/>
      <c r="AR105" s="1"/>
      <c r="AS105" s="17"/>
      <c r="BN105" s="1"/>
    </row>
    <row r="106" spans="1:66" s="22" customFormat="1" ht="17.25" customHeight="1" x14ac:dyDescent="0.25">
      <c r="A106" s="1"/>
      <c r="B106" s="1"/>
      <c r="C106" s="270"/>
      <c r="D106" s="270"/>
      <c r="E106" s="270"/>
      <c r="F106" s="270"/>
      <c r="G106" s="269"/>
      <c r="H106" s="513" t="s">
        <v>180</v>
      </c>
      <c r="I106" s="513"/>
      <c r="J106" s="513"/>
      <c r="K106" s="513"/>
      <c r="L106" s="513"/>
      <c r="M106" s="513"/>
      <c r="N106" s="514">
        <f>N99*60</f>
        <v>0</v>
      </c>
      <c r="O106" s="515"/>
      <c r="P106" s="515"/>
      <c r="Q106" s="515"/>
      <c r="R106" s="148" t="s">
        <v>312</v>
      </c>
      <c r="S106" s="269"/>
      <c r="T106" s="269"/>
      <c r="U106" s="269"/>
      <c r="V106" s="269"/>
      <c r="W106" s="269"/>
      <c r="X106" s="269"/>
      <c r="Y106" s="269"/>
      <c r="Z106" s="1"/>
      <c r="AA106" s="18"/>
      <c r="AB106" s="28"/>
      <c r="AC106" s="28"/>
      <c r="AD106" s="1"/>
      <c r="AE106" s="1"/>
      <c r="AF106" s="1"/>
      <c r="AG106" s="1"/>
      <c r="AH106" s="269"/>
      <c r="AK106" s="17"/>
      <c r="AL106" s="17"/>
      <c r="AM106" s="17"/>
      <c r="AN106" s="17"/>
      <c r="AO106" s="1"/>
      <c r="AP106" s="1"/>
      <c r="AQ106" s="1"/>
      <c r="AR106" s="1"/>
      <c r="AS106" s="17"/>
      <c r="BN106" s="1"/>
    </row>
    <row r="107" spans="1:66" s="22" customFormat="1" ht="17.25" customHeight="1" thickBot="1" x14ac:dyDescent="0.3">
      <c r="A107" s="1"/>
      <c r="B107" s="1"/>
      <c r="C107" s="270"/>
      <c r="D107" s="270"/>
      <c r="E107" s="270"/>
      <c r="F107" s="270"/>
      <c r="G107" s="269"/>
      <c r="H107" s="269"/>
      <c r="I107" s="269"/>
      <c r="J107" s="269"/>
      <c r="K107" s="269"/>
      <c r="L107" s="269"/>
      <c r="M107" s="269"/>
      <c r="N107" s="269"/>
      <c r="O107" s="269"/>
      <c r="P107" s="269"/>
      <c r="Q107" s="269"/>
      <c r="R107" s="1"/>
      <c r="S107" s="1"/>
      <c r="T107" s="1"/>
      <c r="U107" s="1"/>
      <c r="V107" s="1"/>
      <c r="W107" s="1"/>
      <c r="X107" s="1"/>
      <c r="Y107" s="1"/>
      <c r="Z107" s="1"/>
      <c r="AA107" s="18"/>
      <c r="AB107" s="28"/>
      <c r="AC107" s="28"/>
      <c r="AD107" s="1"/>
      <c r="AE107" s="1"/>
      <c r="AF107" s="1"/>
      <c r="AG107" s="1"/>
      <c r="AH107" s="269"/>
      <c r="AI107" s="269" t="s">
        <v>309</v>
      </c>
      <c r="AJ107" s="269" t="s">
        <v>309</v>
      </c>
      <c r="AK107" s="269" t="s">
        <v>309</v>
      </c>
      <c r="AL107" s="269" t="s">
        <v>309</v>
      </c>
      <c r="AM107" s="1" t="s">
        <v>309</v>
      </c>
      <c r="AN107" s="1" t="s">
        <v>309</v>
      </c>
      <c r="AO107" s="1"/>
      <c r="AP107" s="1"/>
      <c r="AQ107" s="1"/>
      <c r="AR107" s="1"/>
      <c r="AS107" s="17"/>
      <c r="BN107" s="1"/>
    </row>
    <row r="108" spans="1:66" s="22" customFormat="1" ht="17.25" customHeight="1" thickTop="1" thickBot="1" x14ac:dyDescent="0.3">
      <c r="A108" s="1"/>
      <c r="B108" s="1"/>
      <c r="C108" s="270"/>
      <c r="D108" s="270"/>
      <c r="E108" s="270"/>
      <c r="F108" s="270"/>
      <c r="G108" s="579" t="s">
        <v>181</v>
      </c>
      <c r="H108" s="579"/>
      <c r="I108" s="579"/>
      <c r="J108" s="579"/>
      <c r="K108" s="579"/>
      <c r="L108" s="579"/>
      <c r="M108" s="579"/>
      <c r="N108" s="362">
        <f>AC108</f>
        <v>46.340716988979977</v>
      </c>
      <c r="O108" s="362"/>
      <c r="P108" s="362"/>
      <c r="Q108" s="362"/>
      <c r="R108" s="1" t="s">
        <v>125</v>
      </c>
      <c r="S108" s="1"/>
      <c r="T108" s="279" t="str">
        <f>AB109</f>
        <v>46°20'26.58 [46°20.44]  (46.3407°)</v>
      </c>
      <c r="U108" s="279"/>
      <c r="V108" s="279"/>
      <c r="W108" s="279"/>
      <c r="X108" s="279"/>
      <c r="Y108" s="279"/>
      <c r="Z108" s="1"/>
      <c r="AA108" s="18"/>
      <c r="AB108" s="28" t="str">
        <f>AN108</f>
        <v>+46°20.4430 (+2780.4430')</v>
      </c>
      <c r="AC108" s="28">
        <f>AE108</f>
        <v>46.340716988979977</v>
      </c>
      <c r="AD108" s="68" t="s">
        <v>178</v>
      </c>
      <c r="AE108" s="62">
        <f>N85 - N95 + N90 +N97/2</f>
        <v>46.340716988979977</v>
      </c>
      <c r="AF108" s="1"/>
      <c r="AG108" s="1"/>
      <c r="AH108" s="269"/>
      <c r="AI108" s="22">
        <f>SIGN(AC108)</f>
        <v>1</v>
      </c>
      <c r="AJ108" s="22" t="str">
        <f>IF(AI108&lt;0,"-","+")</f>
        <v>+</v>
      </c>
      <c r="AK108" s="17">
        <f>ABS(AC108)*3600</f>
        <v>166826.58116032791</v>
      </c>
      <c r="AL108" s="17">
        <f>_xlfn.FLOOR.MATH(AK108/3600)</f>
        <v>46</v>
      </c>
      <c r="AM108" s="17">
        <f>(AK108-3600*AL108)/60</f>
        <v>20.443019338798575</v>
      </c>
      <c r="AN108" s="17" t="str">
        <f>CONCATENATE(AJ108,TEXT(AL108, "00"),"°",TEXT(AM108, "00.0000"), " (", CONCATENATE(AJ108,TEXT(AL108*60 + AM108, "00.0000"),"'"), ")")</f>
        <v>+46°20.4430 (+2780.4430')</v>
      </c>
      <c r="AO108" s="1"/>
      <c r="AP108" s="1"/>
      <c r="AQ108" s="1"/>
      <c r="AR108" s="1"/>
      <c r="AS108" s="17"/>
      <c r="BN108" s="1"/>
    </row>
    <row r="109" spans="1:66" s="22" customFormat="1" ht="17.25" customHeight="1" thickTop="1" x14ac:dyDescent="0.25">
      <c r="A109" s="1"/>
      <c r="B109" s="1"/>
      <c r="C109" s="270"/>
      <c r="D109" s="270"/>
      <c r="E109" s="270"/>
      <c r="F109" s="270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8">
        <f>AC108</f>
        <v>46.340716988979977</v>
      </c>
      <c r="AB109" s="14" t="str">
        <f>BC109</f>
        <v>46°20'26.58 [46°20.44]  (46.3407°)</v>
      </c>
      <c r="AC109" s="7">
        <f>BB109</f>
        <v>46.340716988979977</v>
      </c>
      <c r="AD109" s="5">
        <f>IF(LEFT(TRIM(AA109),1)="-",-1,IF(LEFT(TRIM(AA109),1)="+",1, 0))</f>
        <v>0</v>
      </c>
      <c r="AE109" s="5" t="str">
        <f>IF(AD109&gt;0,"+",IF(AD109&lt;0,"-",""))</f>
        <v/>
      </c>
      <c r="AF109" s="5">
        <f>IF(ABS(AD109)&gt;0,RIGHT(AA109,LEN(AA109)-1),AA109)</f>
        <v>46.340716988979977</v>
      </c>
      <c r="AG109" s="5" t="b">
        <f>ISNUMBER(SEARCH("°",AF109,1))</f>
        <v>0</v>
      </c>
      <c r="AH109" s="5" t="b">
        <f>ISNUMBER(SEARCH("'",AF109,1))</f>
        <v>0</v>
      </c>
      <c r="AI109" s="5" t="b">
        <f>ISNUMBER(SEARCH("""",AF109,1))</f>
        <v>0</v>
      </c>
      <c r="AJ109" s="5" t="b">
        <f>NOT(OR(AG109,AH109,AI109))</f>
        <v>1</v>
      </c>
      <c r="AK109" s="5" t="b">
        <f t="shared" ref="AK109" si="99">OR(AJ109,AG109)</f>
        <v>1</v>
      </c>
      <c r="AL109" s="6">
        <f>IF(AJ109,VALUE(AF109),IF(AG109,LEFT(AF109,SEARCH("°",AF109,1)-1),0))</f>
        <v>46.340716988979977</v>
      </c>
      <c r="AM109" s="5" t="str">
        <f>IF(AJ109,"",IF(AG109,RIGHT(AF109,LEN(AF109)-SEARCH("°",AF109,1)),AF109))</f>
        <v/>
      </c>
      <c r="AN109" s="5" t="b">
        <f>(LEN(AM109)&gt;0)</f>
        <v>0</v>
      </c>
      <c r="AO109" s="5" t="b">
        <f>NOT(OR(AH109,AI109))</f>
        <v>1</v>
      </c>
      <c r="AP109" s="6">
        <f t="shared" ref="AP109" si="100">IF(NOT(AN109),0,IF(AO109,VALUE(AM109),IF(NOT(AH109),0,VALUE(LEFT(AM109,SEARCH("'",AM109,1)-1)))))</f>
        <v>0</v>
      </c>
      <c r="AQ109" s="5" t="str">
        <f t="shared" ref="AQ109" si="101">IF(NOT(AN109),"",IF(AO109,"",IF(NOT(AH109),AM109,RIGHT(AM109,LEN(AM109)-SEARCH("'",AM109,1)))))</f>
        <v/>
      </c>
      <c r="AR109" s="5" t="b">
        <f>(LEN(AQ109)&gt;0)</f>
        <v>0</v>
      </c>
      <c r="AS109" s="5" t="b">
        <f t="shared" ref="AS109" si="102">NOT(AI109)</f>
        <v>1</v>
      </c>
      <c r="AT109" s="5" t="b">
        <f>ISNUMBER(SEARCH(".",AQ109,1))</f>
        <v>0</v>
      </c>
      <c r="AU109" s="6">
        <f t="shared" ref="AU109" si="103">IF(AR109,IF(AI109,IF(AT109,VALUE(SUBSTITUTE(AQ109, """", "")),VALUE(SUBSTITUTE(AQ109, """", "."))),VALUE(AQ109)),0)</f>
        <v>0</v>
      </c>
      <c r="AV109" s="6">
        <f t="shared" ref="AV109" si="104">AL109*3600+AP109*60+AU109</f>
        <v>166826.58116032791</v>
      </c>
      <c r="AW109" s="6">
        <f>AV109/3600</f>
        <v>46.340716988979977</v>
      </c>
      <c r="AX109" s="6">
        <f>_xlfn.FLOOR.MATH((AW109))</f>
        <v>46</v>
      </c>
      <c r="AY109" s="6">
        <f>(AV109-3600*AX109)/60</f>
        <v>20.443019338798575</v>
      </c>
      <c r="AZ109" s="6">
        <f>_xlfn.FLOOR.MATH((AY109))</f>
        <v>20</v>
      </c>
      <c r="BA109" s="6">
        <f>AV109-3600*AX109-60*AZ109</f>
        <v>26.581160327914404</v>
      </c>
      <c r="BB109" s="6">
        <f>AW109*IF(AD109&lt;0,-1,1)</f>
        <v>46.340716988979977</v>
      </c>
      <c r="BC109" s="7" t="str">
        <f>CONCATENATE(AE109,TEXT(AX109,"00"),"°",TEXT(AZ109,"00"),"'",TEXT(BA109,"00.00"), " [", CONCATENATE(AE109,TEXT(AX109,"00"),"°",TEXT(AY109,"00.00")),"]", "  (", AE109,TEXT(AW109,"00.0000"),"°)")</f>
        <v>46°20'26.58 [46°20.44]  (46.3407°)</v>
      </c>
      <c r="BN109" s="1"/>
    </row>
    <row r="110" spans="1:66" s="22" customFormat="1" ht="17.25" customHeight="1" x14ac:dyDescent="0.25">
      <c r="A110" s="1"/>
      <c r="B110" s="1"/>
      <c r="C110" s="270"/>
      <c r="D110" s="270"/>
      <c r="E110" s="334" t="s">
        <v>169</v>
      </c>
      <c r="F110" s="334"/>
      <c r="G110" s="334"/>
      <c r="H110" s="334"/>
      <c r="I110" s="362" t="str">
        <f>IF(F79=AE79,N115,"---")</f>
        <v>---</v>
      </c>
      <c r="J110" s="362"/>
      <c r="K110" s="362"/>
      <c r="L110" s="1"/>
      <c r="M110" s="1"/>
      <c r="N110" s="1"/>
      <c r="O110" s="1"/>
      <c r="P110" s="1"/>
      <c r="Q110" s="72" t="s">
        <v>196</v>
      </c>
      <c r="R110" s="1" t="s">
        <v>54</v>
      </c>
      <c r="S110" s="1"/>
      <c r="T110" s="1"/>
      <c r="U110" s="1"/>
      <c r="V110" s="1"/>
      <c r="W110" s="1"/>
      <c r="X110" s="1"/>
      <c r="Y110" s="1"/>
      <c r="Z110" s="1"/>
      <c r="AA110" s="18"/>
      <c r="AB110" s="14"/>
      <c r="AC110" s="7"/>
      <c r="AD110" s="3" t="s">
        <v>57</v>
      </c>
      <c r="AE110" s="3" t="s">
        <v>57</v>
      </c>
      <c r="AF110" s="3" t="s">
        <v>304</v>
      </c>
      <c r="AG110" s="3" t="s">
        <v>120</v>
      </c>
      <c r="AH110" s="3" t="s">
        <v>121</v>
      </c>
      <c r="AI110" s="3" t="s">
        <v>122</v>
      </c>
      <c r="AJ110" s="3" t="s">
        <v>123</v>
      </c>
      <c r="AK110" s="3" t="s">
        <v>124</v>
      </c>
      <c r="AL110" s="3" t="s">
        <v>125</v>
      </c>
      <c r="AM110" s="3" t="s">
        <v>101</v>
      </c>
      <c r="AN110" s="3" t="s">
        <v>129</v>
      </c>
      <c r="AO110" s="3" t="s">
        <v>128</v>
      </c>
      <c r="AP110" s="3" t="s">
        <v>126</v>
      </c>
      <c r="AQ110" s="3" t="s">
        <v>127</v>
      </c>
      <c r="AR110" s="3" t="s">
        <v>129</v>
      </c>
      <c r="AS110" s="3" t="s">
        <v>128</v>
      </c>
      <c r="AT110" s="3" t="s">
        <v>130</v>
      </c>
      <c r="AU110" s="3" t="s">
        <v>112</v>
      </c>
      <c r="AV110" s="3" t="s">
        <v>117</v>
      </c>
      <c r="AW110" s="3" t="s">
        <v>143</v>
      </c>
      <c r="AX110" s="3" t="s">
        <v>149</v>
      </c>
      <c r="AY110" s="3" t="s">
        <v>131</v>
      </c>
      <c r="AZ110" s="3" t="s">
        <v>150</v>
      </c>
      <c r="BA110" s="3" t="s">
        <v>112</v>
      </c>
      <c r="BB110" s="3" t="s">
        <v>308</v>
      </c>
      <c r="BC110" s="3" t="s">
        <v>151</v>
      </c>
      <c r="BN110" s="1"/>
    </row>
    <row r="111" spans="1:66" s="22" customFormat="1" ht="17.25" customHeight="1" thickBot="1" x14ac:dyDescent="0.3">
      <c r="A111" s="1"/>
      <c r="B111" s="1"/>
      <c r="C111" s="270"/>
      <c r="D111" s="270"/>
      <c r="E111" s="270"/>
      <c r="F111" s="270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73" t="s">
        <v>192</v>
      </c>
      <c r="R111" s="1" t="s">
        <v>194</v>
      </c>
      <c r="S111" s="1"/>
      <c r="T111" s="1"/>
      <c r="U111" s="1"/>
      <c r="V111" s="1"/>
      <c r="W111" s="1"/>
      <c r="X111" s="1"/>
      <c r="Y111" s="1"/>
      <c r="Z111" s="1"/>
      <c r="AA111" s="18" t="str">
        <f>M113</f>
        <v>0°11.4</v>
      </c>
      <c r="AB111" s="14" t="str">
        <f>BC111</f>
        <v>00°11'24.00 [00°11.40]  (00.1900°)</v>
      </c>
      <c r="AC111" s="7">
        <f>BB111</f>
        <v>0.19</v>
      </c>
      <c r="AD111" s="5">
        <f>IF(LEFT(TRIM(AA111),1)="-",-1,IF(LEFT(TRIM(AA111),1)="+",1, 0))</f>
        <v>0</v>
      </c>
      <c r="AE111" s="5" t="str">
        <f>IF(AD111&gt;0,"+",IF(AD111&lt;0,"-",""))</f>
        <v/>
      </c>
      <c r="AF111" s="5" t="str">
        <f>IF(ABS(AD111)&gt;0,RIGHT(AA111,LEN(AA111)-1),AA111)</f>
        <v>0°11.4</v>
      </c>
      <c r="AG111" s="5" t="b">
        <f>ISNUMBER(SEARCH("°",AF111,1))</f>
        <v>1</v>
      </c>
      <c r="AH111" s="5" t="b">
        <f>ISNUMBER(SEARCH("'",AF111,1))</f>
        <v>0</v>
      </c>
      <c r="AI111" s="5" t="b">
        <f>ISNUMBER(SEARCH("""",AF111,1))</f>
        <v>0</v>
      </c>
      <c r="AJ111" s="5" t="b">
        <f>NOT(OR(AG111,AH111,AI111))</f>
        <v>0</v>
      </c>
      <c r="AK111" s="5" t="b">
        <f t="shared" ref="AK111" si="105">OR(AJ111,AG111)</f>
        <v>1</v>
      </c>
      <c r="AL111" s="6" t="str">
        <f>IF(AJ111,VALUE(AF111),IF(AG111,LEFT(AF111,SEARCH("°",AF111,1)-1),0))</f>
        <v>0</v>
      </c>
      <c r="AM111" s="5" t="str">
        <f>IF(AJ111,"",IF(AG111,RIGHT(AF111,LEN(AF111)-SEARCH("°",AF111,1)),AF111))</f>
        <v>11.4</v>
      </c>
      <c r="AN111" s="5" t="b">
        <f>(LEN(AM111)&gt;0)</f>
        <v>1</v>
      </c>
      <c r="AO111" s="5" t="b">
        <f>NOT(OR(AH111,AI111))</f>
        <v>1</v>
      </c>
      <c r="AP111" s="6">
        <f t="shared" ref="AP111" si="106">IF(NOT(AN111),0,IF(AO111,VALUE(AM111),IF(NOT(AH111),0,VALUE(LEFT(AM111,SEARCH("'",AM111,1)-1)))))</f>
        <v>11.4</v>
      </c>
      <c r="AQ111" s="5" t="str">
        <f t="shared" ref="AQ111" si="107">IF(NOT(AN111),"",IF(AO111,"",IF(NOT(AH111),AM111,RIGHT(AM111,LEN(AM111)-SEARCH("'",AM111,1)))))</f>
        <v/>
      </c>
      <c r="AR111" s="5" t="b">
        <f>(LEN(AQ111)&gt;0)</f>
        <v>0</v>
      </c>
      <c r="AS111" s="5" t="b">
        <f t="shared" ref="AS111" si="108">NOT(AI111)</f>
        <v>1</v>
      </c>
      <c r="AT111" s="5" t="b">
        <f>ISNUMBER(SEARCH(".",AQ111,1))</f>
        <v>0</v>
      </c>
      <c r="AU111" s="6">
        <f t="shared" ref="AU111" si="109">IF(AR111,IF(AI111,IF(AT111,VALUE(SUBSTITUTE(AQ111, """", "")),VALUE(SUBSTITUTE(AQ111, """", "."))),VALUE(AQ111)),0)</f>
        <v>0</v>
      </c>
      <c r="AV111" s="6">
        <f t="shared" ref="AV111" si="110">AL111*3600+AP111*60+AU111</f>
        <v>684</v>
      </c>
      <c r="AW111" s="6">
        <f>AV111/3600</f>
        <v>0.19</v>
      </c>
      <c r="AX111" s="6">
        <f>_xlfn.FLOOR.MATH((AW111))</f>
        <v>0</v>
      </c>
      <c r="AY111" s="6">
        <f>(AV111-3600*AX111)/60</f>
        <v>11.4</v>
      </c>
      <c r="AZ111" s="6">
        <f>_xlfn.FLOOR.MATH((AY111))</f>
        <v>11</v>
      </c>
      <c r="BA111" s="6">
        <f>AV111-3600*AX111-60*AZ111</f>
        <v>24</v>
      </c>
      <c r="BB111" s="6">
        <f>AW111*IF(AD111&lt;0,-1,1)</f>
        <v>0.19</v>
      </c>
      <c r="BC111" s="7" t="str">
        <f>CONCATENATE(AE111,TEXT(AX111,"00"),"°",TEXT(AZ111,"00"),"'",TEXT(BA111,"00.00"), " [", CONCATENATE(AE111,TEXT(AX111,"00"),"°",TEXT(AY111,"00.00")),"]", "  (", AE111,TEXT(AW111,"00.0000"),"°)")</f>
        <v>00°11'24.00 [00°11.40]  (00.1900°)</v>
      </c>
      <c r="BN111" s="1"/>
    </row>
    <row r="112" spans="1:66" s="22" customFormat="1" ht="17.25" customHeight="1" thickTop="1" thickBot="1" x14ac:dyDescent="0.3">
      <c r="A112" s="1"/>
      <c r="B112" s="1"/>
      <c r="C112" s="270"/>
      <c r="D112" s="270"/>
      <c r="E112" s="270"/>
      <c r="F112" s="270"/>
      <c r="G112" s="1" t="s">
        <v>181</v>
      </c>
      <c r="H112" s="71" t="s">
        <v>186</v>
      </c>
      <c r="I112" s="1" t="s">
        <v>164</v>
      </c>
      <c r="J112" s="71" t="s">
        <v>189</v>
      </c>
      <c r="K112" s="1" t="s">
        <v>163</v>
      </c>
      <c r="L112" s="1"/>
      <c r="M112" s="71" t="s">
        <v>190</v>
      </c>
      <c r="N112" s="1"/>
      <c r="O112" s="1"/>
      <c r="P112" s="71" t="s">
        <v>191</v>
      </c>
      <c r="Q112" s="74" t="s">
        <v>193</v>
      </c>
      <c r="R112" s="1" t="s">
        <v>195</v>
      </c>
      <c r="S112" s="1"/>
      <c r="T112" s="1"/>
      <c r="U112" s="279" t="str">
        <f>AB111</f>
        <v>00°11'24.00 [00°11.40]  (00.1900°)</v>
      </c>
      <c r="V112" s="279"/>
      <c r="W112" s="279"/>
      <c r="X112" s="279"/>
      <c r="Y112" s="279"/>
      <c r="Z112" s="279"/>
      <c r="AA112" s="18" t="str">
        <f>Q113</f>
        <v>-16'</v>
      </c>
      <c r="AB112" s="19" t="str">
        <f>AY112</f>
        <v>-00°16'00.00 [-00°16.00] - (-00.2667°)</v>
      </c>
      <c r="AC112" s="20">
        <f>AF112*AC113</f>
        <v>-0.26666666666666666</v>
      </c>
      <c r="AD112" s="31" t="s">
        <v>197</v>
      </c>
      <c r="AE112" s="27" t="b">
        <f>ISNUMBER(SEARCH("-",AA112,1))</f>
        <v>1</v>
      </c>
      <c r="AF112" s="269">
        <f>IF(AE112,-1,1)</f>
        <v>-1</v>
      </c>
      <c r="AG112" s="269" t="str">
        <f>IF(AE112,"-","+")</f>
        <v>-</v>
      </c>
      <c r="AH112" s="269"/>
      <c r="AI112" s="269"/>
      <c r="AJ112" s="269"/>
      <c r="AK112" s="269"/>
      <c r="AL112" s="269"/>
      <c r="AM112" s="269"/>
      <c r="AN112" s="269"/>
      <c r="AO112" s="269"/>
      <c r="AP112" s="269"/>
      <c r="AQ112" s="269"/>
      <c r="AR112" s="269"/>
      <c r="AS112" s="269"/>
      <c r="AT112" s="269"/>
      <c r="AU112" s="269"/>
      <c r="AV112" s="269"/>
      <c r="AW112" s="269"/>
      <c r="AX112" s="269"/>
      <c r="AY112" s="269" t="str">
        <f>CONCATENATE(AG112,TEXT(AU113,"00"),"°",TEXT(AW113,"00"),"'",TEXT(AX113,"00.00"), " [", CONCATENATE(AG112,TEXT(AU113,"00"),"°",TEXT(AV113,"00.00")),"]", " - (", AG112,TEXT(AT113,"00.0000"),"°)")</f>
        <v>-00°16'00.00 [-00°16.00] - (-00.2667°)</v>
      </c>
      <c r="AZ112" s="269"/>
      <c r="BA112" s="269"/>
      <c r="BN112" s="1"/>
    </row>
    <row r="113" spans="1:66" s="22" customFormat="1" ht="17.25" customHeight="1" thickTop="1" thickBot="1" x14ac:dyDescent="0.3">
      <c r="A113" s="1"/>
      <c r="B113" s="1"/>
      <c r="C113" s="270"/>
      <c r="D113" s="270"/>
      <c r="E113" s="270"/>
      <c r="F113" s="270"/>
      <c r="G113" s="1"/>
      <c r="H113" s="71"/>
      <c r="I113" s="77">
        <f>N81</f>
        <v>46.506666666666668</v>
      </c>
      <c r="J113" s="71" t="s">
        <v>189</v>
      </c>
      <c r="K113" s="78">
        <f>N82</f>
        <v>3.6666666666666667E-2</v>
      </c>
      <c r="L113" s="1"/>
      <c r="M113" s="512" t="s">
        <v>220</v>
      </c>
      <c r="N113" s="512"/>
      <c r="O113" s="512"/>
      <c r="P113" s="71" t="s">
        <v>191</v>
      </c>
      <c r="Q113" s="86" t="s">
        <v>192</v>
      </c>
      <c r="R113" s="1"/>
      <c r="S113" s="1"/>
      <c r="T113" s="1"/>
      <c r="U113" s="279" t="str">
        <f>AB112</f>
        <v>-00°16'00.00 [-00°16.00] - (-00.2667°)</v>
      </c>
      <c r="V113" s="279"/>
      <c r="W113" s="279"/>
      <c r="X113" s="279"/>
      <c r="Y113" s="279"/>
      <c r="Z113" s="279"/>
      <c r="AA113" s="18" t="str">
        <f>IF(AE112,RIGHT(AA112,LEN(AA112)-SEARCH("-",AA112,1)),AA112)</f>
        <v>16'</v>
      </c>
      <c r="AB113" s="19" t="str">
        <f>AY113</f>
        <v>00°16'00.00 [00°16.00] - (00.2667°)</v>
      </c>
      <c r="AC113" s="20">
        <f>AT113</f>
        <v>0.26666666666666666</v>
      </c>
      <c r="AD113" s="27" t="b">
        <f t="shared" ref="AD113" si="111">ISNUMBER(SEARCH("°",AA113,1))</f>
        <v>0</v>
      </c>
      <c r="AE113" s="27" t="b">
        <f t="shared" ref="AE113" si="112">ISNUMBER(SEARCH("'",AA113,1))</f>
        <v>1</v>
      </c>
      <c r="AF113" s="27" t="b">
        <f t="shared" ref="AF113" si="113">ISNUMBER(SEARCH("""",AA113,1))</f>
        <v>0</v>
      </c>
      <c r="AG113" s="27" t="b">
        <f t="shared" ref="AG113" si="114">NOT(OR(AD113,AE113,AF113))</f>
        <v>0</v>
      </c>
      <c r="AH113" s="27" t="b">
        <f t="shared" ref="AH113" si="115">OR(AG113,AD113)</f>
        <v>0</v>
      </c>
      <c r="AI113" s="26">
        <f t="shared" ref="AI113" si="116">IF(AG113,VALUE(AA113),IF(AD113,LEFT(AA113,SEARCH("°",AA113,1)-1),0))</f>
        <v>0</v>
      </c>
      <c r="AJ113" s="27" t="str">
        <f t="shared" ref="AJ113" si="117">IF(AG113,"",IF(AD113,RIGHT(AA113,LEN(AA113)-SEARCH("°",AA113,1)),AA113))</f>
        <v>16'</v>
      </c>
      <c r="AK113" s="27" t="b">
        <f>(LEN(AJ113)&gt;0)</f>
        <v>1</v>
      </c>
      <c r="AL113" s="27" t="b">
        <f>NOT(OR(AE113,AF113))</f>
        <v>0</v>
      </c>
      <c r="AM113" s="26">
        <f>IF(NOT(AK113),0,IF(AL113,VALUE(AJ113),IF(NOT(AE113),0,VALUE(LEFT(AJ113,SEARCH("'",AJ113,1)-1)))))</f>
        <v>16</v>
      </c>
      <c r="AN113" s="27" t="str">
        <f>IF(NOT(AK113),"",IF(AL113,"",IF(NOT(AE113),AJ113,RIGHT(AJ113,LEN(AJ113)-SEARCH("'",AJ113,1)))))</f>
        <v/>
      </c>
      <c r="AO113" s="27" t="b">
        <f>(LEN(AN113)&gt;0)</f>
        <v>0</v>
      </c>
      <c r="AP113" s="27" t="b">
        <f>NOT(AF113)</f>
        <v>1</v>
      </c>
      <c r="AQ113" s="27" t="b">
        <f>ISNUMBER(SEARCH(".",AN113,1))</f>
        <v>0</v>
      </c>
      <c r="AR113" s="26">
        <f>IF(AO113,IF(AF113,IF(AQ113,VALUE(SUBSTITUTE(AN113, """", "")),VALUE(SUBSTITUTE(AN113, """", "."))),VALUE(AN113)),0)</f>
        <v>0</v>
      </c>
      <c r="AS113" s="26">
        <f>AI113*3600+AM113*60+AR113</f>
        <v>960</v>
      </c>
      <c r="AT113" s="26">
        <f>AS113/3600</f>
        <v>0.26666666666666666</v>
      </c>
      <c r="AU113" s="26">
        <f>_xlfn.FLOOR.MATH((AT113))</f>
        <v>0</v>
      </c>
      <c r="AV113" s="26">
        <f>(AS113-3600*AU113)/60</f>
        <v>16</v>
      </c>
      <c r="AW113" s="26">
        <f>_xlfn.FLOOR.MATH((AV113))</f>
        <v>16</v>
      </c>
      <c r="AX113" s="26">
        <f>AS113-3600*AU113-60*AW113</f>
        <v>0</v>
      </c>
      <c r="AY113" s="20" t="str">
        <f>CONCATENATE(TEXT(AU113,"00"),"°",TEXT(AW113,"00"),"'",TEXT(AX113,"00.00"), " [", CONCATENATE(TEXT(AU113,"00"),"°",TEXT(AV113,"00.00")),"]", " - (", TEXT(AT113,"00.0000"),"°)")</f>
        <v>00°16'00.00 [00°16.00] - (00.2667°)</v>
      </c>
      <c r="BN113" s="1"/>
    </row>
    <row r="114" spans="1:66" s="22" customFormat="1" ht="17.25" customHeight="1" thickTop="1" x14ac:dyDescent="0.25">
      <c r="A114" s="1"/>
      <c r="B114" s="1"/>
      <c r="C114" s="270"/>
      <c r="D114" s="270"/>
      <c r="E114" s="270"/>
      <c r="F114" s="270"/>
      <c r="G114" s="1"/>
      <c r="H114" s="71"/>
      <c r="I114" s="1"/>
      <c r="J114" s="71"/>
      <c r="K114" s="1"/>
      <c r="L114" s="1"/>
      <c r="M114" s="71"/>
      <c r="N114" s="1"/>
      <c r="O114" s="1"/>
      <c r="P114" s="71"/>
      <c r="Q114" s="75"/>
      <c r="R114" s="1"/>
      <c r="S114" s="1"/>
      <c r="T114" s="1"/>
      <c r="U114" s="1"/>
      <c r="V114" s="1"/>
      <c r="W114" s="1"/>
      <c r="X114" s="1"/>
      <c r="Y114" s="1"/>
      <c r="Z114" s="1"/>
      <c r="AA114" s="18"/>
      <c r="AB114" s="28"/>
      <c r="AC114" s="28"/>
      <c r="AD114" s="17"/>
      <c r="AE114" s="17"/>
      <c r="AF114" s="17"/>
      <c r="AG114" s="17"/>
      <c r="AH114" s="17"/>
      <c r="AI114" s="17"/>
      <c r="AJ114" s="17"/>
      <c r="AK114" s="17"/>
      <c r="AL114" s="17"/>
      <c r="AM114" s="17"/>
      <c r="AN114" s="17"/>
      <c r="AO114" s="17"/>
      <c r="BN114" s="1"/>
    </row>
    <row r="115" spans="1:66" s="22" customFormat="1" ht="17.25" customHeight="1" thickBot="1" x14ac:dyDescent="0.3">
      <c r="A115" s="1"/>
      <c r="B115" s="1"/>
      <c r="C115" s="270"/>
      <c r="D115" s="270"/>
      <c r="E115" s="270"/>
      <c r="F115" s="270"/>
      <c r="G115" s="579" t="s">
        <v>181</v>
      </c>
      <c r="H115" s="579"/>
      <c r="I115" s="579"/>
      <c r="J115" s="579"/>
      <c r="K115" s="579"/>
      <c r="L115" s="579"/>
      <c r="M115" s="579"/>
      <c r="N115" s="362">
        <f>N81-N82+AC111+AC112</f>
        <v>46.393333333333331</v>
      </c>
      <c r="O115" s="362"/>
      <c r="P115" s="362"/>
      <c r="Q115" s="362"/>
      <c r="R115" s="1"/>
      <c r="S115" s="1"/>
      <c r="T115" s="1"/>
      <c r="U115" s="1"/>
      <c r="V115" s="1"/>
      <c r="W115" s="1"/>
      <c r="X115" s="1"/>
      <c r="Y115" s="1"/>
      <c r="Z115" s="1"/>
      <c r="AA115" s="18"/>
      <c r="AB115" s="28"/>
      <c r="AC115" s="28"/>
      <c r="AD115" s="17"/>
      <c r="AE115" s="17"/>
      <c r="AF115" s="17"/>
      <c r="AG115" s="17"/>
      <c r="AH115" s="17"/>
      <c r="AI115" s="17"/>
      <c r="AJ115" s="17"/>
      <c r="AK115" s="17"/>
      <c r="AL115" s="17"/>
      <c r="AM115" s="17"/>
      <c r="AN115" s="17"/>
      <c r="AO115" s="17"/>
      <c r="BN115" s="1"/>
    </row>
    <row r="116" spans="1:66" s="22" customFormat="1" ht="17.25" customHeight="1" thickBot="1" x14ac:dyDescent="0.3">
      <c r="A116" s="1"/>
      <c r="B116" s="1"/>
      <c r="C116" s="270"/>
      <c r="D116" s="270"/>
      <c r="E116" s="270"/>
      <c r="F116" s="270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8"/>
      <c r="AB116" s="28"/>
      <c r="AC116" s="28"/>
      <c r="AD116" s="17"/>
      <c r="AE116" s="17"/>
      <c r="AF116" s="17"/>
      <c r="AG116" s="17"/>
      <c r="AH116" s="17"/>
      <c r="AI116" s="17"/>
      <c r="AJ116" s="17"/>
      <c r="AK116" s="17"/>
      <c r="AL116" s="17"/>
      <c r="AM116" s="17"/>
      <c r="AN116" s="17"/>
      <c r="AO116" s="17"/>
      <c r="AU116" s="48"/>
      <c r="AV116" s="48"/>
      <c r="AW116" s="48"/>
      <c r="AX116" s="48"/>
      <c r="AY116" s="48"/>
      <c r="AZ116" s="48"/>
      <c r="BA116" s="49"/>
      <c r="BB116" s="50"/>
      <c r="BN116" s="1"/>
    </row>
    <row r="117" spans="1:66" s="22" customFormat="1" ht="17.25" customHeight="1" thickBot="1" x14ac:dyDescent="0.3">
      <c r="A117" s="1"/>
      <c r="B117" s="47" t="s">
        <v>73</v>
      </c>
      <c r="C117" s="48"/>
      <c r="D117" s="48"/>
      <c r="E117" s="48"/>
      <c r="F117" s="48"/>
      <c r="G117" s="48"/>
      <c r="H117" s="48"/>
      <c r="I117" s="48"/>
      <c r="J117" s="48"/>
      <c r="K117" s="48"/>
      <c r="L117" s="48"/>
      <c r="M117" s="48"/>
      <c r="N117" s="48"/>
      <c r="O117" s="48"/>
      <c r="P117" s="48"/>
      <c r="Q117" s="48"/>
      <c r="R117" s="48"/>
      <c r="S117" s="48"/>
      <c r="T117" s="48"/>
      <c r="U117" s="48"/>
      <c r="V117" s="48"/>
      <c r="W117" s="48"/>
      <c r="X117" s="48"/>
      <c r="Y117" s="48"/>
      <c r="Z117" s="48"/>
      <c r="AA117" s="48"/>
      <c r="AB117" s="48"/>
      <c r="AC117" s="48"/>
      <c r="AD117" s="48"/>
      <c r="AE117" s="48"/>
      <c r="AF117" s="48"/>
      <c r="AG117" s="48"/>
      <c r="AH117" s="48"/>
      <c r="AI117" s="48"/>
      <c r="AJ117" s="48"/>
      <c r="AK117" s="48"/>
      <c r="AL117" s="48"/>
      <c r="AM117" s="48"/>
      <c r="AN117" s="48"/>
      <c r="AO117" s="48"/>
      <c r="AP117" s="48"/>
      <c r="AQ117" s="48"/>
      <c r="AR117" s="48"/>
      <c r="AS117" s="48"/>
      <c r="AT117" s="48"/>
      <c r="BN117" s="1"/>
    </row>
    <row r="118" spans="1:66" s="22" customFormat="1" ht="17.25" customHeight="1" x14ac:dyDescent="0.25">
      <c r="A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X118" s="269"/>
      <c r="Y118" s="269"/>
      <c r="Z118" s="269"/>
      <c r="AA118" s="18"/>
      <c r="AB118" s="28"/>
      <c r="AC118" s="28"/>
      <c r="AL118" s="29"/>
      <c r="BN118" s="1"/>
    </row>
    <row r="119" spans="1:66" s="22" customFormat="1" ht="17.25" customHeight="1" x14ac:dyDescent="0.25">
      <c r="A119" s="1"/>
      <c r="B119" s="1"/>
      <c r="C119" s="1"/>
      <c r="D119" s="773" t="s">
        <v>471</v>
      </c>
      <c r="E119" s="551"/>
      <c r="F119" s="551"/>
      <c r="G119" s="551"/>
      <c r="H119" s="391">
        <f>AC120</f>
        <v>0.69666666666667254</v>
      </c>
      <c r="I119" s="391"/>
      <c r="J119" s="391"/>
      <c r="K119" s="391"/>
      <c r="L119" s="391"/>
      <c r="M119" s="1"/>
      <c r="N119" s="786" t="s">
        <v>472</v>
      </c>
      <c r="O119" s="786"/>
      <c r="P119" s="786"/>
      <c r="Q119" s="786"/>
      <c r="R119" s="786"/>
      <c r="S119" s="786"/>
      <c r="T119" s="786"/>
      <c r="U119" s="786"/>
      <c r="V119" s="786"/>
      <c r="W119" s="786"/>
      <c r="X119" s="1"/>
      <c r="Y119" s="1"/>
      <c r="Z119" s="1"/>
      <c r="AA119" s="18"/>
      <c r="AB119" s="28"/>
      <c r="AC119" s="28"/>
      <c r="AD119" s="79"/>
      <c r="AL119" s="29"/>
      <c r="BN119" s="1"/>
    </row>
    <row r="120" spans="1:66" s="22" customFormat="1" ht="17.25" customHeight="1" thickBot="1" x14ac:dyDescent="0.3">
      <c r="A120" s="1"/>
      <c r="B120" s="1"/>
      <c r="C120" s="269"/>
      <c r="D120" s="552"/>
      <c r="E120" s="553"/>
      <c r="F120" s="553"/>
      <c r="G120" s="553"/>
      <c r="H120" s="391"/>
      <c r="I120" s="391"/>
      <c r="J120" s="391"/>
      <c r="K120" s="391"/>
      <c r="L120" s="391"/>
      <c r="M120" s="149" t="s">
        <v>328</v>
      </c>
      <c r="N120" s="281" t="s">
        <v>199</v>
      </c>
      <c r="O120" s="281"/>
      <c r="P120" s="281">
        <f>E67</f>
        <v>89.303333333333327</v>
      </c>
      <c r="Q120" s="281"/>
      <c r="R120" s="281"/>
      <c r="S120" s="787" t="s">
        <v>125</v>
      </c>
      <c r="T120" s="281">
        <f>P120*$D$136</f>
        <v>1.5586371996726693</v>
      </c>
      <c r="U120" s="281"/>
      <c r="V120" s="281"/>
      <c r="W120" s="787" t="s">
        <v>170</v>
      </c>
      <c r="X120" s="1"/>
      <c r="Y120" s="1"/>
      <c r="Z120" s="1"/>
      <c r="AA120" s="18"/>
      <c r="AB120" s="28"/>
      <c r="AC120" s="28">
        <f>AF120</f>
        <v>0.69666666666667254</v>
      </c>
      <c r="AD120" s="31"/>
      <c r="AF120" s="22">
        <f>90-E67</f>
        <v>0.69666666666667254</v>
      </c>
      <c r="AL120" s="29"/>
      <c r="BN120" s="1"/>
    </row>
    <row r="121" spans="1:66" s="22" customFormat="1" ht="17.25" customHeight="1" thickTop="1" thickBot="1" x14ac:dyDescent="0.3">
      <c r="A121" s="1"/>
      <c r="B121" s="1"/>
      <c r="C121" s="269"/>
      <c r="D121" s="554"/>
      <c r="E121" s="555"/>
      <c r="F121" s="555"/>
      <c r="G121" s="555"/>
      <c r="H121" s="279" t="str">
        <f>AB121</f>
        <v>00°41'48.00 [00°41.80]  (00.6967°)</v>
      </c>
      <c r="I121" s="279"/>
      <c r="J121" s="279"/>
      <c r="K121" s="279"/>
      <c r="L121" s="279"/>
      <c r="M121" s="1"/>
      <c r="N121" s="449"/>
      <c r="O121" s="449"/>
      <c r="P121" s="449"/>
      <c r="Q121" s="449"/>
      <c r="R121" s="449"/>
      <c r="S121" s="269"/>
      <c r="T121" s="449"/>
      <c r="U121" s="449"/>
      <c r="V121" s="449"/>
      <c r="W121" s="269"/>
      <c r="X121" s="1"/>
      <c r="Y121" s="1"/>
      <c r="Z121" s="1"/>
      <c r="AA121" s="18">
        <f>A</f>
        <v>0.69666666666667254</v>
      </c>
      <c r="AB121" s="14" t="str">
        <f>BC121</f>
        <v>00°41'48.00 [00°41.80]  (00.6967°)</v>
      </c>
      <c r="AC121" s="7">
        <f>BB121</f>
        <v>0.69666666666667243</v>
      </c>
      <c r="AD121" s="5">
        <f>IF(LEFT(TRIM(AA121),1)="-",-1,IF(LEFT(TRIM(AA121),1)="+",1, 0))</f>
        <v>0</v>
      </c>
      <c r="AE121" s="5" t="str">
        <f>IF(AD121&gt;0,"+",IF(AD121&lt;0,"-",""))</f>
        <v/>
      </c>
      <c r="AF121" s="5">
        <f>IF(ABS(AD121)&gt;0,RIGHT(AA121,LEN(AA121)-1),AA121)</f>
        <v>0.69666666666667254</v>
      </c>
      <c r="AG121" s="5" t="b">
        <f>ISNUMBER(SEARCH("°",AF121,1))</f>
        <v>0</v>
      </c>
      <c r="AH121" s="5" t="b">
        <f>ISNUMBER(SEARCH("'",AF121,1))</f>
        <v>0</v>
      </c>
      <c r="AI121" s="5" t="b">
        <f>ISNUMBER(SEARCH("""",AF121,1))</f>
        <v>0</v>
      </c>
      <c r="AJ121" s="5" t="b">
        <f>NOT(OR(AG121,AH121,AI121))</f>
        <v>1</v>
      </c>
      <c r="AK121" s="5" t="b">
        <f t="shared" ref="AK121" si="118">OR(AJ121,AG121)</f>
        <v>1</v>
      </c>
      <c r="AL121" s="6">
        <f>IF(AJ121,VALUE(AF121),IF(AG121,LEFT(AF121,SEARCH("°",AF121,1)-1),0))</f>
        <v>0.69666666666667254</v>
      </c>
      <c r="AM121" s="5" t="str">
        <f>IF(AJ121,"",IF(AG121,RIGHT(AF121,LEN(AF121)-SEARCH("°",AF121,1)),AF121))</f>
        <v/>
      </c>
      <c r="AN121" s="5" t="b">
        <f>(LEN(AM121)&gt;0)</f>
        <v>0</v>
      </c>
      <c r="AO121" s="5" t="b">
        <f>NOT(OR(AH121,AI121))</f>
        <v>1</v>
      </c>
      <c r="AP121" s="6">
        <f t="shared" ref="AP121" si="119">IF(NOT(AN121),0,IF(AO121,VALUE(AM121),IF(NOT(AH121),0,VALUE(LEFT(AM121,SEARCH("'",AM121,1)-1)))))</f>
        <v>0</v>
      </c>
      <c r="AQ121" s="5" t="str">
        <f t="shared" ref="AQ121" si="120">IF(NOT(AN121),"",IF(AO121,"",IF(NOT(AH121),AM121,RIGHT(AM121,LEN(AM121)-SEARCH("'",AM121,1)))))</f>
        <v/>
      </c>
      <c r="AR121" s="5" t="b">
        <f>(LEN(AQ121)&gt;0)</f>
        <v>0</v>
      </c>
      <c r="AS121" s="5" t="b">
        <f t="shared" ref="AS121" si="121">NOT(AI121)</f>
        <v>1</v>
      </c>
      <c r="AT121" s="5" t="b">
        <f>ISNUMBER(SEARCH(".",AQ121,1))</f>
        <v>0</v>
      </c>
      <c r="AU121" s="6">
        <f t="shared" ref="AU121" si="122">IF(AR121,IF(AI121,IF(AT121,VALUE(SUBSTITUTE(AQ121, """", "")),VALUE(SUBSTITUTE(AQ121, """", "."))),VALUE(AQ121)),0)</f>
        <v>0</v>
      </c>
      <c r="AV121" s="6">
        <f t="shared" ref="AV121" si="123">AL121*3600+AP121*60+AU121</f>
        <v>2508.0000000000209</v>
      </c>
      <c r="AW121" s="6">
        <f>AV121/3600</f>
        <v>0.69666666666667243</v>
      </c>
      <c r="AX121" s="6">
        <f>_xlfn.FLOOR.MATH((AW121))</f>
        <v>0</v>
      </c>
      <c r="AY121" s="6">
        <f>(AV121-3600*AX121)/60</f>
        <v>41.800000000000345</v>
      </c>
      <c r="AZ121" s="6">
        <f>_xlfn.FLOOR.MATH((AY121))</f>
        <v>41</v>
      </c>
      <c r="BA121" s="6">
        <f>AV121-3600*AX121-60*AZ121</f>
        <v>48.000000000020918</v>
      </c>
      <c r="BB121" s="6">
        <f>AW121*IF(AD121&lt;0,-1,1)</f>
        <v>0.69666666666667243</v>
      </c>
      <c r="BC121" s="7" t="str">
        <f>CONCATENATE(AE121,TEXT(AX121,"00"),"°",TEXT(AZ121,"00"),"'",TEXT(BA121,"00.00"), " [", CONCATENATE(AE121,TEXT(AX121,"00"),"°",TEXT(AY121,"00.00")),"]", "  (", AE121,TEXT(AW121,"00.0000"),"°)")</f>
        <v>00°41'48.00 [00°41.80]  (00.6967°)</v>
      </c>
      <c r="BN121" s="1"/>
    </row>
    <row r="122" spans="1:66" s="22" customFormat="1" ht="17.25" customHeight="1" thickTop="1" x14ac:dyDescent="0.25">
      <c r="A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785"/>
      <c r="O122" s="449"/>
      <c r="P122" s="449"/>
      <c r="Q122" s="449"/>
      <c r="R122" s="449"/>
      <c r="S122" s="449"/>
      <c r="T122" s="449"/>
      <c r="U122" s="449"/>
      <c r="V122" s="449"/>
      <c r="W122" s="449"/>
      <c r="X122" s="449"/>
      <c r="Y122" s="449"/>
      <c r="Z122" s="449"/>
      <c r="AA122" s="18"/>
      <c r="AB122" s="28"/>
      <c r="AC122" s="28"/>
      <c r="AL122" s="29"/>
      <c r="BN122" s="1"/>
    </row>
    <row r="123" spans="1:66" s="22" customFormat="1" ht="17.25" customHeight="1" x14ac:dyDescent="0.25">
      <c r="A123" s="1"/>
      <c r="B123" s="1"/>
      <c r="C123" s="1"/>
      <c r="D123" s="773" t="s">
        <v>473</v>
      </c>
      <c r="E123" s="551"/>
      <c r="F123" s="551"/>
      <c r="G123" s="551"/>
      <c r="H123" s="391">
        <f>AC124</f>
        <v>0.21231236359002786</v>
      </c>
      <c r="I123" s="391"/>
      <c r="J123" s="391"/>
      <c r="K123" s="391"/>
      <c r="L123" s="391"/>
      <c r="M123" s="1"/>
      <c r="N123" s="788" t="s">
        <v>476</v>
      </c>
      <c r="O123" s="786"/>
      <c r="P123" s="786"/>
      <c r="Q123" s="786"/>
      <c r="R123" s="786"/>
      <c r="S123" s="786"/>
      <c r="T123" s="786"/>
      <c r="U123" s="786"/>
      <c r="V123" s="786"/>
      <c r="W123" s="786"/>
      <c r="X123" s="269"/>
      <c r="Y123" s="269"/>
      <c r="Z123" s="269"/>
      <c r="AA123" s="18"/>
      <c r="AB123" s="28"/>
      <c r="AC123" s="28"/>
      <c r="AD123" s="79"/>
      <c r="AL123" s="29"/>
      <c r="BN123" s="1"/>
    </row>
    <row r="124" spans="1:66" s="22" customFormat="1" ht="17.25" customHeight="1" thickBot="1" x14ac:dyDescent="0.3">
      <c r="A124" s="1"/>
      <c r="B124" s="1"/>
      <c r="C124" s="269"/>
      <c r="D124" s="552"/>
      <c r="E124" s="553"/>
      <c r="F124" s="553"/>
      <c r="G124" s="553"/>
      <c r="H124" s="391"/>
      <c r="I124" s="391"/>
      <c r="J124" s="391"/>
      <c r="K124" s="391"/>
      <c r="L124" s="391"/>
      <c r="M124" s="149" t="s">
        <v>328</v>
      </c>
      <c r="N124" s="281" t="s">
        <v>71</v>
      </c>
      <c r="O124" s="281"/>
      <c r="P124" s="281">
        <f>E72</f>
        <v>252.25659999999993</v>
      </c>
      <c r="Q124" s="281"/>
      <c r="R124" s="281"/>
      <c r="S124" s="787" t="s">
        <v>125</v>
      </c>
      <c r="T124" s="281">
        <f>P124*$D$136</f>
        <v>4.4027082298863265</v>
      </c>
      <c r="U124" s="281"/>
      <c r="V124" s="281"/>
      <c r="W124" s="787" t="s">
        <v>170</v>
      </c>
      <c r="X124" s="269"/>
      <c r="Y124" s="269"/>
      <c r="Z124" s="269"/>
      <c r="AA124" s="18"/>
      <c r="AB124" s="28"/>
      <c r="AC124" s="28">
        <f>AF124</f>
        <v>0.21231236359002786</v>
      </c>
      <c r="AD124" s="31"/>
      <c r="AF124" s="22">
        <f>(-1)*A*COS(T124)</f>
        <v>0.21231236359002786</v>
      </c>
      <c r="AL124" s="29"/>
      <c r="BN124" s="1"/>
    </row>
    <row r="125" spans="1:66" s="22" customFormat="1" ht="17.25" customHeight="1" thickTop="1" thickBot="1" x14ac:dyDescent="0.3">
      <c r="A125" s="1"/>
      <c r="B125" s="1"/>
      <c r="C125" s="269"/>
      <c r="D125" s="554"/>
      <c r="E125" s="555"/>
      <c r="F125" s="555"/>
      <c r="G125" s="555"/>
      <c r="H125" s="279" t="str">
        <f>AB125</f>
        <v>00°12'44.32 [00°12.74]  (00.2123°)</v>
      </c>
      <c r="I125" s="279"/>
      <c r="J125" s="279"/>
      <c r="K125" s="279"/>
      <c r="L125" s="279"/>
      <c r="M125" s="1"/>
      <c r="N125" s="269"/>
      <c r="O125" s="269"/>
      <c r="P125" s="269"/>
      <c r="Q125" s="269"/>
      <c r="R125" s="269"/>
      <c r="S125" s="269"/>
      <c r="T125" s="269"/>
      <c r="U125" s="269"/>
      <c r="V125" s="269"/>
      <c r="W125" s="269"/>
      <c r="X125" s="269"/>
      <c r="Y125" s="269"/>
      <c r="Z125" s="269"/>
      <c r="AA125" s="18">
        <f>AC124</f>
        <v>0.21231236359002786</v>
      </c>
      <c r="AB125" s="14" t="str">
        <f>BC125</f>
        <v>00°12'44.32 [00°12.74]  (00.2123°)</v>
      </c>
      <c r="AC125" s="7">
        <f>BB125</f>
        <v>0.21231236359002786</v>
      </c>
      <c r="AD125" s="5">
        <f>IF(LEFT(TRIM(AA125),1)="-",-1,IF(LEFT(TRIM(AA125),1)="+",1, 0))</f>
        <v>0</v>
      </c>
      <c r="AE125" s="5" t="str">
        <f>IF(AD125&gt;0,"+",IF(AD125&lt;0,"-",""))</f>
        <v/>
      </c>
      <c r="AF125" s="5">
        <f>IF(ABS(AD125)&gt;0,RIGHT(AA125,LEN(AA125)-1),AA125)</f>
        <v>0.21231236359002786</v>
      </c>
      <c r="AG125" s="5" t="b">
        <f>ISNUMBER(SEARCH("°",AF125,1))</f>
        <v>0</v>
      </c>
      <c r="AH125" s="5" t="b">
        <f>ISNUMBER(SEARCH("'",AF125,1))</f>
        <v>0</v>
      </c>
      <c r="AI125" s="5" t="b">
        <f>ISNUMBER(SEARCH("""",AF125,1))</f>
        <v>0</v>
      </c>
      <c r="AJ125" s="5" t="b">
        <f>NOT(OR(AG125,AH125,AI125))</f>
        <v>1</v>
      </c>
      <c r="AK125" s="5" t="b">
        <f t="shared" ref="AK125" si="124">OR(AJ125,AG125)</f>
        <v>1</v>
      </c>
      <c r="AL125" s="6">
        <f>IF(AJ125,VALUE(AF125),IF(AG125,LEFT(AF125,SEARCH("°",AF125,1)-1),0))</f>
        <v>0.21231236359002786</v>
      </c>
      <c r="AM125" s="5" t="str">
        <f>IF(AJ125,"",IF(AG125,RIGHT(AF125,LEN(AF125)-SEARCH("°",AF125,1)),AF125))</f>
        <v/>
      </c>
      <c r="AN125" s="5" t="b">
        <f>(LEN(AM125)&gt;0)</f>
        <v>0</v>
      </c>
      <c r="AO125" s="5" t="b">
        <f>NOT(OR(AH125,AI125))</f>
        <v>1</v>
      </c>
      <c r="AP125" s="6">
        <f t="shared" ref="AP125" si="125">IF(NOT(AN125),0,IF(AO125,VALUE(AM125),IF(NOT(AH125),0,VALUE(LEFT(AM125,SEARCH("'",AM125,1)-1)))))</f>
        <v>0</v>
      </c>
      <c r="AQ125" s="5" t="str">
        <f t="shared" ref="AQ125" si="126">IF(NOT(AN125),"",IF(AO125,"",IF(NOT(AH125),AM125,RIGHT(AM125,LEN(AM125)-SEARCH("'",AM125,1)))))</f>
        <v/>
      </c>
      <c r="AR125" s="5" t="b">
        <f>(LEN(AQ125)&gt;0)</f>
        <v>0</v>
      </c>
      <c r="AS125" s="5" t="b">
        <f t="shared" ref="AS125" si="127">NOT(AI125)</f>
        <v>1</v>
      </c>
      <c r="AT125" s="5" t="b">
        <f>ISNUMBER(SEARCH(".",AQ125,1))</f>
        <v>0</v>
      </c>
      <c r="AU125" s="6">
        <f t="shared" ref="AU125" si="128">IF(AR125,IF(AI125,IF(AT125,VALUE(SUBSTITUTE(AQ125, """", "")),VALUE(SUBSTITUTE(AQ125, """", "."))),VALUE(AQ125)),0)</f>
        <v>0</v>
      </c>
      <c r="AV125" s="6">
        <f t="shared" ref="AV125" si="129">AL125*3600+AP125*60+AU125</f>
        <v>764.32450892410031</v>
      </c>
      <c r="AW125" s="6">
        <f>AV125/3600</f>
        <v>0.21231236359002786</v>
      </c>
      <c r="AX125" s="6">
        <f>_xlfn.FLOOR.MATH((AW125))</f>
        <v>0</v>
      </c>
      <c r="AY125" s="6">
        <f>(AV125-3600*AX125)/60</f>
        <v>12.738741815401672</v>
      </c>
      <c r="AZ125" s="6">
        <f>_xlfn.FLOOR.MATH((AY125))</f>
        <v>12</v>
      </c>
      <c r="BA125" s="6">
        <f>AV125-3600*AX125-60*AZ125</f>
        <v>44.324508924100314</v>
      </c>
      <c r="BB125" s="6">
        <f>AW125*IF(AD125&lt;0,-1,1)</f>
        <v>0.21231236359002786</v>
      </c>
      <c r="BC125" s="7" t="str">
        <f>CONCATENATE(AE125,TEXT(AX125,"00"),"°",TEXT(AZ125,"00"),"'",TEXT(BA125,"00.00"), " [", CONCATENATE(AE125,TEXT(AX125,"00"),"°",TEXT(AY125,"00.00")),"]", "  (", AE125,TEXT(AW125,"00.0000"),"°)")</f>
        <v>00°12'44.32 [00°12.74]  (00.2123°)</v>
      </c>
      <c r="BN125" s="1"/>
    </row>
    <row r="126" spans="1:66" s="22" customFormat="1" ht="17.25" customHeight="1" thickTop="1" x14ac:dyDescent="0.25">
      <c r="A126" s="1"/>
      <c r="B126" s="1"/>
      <c r="C126" s="269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8"/>
      <c r="AB126" s="14"/>
      <c r="AC126" s="7"/>
      <c r="AD126" s="3" t="s">
        <v>57</v>
      </c>
      <c r="AE126" s="3" t="s">
        <v>57</v>
      </c>
      <c r="AF126" s="3" t="s">
        <v>304</v>
      </c>
      <c r="AG126" s="3" t="s">
        <v>120</v>
      </c>
      <c r="AH126" s="3" t="s">
        <v>121</v>
      </c>
      <c r="AI126" s="3" t="s">
        <v>122</v>
      </c>
      <c r="AJ126" s="3" t="s">
        <v>123</v>
      </c>
      <c r="AK126" s="3" t="s">
        <v>124</v>
      </c>
      <c r="AL126" s="3" t="s">
        <v>125</v>
      </c>
      <c r="AM126" s="3" t="s">
        <v>101</v>
      </c>
      <c r="AN126" s="3" t="s">
        <v>129</v>
      </c>
      <c r="AO126" s="3" t="s">
        <v>128</v>
      </c>
      <c r="AP126" s="3" t="s">
        <v>126</v>
      </c>
      <c r="AQ126" s="3" t="s">
        <v>127</v>
      </c>
      <c r="AR126" s="3" t="s">
        <v>129</v>
      </c>
      <c r="AS126" s="3" t="s">
        <v>128</v>
      </c>
      <c r="AT126" s="3" t="s">
        <v>130</v>
      </c>
      <c r="AU126" s="3" t="s">
        <v>112</v>
      </c>
      <c r="AV126" s="3" t="s">
        <v>117</v>
      </c>
      <c r="AW126" s="3" t="s">
        <v>143</v>
      </c>
      <c r="AX126" s="3" t="s">
        <v>149</v>
      </c>
      <c r="AY126" s="3" t="s">
        <v>131</v>
      </c>
      <c r="AZ126" s="3" t="s">
        <v>150</v>
      </c>
      <c r="BA126" s="3" t="s">
        <v>112</v>
      </c>
      <c r="BB126" s="3" t="s">
        <v>308</v>
      </c>
      <c r="BC126" s="3" t="s">
        <v>151</v>
      </c>
      <c r="BN126" s="1"/>
    </row>
    <row r="127" spans="1:66" s="22" customFormat="1" ht="17.25" customHeight="1" x14ac:dyDescent="0.25">
      <c r="A127" s="1"/>
      <c r="B127" s="1"/>
      <c r="C127" s="1"/>
      <c r="D127" s="550" t="s">
        <v>474</v>
      </c>
      <c r="E127" s="551"/>
      <c r="F127" s="551"/>
      <c r="G127" s="551"/>
      <c r="H127" s="391">
        <f>P128+H123</f>
        <v>46.553029352570007</v>
      </c>
      <c r="I127" s="391"/>
      <c r="J127" s="391"/>
      <c r="K127" s="391"/>
      <c r="L127" s="391"/>
      <c r="M127" s="1"/>
      <c r="N127" s="786" t="s">
        <v>478</v>
      </c>
      <c r="O127" s="786"/>
      <c r="P127" s="786"/>
      <c r="Q127" s="786"/>
      <c r="R127" s="786"/>
      <c r="S127" s="786"/>
      <c r="T127" s="786"/>
      <c r="U127" s="786"/>
      <c r="V127" s="786"/>
      <c r="W127" s="786"/>
      <c r="X127" s="269"/>
      <c r="Y127" s="269"/>
      <c r="Z127" s="1"/>
      <c r="BN127" s="1"/>
    </row>
    <row r="128" spans="1:66" s="22" customFormat="1" ht="17.25" customHeight="1" thickBot="1" x14ac:dyDescent="0.3">
      <c r="A128" s="1"/>
      <c r="B128" s="1"/>
      <c r="C128" s="269"/>
      <c r="D128" s="552"/>
      <c r="E128" s="553"/>
      <c r="F128" s="553"/>
      <c r="G128" s="553"/>
      <c r="H128" s="391"/>
      <c r="I128" s="391"/>
      <c r="J128" s="391"/>
      <c r="K128" s="391"/>
      <c r="L128" s="391"/>
      <c r="M128" s="149" t="s">
        <v>328</v>
      </c>
      <c r="N128" s="281" t="s">
        <v>231</v>
      </c>
      <c r="O128" s="281"/>
      <c r="P128" s="281">
        <f>E78</f>
        <v>46.340716988979977</v>
      </c>
      <c r="Q128" s="281"/>
      <c r="R128" s="281"/>
      <c r="S128" s="787" t="s">
        <v>125</v>
      </c>
      <c r="T128" s="281">
        <f>P128*$D$136</f>
        <v>0.80879808919257346</v>
      </c>
      <c r="U128" s="281"/>
      <c r="V128" s="281"/>
      <c r="W128" s="787" t="s">
        <v>170</v>
      </c>
      <c r="X128" s="449"/>
      <c r="Y128" s="449"/>
      <c r="Z128" s="1"/>
      <c r="AA128" s="18">
        <f>H127</f>
        <v>46.553029352570007</v>
      </c>
      <c r="AB128" s="19" t="str">
        <f>AY128</f>
        <v>46°33'10.91 [46°33.18] - (46.5530°)</v>
      </c>
      <c r="AC128" s="37">
        <f>H127</f>
        <v>46.553029352570007</v>
      </c>
      <c r="AD128" s="27" t="b">
        <f t="shared" ref="AD128" si="130">ISNUMBER(SEARCH("°",AA128,1))</f>
        <v>0</v>
      </c>
      <c r="AE128" s="27" t="b">
        <f t="shared" ref="AE128" si="131">ISNUMBER(SEARCH("'",AA128,1))</f>
        <v>0</v>
      </c>
      <c r="AF128" s="27" t="b">
        <f t="shared" ref="AF128" si="132">ISNUMBER(SEARCH("""",AA128,1))</f>
        <v>0</v>
      </c>
      <c r="AG128" s="27" t="b">
        <f t="shared" ref="AG128" si="133">NOT(OR(AD128,AE128,AF128))</f>
        <v>1</v>
      </c>
      <c r="AH128" s="27" t="b">
        <f t="shared" ref="AH128" si="134">OR(AG128,AD128)</f>
        <v>1</v>
      </c>
      <c r="AI128" s="26">
        <f t="shared" ref="AI128" si="135">IF(AG128,VALUE(AA128),IF(AD128,LEFT(AA128,SEARCH("°",AA128,1)-1),0))</f>
        <v>46.553029352570007</v>
      </c>
      <c r="AJ128" s="27" t="str">
        <f t="shared" ref="AJ128" si="136">IF(AG128,"",IF(AD128,RIGHT(AA128,LEN(AA128)-SEARCH("°",AA128,1)),AA128))</f>
        <v/>
      </c>
      <c r="AK128" s="27" t="b">
        <f>(LEN(AJ128)&gt;0)</f>
        <v>0</v>
      </c>
      <c r="AL128" s="27" t="b">
        <f>NOT(OR(AE128,AF128))</f>
        <v>1</v>
      </c>
      <c r="AM128" s="26">
        <f>IF(NOT(AK128),0,IF(AL128,VALUE(AJ128),IF(NOT(AE128),0,VALUE(LEFT(AJ128,SEARCH("'",AJ128,1)-1)))))</f>
        <v>0</v>
      </c>
      <c r="AN128" s="27" t="str">
        <f>IF(NOT(AK128),"",IF(AL128,"",IF(NOT(AE128),AJ128,RIGHT(AJ128,LEN(AJ128)-SEARCH("'",AJ128,1)))))</f>
        <v/>
      </c>
      <c r="AO128" s="27" t="b">
        <f>(LEN(AN128)&gt;0)</f>
        <v>0</v>
      </c>
      <c r="AP128" s="27" t="b">
        <f>NOT(AF128)</f>
        <v>1</v>
      </c>
      <c r="AQ128" s="27" t="b">
        <f>ISNUMBER(SEARCH(".",AN128,1))</f>
        <v>0</v>
      </c>
      <c r="AR128" s="26">
        <f>IF(AO128,IF(AF128,IF(AQ128,VALUE(SUBSTITUTE(AN128, """", "")),VALUE(SUBSTITUTE(AN128, """", "."))),VALUE(AN128)),0)</f>
        <v>0</v>
      </c>
      <c r="AS128" s="26">
        <f>AI128*3600+AM128*60+AR128</f>
        <v>167590.90566925204</v>
      </c>
      <c r="AT128" s="26">
        <f>AS128/3600</f>
        <v>46.553029352570007</v>
      </c>
      <c r="AU128" s="26">
        <f>_xlfn.FLOOR.MATH((AT128))</f>
        <v>46</v>
      </c>
      <c r="AV128" s="26">
        <f>(AS128-3600*AU128)/60</f>
        <v>33.18176115420065</v>
      </c>
      <c r="AW128" s="26">
        <f>_xlfn.FLOOR.MATH((AV128))</f>
        <v>33</v>
      </c>
      <c r="AX128" s="26">
        <f>AS128-3600*AU128-60*AW128</f>
        <v>10.905669252038933</v>
      </c>
      <c r="AY128" s="20" t="str">
        <f>CONCATENATE(TEXT(AU128,"00"),"°",TEXT(AW128,"00"),"'",TEXT(AX128,"00.00"), " [", CONCATENATE(TEXT(AU128,"00"),"°",TEXT(AV128,"00.00")),"]", " - (", TEXT(AT128,"00.0000"),"°)")</f>
        <v>46°33'10.91 [46°33.18] - (46.5530°)</v>
      </c>
      <c r="BN128" s="1"/>
    </row>
    <row r="129" spans="1:66" s="22" customFormat="1" ht="17.25" customHeight="1" thickTop="1" thickBot="1" x14ac:dyDescent="0.3">
      <c r="A129" s="1"/>
      <c r="B129" s="1"/>
      <c r="C129" s="269"/>
      <c r="D129" s="554"/>
      <c r="E129" s="555"/>
      <c r="F129" s="555"/>
      <c r="G129" s="555"/>
      <c r="H129" s="279" t="str">
        <f>AB128</f>
        <v>46°33'10.91 [46°33.18] - (46.5530°)</v>
      </c>
      <c r="I129" s="279"/>
      <c r="J129" s="279"/>
      <c r="K129" s="279"/>
      <c r="L129" s="279"/>
      <c r="M129" s="1"/>
      <c r="N129" s="269"/>
      <c r="O129" s="269"/>
      <c r="P129" s="269"/>
      <c r="Q129" s="269"/>
      <c r="R129" s="269"/>
      <c r="S129" s="269"/>
      <c r="T129" s="269"/>
      <c r="U129" s="269"/>
      <c r="V129" s="269"/>
      <c r="W129" s="269"/>
      <c r="X129" s="269"/>
      <c r="Y129" s="269"/>
      <c r="Z129" s="1"/>
      <c r="AA129" s="18"/>
      <c r="AB129" s="28"/>
      <c r="AC129" s="28"/>
      <c r="AL129" s="29"/>
      <c r="BN129" s="1"/>
    </row>
    <row r="130" spans="1:66" s="22" customFormat="1" ht="17.25" customHeight="1" thickTop="1" x14ac:dyDescent="0.25">
      <c r="A130" s="1"/>
      <c r="B130" s="1"/>
      <c r="C130" s="269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269"/>
      <c r="T130" s="269"/>
      <c r="U130" s="269"/>
      <c r="V130" s="269"/>
      <c r="W130" s="269"/>
      <c r="X130" s="269"/>
      <c r="Y130" s="1"/>
      <c r="Z130" s="1"/>
      <c r="AA130" s="18"/>
      <c r="AB130" s="28"/>
      <c r="AC130" s="28"/>
      <c r="AL130" s="29"/>
      <c r="BN130" s="1"/>
    </row>
    <row r="131" spans="1:66" s="22" customFormat="1" ht="17.25" customHeight="1" x14ac:dyDescent="0.25">
      <c r="A131" s="1"/>
      <c r="B131" s="1"/>
      <c r="C131" s="1"/>
      <c r="D131" s="550" t="s">
        <v>475</v>
      </c>
      <c r="E131" s="551"/>
      <c r="F131" s="551"/>
      <c r="G131" s="551"/>
      <c r="H131" s="391">
        <f>AD132</f>
        <v>0.96487327014105717</v>
      </c>
      <c r="I131" s="391"/>
      <c r="J131" s="391"/>
      <c r="K131" s="391"/>
      <c r="L131" s="391"/>
      <c r="M131" s="1"/>
      <c r="N131" s="788" t="s">
        <v>477</v>
      </c>
      <c r="O131" s="786"/>
      <c r="P131" s="786"/>
      <c r="Q131" s="786"/>
      <c r="R131" s="786"/>
      <c r="S131" s="786"/>
      <c r="T131" s="786"/>
      <c r="U131" s="786"/>
      <c r="V131" s="786"/>
      <c r="W131" s="786"/>
      <c r="X131" s="269"/>
      <c r="Y131" s="1"/>
      <c r="Z131" s="1"/>
      <c r="AA131" s="18"/>
      <c r="AB131" s="28"/>
      <c r="AC131" s="28"/>
      <c r="AL131" s="29"/>
      <c r="BN131" s="1"/>
    </row>
    <row r="132" spans="1:66" s="22" customFormat="1" ht="17.25" customHeight="1" thickBot="1" x14ac:dyDescent="0.3">
      <c r="D132" s="552"/>
      <c r="E132" s="553"/>
      <c r="F132" s="553"/>
      <c r="G132" s="553"/>
      <c r="H132" s="391"/>
      <c r="I132" s="391"/>
      <c r="J132" s="391"/>
      <c r="K132" s="391"/>
      <c r="L132" s="391"/>
      <c r="M132" s="149" t="s">
        <v>328</v>
      </c>
      <c r="N132" s="281" t="s">
        <v>71</v>
      </c>
      <c r="O132" s="281"/>
      <c r="P132" s="281">
        <f>E72</f>
        <v>252.25659999999993</v>
      </c>
      <c r="Q132" s="281"/>
      <c r="R132" s="281"/>
      <c r="S132" s="787" t="s">
        <v>125</v>
      </c>
      <c r="T132" s="281">
        <f>P132*$D$136</f>
        <v>4.4027082298863265</v>
      </c>
      <c r="U132" s="281"/>
      <c r="V132" s="281"/>
      <c r="W132" s="787" t="s">
        <v>170</v>
      </c>
      <c r="X132" s="269"/>
      <c r="Y132" s="1"/>
      <c r="Z132" s="1"/>
      <c r="AA132" s="18"/>
      <c r="AB132" s="28"/>
      <c r="AC132" s="28"/>
      <c r="AD132" s="79">
        <f>IF(AE132&lt;0,AE132+360,AE132)</f>
        <v>0.96487327014105717</v>
      </c>
      <c r="AE132" s="22">
        <f>-A*SIN(T132)/COS(H127*D136)</f>
        <v>0.96487327014105717</v>
      </c>
      <c r="AL132" s="29"/>
      <c r="BN132" s="1"/>
    </row>
    <row r="133" spans="1:66" s="22" customFormat="1" ht="17.25" customHeight="1" thickTop="1" thickBot="1" x14ac:dyDescent="0.3">
      <c r="D133" s="554"/>
      <c r="E133" s="555"/>
      <c r="F133" s="555"/>
      <c r="G133" s="555"/>
      <c r="H133" s="279" t="str">
        <f>BC133</f>
        <v>00°57'53.54 [00°57.89]  (00.9649°)</v>
      </c>
      <c r="I133" s="279"/>
      <c r="J133" s="279"/>
      <c r="K133" s="279"/>
      <c r="L133" s="279"/>
      <c r="M133" s="1"/>
      <c r="N133" s="281" t="s">
        <v>68</v>
      </c>
      <c r="O133" s="281"/>
      <c r="P133" s="281">
        <f>H127</f>
        <v>46.553029352570007</v>
      </c>
      <c r="Q133" s="281"/>
      <c r="R133" s="281"/>
      <c r="S133" s="787" t="s">
        <v>125</v>
      </c>
      <c r="T133" s="281">
        <f>P133*$D$136</f>
        <v>0.81250363897991074</v>
      </c>
      <c r="U133" s="281"/>
      <c r="V133" s="281"/>
      <c r="W133" s="787" t="s">
        <v>170</v>
      </c>
      <c r="X133" s="1"/>
      <c r="Y133" s="1"/>
      <c r="Z133" s="1"/>
      <c r="AA133" s="18">
        <f>H131</f>
        <v>0.96487327014105717</v>
      </c>
      <c r="AB133" s="19">
        <f>AY133</f>
        <v>57.892396208463431</v>
      </c>
      <c r="AC133" s="37">
        <f>H132</f>
        <v>0</v>
      </c>
      <c r="AD133" s="5">
        <f>IF(LEFT(TRIM(AA133),1)="-",-1,IF(LEFT(TRIM(AA133),1)="+",1, 0))</f>
        <v>0</v>
      </c>
      <c r="AE133" s="5" t="str">
        <f>IF(AD133&gt;0,"+",IF(AD133&lt;0,"-",""))</f>
        <v/>
      </c>
      <c r="AF133" s="5">
        <f>IF(ABS(AD133)&gt;0,RIGHT(AA133,LEN(AA133)-1),AA133)</f>
        <v>0.96487327014105717</v>
      </c>
      <c r="AG133" s="5" t="b">
        <f>ISNUMBER(SEARCH("°",AF133,1))</f>
        <v>0</v>
      </c>
      <c r="AH133" s="5" t="b">
        <f>ISNUMBER(SEARCH("'",AF133,1))</f>
        <v>0</v>
      </c>
      <c r="AI133" s="5" t="b">
        <f>ISNUMBER(SEARCH("""",AF133,1))</f>
        <v>0</v>
      </c>
      <c r="AJ133" s="5" t="b">
        <f>NOT(OR(AG133,AH133,AI133))</f>
        <v>1</v>
      </c>
      <c r="AK133" s="5" t="b">
        <f t="shared" ref="AK133" si="137">OR(AJ133,AG133)</f>
        <v>1</v>
      </c>
      <c r="AL133" s="6">
        <f>IF(AJ133,VALUE(AF133),IF(AG133,LEFT(AF133,SEARCH("°",AF133,1)-1),0))</f>
        <v>0.96487327014105717</v>
      </c>
      <c r="AM133" s="5" t="str">
        <f>IF(AJ133,"",IF(AG133,RIGHT(AF133,LEN(AF133)-SEARCH("°",AF133,1)),AF133))</f>
        <v/>
      </c>
      <c r="AN133" s="5" t="b">
        <f>(LEN(AM133)&gt;0)</f>
        <v>0</v>
      </c>
      <c r="AO133" s="5" t="b">
        <f>NOT(OR(AH133,AI133))</f>
        <v>1</v>
      </c>
      <c r="AP133" s="6">
        <f t="shared" ref="AP133" si="138">IF(NOT(AN133),0,IF(AO133,VALUE(AM133),IF(NOT(AH133),0,VALUE(LEFT(AM133,SEARCH("'",AM133,1)-1)))))</f>
        <v>0</v>
      </c>
      <c r="AQ133" s="5" t="str">
        <f t="shared" ref="AQ133" si="139">IF(NOT(AN133),"",IF(AO133,"",IF(NOT(AH133),AM133,RIGHT(AM133,LEN(AM133)-SEARCH("'",AM133,1)))))</f>
        <v/>
      </c>
      <c r="AR133" s="5" t="b">
        <f>(LEN(AQ133)&gt;0)</f>
        <v>0</v>
      </c>
      <c r="AS133" s="5" t="b">
        <f t="shared" ref="AS133" si="140">NOT(AI133)</f>
        <v>1</v>
      </c>
      <c r="AT133" s="5" t="b">
        <f>ISNUMBER(SEARCH(".",AQ133,1))</f>
        <v>0</v>
      </c>
      <c r="AU133" s="6">
        <f t="shared" ref="AU133" si="141">IF(AR133,IF(AI133,IF(AT133,VALUE(SUBSTITUTE(AQ133, """", "")),VALUE(SUBSTITUTE(AQ133, """", "."))),VALUE(AQ133)),0)</f>
        <v>0</v>
      </c>
      <c r="AV133" s="6">
        <f t="shared" ref="AV133" si="142">AL133*3600+AP133*60+AU133</f>
        <v>3473.5437725078059</v>
      </c>
      <c r="AW133" s="6">
        <f>AV133/3600</f>
        <v>0.96487327014105717</v>
      </c>
      <c r="AX133" s="6">
        <f>_xlfn.FLOOR.MATH((AW133))</f>
        <v>0</v>
      </c>
      <c r="AY133" s="6">
        <f>(AV133-3600*AX133)/60</f>
        <v>57.892396208463431</v>
      </c>
      <c r="AZ133" s="6">
        <f>_xlfn.FLOOR.MATH((AY133))</f>
        <v>57</v>
      </c>
      <c r="BA133" s="6">
        <f>AV133-3600*AX133-60*AZ133</f>
        <v>53.543772507805897</v>
      </c>
      <c r="BB133" s="6">
        <f>AW133*IF(AD133&lt;0,-1,1)</f>
        <v>0.96487327014105717</v>
      </c>
      <c r="BC133" s="7" t="str">
        <f>CONCATENATE(AE133,TEXT(AX133,"00"),"°",TEXT(AZ133,"00"),"'",TEXT(BA133,"00.00"), " [", CONCATENATE(AE133,TEXT(AX133,"00"),"°",TEXT(AY133,"00.00")),"]", "  (", AE133,TEXT(AW133,"00.0000"),"°)")</f>
        <v>00°57'53.54 [00°57.89]  (00.9649°)</v>
      </c>
      <c r="BN133" s="1"/>
    </row>
    <row r="134" spans="1:66" s="22" customFormat="1" ht="17.25" customHeight="1" thickTop="1" thickBot="1" x14ac:dyDescent="0.3">
      <c r="E134" s="1"/>
      <c r="F134" s="1"/>
      <c r="G134" s="269"/>
      <c r="H134" s="269"/>
      <c r="I134" s="269"/>
      <c r="J134" s="269"/>
      <c r="K134" s="269"/>
      <c r="L134" s="269"/>
      <c r="M134" s="269"/>
      <c r="N134" s="212"/>
      <c r="O134" s="212"/>
      <c r="P134" s="212"/>
      <c r="Q134" s="212"/>
      <c r="R134" s="212"/>
      <c r="S134" s="212"/>
      <c r="T134" s="212"/>
      <c r="U134" s="212"/>
      <c r="V134" s="212"/>
      <c r="W134" s="212"/>
      <c r="X134" s="212"/>
      <c r="Y134" s="212"/>
      <c r="Z134" s="212"/>
      <c r="AA134" s="18"/>
      <c r="AB134" s="28"/>
      <c r="AC134" s="28"/>
      <c r="AD134" s="31"/>
      <c r="AL134" s="29"/>
      <c r="BN134" s="1"/>
    </row>
    <row r="135" spans="1:66" s="22" customFormat="1" ht="17.25" customHeight="1" x14ac:dyDescent="0.25">
      <c r="A135" s="774" t="s">
        <v>232</v>
      </c>
      <c r="B135" s="775"/>
      <c r="C135" s="775"/>
      <c r="D135" s="776"/>
      <c r="E135" s="269"/>
      <c r="F135" s="270"/>
      <c r="G135" s="269"/>
      <c r="H135" s="269"/>
      <c r="I135" s="269"/>
      <c r="J135" s="269"/>
      <c r="K135" s="269"/>
      <c r="L135" s="269"/>
      <c r="M135" s="449"/>
      <c r="N135" s="449"/>
      <c r="O135" s="269"/>
      <c r="P135" s="449"/>
      <c r="Q135" s="449"/>
      <c r="R135" s="449"/>
      <c r="S135" s="449"/>
      <c r="T135" s="449"/>
      <c r="U135" s="449"/>
      <c r="V135" s="269"/>
      <c r="W135" s="449"/>
      <c r="X135" s="449"/>
      <c r="Y135" s="449"/>
      <c r="Z135" s="269"/>
      <c r="AA135" s="18"/>
      <c r="AB135" s="28"/>
      <c r="AC135" s="28"/>
      <c r="AL135" s="29"/>
      <c r="BN135" s="1"/>
    </row>
    <row r="136" spans="1:66" s="22" customFormat="1" ht="17.25" customHeight="1" x14ac:dyDescent="0.25">
      <c r="A136" s="777" t="s">
        <v>104</v>
      </c>
      <c r="B136" s="778" t="s">
        <v>211</v>
      </c>
      <c r="C136" s="779" t="s">
        <v>212</v>
      </c>
      <c r="D136" s="783">
        <f>PI()/180</f>
        <v>1.7453292519943295E-2</v>
      </c>
      <c r="E136" s="270"/>
      <c r="F136" s="270"/>
      <c r="G136" s="269"/>
      <c r="H136" s="449"/>
      <c r="I136" s="449"/>
      <c r="J136" s="269"/>
      <c r="K136" s="449"/>
      <c r="L136" s="449"/>
      <c r="M136" s="269"/>
      <c r="N136" s="269"/>
      <c r="O136" s="269"/>
      <c r="P136" s="269"/>
      <c r="Q136" s="269"/>
      <c r="R136" s="269"/>
      <c r="S136" s="269"/>
      <c r="T136" s="269"/>
      <c r="U136" s="269"/>
      <c r="V136" s="269"/>
      <c r="W136" s="269"/>
      <c r="X136" s="269"/>
      <c r="Y136" s="269"/>
      <c r="Z136" s="269"/>
      <c r="AA136" s="18"/>
      <c r="AB136" s="28"/>
      <c r="AC136" s="28"/>
      <c r="AL136" s="29"/>
      <c r="BN136" s="1"/>
    </row>
    <row r="137" spans="1:66" s="22" customFormat="1" ht="17.25" customHeight="1" thickBot="1" x14ac:dyDescent="0.3">
      <c r="A137" s="780" t="s">
        <v>213</v>
      </c>
      <c r="B137" s="781" t="s">
        <v>211</v>
      </c>
      <c r="C137" s="782" t="s">
        <v>104</v>
      </c>
      <c r="D137" s="784">
        <f>180/PI()</f>
        <v>57.295779513082323</v>
      </c>
      <c r="H137" s="449"/>
      <c r="I137" s="449"/>
      <c r="J137" s="269"/>
      <c r="K137" s="449"/>
      <c r="L137" s="449"/>
      <c r="M137" s="269"/>
      <c r="N137" s="449"/>
      <c r="O137" s="449"/>
      <c r="P137" s="449"/>
      <c r="Q137" s="449"/>
      <c r="R137" s="449"/>
      <c r="S137" s="449"/>
      <c r="T137" s="449"/>
      <c r="U137" s="269"/>
      <c r="V137" s="269"/>
      <c r="W137" s="269"/>
      <c r="X137" s="269"/>
      <c r="Y137" s="269"/>
      <c r="Z137" s="269"/>
      <c r="AA137" s="18"/>
      <c r="AB137" s="28"/>
      <c r="AC137" s="28"/>
      <c r="AL137" s="29"/>
      <c r="BN137" s="1"/>
    </row>
    <row r="138" spans="1:66" s="22" customFormat="1" ht="17.25" customHeight="1" x14ac:dyDescent="0.25">
      <c r="A138" s="1"/>
      <c r="B138" s="1"/>
      <c r="C138" s="270"/>
      <c r="H138" s="449"/>
      <c r="I138" s="449"/>
      <c r="J138" s="449"/>
      <c r="K138" s="449"/>
      <c r="L138" s="449"/>
      <c r="M138" s="269"/>
      <c r="N138" s="269"/>
      <c r="O138" s="269"/>
      <c r="P138" s="269"/>
      <c r="Q138" s="269"/>
      <c r="R138" s="269"/>
      <c r="S138" s="449"/>
      <c r="T138" s="449"/>
      <c r="U138" s="449"/>
      <c r="V138" s="449"/>
      <c r="W138" s="449"/>
      <c r="X138" s="449"/>
      <c r="Y138" s="269"/>
      <c r="Z138" s="269"/>
      <c r="AA138" s="18"/>
      <c r="AB138" s="28"/>
      <c r="AC138" s="28"/>
      <c r="AL138" s="29"/>
      <c r="BN138" s="1"/>
    </row>
    <row r="139" spans="1:66" s="22" customFormat="1" ht="17.25" customHeight="1" x14ac:dyDescent="0.25">
      <c r="A139" s="1"/>
      <c r="B139" s="1"/>
      <c r="C139" s="270"/>
      <c r="H139" s="269"/>
      <c r="I139" s="269"/>
      <c r="J139" s="269"/>
      <c r="K139" s="269"/>
      <c r="L139" s="269"/>
      <c r="M139" s="269"/>
      <c r="N139" s="269"/>
      <c r="O139" s="269"/>
      <c r="P139" s="269"/>
      <c r="Q139" s="269"/>
      <c r="R139" s="269"/>
      <c r="S139" s="269"/>
      <c r="T139" s="269"/>
      <c r="U139" s="269"/>
      <c r="V139" s="269"/>
      <c r="W139" s="269"/>
      <c r="X139" s="269"/>
      <c r="Y139" s="269"/>
      <c r="Z139" s="269"/>
      <c r="AA139" s="18"/>
      <c r="AB139" s="28"/>
      <c r="AC139" s="28"/>
      <c r="AL139" s="29"/>
      <c r="BN139" s="1"/>
    </row>
    <row r="140" spans="1:66" ht="17.25" customHeight="1" x14ac:dyDescent="0.25">
      <c r="G140" s="269"/>
      <c r="H140" s="269"/>
      <c r="I140" s="269"/>
      <c r="J140" s="269"/>
      <c r="K140" s="269"/>
      <c r="V140" s="269"/>
      <c r="W140" s="269"/>
      <c r="X140" s="269"/>
      <c r="Y140" s="269"/>
      <c r="Z140" s="269"/>
    </row>
    <row r="141" spans="1:66" ht="17.25" customHeight="1" x14ac:dyDescent="0.25">
      <c r="G141" s="269"/>
      <c r="H141" s="269"/>
      <c r="I141" s="269"/>
      <c r="J141" s="269"/>
      <c r="K141" s="269"/>
      <c r="V141" s="269"/>
      <c r="W141" s="269"/>
      <c r="X141" s="269"/>
      <c r="Y141" s="269"/>
      <c r="Z141" s="269"/>
    </row>
    <row r="143" spans="1:66" ht="17.25" customHeight="1" x14ac:dyDescent="0.25">
      <c r="F143" s="1"/>
    </row>
    <row r="144" spans="1:66" ht="17.25" customHeight="1" x14ac:dyDescent="0.25">
      <c r="F144" s="1"/>
    </row>
    <row r="145" spans="6:6" ht="17.25" customHeight="1" x14ac:dyDescent="0.25">
      <c r="F145" s="1"/>
    </row>
  </sheetData>
  <dataConsolidate/>
  <mergeCells count="239">
    <mergeCell ref="M46:O47"/>
    <mergeCell ref="P46:T47"/>
    <mergeCell ref="F48:H51"/>
    <mergeCell ref="F58:K58"/>
    <mergeCell ref="P58:T58"/>
    <mergeCell ref="U58:Y58"/>
    <mergeCell ref="P54:T55"/>
    <mergeCell ref="U54:Y55"/>
    <mergeCell ref="F56:H57"/>
    <mergeCell ref="I56:L57"/>
    <mergeCell ref="M56:O57"/>
    <mergeCell ref="P56:P57"/>
    <mergeCell ref="Q56:T57"/>
    <mergeCell ref="U56:U57"/>
    <mergeCell ref="V56:Y57"/>
    <mergeCell ref="I48:L51"/>
    <mergeCell ref="M48:O49"/>
    <mergeCell ref="P48:P49"/>
    <mergeCell ref="Q48:T49"/>
    <mergeCell ref="U48:Z49"/>
    <mergeCell ref="M50:O51"/>
    <mergeCell ref="P50:P51"/>
    <mergeCell ref="Q50:T51"/>
    <mergeCell ref="U50:Z51"/>
    <mergeCell ref="N133:O133"/>
    <mergeCell ref="P133:R133"/>
    <mergeCell ref="T133:V133"/>
    <mergeCell ref="F43:H43"/>
    <mergeCell ref="L43:M43"/>
    <mergeCell ref="C44:F44"/>
    <mergeCell ref="G44:I44"/>
    <mergeCell ref="F46:H47"/>
    <mergeCell ref="I46:L47"/>
    <mergeCell ref="N123:W123"/>
    <mergeCell ref="N119:W119"/>
    <mergeCell ref="N127:W127"/>
    <mergeCell ref="N128:O128"/>
    <mergeCell ref="P128:R128"/>
    <mergeCell ref="T128:V128"/>
    <mergeCell ref="H125:L125"/>
    <mergeCell ref="A135:D135"/>
    <mergeCell ref="D131:G133"/>
    <mergeCell ref="H131:L132"/>
    <mergeCell ref="H133:L133"/>
    <mergeCell ref="C66:G66"/>
    <mergeCell ref="E67:G68"/>
    <mergeCell ref="H67:K68"/>
    <mergeCell ref="L67:R68"/>
    <mergeCell ref="D119:G121"/>
    <mergeCell ref="D127:G129"/>
    <mergeCell ref="N122:Z122"/>
    <mergeCell ref="D123:G125"/>
    <mergeCell ref="H123:L124"/>
    <mergeCell ref="H137:I137"/>
    <mergeCell ref="K137:L137"/>
    <mergeCell ref="N137:R137"/>
    <mergeCell ref="S137:T137"/>
    <mergeCell ref="H138:J138"/>
    <mergeCell ref="K138:L138"/>
    <mergeCell ref="S138:X138"/>
    <mergeCell ref="M135:N135"/>
    <mergeCell ref="P135:R135"/>
    <mergeCell ref="S135:U135"/>
    <mergeCell ref="W135:Y135"/>
    <mergeCell ref="H136:I136"/>
    <mergeCell ref="K136:L136"/>
    <mergeCell ref="H127:L128"/>
    <mergeCell ref="X128:Y128"/>
    <mergeCell ref="H129:L129"/>
    <mergeCell ref="N131:W131"/>
    <mergeCell ref="N132:O132"/>
    <mergeCell ref="P132:R132"/>
    <mergeCell ref="T132:V132"/>
    <mergeCell ref="N120:O120"/>
    <mergeCell ref="P120:R120"/>
    <mergeCell ref="T120:V120"/>
    <mergeCell ref="H121:L121"/>
    <mergeCell ref="N121:O121"/>
    <mergeCell ref="P121:R121"/>
    <mergeCell ref="T121:V121"/>
    <mergeCell ref="M113:O113"/>
    <mergeCell ref="U113:Z113"/>
    <mergeCell ref="G115:M115"/>
    <mergeCell ref="N115:Q115"/>
    <mergeCell ref="H119:L120"/>
    <mergeCell ref="N124:O124"/>
    <mergeCell ref="P124:R124"/>
    <mergeCell ref="T124:V124"/>
    <mergeCell ref="G108:M108"/>
    <mergeCell ref="N108:Q108"/>
    <mergeCell ref="T108:Y108"/>
    <mergeCell ref="E110:H110"/>
    <mergeCell ref="I110:K110"/>
    <mergeCell ref="U112:Z112"/>
    <mergeCell ref="H104:M104"/>
    <mergeCell ref="N104:Q105"/>
    <mergeCell ref="R104:R105"/>
    <mergeCell ref="H105:M105"/>
    <mergeCell ref="H106:M106"/>
    <mergeCell ref="N106:Q106"/>
    <mergeCell ref="G99:M99"/>
    <mergeCell ref="N99:Q99"/>
    <mergeCell ref="T99:Y99"/>
    <mergeCell ref="F101:R101"/>
    <mergeCell ref="F102:G103"/>
    <mergeCell ref="H102:M102"/>
    <mergeCell ref="N102:Q103"/>
    <mergeCell ref="R102:R103"/>
    <mergeCell ref="H103:M103"/>
    <mergeCell ref="G95:M95"/>
    <mergeCell ref="N95:Q95"/>
    <mergeCell ref="T95:Y95"/>
    <mergeCell ref="G97:M97"/>
    <mergeCell ref="N97:Q97"/>
    <mergeCell ref="G98:M98"/>
    <mergeCell ref="N98:Q98"/>
    <mergeCell ref="R92:T92"/>
    <mergeCell ref="G93:M93"/>
    <mergeCell ref="N93:Q93"/>
    <mergeCell ref="R93:T93"/>
    <mergeCell ref="G94:M94"/>
    <mergeCell ref="N94:Q94"/>
    <mergeCell ref="R94:T94"/>
    <mergeCell ref="L88:O88"/>
    <mergeCell ref="G89:M89"/>
    <mergeCell ref="N89:Q89"/>
    <mergeCell ref="T89:Y89"/>
    <mergeCell ref="G90:M90"/>
    <mergeCell ref="N90:Q90"/>
    <mergeCell ref="T90:Y90"/>
    <mergeCell ref="L84:O84"/>
    <mergeCell ref="G85:M85"/>
    <mergeCell ref="N85:O85"/>
    <mergeCell ref="Q85:R85"/>
    <mergeCell ref="T85:Y85"/>
    <mergeCell ref="L87:O87"/>
    <mergeCell ref="G82:M82"/>
    <mergeCell ref="N82:Q82"/>
    <mergeCell ref="T82:Y82"/>
    <mergeCell ref="G83:M83"/>
    <mergeCell ref="N83:Q83"/>
    <mergeCell ref="T83:Y83"/>
    <mergeCell ref="U78:Y78"/>
    <mergeCell ref="C79:E79"/>
    <mergeCell ref="F79:H79"/>
    <mergeCell ref="E80:H80"/>
    <mergeCell ref="I80:K80"/>
    <mergeCell ref="G81:M81"/>
    <mergeCell ref="N81:Q81"/>
    <mergeCell ref="T81:Y81"/>
    <mergeCell ref="C73:G73"/>
    <mergeCell ref="H73:K73"/>
    <mergeCell ref="M73:P73"/>
    <mergeCell ref="H74:M74"/>
    <mergeCell ref="E78:G78"/>
    <mergeCell ref="R78:T78"/>
    <mergeCell ref="E72:G72"/>
    <mergeCell ref="I72:K72"/>
    <mergeCell ref="L72:N72"/>
    <mergeCell ref="C63:G63"/>
    <mergeCell ref="E64:G65"/>
    <mergeCell ref="H64:K65"/>
    <mergeCell ref="L64:R65"/>
    <mergeCell ref="E62:G62"/>
    <mergeCell ref="F52:K52"/>
    <mergeCell ref="F54:H55"/>
    <mergeCell ref="I54:L55"/>
    <mergeCell ref="M54:O55"/>
    <mergeCell ref="D37:G38"/>
    <mergeCell ref="E39:G40"/>
    <mergeCell ref="H39:H40"/>
    <mergeCell ref="I39:M40"/>
    <mergeCell ref="N39:W40"/>
    <mergeCell ref="D32:G33"/>
    <mergeCell ref="A34:C34"/>
    <mergeCell ref="E34:G35"/>
    <mergeCell ref="H34:H35"/>
    <mergeCell ref="I34:M35"/>
    <mergeCell ref="N34:W35"/>
    <mergeCell ref="C26:H29"/>
    <mergeCell ref="I26:K29"/>
    <mergeCell ref="L26:N29"/>
    <mergeCell ref="O26:Q27"/>
    <mergeCell ref="O28:Q28"/>
    <mergeCell ref="R28:W28"/>
    <mergeCell ref="O29:W29"/>
    <mergeCell ref="C22:H25"/>
    <mergeCell ref="I22:K25"/>
    <mergeCell ref="L22:N25"/>
    <mergeCell ref="O22:Q23"/>
    <mergeCell ref="O24:Q24"/>
    <mergeCell ref="R24:W24"/>
    <mergeCell ref="O25:W25"/>
    <mergeCell ref="C20:H20"/>
    <mergeCell ref="I20:K20"/>
    <mergeCell ref="L20:N20"/>
    <mergeCell ref="C21:H21"/>
    <mergeCell ref="I21:K21"/>
    <mergeCell ref="L21:N21"/>
    <mergeCell ref="C18:H18"/>
    <mergeCell ref="I18:K18"/>
    <mergeCell ref="L18:N18"/>
    <mergeCell ref="O18:W18"/>
    <mergeCell ref="C19:H19"/>
    <mergeCell ref="I19:K19"/>
    <mergeCell ref="L19:N19"/>
    <mergeCell ref="O19:W19"/>
    <mergeCell ref="C16:H16"/>
    <mergeCell ref="I16:K16"/>
    <mergeCell ref="L16:N16"/>
    <mergeCell ref="O16:W16"/>
    <mergeCell ref="C17:H17"/>
    <mergeCell ref="I17:K17"/>
    <mergeCell ref="L17:N17"/>
    <mergeCell ref="C14:H14"/>
    <mergeCell ref="I14:K14"/>
    <mergeCell ref="L14:N14"/>
    <mergeCell ref="O14:W14"/>
    <mergeCell ref="C15:H15"/>
    <mergeCell ref="I15:K15"/>
    <mergeCell ref="L15:N15"/>
    <mergeCell ref="O15:W15"/>
    <mergeCell ref="U9:X10"/>
    <mergeCell ref="D11:E11"/>
    <mergeCell ref="F11:G11"/>
    <mergeCell ref="H11:J11"/>
    <mergeCell ref="K11:O11"/>
    <mergeCell ref="P11:T11"/>
    <mergeCell ref="U11:X11"/>
    <mergeCell ref="C1:F4"/>
    <mergeCell ref="G1:Y2"/>
    <mergeCell ref="G3:I4"/>
    <mergeCell ref="J3:L4"/>
    <mergeCell ref="D8:F8"/>
    <mergeCell ref="C9:C11"/>
    <mergeCell ref="D9:G10"/>
    <mergeCell ref="H9:J10"/>
    <mergeCell ref="K9:O10"/>
    <mergeCell ref="P9:T10"/>
  </mergeCells>
  <dataValidations count="6">
    <dataValidation type="list" allowBlank="1" showInputMessage="1" showErrorMessage="1" sqref="L20:N20" xr:uid="{D67E11EA-1D82-49F2-B358-0D6190B9DBCA}">
      <formula1>$AE$20:$AH$20</formula1>
    </dataValidation>
    <dataValidation type="list" allowBlank="1" showInputMessage="1" showErrorMessage="1" sqref="H34:H35 T71 O71" xr:uid="{C223D8A7-AD78-4C53-99B4-23661D5202D3}">
      <formula1>$A$36:$A$37</formula1>
    </dataValidation>
    <dataValidation type="list" allowBlank="1" showInputMessage="1" showErrorMessage="1" sqref="L41 H41 H39 Q41 U56:U57 P56:P57 P48:P51" xr:uid="{2248D803-89C5-41E3-B3F3-09D9B5FFEE6A}">
      <formula1>$B$36:$B$37</formula1>
    </dataValidation>
    <dataValidation type="list" allowBlank="1" showInputMessage="1" showErrorMessage="1" sqref="L21:N21" xr:uid="{AEE8244A-AB28-41F9-AA2C-9F648FD0BE85}">
      <formula1>$AE$21:$AG$21</formula1>
    </dataValidation>
    <dataValidation type="list" allowBlank="1" showInputMessage="1" showErrorMessage="1" sqref="F79:H79" xr:uid="{80ABF7C2-CEF4-4E67-A5F7-DCC3B10EE6DB}">
      <formula1>$AE$79:$AE$80</formula1>
    </dataValidation>
    <dataValidation type="list" allowBlank="1" showInputMessage="1" showErrorMessage="1" sqref="G44:I44" xr:uid="{B2144AB8-9CA3-488D-8E4F-5D599BAAE1CF}">
      <formula1>$AF$44:$AF$45</formula1>
    </dataValidation>
  </dataValidations>
  <printOptions horizontalCentered="1" verticalCentered="1"/>
  <pageMargins left="0.25" right="0.25" top="0.1" bottom="0.1" header="0.3" footer="0.3"/>
  <pageSetup paperSize="9" scale="62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BN173"/>
  <sheetViews>
    <sheetView zoomScaleNormal="100" workbookViewId="0">
      <selection activeCell="A21" sqref="A21"/>
    </sheetView>
  </sheetViews>
  <sheetFormatPr defaultColWidth="5.140625" defaultRowHeight="17.25" customHeight="1" outlineLevelRow="1" outlineLevelCol="1" x14ac:dyDescent="0.25"/>
  <cols>
    <col min="1" max="2" width="6.42578125" style="1" customWidth="1"/>
    <col min="3" max="6" width="7" style="179" customWidth="1"/>
    <col min="7" max="8" width="7" style="1" customWidth="1"/>
    <col min="9" max="26" width="6.42578125" style="1" customWidth="1"/>
    <col min="27" max="27" width="19" style="18" customWidth="1" outlineLevel="1"/>
    <col min="28" max="28" width="42.7109375" style="28" customWidth="1" outlineLevel="1"/>
    <col min="29" max="29" width="23.7109375" style="28" customWidth="1" outlineLevel="1"/>
    <col min="30" max="37" width="19" style="22" customWidth="1" outlineLevel="1"/>
    <col min="38" max="38" width="19" style="29" customWidth="1" outlineLevel="1"/>
    <col min="39" max="45" width="19" style="22" customWidth="1" outlineLevel="1"/>
    <col min="46" max="65" width="15.85546875" style="22" customWidth="1" outlineLevel="1"/>
    <col min="66" max="16384" width="5.140625" style="1"/>
  </cols>
  <sheetData>
    <row r="1" spans="1:66" ht="17.25" customHeight="1" x14ac:dyDescent="0.25">
      <c r="C1" s="568" t="s">
        <v>382</v>
      </c>
      <c r="D1" s="568"/>
      <c r="E1" s="568"/>
      <c r="F1" s="568"/>
      <c r="G1" s="562" t="s">
        <v>383</v>
      </c>
      <c r="H1" s="562"/>
      <c r="I1" s="562"/>
      <c r="J1" s="562"/>
      <c r="K1" s="562"/>
      <c r="L1" s="562"/>
      <c r="M1" s="562"/>
      <c r="N1" s="562"/>
      <c r="O1" s="562"/>
      <c r="P1" s="562"/>
      <c r="Q1" s="562"/>
      <c r="R1" s="562"/>
      <c r="S1" s="562"/>
      <c r="T1" s="562"/>
      <c r="U1" s="562"/>
      <c r="V1" s="562"/>
      <c r="W1" s="562"/>
      <c r="X1" s="562"/>
      <c r="Y1" s="562"/>
      <c r="AA1" s="1"/>
      <c r="AB1" s="18"/>
      <c r="AD1" s="28"/>
      <c r="AL1" s="22"/>
      <c r="AM1" s="29"/>
      <c r="BN1" s="22"/>
    </row>
    <row r="2" spans="1:66" ht="17.25" customHeight="1" x14ac:dyDescent="0.25">
      <c r="C2" s="568"/>
      <c r="D2" s="568"/>
      <c r="E2" s="568"/>
      <c r="F2" s="568"/>
      <c r="G2" s="562"/>
      <c r="H2" s="562"/>
      <c r="I2" s="562"/>
      <c r="J2" s="562"/>
      <c r="K2" s="562"/>
      <c r="L2" s="562"/>
      <c r="M2" s="562"/>
      <c r="N2" s="562"/>
      <c r="O2" s="562"/>
      <c r="P2" s="562"/>
      <c r="Q2" s="562"/>
      <c r="R2" s="562"/>
      <c r="S2" s="562"/>
      <c r="T2" s="562"/>
      <c r="U2" s="562"/>
      <c r="V2" s="562"/>
      <c r="W2" s="562"/>
      <c r="X2" s="562"/>
      <c r="Y2" s="562"/>
      <c r="AA2" s="1"/>
      <c r="AB2" s="18"/>
      <c r="AD2" s="28"/>
      <c r="AL2" s="22"/>
      <c r="AM2" s="29"/>
      <c r="BN2" s="22"/>
    </row>
    <row r="3" spans="1:66" ht="17.25" customHeight="1" x14ac:dyDescent="0.25">
      <c r="C3" s="568"/>
      <c r="D3" s="568"/>
      <c r="E3" s="568"/>
      <c r="F3" s="568"/>
      <c r="G3" s="388" t="s">
        <v>387</v>
      </c>
      <c r="H3" s="388"/>
      <c r="I3" s="388"/>
      <c r="J3" s="567" t="s">
        <v>386</v>
      </c>
      <c r="K3" s="567"/>
      <c r="L3" s="567"/>
      <c r="AA3" s="1"/>
      <c r="AB3" s="18"/>
      <c r="AD3" s="28"/>
      <c r="AL3" s="22"/>
      <c r="AM3" s="29"/>
      <c r="BN3" s="22"/>
    </row>
    <row r="4" spans="1:66" ht="17.25" customHeight="1" x14ac:dyDescent="0.25">
      <c r="C4" s="568"/>
      <c r="D4" s="568"/>
      <c r="E4" s="568"/>
      <c r="F4" s="568"/>
      <c r="G4" s="343"/>
      <c r="H4" s="343"/>
      <c r="I4" s="343"/>
      <c r="J4" s="383"/>
      <c r="K4" s="383"/>
      <c r="L4" s="383"/>
      <c r="AA4" s="1"/>
      <c r="AB4" s="18"/>
      <c r="AD4" s="28"/>
      <c r="AL4" s="22"/>
      <c r="AM4" s="29"/>
      <c r="BN4" s="22"/>
    </row>
    <row r="5" spans="1:66" ht="17.25" customHeight="1" x14ac:dyDescent="0.25">
      <c r="C5" s="196"/>
      <c r="D5" s="196"/>
      <c r="E5" s="196"/>
      <c r="F5" s="196"/>
      <c r="G5" s="196"/>
      <c r="AA5" s="1"/>
      <c r="AB5" s="18"/>
      <c r="AD5" s="28"/>
      <c r="AL5" s="22"/>
      <c r="AM5" s="29"/>
      <c r="BN5" s="22"/>
    </row>
    <row r="6" spans="1:66" ht="17.25" customHeight="1" thickBot="1" x14ac:dyDescent="0.3">
      <c r="C6" s="196"/>
      <c r="D6" s="196"/>
      <c r="E6" s="196"/>
      <c r="F6" s="196"/>
      <c r="G6" s="196"/>
      <c r="AA6" s="1"/>
      <c r="AB6" s="18"/>
      <c r="AD6" s="28"/>
      <c r="AL6" s="22"/>
      <c r="AM6" s="29"/>
      <c r="BN6" s="22"/>
    </row>
    <row r="7" spans="1:66" ht="17.25" customHeight="1" thickBot="1" x14ac:dyDescent="0.3">
      <c r="B7" s="47" t="s">
        <v>1</v>
      </c>
      <c r="C7" s="157"/>
      <c r="D7" s="48"/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  <c r="AA7" s="48"/>
      <c r="AB7" s="48"/>
      <c r="AC7" s="48"/>
      <c r="AD7" s="48"/>
      <c r="AE7" s="48"/>
      <c r="AF7" s="48"/>
      <c r="AG7" s="48"/>
      <c r="AH7" s="48"/>
      <c r="AI7" s="48"/>
      <c r="AJ7" s="48"/>
      <c r="AK7" s="48"/>
      <c r="AL7" s="48"/>
      <c r="AM7" s="48"/>
      <c r="AN7" s="48"/>
      <c r="AO7" s="48"/>
      <c r="AP7" s="48"/>
      <c r="AQ7" s="48"/>
      <c r="AR7" s="48"/>
      <c r="AS7" s="48"/>
      <c r="AT7" s="48"/>
      <c r="AU7" s="48"/>
      <c r="AV7" s="48"/>
      <c r="AW7" s="48"/>
      <c r="AX7" s="48"/>
      <c r="AY7" s="48"/>
      <c r="AZ7" s="48"/>
      <c r="BA7" s="49"/>
    </row>
    <row r="8" spans="1:66" ht="17.25" customHeight="1" x14ac:dyDescent="0.25">
      <c r="C8" s="158" t="s">
        <v>2</v>
      </c>
      <c r="D8" s="354" t="s">
        <v>333</v>
      </c>
      <c r="E8" s="355"/>
      <c r="F8" s="355"/>
      <c r="G8" s="179"/>
      <c r="AB8" s="19"/>
      <c r="AC8" s="20"/>
      <c r="AD8" s="21" t="s">
        <v>132</v>
      </c>
      <c r="AE8" s="21" t="s">
        <v>12</v>
      </c>
      <c r="AF8" s="21" t="s">
        <v>133</v>
      </c>
      <c r="AG8" s="21" t="s">
        <v>129</v>
      </c>
      <c r="AH8" s="21" t="s">
        <v>132</v>
      </c>
      <c r="AI8" s="21" t="s">
        <v>137</v>
      </c>
      <c r="AJ8" s="21" t="s">
        <v>138</v>
      </c>
      <c r="AK8" s="21" t="s">
        <v>129</v>
      </c>
      <c r="AL8" s="21" t="s">
        <v>112</v>
      </c>
      <c r="AM8" s="21" t="s">
        <v>117</v>
      </c>
      <c r="AN8" s="21" t="s">
        <v>144</v>
      </c>
      <c r="AO8" s="21" t="s">
        <v>131</v>
      </c>
      <c r="AP8" s="21" t="s">
        <v>152</v>
      </c>
      <c r="AQ8" s="21" t="s">
        <v>150</v>
      </c>
      <c r="AR8" s="21" t="s">
        <v>112</v>
      </c>
      <c r="AS8" s="21" t="s">
        <v>151</v>
      </c>
      <c r="AT8" s="30"/>
      <c r="AU8" s="30"/>
    </row>
    <row r="9" spans="1:66" ht="17.25" customHeight="1" thickBot="1" x14ac:dyDescent="0.3">
      <c r="C9" s="574" t="s">
        <v>12</v>
      </c>
      <c r="D9" s="296" t="s">
        <v>3</v>
      </c>
      <c r="E9" s="297"/>
      <c r="F9" s="297"/>
      <c r="G9" s="298"/>
      <c r="H9" s="399" t="s">
        <v>336</v>
      </c>
      <c r="I9" s="399"/>
      <c r="J9" s="399"/>
      <c r="K9" s="399" t="s">
        <v>337</v>
      </c>
      <c r="L9" s="399"/>
      <c r="M9" s="399"/>
      <c r="N9" s="399"/>
      <c r="O9" s="399"/>
      <c r="P9" s="399" t="s">
        <v>338</v>
      </c>
      <c r="Q9" s="399"/>
      <c r="R9" s="399"/>
      <c r="S9" s="399"/>
      <c r="T9" s="399"/>
      <c r="U9" s="417" t="s">
        <v>335</v>
      </c>
      <c r="V9" s="418"/>
      <c r="W9" s="418"/>
      <c r="X9" s="419"/>
      <c r="AA9" s="202" t="s">
        <v>370</v>
      </c>
      <c r="AB9" s="180" t="str">
        <f>AS9</f>
        <v>17:08:23.00 [17:08.38] - (17.1397)</v>
      </c>
      <c r="AC9" s="23">
        <f>AN9</f>
        <v>17.139722222222222</v>
      </c>
      <c r="AD9" s="24" t="b">
        <f t="shared" ref="AD9:AD10" si="0">ISNUMBER(SEARCH(":",AA9,1))</f>
        <v>1</v>
      </c>
      <c r="AE9" s="25">
        <f t="shared" ref="AE9:AE10" si="1">IF(AD9, VALUE(LEFT(AA9,SEARCH(":",AA9,1)-1)),VALUE(AA9))</f>
        <v>17</v>
      </c>
      <c r="AF9" s="25" t="str">
        <f t="shared" ref="AF9:AF10" si="2">IF(AD9, RIGHT(AA9,LEN(AA9)-SEARCH(":",AA9,1)),"")</f>
        <v>08:23</v>
      </c>
      <c r="AG9" s="24" t="b">
        <f>(LEN(AF9)&gt;0)</f>
        <v>1</v>
      </c>
      <c r="AH9" s="24" t="b">
        <f>ISNUMBER(SEARCH(":",AF9,1))</f>
        <v>1</v>
      </c>
      <c r="AI9" s="25">
        <f>IF(NOT(AG9),0,IF(AH9, VALUE(LEFT(AF9,SEARCH(":",AF9,1)-1)),VALUE(AF9)))</f>
        <v>8</v>
      </c>
      <c r="AJ9" s="25" t="str">
        <f>IF(AH9, RIGHT(AF9,LEN(AF9)-SEARCH(":",AF9,1)),"")</f>
        <v>23</v>
      </c>
      <c r="AK9" s="24" t="b">
        <f>(LEN(AJ9)&gt;0)</f>
        <v>1</v>
      </c>
      <c r="AL9" s="25">
        <f>IF(AK9,VALUE(AJ9),0)</f>
        <v>23</v>
      </c>
      <c r="AM9" s="26">
        <f>AE9*3600+AI9*60+AL9</f>
        <v>61703</v>
      </c>
      <c r="AN9" s="26">
        <f>AM9/3600</f>
        <v>17.139722222222222</v>
      </c>
      <c r="AO9" s="26">
        <f>(AM9-3600*INT(AN9))/60</f>
        <v>8.3833333333333329</v>
      </c>
      <c r="AP9" s="25">
        <f>_xlfn.FLOOR.MATH(AN9)</f>
        <v>17</v>
      </c>
      <c r="AQ9" s="25">
        <f>_xlfn.FLOOR.MATH(AO9)</f>
        <v>8</v>
      </c>
      <c r="AR9" s="25">
        <f>_xlfn.FLOOR.MATH(AM9-AP9*3600-AQ9*60)</f>
        <v>23</v>
      </c>
      <c r="AS9" s="20" t="str">
        <f>CONCATENATE(TEXT(AP9,"00"),":",TEXT(AQ9,"00"),":",TEXT(AR9,"00.00"), " [", CONCATENATE(TEXT(AP9,"00"),":",TEXT(AO9,"00.00")),"]", " - (", TEXT(AN9,"00.0000"),")")</f>
        <v>17:08:23.00 [17:08.38] - (17.1397)</v>
      </c>
      <c r="AT9" s="30"/>
      <c r="AU9" s="178"/>
      <c r="AV9" s="17"/>
      <c r="AW9" s="17"/>
      <c r="AX9" s="17"/>
      <c r="AY9" s="17"/>
      <c r="AZ9" s="17"/>
    </row>
    <row r="10" spans="1:66" ht="17.25" customHeight="1" x14ac:dyDescent="0.25">
      <c r="A10" s="1" t="s">
        <v>66</v>
      </c>
      <c r="B10" s="1" t="s">
        <v>67</v>
      </c>
      <c r="C10" s="575"/>
      <c r="D10" s="299"/>
      <c r="E10" s="300"/>
      <c r="F10" s="300"/>
      <c r="G10" s="301"/>
      <c r="H10" s="399"/>
      <c r="I10" s="399"/>
      <c r="J10" s="399"/>
      <c r="K10" s="399"/>
      <c r="L10" s="399"/>
      <c r="M10" s="399"/>
      <c r="N10" s="399"/>
      <c r="O10" s="399"/>
      <c r="P10" s="399"/>
      <c r="Q10" s="399"/>
      <c r="R10" s="399"/>
      <c r="S10" s="399"/>
      <c r="T10" s="399"/>
      <c r="U10" s="420"/>
      <c r="V10" s="421"/>
      <c r="W10" s="421"/>
      <c r="X10" s="422"/>
      <c r="AA10" s="18" t="str">
        <f>CONCATENATE("00:",U11)</f>
        <v>00:0</v>
      </c>
      <c r="AB10" s="180" t="str">
        <f>AS10</f>
        <v>00:00:00.00 [00:00.00] - (00.0000)</v>
      </c>
      <c r="AC10" s="23">
        <f>AN10</f>
        <v>0</v>
      </c>
      <c r="AD10" s="24" t="b">
        <f t="shared" si="0"/>
        <v>1</v>
      </c>
      <c r="AE10" s="25">
        <f t="shared" si="1"/>
        <v>0</v>
      </c>
      <c r="AF10" s="25" t="str">
        <f t="shared" si="2"/>
        <v>0</v>
      </c>
      <c r="AG10" s="24" t="b">
        <f>(LEN(AF10)&gt;0)</f>
        <v>1</v>
      </c>
      <c r="AH10" s="24" t="b">
        <f>ISNUMBER(SEARCH(":",AF10,1))</f>
        <v>0</v>
      </c>
      <c r="AI10" s="25">
        <f>IF(NOT(AG10),0,IF(AH10, VALUE(LEFT(AF10,SEARCH(":",AF10,1)-1)),VALUE(AF10)))</f>
        <v>0</v>
      </c>
      <c r="AJ10" s="25" t="str">
        <f>IF(AH10, RIGHT(AF10,LEN(AF10)-SEARCH(":",AF10,1)),"")</f>
        <v/>
      </c>
      <c r="AK10" s="24" t="b">
        <f>(LEN(AJ10)&gt;0)</f>
        <v>0</v>
      </c>
      <c r="AL10" s="25">
        <f>IF(AK10,VALUE(AJ10),0)</f>
        <v>0</v>
      </c>
      <c r="AM10" s="26">
        <f>AE10*3600+AI10*60+AL10</f>
        <v>0</v>
      </c>
      <c r="AN10" s="26">
        <f>AM10/3600</f>
        <v>0</v>
      </c>
      <c r="AO10" s="26">
        <f>(AM10-3600*INT(AN10))/60</f>
        <v>0</v>
      </c>
      <c r="AP10" s="25">
        <f>_xlfn.FLOOR.MATH(AN10)</f>
        <v>0</v>
      </c>
      <c r="AQ10" s="25">
        <f>_xlfn.FLOOR.MATH(AO10)</f>
        <v>0</v>
      </c>
      <c r="AR10" s="25">
        <f>_xlfn.FLOOR.MATH(AM10-AP10*3600-AQ10*60)</f>
        <v>0</v>
      </c>
      <c r="AS10" s="20" t="str">
        <f>CONCATENATE(TEXT(AP10,"00"),":",TEXT(AQ10,"00"),":",TEXT(AR10,"00.00"), " [", CONCATENATE(TEXT(AP10,"00"),":",TEXT(AO10,"00.00")),"]", " - (", TEXT(AN10,"00.0000"),")")</f>
        <v>00:00:00.00 [00:00.00] - (00.0000)</v>
      </c>
      <c r="AT10" s="17"/>
      <c r="AU10" s="17"/>
      <c r="AV10" s="17"/>
      <c r="AW10" s="17"/>
      <c r="AX10" s="17"/>
      <c r="AY10" s="17"/>
      <c r="AZ10" s="17"/>
    </row>
    <row r="11" spans="1:66" ht="17.25" customHeight="1" x14ac:dyDescent="0.25">
      <c r="C11" s="576"/>
      <c r="D11" s="356">
        <f>AC12</f>
        <v>16.14</v>
      </c>
      <c r="E11" s="356"/>
      <c r="F11" s="391" t="str">
        <f>AB12</f>
        <v>16:08:24</v>
      </c>
      <c r="G11" s="391"/>
      <c r="H11" s="433">
        <v>0.71415509259259258</v>
      </c>
      <c r="I11" s="433"/>
      <c r="J11" s="433"/>
      <c r="K11" s="393">
        <v>-1</v>
      </c>
      <c r="L11" s="393"/>
      <c r="M11" s="393"/>
      <c r="N11" s="393"/>
      <c r="O11" s="393"/>
      <c r="P11" s="393">
        <v>1</v>
      </c>
      <c r="Q11" s="393"/>
      <c r="R11" s="393"/>
      <c r="S11" s="393"/>
      <c r="T11" s="394"/>
      <c r="U11" s="392" t="s">
        <v>334</v>
      </c>
      <c r="V11" s="392"/>
      <c r="W11" s="392"/>
      <c r="X11" s="392"/>
      <c r="AD11" s="31" t="s">
        <v>42</v>
      </c>
      <c r="AE11" s="31" t="s">
        <v>43</v>
      </c>
      <c r="AF11" s="31" t="s">
        <v>44</v>
      </c>
      <c r="AG11" s="31" t="s">
        <v>45</v>
      </c>
      <c r="AH11" s="31" t="s">
        <v>46</v>
      </c>
      <c r="AI11" s="32" t="s">
        <v>47</v>
      </c>
      <c r="AJ11" s="31" t="s">
        <v>49</v>
      </c>
      <c r="AK11" s="31" t="s">
        <v>40</v>
      </c>
      <c r="AL11" s="31" t="s">
        <v>50</v>
      </c>
      <c r="AM11" s="31" t="s">
        <v>48</v>
      </c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</row>
    <row r="12" spans="1:66" ht="17.25" customHeight="1" thickBot="1" x14ac:dyDescent="0.3">
      <c r="C12" s="33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AB12" s="28" t="str">
        <f>AM12</f>
        <v>16:08:24</v>
      </c>
      <c r="AC12" s="34">
        <f>AI12</f>
        <v>16.14</v>
      </c>
      <c r="AD12" s="22">
        <f>AC9</f>
        <v>17.139722222222222</v>
      </c>
      <c r="AE12" s="22">
        <f>K11</f>
        <v>-1</v>
      </c>
      <c r="AF12" s="22">
        <f>P11/3600</f>
        <v>2.7777777777777778E-4</v>
      </c>
      <c r="AG12" s="22">
        <f>AC10</f>
        <v>0</v>
      </c>
      <c r="AH12" s="22">
        <f>(AD12+AE12+AF12+AG12)*3600</f>
        <v>58104</v>
      </c>
      <c r="AI12" s="22">
        <f>AD12+AE12+AF12+AG12</f>
        <v>16.14</v>
      </c>
      <c r="AJ12" s="22">
        <f>INT(AI12)</f>
        <v>16</v>
      </c>
      <c r="AK12" s="22">
        <f>INT((AH12-AJ12*3600)/60)</f>
        <v>8</v>
      </c>
      <c r="AL12" s="29">
        <f>AH12-AJ12*3600-AK12*60</f>
        <v>24</v>
      </c>
      <c r="AM12" s="22" t="str">
        <f>CONCATENATE(TEXT(AJ12,"00"),":",TEXT(AK12,"00"),":",TEXT(AL12,"00"))</f>
        <v>16:08:24</v>
      </c>
      <c r="AQ12" s="17"/>
      <c r="AR12" s="17"/>
      <c r="AS12" s="17"/>
      <c r="AT12" s="17"/>
      <c r="AU12" s="17"/>
      <c r="AV12" s="17"/>
      <c r="AW12" s="17"/>
      <c r="AX12" s="17"/>
      <c r="AY12" s="17"/>
      <c r="AZ12" s="17"/>
    </row>
    <row r="13" spans="1:66" ht="17.25" customHeight="1" thickBot="1" x14ac:dyDescent="0.3">
      <c r="B13" s="47" t="s">
        <v>24</v>
      </c>
      <c r="C13" s="48"/>
      <c r="D13" s="48"/>
      <c r="E13" s="48"/>
      <c r="F13" s="48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  <c r="AA13" s="48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48"/>
      <c r="AS13" s="48"/>
      <c r="AT13" s="48"/>
      <c r="AU13" s="48"/>
      <c r="AV13" s="48"/>
      <c r="AW13" s="48"/>
      <c r="AX13" s="48"/>
      <c r="AY13" s="48"/>
      <c r="AZ13" s="48"/>
      <c r="BA13" s="49"/>
    </row>
    <row r="14" spans="1:66" ht="17.25" customHeight="1" thickTop="1" thickBot="1" x14ac:dyDescent="0.3">
      <c r="B14" s="178"/>
      <c r="C14" s="440" t="s">
        <v>376</v>
      </c>
      <c r="D14" s="441"/>
      <c r="E14" s="441"/>
      <c r="F14" s="441"/>
      <c r="G14" s="441"/>
      <c r="H14" s="442"/>
      <c r="I14" s="362">
        <f>AC14</f>
        <v>0.83333333333333337</v>
      </c>
      <c r="J14" s="395"/>
      <c r="K14" s="395"/>
      <c r="L14" s="443" t="s">
        <v>377</v>
      </c>
      <c r="M14" s="444"/>
      <c r="N14" s="444"/>
      <c r="O14" s="279" t="str">
        <f>AB14</f>
        <v>00°50'00.00 [00°50.00]  (00.8333°)</v>
      </c>
      <c r="P14" s="279"/>
      <c r="Q14" s="279"/>
      <c r="R14" s="279"/>
      <c r="S14" s="279"/>
      <c r="T14" s="279"/>
      <c r="U14" s="279"/>
      <c r="V14" s="279"/>
      <c r="W14" s="279"/>
      <c r="X14" s="17"/>
      <c r="AA14" s="18" t="str">
        <f>L14</f>
        <v>50'</v>
      </c>
      <c r="AB14" s="14" t="str">
        <f>BC14</f>
        <v>00°50'00.00 [00°50.00]  (00.8333°)</v>
      </c>
      <c r="AC14" s="7">
        <f>BB14</f>
        <v>0.83333333333333337</v>
      </c>
      <c r="AD14" s="5">
        <f>IF(LEFT(TRIM(AA14),1)="-",-1,IF(LEFT(TRIM(AA14),1)="+",1, 0))</f>
        <v>0</v>
      </c>
      <c r="AE14" s="5" t="str">
        <f>IF(AD14&gt;0,"+",IF(AD14&lt;0,"-",""))</f>
        <v/>
      </c>
      <c r="AF14" s="5" t="str">
        <f>IF(ABS(AD14)&gt;0,RIGHT(AA14,LEN(AA14)-1),AA14)</f>
        <v>50'</v>
      </c>
      <c r="AG14" s="5" t="b">
        <f>ISNUMBER(SEARCH("°",AF14,1))</f>
        <v>0</v>
      </c>
      <c r="AH14" s="5" t="b">
        <f>ISNUMBER(SEARCH("'",AF14,1))</f>
        <v>1</v>
      </c>
      <c r="AI14" s="5" t="b">
        <f>ISNUMBER(SEARCH("""",AF14,1))</f>
        <v>0</v>
      </c>
      <c r="AJ14" s="5" t="b">
        <f>NOT(OR(AG14,AH14,AI14))</f>
        <v>0</v>
      </c>
      <c r="AK14" s="5" t="b">
        <f t="shared" ref="AK14:AK16" si="3">OR(AJ14,AG14)</f>
        <v>0</v>
      </c>
      <c r="AL14" s="6">
        <f>IF(AJ14,VALUE(AF14),IF(AG14,LEFT(AF14,SEARCH("°",AF14,1)-1),0))</f>
        <v>0</v>
      </c>
      <c r="AM14" s="5" t="str">
        <f>IF(AJ14,"",IF(AG14,RIGHT(AF14,LEN(AF14)-SEARCH("°",AF14,1)),AF14))</f>
        <v>50'</v>
      </c>
      <c r="AN14" s="5" t="b">
        <f>(LEN(AM14)&gt;0)</f>
        <v>1</v>
      </c>
      <c r="AO14" s="5" t="b">
        <f>NOT(OR(AH14,AI14))</f>
        <v>0</v>
      </c>
      <c r="AP14" s="6">
        <f t="shared" ref="AP14:AP16" si="4">IF(NOT(AN14),0,IF(AO14,VALUE(AM14),IF(NOT(AH14),0,VALUE(LEFT(AM14,SEARCH("'",AM14,1)-1)))))</f>
        <v>50</v>
      </c>
      <c r="AQ14" s="5" t="str">
        <f t="shared" ref="AQ14:AQ16" si="5">IF(NOT(AN14),"",IF(AO14,"",IF(NOT(AH14),AM14,RIGHT(AM14,LEN(AM14)-SEARCH("'",AM14,1)))))</f>
        <v/>
      </c>
      <c r="AR14" s="5" t="b">
        <f>(LEN(AQ14)&gt;0)</f>
        <v>0</v>
      </c>
      <c r="AS14" s="5" t="b">
        <f t="shared" ref="AS14:AS16" si="6">NOT(AI14)</f>
        <v>1</v>
      </c>
      <c r="AT14" s="5" t="b">
        <f>ISNUMBER(SEARCH(".",AQ14,1))</f>
        <v>0</v>
      </c>
      <c r="AU14" s="6">
        <f t="shared" ref="AU14:AU16" si="7">IF(AR14,IF(AI14,IF(AT14,VALUE(SUBSTITUTE(AQ14, """", "")),VALUE(SUBSTITUTE(AQ14, """", "."))),VALUE(AQ14)),0)</f>
        <v>0</v>
      </c>
      <c r="AV14" s="6">
        <f t="shared" ref="AV14:AV16" si="8">AL14*3600+AP14*60+AU14</f>
        <v>3000</v>
      </c>
      <c r="AW14" s="6">
        <f>AV14/3600</f>
        <v>0.83333333333333337</v>
      </c>
      <c r="AX14" s="6">
        <f>_xlfn.FLOOR.MATH((AW14))</f>
        <v>0</v>
      </c>
      <c r="AY14" s="6">
        <f>(AV14-3600*AX14)/60</f>
        <v>50</v>
      </c>
      <c r="AZ14" s="6">
        <f>_xlfn.FLOOR.MATH((AY14))</f>
        <v>50</v>
      </c>
      <c r="BA14" s="6">
        <f>AV14-3600*AX14-60*AZ14</f>
        <v>0</v>
      </c>
      <c r="BB14" s="6">
        <f>AW14*IF(AD14&lt;0,-1,1)</f>
        <v>0.83333333333333337</v>
      </c>
      <c r="BC14" s="7" t="str">
        <f>CONCATENATE(AE14,TEXT(AX14,"00"),"°",TEXT(AZ14,"00"),"'",TEXT(BA14,"00.00"), " [", CONCATENATE(AE14,TEXT(AX14,"00"),"°",TEXT(AY14,"00.00")),"]", "  (", AE14,TEXT(AW14,"00.0000"),"°)")</f>
        <v>00°50'00.00 [00°50.00]  (00.8333°)</v>
      </c>
    </row>
    <row r="15" spans="1:66" ht="17.25" customHeight="1" thickTop="1" thickBot="1" x14ac:dyDescent="0.3">
      <c r="C15" s="436" t="s">
        <v>375</v>
      </c>
      <c r="D15" s="436"/>
      <c r="E15" s="436"/>
      <c r="F15" s="436"/>
      <c r="G15" s="436"/>
      <c r="H15" s="436"/>
      <c r="I15" s="445">
        <f>AC15</f>
        <v>18.766666666666666</v>
      </c>
      <c r="J15" s="446"/>
      <c r="K15" s="446"/>
      <c r="L15" s="439" t="s">
        <v>378</v>
      </c>
      <c r="M15" s="428"/>
      <c r="N15" s="429"/>
      <c r="O15" s="279" t="str">
        <f>AB15</f>
        <v>18°46'00.00 [18°46.00]  (18.7667°)</v>
      </c>
      <c r="P15" s="279"/>
      <c r="Q15" s="279"/>
      <c r="R15" s="279"/>
      <c r="S15" s="279"/>
      <c r="T15" s="279"/>
      <c r="U15" s="279"/>
      <c r="V15" s="279"/>
      <c r="W15" s="279"/>
      <c r="X15" s="17"/>
      <c r="AA15" s="18" t="str">
        <f>L15</f>
        <v>18°46'</v>
      </c>
      <c r="AB15" s="14" t="str">
        <f>BC15</f>
        <v>18°46'00.00 [18°46.00]  (18.7667°)</v>
      </c>
      <c r="AC15" s="7">
        <f>BB15</f>
        <v>18.766666666666666</v>
      </c>
      <c r="AD15" s="5">
        <f>IF(LEFT(TRIM(AA15),1)="-",-1,IF(LEFT(TRIM(AA15),1)="+",1, 0))</f>
        <v>0</v>
      </c>
      <c r="AE15" s="5" t="str">
        <f>IF(AD15&gt;0,"+",IF(AD15&lt;0,"-",""))</f>
        <v/>
      </c>
      <c r="AF15" s="5" t="str">
        <f>IF(ABS(AD15)&gt;0,RIGHT(AA15,LEN(AA15)-1),AA15)</f>
        <v>18°46'</v>
      </c>
      <c r="AG15" s="5" t="b">
        <f>ISNUMBER(SEARCH("°",AF15,1))</f>
        <v>1</v>
      </c>
      <c r="AH15" s="5" t="b">
        <f>ISNUMBER(SEARCH("'",AF15,1))</f>
        <v>1</v>
      </c>
      <c r="AI15" s="5" t="b">
        <f>ISNUMBER(SEARCH("""",AF15,1))</f>
        <v>0</v>
      </c>
      <c r="AJ15" s="5" t="b">
        <f>NOT(OR(AG15,AH15,AI15))</f>
        <v>0</v>
      </c>
      <c r="AK15" s="5" t="b">
        <f t="shared" si="3"/>
        <v>1</v>
      </c>
      <c r="AL15" s="6" t="str">
        <f>IF(AJ15,VALUE(AF15),IF(AG15,LEFT(AF15,SEARCH("°",AF15,1)-1),0))</f>
        <v>18</v>
      </c>
      <c r="AM15" s="5" t="str">
        <f>IF(AJ15,"",IF(AG15,RIGHT(AF15,LEN(AF15)-SEARCH("°",AF15,1)),AF15))</f>
        <v>46'</v>
      </c>
      <c r="AN15" s="5" t="b">
        <f>(LEN(AM15)&gt;0)</f>
        <v>1</v>
      </c>
      <c r="AO15" s="5" t="b">
        <f>NOT(OR(AH15,AI15))</f>
        <v>0</v>
      </c>
      <c r="AP15" s="6">
        <f t="shared" si="4"/>
        <v>46</v>
      </c>
      <c r="AQ15" s="5" t="str">
        <f t="shared" si="5"/>
        <v/>
      </c>
      <c r="AR15" s="5" t="b">
        <f>(LEN(AQ15)&gt;0)</f>
        <v>0</v>
      </c>
      <c r="AS15" s="5" t="b">
        <f t="shared" si="6"/>
        <v>1</v>
      </c>
      <c r="AT15" s="5" t="b">
        <f>ISNUMBER(SEARCH(".",AQ15,1))</f>
        <v>0</v>
      </c>
      <c r="AU15" s="6">
        <f t="shared" si="7"/>
        <v>0</v>
      </c>
      <c r="AV15" s="6">
        <f t="shared" si="8"/>
        <v>67560</v>
      </c>
      <c r="AW15" s="6">
        <f>AV15/3600</f>
        <v>18.766666666666666</v>
      </c>
      <c r="AX15" s="6">
        <f>_xlfn.FLOOR.MATH((AW15))</f>
        <v>18</v>
      </c>
      <c r="AY15" s="6">
        <f>(AV15-3600*AX15)/60</f>
        <v>46</v>
      </c>
      <c r="AZ15" s="6">
        <f>_xlfn.FLOOR.MATH((AY15))</f>
        <v>46</v>
      </c>
      <c r="BA15" s="6">
        <f>AV15-3600*AX15-60*AZ15</f>
        <v>0</v>
      </c>
      <c r="BB15" s="6">
        <f>AW15*IF(AD15&lt;0,-1,1)</f>
        <v>18.766666666666666</v>
      </c>
      <c r="BC15" s="7" t="str">
        <f>CONCATENATE(AE15,TEXT(AX15,"00"),"°",TEXT(AZ15,"00"),"'",TEXT(BA15,"00.00"), " [", CONCATENATE(AE15,TEXT(AX15,"00"),"°",TEXT(AY15,"00.00")),"]", "  (", AE15,TEXT(AW15,"00.0000"),"°)")</f>
        <v>18°46'00.00 [18°46.00]  (18.7667°)</v>
      </c>
    </row>
    <row r="16" spans="1:66" ht="17.25" customHeight="1" thickTop="1" thickBot="1" x14ac:dyDescent="0.3">
      <c r="C16" s="436" t="s">
        <v>375</v>
      </c>
      <c r="D16" s="436"/>
      <c r="E16" s="436"/>
      <c r="F16" s="436"/>
      <c r="G16" s="436"/>
      <c r="H16" s="436"/>
      <c r="I16" s="445">
        <f>AC16</f>
        <v>8.9666666666666668</v>
      </c>
      <c r="J16" s="446"/>
      <c r="K16" s="446"/>
      <c r="L16" s="439">
        <f>(AC15-AC14)/2</f>
        <v>8.9666666666666668</v>
      </c>
      <c r="M16" s="428"/>
      <c r="N16" s="429"/>
      <c r="O16" s="279" t="str">
        <f>AB16</f>
        <v>08°58'00.00 [08°58.00]  (08.9667°)</v>
      </c>
      <c r="P16" s="279"/>
      <c r="Q16" s="279"/>
      <c r="R16" s="279"/>
      <c r="S16" s="279"/>
      <c r="T16" s="279"/>
      <c r="U16" s="279"/>
      <c r="V16" s="279"/>
      <c r="W16" s="279"/>
      <c r="X16" s="17"/>
      <c r="AA16" s="18">
        <f>L16</f>
        <v>8.9666666666666668</v>
      </c>
      <c r="AB16" s="14" t="str">
        <f>BC16</f>
        <v>08°58'00.00 [08°58.00]  (08.9667°)</v>
      </c>
      <c r="AC16" s="7">
        <f>BB16</f>
        <v>8.9666666666666668</v>
      </c>
      <c r="AD16" s="5">
        <f>IF(LEFT(TRIM(AA16),1)="-",-1,IF(LEFT(TRIM(AA16),1)="+",1, 0))</f>
        <v>0</v>
      </c>
      <c r="AE16" s="5" t="str">
        <f>IF(AD16&gt;0,"+",IF(AD16&lt;0,"-",""))</f>
        <v/>
      </c>
      <c r="AF16" s="5">
        <f>IF(ABS(AD16)&gt;0,RIGHT(AA16,LEN(AA16)-1),AA16)</f>
        <v>8.9666666666666668</v>
      </c>
      <c r="AG16" s="5" t="b">
        <f>ISNUMBER(SEARCH("°",AF16,1))</f>
        <v>0</v>
      </c>
      <c r="AH16" s="5" t="b">
        <f>ISNUMBER(SEARCH("'",AF16,1))</f>
        <v>0</v>
      </c>
      <c r="AI16" s="5" t="b">
        <f>ISNUMBER(SEARCH("""",AF16,1))</f>
        <v>0</v>
      </c>
      <c r="AJ16" s="5" t="b">
        <f>NOT(OR(AG16,AH16,AI16))</f>
        <v>1</v>
      </c>
      <c r="AK16" s="5" t="b">
        <f t="shared" si="3"/>
        <v>1</v>
      </c>
      <c r="AL16" s="6">
        <f>IF(AJ16,VALUE(AF16),IF(AG16,LEFT(AF16,SEARCH("°",AF16,1)-1),0))</f>
        <v>8.9666666666666668</v>
      </c>
      <c r="AM16" s="5" t="str">
        <f>IF(AJ16,"",IF(AG16,RIGHT(AF16,LEN(AF16)-SEARCH("°",AF16,1)),AF16))</f>
        <v/>
      </c>
      <c r="AN16" s="5" t="b">
        <f>(LEN(AM16)&gt;0)</f>
        <v>0</v>
      </c>
      <c r="AO16" s="5" t="b">
        <f>NOT(OR(AH16,AI16))</f>
        <v>1</v>
      </c>
      <c r="AP16" s="6">
        <f t="shared" si="4"/>
        <v>0</v>
      </c>
      <c r="AQ16" s="5" t="str">
        <f t="shared" si="5"/>
        <v/>
      </c>
      <c r="AR16" s="5" t="b">
        <f>(LEN(AQ16)&gt;0)</f>
        <v>0</v>
      </c>
      <c r="AS16" s="5" t="b">
        <f t="shared" si="6"/>
        <v>1</v>
      </c>
      <c r="AT16" s="5" t="b">
        <f>ISNUMBER(SEARCH(".",AQ16,1))</f>
        <v>0</v>
      </c>
      <c r="AU16" s="6">
        <f t="shared" si="7"/>
        <v>0</v>
      </c>
      <c r="AV16" s="6">
        <f t="shared" si="8"/>
        <v>32280</v>
      </c>
      <c r="AW16" s="6">
        <f>AV16/3600</f>
        <v>8.9666666666666668</v>
      </c>
      <c r="AX16" s="6">
        <f>_xlfn.FLOOR.MATH((AW16))</f>
        <v>8</v>
      </c>
      <c r="AY16" s="6">
        <f>(AV16-3600*AX16)/60</f>
        <v>58</v>
      </c>
      <c r="AZ16" s="6">
        <f>_xlfn.FLOOR.MATH((AY16))</f>
        <v>58</v>
      </c>
      <c r="BA16" s="6">
        <f>AV16-3600*AX16-60*AZ16</f>
        <v>0</v>
      </c>
      <c r="BB16" s="6">
        <f>AW16*IF(AD16&lt;0,-1,1)</f>
        <v>8.9666666666666668</v>
      </c>
      <c r="BC16" s="7" t="str">
        <f>CONCATENATE(AE16,TEXT(AX16,"00"),"°",TEXT(AZ16,"00"),"'",TEXT(BA16,"00.00"), " [", CONCATENATE(AE16,TEXT(AX16,"00"),"°",TEXT(AY16,"00.00")),"]", "  (", AE16,TEXT(AW16,"00.0000"),"°)")</f>
        <v>08°58'00.00 [08°58.00]  (08.9667°)</v>
      </c>
    </row>
    <row r="17" spans="2:55" ht="17.25" customHeight="1" thickTop="1" thickBot="1" x14ac:dyDescent="0.3">
      <c r="C17" s="406" t="s">
        <v>25</v>
      </c>
      <c r="D17" s="406"/>
      <c r="E17" s="406"/>
      <c r="F17" s="406"/>
      <c r="G17" s="406"/>
      <c r="H17" s="406"/>
      <c r="I17" s="396">
        <f>L17</f>
        <v>0</v>
      </c>
      <c r="J17" s="395"/>
      <c r="K17" s="395"/>
      <c r="L17" s="444">
        <v>0</v>
      </c>
      <c r="M17" s="444"/>
      <c r="N17" s="444"/>
      <c r="O17" s="17"/>
      <c r="P17" s="17"/>
      <c r="Q17" s="17"/>
      <c r="R17" s="17"/>
      <c r="S17" s="17"/>
      <c r="T17" s="17"/>
      <c r="U17" s="17"/>
      <c r="V17" s="17"/>
      <c r="W17" s="17"/>
      <c r="X17" s="17"/>
      <c r="AB17" s="14"/>
      <c r="AC17" s="7"/>
      <c r="AD17" s="3" t="s">
        <v>57</v>
      </c>
      <c r="AE17" s="3" t="s">
        <v>57</v>
      </c>
      <c r="AF17" s="3" t="s">
        <v>304</v>
      </c>
      <c r="AG17" s="3" t="s">
        <v>120</v>
      </c>
      <c r="AH17" s="3" t="s">
        <v>121</v>
      </c>
      <c r="AI17" s="3" t="s">
        <v>122</v>
      </c>
      <c r="AJ17" s="3" t="s">
        <v>123</v>
      </c>
      <c r="AK17" s="3" t="s">
        <v>124</v>
      </c>
      <c r="AL17" s="3" t="s">
        <v>125</v>
      </c>
      <c r="AM17" s="3" t="s">
        <v>101</v>
      </c>
      <c r="AN17" s="3" t="s">
        <v>129</v>
      </c>
      <c r="AO17" s="3" t="s">
        <v>128</v>
      </c>
      <c r="AP17" s="3" t="s">
        <v>126</v>
      </c>
      <c r="AQ17" s="3" t="s">
        <v>127</v>
      </c>
      <c r="AR17" s="3" t="s">
        <v>129</v>
      </c>
      <c r="AS17" s="3" t="s">
        <v>128</v>
      </c>
      <c r="AT17" s="3" t="s">
        <v>130</v>
      </c>
      <c r="AU17" s="3" t="s">
        <v>112</v>
      </c>
      <c r="AV17" s="3" t="s">
        <v>117</v>
      </c>
      <c r="AW17" s="3" t="s">
        <v>143</v>
      </c>
      <c r="AX17" s="3" t="s">
        <v>149</v>
      </c>
      <c r="AY17" s="3" t="s">
        <v>131</v>
      </c>
      <c r="AZ17" s="3" t="s">
        <v>150</v>
      </c>
      <c r="BA17" s="3" t="s">
        <v>112</v>
      </c>
      <c r="BB17" s="3" t="s">
        <v>308</v>
      </c>
      <c r="BC17" s="3" t="s">
        <v>151</v>
      </c>
    </row>
    <row r="18" spans="2:55" ht="17.25" customHeight="1" thickTop="1" thickBot="1" x14ac:dyDescent="0.3">
      <c r="B18" s="178"/>
      <c r="C18" s="403" t="s">
        <v>26</v>
      </c>
      <c r="D18" s="404"/>
      <c r="E18" s="404"/>
      <c r="F18" s="404"/>
      <c r="G18" s="404"/>
      <c r="H18" s="405"/>
      <c r="I18" s="362">
        <f>AC18</f>
        <v>0</v>
      </c>
      <c r="J18" s="395"/>
      <c r="K18" s="395"/>
      <c r="L18" s="443">
        <v>0</v>
      </c>
      <c r="M18" s="444"/>
      <c r="N18" s="444"/>
      <c r="O18" s="279" t="str">
        <f>AB18</f>
        <v>00°00'00.00 [00°00.00]  (00.0000°)</v>
      </c>
      <c r="P18" s="279"/>
      <c r="Q18" s="279"/>
      <c r="R18" s="279"/>
      <c r="S18" s="279"/>
      <c r="T18" s="279"/>
      <c r="U18" s="279"/>
      <c r="V18" s="279"/>
      <c r="W18" s="279"/>
      <c r="X18" s="17"/>
      <c r="AA18" s="18">
        <f>L18</f>
        <v>0</v>
      </c>
      <c r="AB18" s="14" t="str">
        <f>BC18</f>
        <v>00°00'00.00 [00°00.00]  (00.0000°)</v>
      </c>
      <c r="AC18" s="7">
        <f>BB18</f>
        <v>0</v>
      </c>
      <c r="AD18" s="5">
        <f>IF(LEFT(TRIM(AA18),1)="-",-1,IF(LEFT(TRIM(AA18),1)="+",1, 0))</f>
        <v>0</v>
      </c>
      <c r="AE18" s="5" t="str">
        <f>IF(AD18&gt;0,"+",IF(AD18&lt;0,"-",""))</f>
        <v/>
      </c>
      <c r="AF18" s="5">
        <f>IF(ABS(AD18)&gt;0,RIGHT(AA18,LEN(AA18)-1),AA18)</f>
        <v>0</v>
      </c>
      <c r="AG18" s="5" t="b">
        <f>ISNUMBER(SEARCH("°",AF18,1))</f>
        <v>0</v>
      </c>
      <c r="AH18" s="5" t="b">
        <f>ISNUMBER(SEARCH("'",AF18,1))</f>
        <v>0</v>
      </c>
      <c r="AI18" s="5" t="b">
        <f>ISNUMBER(SEARCH("""",AF18,1))</f>
        <v>0</v>
      </c>
      <c r="AJ18" s="5" t="b">
        <f>NOT(OR(AG18,AH18,AI18))</f>
        <v>1</v>
      </c>
      <c r="AK18" s="5" t="b">
        <f t="shared" ref="AK18:AK19" si="9">OR(AJ18,AG18)</f>
        <v>1</v>
      </c>
      <c r="AL18" s="6">
        <f>IF(AJ18,VALUE(AF18),IF(AG18,LEFT(AF18,SEARCH("°",AF18,1)-1),0))</f>
        <v>0</v>
      </c>
      <c r="AM18" s="5" t="str">
        <f>IF(AJ18,"",IF(AG18,RIGHT(AF18,LEN(AF18)-SEARCH("°",AF18,1)),AF18))</f>
        <v/>
      </c>
      <c r="AN18" s="5" t="b">
        <f>(LEN(AM18)&gt;0)</f>
        <v>0</v>
      </c>
      <c r="AO18" s="5" t="b">
        <f>NOT(OR(AH18,AI18))</f>
        <v>1</v>
      </c>
      <c r="AP18" s="6">
        <f t="shared" ref="AP18:AP19" si="10">IF(NOT(AN18),0,IF(AO18,VALUE(AM18),IF(NOT(AH18),0,VALUE(LEFT(AM18,SEARCH("'",AM18,1)-1)))))</f>
        <v>0</v>
      </c>
      <c r="AQ18" s="5" t="str">
        <f t="shared" ref="AQ18:AQ19" si="11">IF(NOT(AN18),"",IF(AO18,"",IF(NOT(AH18),AM18,RIGHT(AM18,LEN(AM18)-SEARCH("'",AM18,1)))))</f>
        <v/>
      </c>
      <c r="AR18" s="5" t="b">
        <f>(LEN(AQ18)&gt;0)</f>
        <v>0</v>
      </c>
      <c r="AS18" s="5" t="b">
        <f t="shared" ref="AS18:AS19" si="12">NOT(AI18)</f>
        <v>1</v>
      </c>
      <c r="AT18" s="5" t="b">
        <f>ISNUMBER(SEARCH(".",AQ18,1))</f>
        <v>0</v>
      </c>
      <c r="AU18" s="6">
        <f t="shared" ref="AU18:AU19" si="13">IF(AR18,IF(AI18,IF(AT18,VALUE(SUBSTITUTE(AQ18, """", "")),VALUE(SUBSTITUTE(AQ18, """", "."))),VALUE(AQ18)),0)</f>
        <v>0</v>
      </c>
      <c r="AV18" s="6">
        <f t="shared" ref="AV18:AV19" si="14">AL18*3600+AP18*60+AU18</f>
        <v>0</v>
      </c>
      <c r="AW18" s="6">
        <f>AV18/3600</f>
        <v>0</v>
      </c>
      <c r="AX18" s="6">
        <f>_xlfn.FLOOR.MATH((AW18))</f>
        <v>0</v>
      </c>
      <c r="AY18" s="6">
        <f>(AV18-3600*AX18)/60</f>
        <v>0</v>
      </c>
      <c r="AZ18" s="6">
        <f>_xlfn.FLOOR.MATH((AY18))</f>
        <v>0</v>
      </c>
      <c r="BA18" s="6">
        <f>AV18-3600*AX18-60*AZ18</f>
        <v>0</v>
      </c>
      <c r="BB18" s="6">
        <f>AW18*IF(AD18&lt;0,-1,1)</f>
        <v>0</v>
      </c>
      <c r="BC18" s="7" t="str">
        <f>CONCATENATE(AE18,TEXT(AX18,"00"),"°",TEXT(AZ18,"00"),"'",TEXT(BA18,"00.00"), " [", CONCATENATE(AE18,TEXT(AX18,"00"),"°",TEXT(AY18,"00.00")),"]", "  (", AE18,TEXT(AW18,"00.0000"),"°)")</f>
        <v>00°00'00.00 [00°00.00]  (00.0000°)</v>
      </c>
    </row>
    <row r="19" spans="2:55" ht="17.25" customHeight="1" thickTop="1" thickBot="1" x14ac:dyDescent="0.3">
      <c r="C19" s="413" t="s">
        <v>37</v>
      </c>
      <c r="D19" s="413"/>
      <c r="E19" s="413"/>
      <c r="F19" s="413"/>
      <c r="G19" s="413"/>
      <c r="H19" s="413"/>
      <c r="I19" s="445">
        <f>AC19</f>
        <v>8.9666666666666668</v>
      </c>
      <c r="J19" s="446"/>
      <c r="K19" s="446"/>
      <c r="L19" s="427">
        <f>AA16</f>
        <v>8.9666666666666668</v>
      </c>
      <c r="M19" s="428"/>
      <c r="N19" s="429"/>
      <c r="O19" s="279" t="str">
        <f>AB19</f>
        <v>08°58'00.00 [08°58.00]  (08.9667°)</v>
      </c>
      <c r="P19" s="279"/>
      <c r="Q19" s="279"/>
      <c r="R19" s="279"/>
      <c r="S19" s="279"/>
      <c r="T19" s="279"/>
      <c r="U19" s="279"/>
      <c r="V19" s="279"/>
      <c r="W19" s="279"/>
      <c r="X19" s="17"/>
      <c r="AA19" s="18">
        <f>L19</f>
        <v>8.9666666666666668</v>
      </c>
      <c r="AB19" s="14" t="str">
        <f>BC19</f>
        <v>08°58'00.00 [08°58.00]  (08.9667°)</v>
      </c>
      <c r="AC19" s="7">
        <f>BB19</f>
        <v>8.9666666666666668</v>
      </c>
      <c r="AD19" s="5">
        <f>IF(LEFT(TRIM(AA19),1)="-",-1,IF(LEFT(TRIM(AA19),1)="+",1, 0))</f>
        <v>0</v>
      </c>
      <c r="AE19" s="5" t="str">
        <f>IF(AD19&gt;0,"+",IF(AD19&lt;0,"-",""))</f>
        <v/>
      </c>
      <c r="AF19" s="5">
        <f>IF(ABS(AD19)&gt;0,RIGHT(AA19,LEN(AA19)-1),AA19)</f>
        <v>8.9666666666666668</v>
      </c>
      <c r="AG19" s="5" t="b">
        <f>ISNUMBER(SEARCH("°",AF19,1))</f>
        <v>0</v>
      </c>
      <c r="AH19" s="5" t="b">
        <f>ISNUMBER(SEARCH("'",AF19,1))</f>
        <v>0</v>
      </c>
      <c r="AI19" s="5" t="b">
        <f>ISNUMBER(SEARCH("""",AF19,1))</f>
        <v>0</v>
      </c>
      <c r="AJ19" s="5" t="b">
        <f>NOT(OR(AG19,AH19,AI19))</f>
        <v>1</v>
      </c>
      <c r="AK19" s="5" t="b">
        <f t="shared" si="9"/>
        <v>1</v>
      </c>
      <c r="AL19" s="6">
        <f>IF(AJ19,VALUE(AF19),IF(AG19,LEFT(AF19,SEARCH("°",AF19,1)-1),0))</f>
        <v>8.9666666666666668</v>
      </c>
      <c r="AM19" s="5" t="str">
        <f>IF(AJ19,"",IF(AG19,RIGHT(AF19,LEN(AF19)-SEARCH("°",AF19,1)),AF19))</f>
        <v/>
      </c>
      <c r="AN19" s="5" t="b">
        <f>(LEN(AM19)&gt;0)</f>
        <v>0</v>
      </c>
      <c r="AO19" s="5" t="b">
        <f>NOT(OR(AH19,AI19))</f>
        <v>1</v>
      </c>
      <c r="AP19" s="6">
        <f t="shared" si="10"/>
        <v>0</v>
      </c>
      <c r="AQ19" s="5" t="str">
        <f t="shared" si="11"/>
        <v/>
      </c>
      <c r="AR19" s="5" t="b">
        <f>(LEN(AQ19)&gt;0)</f>
        <v>0</v>
      </c>
      <c r="AS19" s="5" t="b">
        <f t="shared" si="12"/>
        <v>1</v>
      </c>
      <c r="AT19" s="5" t="b">
        <f>ISNUMBER(SEARCH(".",AQ19,1))</f>
        <v>0</v>
      </c>
      <c r="AU19" s="6">
        <f t="shared" si="13"/>
        <v>0</v>
      </c>
      <c r="AV19" s="6">
        <f t="shared" si="14"/>
        <v>32280</v>
      </c>
      <c r="AW19" s="6">
        <f>AV19/3600</f>
        <v>8.9666666666666668</v>
      </c>
      <c r="AX19" s="6">
        <f>_xlfn.FLOOR.MATH((AW19))</f>
        <v>8</v>
      </c>
      <c r="AY19" s="6">
        <f>(AV19-3600*AX19)/60</f>
        <v>58</v>
      </c>
      <c r="AZ19" s="6">
        <f>_xlfn.FLOOR.MATH((AY19))</f>
        <v>58</v>
      </c>
      <c r="BA19" s="6">
        <f>AV19-3600*AX19-60*AZ19</f>
        <v>0</v>
      </c>
      <c r="BB19" s="6">
        <f>AW19*IF(AD19&lt;0,-1,1)</f>
        <v>8.9666666666666668</v>
      </c>
      <c r="BC19" s="7" t="str">
        <f>CONCATENATE(AE19,TEXT(AX19,"00"),"°",TEXT(AZ19,"00"),"'",TEXT(BA19,"00.00"), " [", CONCATENATE(AE19,TEXT(AX19,"00"),"°",TEXT(AY19,"00.00")),"]", "  (", AE19,TEXT(AW19,"00.0000"),"°)")</f>
        <v>08°58'00.00 [08°58.00]  (08.9667°)</v>
      </c>
    </row>
    <row r="20" spans="2:55" ht="17.25" customHeight="1" thickTop="1" x14ac:dyDescent="0.25">
      <c r="C20" s="406" t="s">
        <v>51</v>
      </c>
      <c r="D20" s="406"/>
      <c r="E20" s="406"/>
      <c r="F20" s="406"/>
      <c r="G20" s="406"/>
      <c r="H20" s="406"/>
      <c r="I20" s="407" t="str">
        <f>L20</f>
        <v>Soleil</v>
      </c>
      <c r="J20" s="408"/>
      <c r="K20" s="409"/>
      <c r="L20" s="359" t="s">
        <v>52</v>
      </c>
      <c r="M20" s="360"/>
      <c r="N20" s="361"/>
      <c r="O20" s="17"/>
      <c r="P20" s="17"/>
      <c r="Q20" s="17"/>
      <c r="R20" s="17"/>
      <c r="S20" s="17"/>
      <c r="T20" s="17"/>
      <c r="U20" s="17"/>
      <c r="V20" s="17"/>
      <c r="W20" s="17"/>
      <c r="X20" s="17"/>
      <c r="AD20" s="31" t="s">
        <v>55</v>
      </c>
      <c r="AE20" s="35" t="s">
        <v>52</v>
      </c>
      <c r="AF20" s="35" t="s">
        <v>53</v>
      </c>
      <c r="AG20" s="35" t="s">
        <v>54</v>
      </c>
    </row>
    <row r="21" spans="2:55" ht="17.25" customHeight="1" x14ac:dyDescent="0.25">
      <c r="C21" s="406" t="s">
        <v>158</v>
      </c>
      <c r="D21" s="406"/>
      <c r="E21" s="406"/>
      <c r="F21" s="406"/>
      <c r="G21" s="406"/>
      <c r="H21" s="406"/>
      <c r="I21" s="280" t="str">
        <f>IF(L20=AF20,AG21,L21)</f>
        <v>BordInf</v>
      </c>
      <c r="J21" s="280"/>
      <c r="K21" s="280"/>
      <c r="L21" s="423" t="s">
        <v>159</v>
      </c>
      <c r="M21" s="423"/>
      <c r="N21" s="423"/>
      <c r="O21" s="17"/>
      <c r="P21" s="17"/>
      <c r="Q21" s="17"/>
      <c r="R21" s="17"/>
      <c r="S21" s="17"/>
      <c r="T21" s="17"/>
      <c r="U21" s="17"/>
      <c r="V21" s="17"/>
      <c r="W21" s="17"/>
      <c r="X21" s="17"/>
      <c r="AD21" s="31" t="s">
        <v>222</v>
      </c>
      <c r="AE21" s="35" t="s">
        <v>159</v>
      </c>
      <c r="AF21" s="35" t="s">
        <v>160</v>
      </c>
      <c r="AG21" s="35" t="s">
        <v>161</v>
      </c>
    </row>
    <row r="22" spans="2:55" ht="17.25" customHeight="1" x14ac:dyDescent="0.25">
      <c r="C22" s="364" t="s">
        <v>175</v>
      </c>
      <c r="D22" s="365"/>
      <c r="E22" s="365"/>
      <c r="F22" s="365"/>
      <c r="G22" s="365"/>
      <c r="H22" s="366"/>
      <c r="I22" s="373">
        <f>AC24</f>
        <v>2.8833333333333332E-3</v>
      </c>
      <c r="J22" s="340"/>
      <c r="K22" s="374"/>
      <c r="L22" s="380" t="str">
        <f>O24</f>
        <v>0.173'</v>
      </c>
      <c r="M22" s="381"/>
      <c r="N22" s="381"/>
      <c r="O22" s="386" t="s">
        <v>221</v>
      </c>
      <c r="P22" s="386"/>
      <c r="Q22" s="386"/>
      <c r="R22" s="17"/>
      <c r="S22" s="17"/>
      <c r="T22" s="17"/>
      <c r="U22" s="17"/>
      <c r="V22" s="17"/>
      <c r="W22" s="17"/>
      <c r="X22" s="17"/>
      <c r="AD22" s="31" t="s">
        <v>223</v>
      </c>
      <c r="AE22" s="87" t="s">
        <v>188</v>
      </c>
      <c r="AF22" s="87" t="s">
        <v>224</v>
      </c>
      <c r="AG22" s="87" t="s">
        <v>225</v>
      </c>
    </row>
    <row r="23" spans="2:55" ht="17.25" customHeight="1" thickBot="1" x14ac:dyDescent="0.3">
      <c r="C23" s="367"/>
      <c r="D23" s="368"/>
      <c r="E23" s="368"/>
      <c r="F23" s="368"/>
      <c r="G23" s="368"/>
      <c r="H23" s="369"/>
      <c r="I23" s="375"/>
      <c r="J23" s="343"/>
      <c r="K23" s="376"/>
      <c r="L23" s="382"/>
      <c r="M23" s="383"/>
      <c r="N23" s="383"/>
      <c r="O23" s="386"/>
      <c r="P23" s="386"/>
      <c r="Q23" s="386"/>
      <c r="R23" s="17"/>
      <c r="S23" s="17"/>
      <c r="T23" s="17"/>
      <c r="U23" s="17"/>
      <c r="V23" s="17"/>
      <c r="W23" s="17"/>
      <c r="X23" s="17"/>
      <c r="AD23" s="31" t="s">
        <v>227</v>
      </c>
      <c r="AE23" s="87" t="s">
        <v>187</v>
      </c>
      <c r="AF23" s="87" t="s">
        <v>224</v>
      </c>
      <c r="AG23" s="87" t="s">
        <v>228</v>
      </c>
    </row>
    <row r="24" spans="2:55" ht="17.25" customHeight="1" thickTop="1" thickBot="1" x14ac:dyDescent="0.3">
      <c r="C24" s="367"/>
      <c r="D24" s="368"/>
      <c r="E24" s="368"/>
      <c r="F24" s="368"/>
      <c r="G24" s="368"/>
      <c r="H24" s="369"/>
      <c r="I24" s="375"/>
      <c r="J24" s="343"/>
      <c r="K24" s="376"/>
      <c r="L24" s="382"/>
      <c r="M24" s="383"/>
      <c r="N24" s="383"/>
      <c r="O24" s="432" t="str">
        <f>HLOOKUP(L20,AE20:AG23,3,FALSE)</f>
        <v>0.173'</v>
      </c>
      <c r="P24" s="432"/>
      <c r="Q24" s="432"/>
      <c r="R24" s="430" t="str">
        <f>AB24</f>
        <v>00°00'10.38 [00°00.17]  (00.0029°)</v>
      </c>
      <c r="S24" s="430"/>
      <c r="T24" s="430"/>
      <c r="U24" s="430"/>
      <c r="V24" s="430"/>
      <c r="W24" s="431"/>
      <c r="X24" s="17"/>
      <c r="AA24" s="18" t="str">
        <f>O24</f>
        <v>0.173'</v>
      </c>
      <c r="AB24" s="14" t="str">
        <f>BC24</f>
        <v>00°00'10.38 [00°00.17]  (00.0029°)</v>
      </c>
      <c r="AC24" s="7">
        <f>BB24</f>
        <v>2.8833333333333332E-3</v>
      </c>
      <c r="AD24" s="5">
        <f>IF(LEFT(TRIM(AA24),1)="-",-1,IF(LEFT(TRIM(AA24),1)="+",1, 0))</f>
        <v>0</v>
      </c>
      <c r="AE24" s="5" t="str">
        <f>IF(AD24&gt;0,"+",IF(AD24&lt;0,"-",""))</f>
        <v/>
      </c>
      <c r="AF24" s="5" t="str">
        <f>IF(ABS(AD24)&gt;0,RIGHT(AA24,LEN(AA24)-1),AA24)</f>
        <v>0.173'</v>
      </c>
      <c r="AG24" s="5" t="b">
        <f>ISNUMBER(SEARCH("°",AF24,1))</f>
        <v>0</v>
      </c>
      <c r="AH24" s="5" t="b">
        <f>ISNUMBER(SEARCH("'",AF24,1))</f>
        <v>1</v>
      </c>
      <c r="AI24" s="5" t="b">
        <f>ISNUMBER(SEARCH("""",AF24,1))</f>
        <v>0</v>
      </c>
      <c r="AJ24" s="5" t="b">
        <f>NOT(OR(AG24,AH24,AI24))</f>
        <v>0</v>
      </c>
      <c r="AK24" s="5" t="b">
        <f t="shared" ref="AK24:AK25" si="15">OR(AJ24,AG24)</f>
        <v>0</v>
      </c>
      <c r="AL24" s="6">
        <f>IF(AJ24,VALUE(AF24),IF(AG24,LEFT(AF24,SEARCH("°",AF24,1)-1),0))</f>
        <v>0</v>
      </c>
      <c r="AM24" s="5" t="str">
        <f>IF(AJ24,"",IF(AG24,RIGHT(AF24,LEN(AF24)-SEARCH("°",AF24,1)),AF24))</f>
        <v>0.173'</v>
      </c>
      <c r="AN24" s="5" t="b">
        <f>(LEN(AM24)&gt;0)</f>
        <v>1</v>
      </c>
      <c r="AO24" s="5" t="b">
        <f>NOT(OR(AH24,AI24))</f>
        <v>0</v>
      </c>
      <c r="AP24" s="6">
        <f t="shared" ref="AP24:AP25" si="16">IF(NOT(AN24),0,IF(AO24,VALUE(AM24),IF(NOT(AH24),0,VALUE(LEFT(AM24,SEARCH("'",AM24,1)-1)))))</f>
        <v>0.17299999999999999</v>
      </c>
      <c r="AQ24" s="5" t="str">
        <f t="shared" ref="AQ24:AQ25" si="17">IF(NOT(AN24),"",IF(AO24,"",IF(NOT(AH24),AM24,RIGHT(AM24,LEN(AM24)-SEARCH("'",AM24,1)))))</f>
        <v/>
      </c>
      <c r="AR24" s="5" t="b">
        <f>(LEN(AQ24)&gt;0)</f>
        <v>0</v>
      </c>
      <c r="AS24" s="5" t="b">
        <f t="shared" ref="AS24:AS25" si="18">NOT(AI24)</f>
        <v>1</v>
      </c>
      <c r="AT24" s="5" t="b">
        <f>ISNUMBER(SEARCH(".",AQ24,1))</f>
        <v>0</v>
      </c>
      <c r="AU24" s="6">
        <f t="shared" ref="AU24:AU25" si="19">IF(AR24,IF(AI24,IF(AT24,VALUE(SUBSTITUTE(AQ24, """", "")),VALUE(SUBSTITUTE(AQ24, """", "."))),VALUE(AQ24)),0)</f>
        <v>0</v>
      </c>
      <c r="AV24" s="6">
        <f t="shared" ref="AV24:AV25" si="20">AL24*3600+AP24*60+AU24</f>
        <v>10.379999999999999</v>
      </c>
      <c r="AW24" s="6">
        <f>AV24/3600</f>
        <v>2.8833333333333332E-3</v>
      </c>
      <c r="AX24" s="6">
        <f>_xlfn.FLOOR.MATH((AW24))</f>
        <v>0</v>
      </c>
      <c r="AY24" s="6">
        <f>(AV24-3600*AX24)/60</f>
        <v>0.17299999999999999</v>
      </c>
      <c r="AZ24" s="6">
        <f>_xlfn.FLOOR.MATH((AY24))</f>
        <v>0</v>
      </c>
      <c r="BA24" s="6">
        <f>AV24-3600*AX24-60*AZ24</f>
        <v>10.379999999999999</v>
      </c>
      <c r="BB24" s="6">
        <f>AW24*IF(AD24&lt;0,-1,1)</f>
        <v>2.8833333333333332E-3</v>
      </c>
      <c r="BC24" s="7" t="str">
        <f>CONCATENATE(AE24,TEXT(AX24,"00"),"°",TEXT(AZ24,"00"),"'",TEXT(BA24,"00.00"), " [", CONCATENATE(AE24,TEXT(AX24,"00"),"°",TEXT(AY24,"00.00")),"]", "  (", AE24,TEXT(AW24,"00.0000"),"°)")</f>
        <v>00°00'10.38 [00°00.17]  (00.0029°)</v>
      </c>
    </row>
    <row r="25" spans="2:55" ht="17.25" customHeight="1" thickTop="1" thickBot="1" x14ac:dyDescent="0.3">
      <c r="C25" s="370"/>
      <c r="D25" s="371"/>
      <c r="E25" s="371"/>
      <c r="F25" s="371"/>
      <c r="G25" s="371"/>
      <c r="H25" s="372"/>
      <c r="I25" s="377"/>
      <c r="J25" s="378"/>
      <c r="K25" s="379"/>
      <c r="L25" s="384"/>
      <c r="M25" s="385"/>
      <c r="N25" s="385"/>
      <c r="O25" s="447" t="str">
        <f>AB25</f>
        <v>00°00'10.38 [00°00.17]  (00.0029°)</v>
      </c>
      <c r="P25" s="447"/>
      <c r="Q25" s="447"/>
      <c r="R25" s="279"/>
      <c r="S25" s="279"/>
      <c r="T25" s="279"/>
      <c r="U25" s="279"/>
      <c r="V25" s="279"/>
      <c r="W25" s="279"/>
      <c r="X25" s="17"/>
      <c r="AA25" s="18" t="str">
        <f>L22</f>
        <v>0.173'</v>
      </c>
      <c r="AB25" s="14" t="str">
        <f>BC25</f>
        <v>00°00'10.38 [00°00.17]  (00.0029°)</v>
      </c>
      <c r="AC25" s="7">
        <f>BB25</f>
        <v>2.8833333333333332E-3</v>
      </c>
      <c r="AD25" s="5">
        <f>IF(LEFT(TRIM(AA25),1)="-",-1,IF(LEFT(TRIM(AA25),1)="+",1, 0))</f>
        <v>0</v>
      </c>
      <c r="AE25" s="5" t="str">
        <f>IF(AD25&gt;0,"+",IF(AD25&lt;0,"-",""))</f>
        <v/>
      </c>
      <c r="AF25" s="5" t="str">
        <f>IF(ABS(AD25)&gt;0,RIGHT(AA25,LEN(AA25)-1),AA25)</f>
        <v>0.173'</v>
      </c>
      <c r="AG25" s="5" t="b">
        <f>ISNUMBER(SEARCH("°",AF25,1))</f>
        <v>0</v>
      </c>
      <c r="AH25" s="5" t="b">
        <f>ISNUMBER(SEARCH("'",AF25,1))</f>
        <v>1</v>
      </c>
      <c r="AI25" s="5" t="b">
        <f>ISNUMBER(SEARCH("""",AF25,1))</f>
        <v>0</v>
      </c>
      <c r="AJ25" s="5" t="b">
        <f>NOT(OR(AG25,AH25,AI25))</f>
        <v>0</v>
      </c>
      <c r="AK25" s="5" t="b">
        <f t="shared" si="15"/>
        <v>0</v>
      </c>
      <c r="AL25" s="6">
        <f>IF(AJ25,VALUE(AF25),IF(AG25,LEFT(AF25,SEARCH("°",AF25,1)-1),0))</f>
        <v>0</v>
      </c>
      <c r="AM25" s="5" t="str">
        <f>IF(AJ25,"",IF(AG25,RIGHT(AF25,LEN(AF25)-SEARCH("°",AF25,1)),AF25))</f>
        <v>0.173'</v>
      </c>
      <c r="AN25" s="5" t="b">
        <f>(LEN(AM25)&gt;0)</f>
        <v>1</v>
      </c>
      <c r="AO25" s="5" t="b">
        <f>NOT(OR(AH25,AI25))</f>
        <v>0</v>
      </c>
      <c r="AP25" s="6">
        <f t="shared" si="16"/>
        <v>0.17299999999999999</v>
      </c>
      <c r="AQ25" s="5" t="str">
        <f t="shared" si="17"/>
        <v/>
      </c>
      <c r="AR25" s="5" t="b">
        <f>(LEN(AQ25)&gt;0)</f>
        <v>0</v>
      </c>
      <c r="AS25" s="5" t="b">
        <f t="shared" si="18"/>
        <v>1</v>
      </c>
      <c r="AT25" s="5" t="b">
        <f>ISNUMBER(SEARCH(".",AQ25,1))</f>
        <v>0</v>
      </c>
      <c r="AU25" s="6">
        <f t="shared" si="19"/>
        <v>0</v>
      </c>
      <c r="AV25" s="6">
        <f t="shared" si="20"/>
        <v>10.379999999999999</v>
      </c>
      <c r="AW25" s="6">
        <f>AV25/3600</f>
        <v>2.8833333333333332E-3</v>
      </c>
      <c r="AX25" s="6">
        <f>_xlfn.FLOOR.MATH((AW25))</f>
        <v>0</v>
      </c>
      <c r="AY25" s="6">
        <f>(AV25-3600*AX25)/60</f>
        <v>0.17299999999999999</v>
      </c>
      <c r="AZ25" s="6">
        <f>_xlfn.FLOOR.MATH((AY25))</f>
        <v>0</v>
      </c>
      <c r="BA25" s="6">
        <f>AV25-3600*AX25-60*AZ25</f>
        <v>10.379999999999999</v>
      </c>
      <c r="BB25" s="6">
        <f>AW25*IF(AD25&lt;0,-1,1)</f>
        <v>2.8833333333333332E-3</v>
      </c>
      <c r="BC25" s="7" t="str">
        <f>CONCATENATE(AE25,TEXT(AX25,"00"),"°",TEXT(AZ25,"00"),"'",TEXT(BA25,"00.00"), " [", CONCATENATE(AE25,TEXT(AX25,"00"),"°",TEXT(AY25,"00.00")),"]", "  (", AE25,TEXT(AW25,"00.0000"),"°)")</f>
        <v>00°00'10.38 [00°00.17]  (00.0029°)</v>
      </c>
    </row>
    <row r="26" spans="2:55" ht="17.25" customHeight="1" thickTop="1" x14ac:dyDescent="0.25">
      <c r="C26" s="364" t="s">
        <v>226</v>
      </c>
      <c r="D26" s="365"/>
      <c r="E26" s="365"/>
      <c r="F26" s="365"/>
      <c r="G26" s="365"/>
      <c r="H26" s="366"/>
      <c r="I26" s="387">
        <f>AC29</f>
        <v>0.53333333333333333</v>
      </c>
      <c r="J26" s="388"/>
      <c r="K26" s="389"/>
      <c r="L26" s="380" t="str">
        <f>O28</f>
        <v>32'</v>
      </c>
      <c r="M26" s="381"/>
      <c r="N26" s="381"/>
      <c r="O26" s="390" t="s">
        <v>221</v>
      </c>
      <c r="P26" s="390"/>
      <c r="Q26" s="390"/>
      <c r="R26" s="178"/>
      <c r="S26" s="178"/>
      <c r="T26" s="178"/>
      <c r="U26" s="178"/>
      <c r="V26" s="178"/>
      <c r="W26" s="178"/>
      <c r="X26" s="17"/>
      <c r="AB26" s="19"/>
      <c r="AC26" s="20"/>
      <c r="AD26" s="178"/>
      <c r="AE26" s="178"/>
      <c r="AF26" s="178"/>
      <c r="AG26" s="178"/>
      <c r="AH26" s="178"/>
      <c r="AI26" s="178"/>
      <c r="AJ26" s="178"/>
      <c r="AK26" s="178"/>
      <c r="AL26" s="178"/>
      <c r="AM26" s="178"/>
      <c r="AN26" s="178"/>
      <c r="AO26" s="178"/>
      <c r="AP26" s="178"/>
      <c r="AQ26" s="178"/>
      <c r="AR26" s="178"/>
      <c r="AS26" s="178"/>
      <c r="AT26" s="178"/>
      <c r="AU26" s="178"/>
      <c r="AV26" s="178"/>
      <c r="AW26" s="178"/>
      <c r="AX26" s="178"/>
      <c r="AY26" s="178"/>
      <c r="AZ26" s="178"/>
    </row>
    <row r="27" spans="2:55" ht="17.25" customHeight="1" thickBot="1" x14ac:dyDescent="0.3">
      <c r="C27" s="367"/>
      <c r="D27" s="368"/>
      <c r="E27" s="368"/>
      <c r="F27" s="368"/>
      <c r="G27" s="368"/>
      <c r="H27" s="369"/>
      <c r="I27" s="375"/>
      <c r="J27" s="343"/>
      <c r="K27" s="376"/>
      <c r="L27" s="382"/>
      <c r="M27" s="383"/>
      <c r="N27" s="383"/>
      <c r="O27" s="390"/>
      <c r="P27" s="390"/>
      <c r="Q27" s="390"/>
      <c r="R27" s="178"/>
      <c r="S27" s="178"/>
      <c r="T27" s="178"/>
      <c r="U27" s="178"/>
      <c r="V27" s="178"/>
      <c r="W27" s="178"/>
      <c r="X27" s="17"/>
      <c r="AB27" s="19"/>
      <c r="AC27" s="20"/>
      <c r="AD27" s="178"/>
      <c r="AE27" s="178"/>
      <c r="AF27" s="178"/>
      <c r="AG27" s="178"/>
      <c r="AH27" s="178"/>
      <c r="AI27" s="178"/>
      <c r="AJ27" s="178"/>
      <c r="AK27" s="178"/>
      <c r="AL27" s="178"/>
      <c r="AM27" s="178"/>
      <c r="AN27" s="178"/>
      <c r="AO27" s="178"/>
      <c r="AP27" s="178"/>
      <c r="AQ27" s="178"/>
      <c r="AR27" s="178"/>
      <c r="AS27" s="178"/>
      <c r="AT27" s="178"/>
      <c r="AU27" s="178"/>
      <c r="AV27" s="178"/>
      <c r="AW27" s="178"/>
      <c r="AX27" s="178"/>
      <c r="AY27" s="178"/>
      <c r="AZ27" s="178"/>
    </row>
    <row r="28" spans="2:55" ht="17.25" customHeight="1" thickTop="1" thickBot="1" x14ac:dyDescent="0.3">
      <c r="C28" s="367"/>
      <c r="D28" s="368"/>
      <c r="E28" s="368"/>
      <c r="F28" s="368"/>
      <c r="G28" s="368"/>
      <c r="H28" s="369"/>
      <c r="I28" s="375"/>
      <c r="J28" s="343"/>
      <c r="K28" s="376"/>
      <c r="L28" s="382"/>
      <c r="M28" s="383"/>
      <c r="N28" s="383"/>
      <c r="O28" s="432" t="str">
        <f>HLOOKUP(L20,AE20:AG23,4,FALSE)</f>
        <v>32'</v>
      </c>
      <c r="P28" s="432"/>
      <c r="Q28" s="432"/>
      <c r="R28" s="430" t="str">
        <f>AB28</f>
        <v>00°32'00.00 [00°32.00]  (00.5333°)</v>
      </c>
      <c r="S28" s="430"/>
      <c r="T28" s="430"/>
      <c r="U28" s="430"/>
      <c r="V28" s="430"/>
      <c r="W28" s="431"/>
      <c r="X28" s="17"/>
      <c r="AA28" s="18" t="str">
        <f>O28</f>
        <v>32'</v>
      </c>
      <c r="AB28" s="14" t="str">
        <f>BC28</f>
        <v>00°32'00.00 [00°32.00]  (00.5333°)</v>
      </c>
      <c r="AC28" s="7">
        <f>BB28</f>
        <v>0.53333333333333333</v>
      </c>
      <c r="AD28" s="5">
        <f>IF(LEFT(TRIM(AA28),1)="-",-1,IF(LEFT(TRIM(AA28),1)="+",1, 0))</f>
        <v>0</v>
      </c>
      <c r="AE28" s="5" t="str">
        <f>IF(AD28&gt;0,"+",IF(AD28&lt;0,"-",""))</f>
        <v/>
      </c>
      <c r="AF28" s="5" t="str">
        <f>IF(ABS(AD28)&gt;0,RIGHT(AA28,LEN(AA28)-1),AA28)</f>
        <v>32'</v>
      </c>
      <c r="AG28" s="5" t="b">
        <f>ISNUMBER(SEARCH("°",AF28,1))</f>
        <v>0</v>
      </c>
      <c r="AH28" s="5" t="b">
        <f>ISNUMBER(SEARCH("'",AF28,1))</f>
        <v>1</v>
      </c>
      <c r="AI28" s="5" t="b">
        <f>ISNUMBER(SEARCH("""",AF28,1))</f>
        <v>0</v>
      </c>
      <c r="AJ28" s="5" t="b">
        <f>NOT(OR(AG28,AH28,AI28))</f>
        <v>0</v>
      </c>
      <c r="AK28" s="5" t="b">
        <f t="shared" ref="AK28:AK29" si="21">OR(AJ28,AG28)</f>
        <v>0</v>
      </c>
      <c r="AL28" s="6">
        <f>IF(AJ28,VALUE(AF28),IF(AG28,LEFT(AF28,SEARCH("°",AF28,1)-1),0))</f>
        <v>0</v>
      </c>
      <c r="AM28" s="5" t="str">
        <f>IF(AJ28,"",IF(AG28,RIGHT(AF28,LEN(AF28)-SEARCH("°",AF28,1)),AF28))</f>
        <v>32'</v>
      </c>
      <c r="AN28" s="5" t="b">
        <f>(LEN(AM28)&gt;0)</f>
        <v>1</v>
      </c>
      <c r="AO28" s="5" t="b">
        <f>NOT(OR(AH28,AI28))</f>
        <v>0</v>
      </c>
      <c r="AP28" s="6">
        <f t="shared" ref="AP28:AP29" si="22">IF(NOT(AN28),0,IF(AO28,VALUE(AM28),IF(NOT(AH28),0,VALUE(LEFT(AM28,SEARCH("'",AM28,1)-1)))))</f>
        <v>32</v>
      </c>
      <c r="AQ28" s="5" t="str">
        <f t="shared" ref="AQ28:AQ29" si="23">IF(NOT(AN28),"",IF(AO28,"",IF(NOT(AH28),AM28,RIGHT(AM28,LEN(AM28)-SEARCH("'",AM28,1)))))</f>
        <v/>
      </c>
      <c r="AR28" s="5" t="b">
        <f>(LEN(AQ28)&gt;0)</f>
        <v>0</v>
      </c>
      <c r="AS28" s="5" t="b">
        <f t="shared" ref="AS28:AS29" si="24">NOT(AI28)</f>
        <v>1</v>
      </c>
      <c r="AT28" s="5" t="b">
        <f>ISNUMBER(SEARCH(".",AQ28,1))</f>
        <v>0</v>
      </c>
      <c r="AU28" s="6">
        <f t="shared" ref="AU28:AU29" si="25">IF(AR28,IF(AI28,IF(AT28,VALUE(SUBSTITUTE(AQ28, """", "")),VALUE(SUBSTITUTE(AQ28, """", "."))),VALUE(AQ28)),0)</f>
        <v>0</v>
      </c>
      <c r="AV28" s="6">
        <f t="shared" ref="AV28:AV29" si="26">AL28*3600+AP28*60+AU28</f>
        <v>1920</v>
      </c>
      <c r="AW28" s="6">
        <f>AV28/3600</f>
        <v>0.53333333333333333</v>
      </c>
      <c r="AX28" s="6">
        <f>_xlfn.FLOOR.MATH((AW28))</f>
        <v>0</v>
      </c>
      <c r="AY28" s="6">
        <f>(AV28-3600*AX28)/60</f>
        <v>32</v>
      </c>
      <c r="AZ28" s="6">
        <f>_xlfn.FLOOR.MATH((AY28))</f>
        <v>32</v>
      </c>
      <c r="BA28" s="6">
        <f>AV28-3600*AX28-60*AZ28</f>
        <v>0</v>
      </c>
      <c r="BB28" s="6">
        <f>AW28*IF(AD28&lt;0,-1,1)</f>
        <v>0.53333333333333333</v>
      </c>
      <c r="BC28" s="7" t="str">
        <f>CONCATENATE(AE28,TEXT(AX28,"00"),"°",TEXT(AZ28,"00"),"'",TEXT(BA28,"00.00"), " [", CONCATENATE(AE28,TEXT(AX28,"00"),"°",TEXT(AY28,"00.00")),"]", "  (", AE28,TEXT(AW28,"00.0000"),"°)")</f>
        <v>00°32'00.00 [00°32.00]  (00.5333°)</v>
      </c>
    </row>
    <row r="29" spans="2:55" ht="17.25" customHeight="1" thickTop="1" thickBot="1" x14ac:dyDescent="0.3">
      <c r="C29" s="370"/>
      <c r="D29" s="371"/>
      <c r="E29" s="371"/>
      <c r="F29" s="371"/>
      <c r="G29" s="371"/>
      <c r="H29" s="372"/>
      <c r="I29" s="377"/>
      <c r="J29" s="378"/>
      <c r="K29" s="379"/>
      <c r="L29" s="384"/>
      <c r="M29" s="385"/>
      <c r="N29" s="385"/>
      <c r="O29" s="426" t="str">
        <f>AB29</f>
        <v>00°32'00.00 [00°32.00]  (00.5333°)</v>
      </c>
      <c r="P29" s="426"/>
      <c r="Q29" s="426"/>
      <c r="R29" s="279"/>
      <c r="S29" s="279"/>
      <c r="T29" s="279"/>
      <c r="U29" s="279"/>
      <c r="V29" s="279"/>
      <c r="W29" s="279"/>
      <c r="X29" s="17"/>
      <c r="AA29" s="18" t="str">
        <f>L26</f>
        <v>32'</v>
      </c>
      <c r="AB29" s="14" t="str">
        <f>BC29</f>
        <v>00°32'00.00 [00°32.00]  (00.5333°)</v>
      </c>
      <c r="AC29" s="7">
        <f>BB29</f>
        <v>0.53333333333333333</v>
      </c>
      <c r="AD29" s="5">
        <f>IF(LEFT(TRIM(AA29),1)="-",-1,IF(LEFT(TRIM(AA29),1)="+",1, 0))</f>
        <v>0</v>
      </c>
      <c r="AE29" s="5" t="str">
        <f>IF(AD29&gt;0,"+",IF(AD29&lt;0,"-",""))</f>
        <v/>
      </c>
      <c r="AF29" s="5" t="str">
        <f>IF(ABS(AD29)&gt;0,RIGHT(AA29,LEN(AA29)-1),AA29)</f>
        <v>32'</v>
      </c>
      <c r="AG29" s="5" t="b">
        <f>ISNUMBER(SEARCH("°",AF29,1))</f>
        <v>0</v>
      </c>
      <c r="AH29" s="5" t="b">
        <f>ISNUMBER(SEARCH("'",AF29,1))</f>
        <v>1</v>
      </c>
      <c r="AI29" s="5" t="b">
        <f>ISNUMBER(SEARCH("""",AF29,1))</f>
        <v>0</v>
      </c>
      <c r="AJ29" s="5" t="b">
        <f>NOT(OR(AG29,AH29,AI29))</f>
        <v>0</v>
      </c>
      <c r="AK29" s="5" t="b">
        <f t="shared" si="21"/>
        <v>0</v>
      </c>
      <c r="AL29" s="6">
        <f>IF(AJ29,VALUE(AF29),IF(AG29,LEFT(AF29,SEARCH("°",AF29,1)-1),0))</f>
        <v>0</v>
      </c>
      <c r="AM29" s="5" t="str">
        <f>IF(AJ29,"",IF(AG29,RIGHT(AF29,LEN(AF29)-SEARCH("°",AF29,1)),AF29))</f>
        <v>32'</v>
      </c>
      <c r="AN29" s="5" t="b">
        <f>(LEN(AM29)&gt;0)</f>
        <v>1</v>
      </c>
      <c r="AO29" s="5" t="b">
        <f>NOT(OR(AH29,AI29))</f>
        <v>0</v>
      </c>
      <c r="AP29" s="6">
        <f t="shared" si="22"/>
        <v>32</v>
      </c>
      <c r="AQ29" s="5" t="str">
        <f t="shared" si="23"/>
        <v/>
      </c>
      <c r="AR29" s="5" t="b">
        <f>(LEN(AQ29)&gt;0)</f>
        <v>0</v>
      </c>
      <c r="AS29" s="5" t="b">
        <f t="shared" si="24"/>
        <v>1</v>
      </c>
      <c r="AT29" s="5" t="b">
        <f>ISNUMBER(SEARCH(".",AQ29,1))</f>
        <v>0</v>
      </c>
      <c r="AU29" s="6">
        <f t="shared" si="25"/>
        <v>0</v>
      </c>
      <c r="AV29" s="6">
        <f t="shared" si="26"/>
        <v>1920</v>
      </c>
      <c r="AW29" s="6">
        <f>AV29/3600</f>
        <v>0.53333333333333333</v>
      </c>
      <c r="AX29" s="6">
        <f>_xlfn.FLOOR.MATH((AW29))</f>
        <v>0</v>
      </c>
      <c r="AY29" s="6">
        <f>(AV29-3600*AX29)/60</f>
        <v>32</v>
      </c>
      <c r="AZ29" s="6">
        <f>_xlfn.FLOOR.MATH((AY29))</f>
        <v>32</v>
      </c>
      <c r="BA29" s="6">
        <f>AV29-3600*AX29-60*AZ29</f>
        <v>0</v>
      </c>
      <c r="BB29" s="6">
        <f>AW29*IF(AD29&lt;0,-1,1)</f>
        <v>0.53333333333333333</v>
      </c>
      <c r="BC29" s="7" t="str">
        <f>CONCATENATE(AE29,TEXT(AX29,"00"),"°",TEXT(AZ29,"00"),"'",TEXT(BA29,"00.00"), " [", CONCATENATE(AE29,TEXT(AX29,"00"),"°",TEXT(AY29,"00.00")),"]", "  (", AE29,TEXT(AW29,"00.0000"),"°)")</f>
        <v>00°32'00.00 [00°32.00]  (00.5333°)</v>
      </c>
    </row>
    <row r="30" spans="2:55" ht="17.25" customHeight="1" thickTop="1" thickBot="1" x14ac:dyDescent="0.3"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</row>
    <row r="31" spans="2:55" ht="17.25" customHeight="1" thickBot="1" x14ac:dyDescent="0.3">
      <c r="B31" s="47" t="s">
        <v>23</v>
      </c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48"/>
      <c r="AF31" s="48"/>
      <c r="AG31" s="48"/>
      <c r="AH31" s="48"/>
      <c r="AI31" s="48"/>
      <c r="AJ31" s="48"/>
      <c r="AK31" s="48"/>
      <c r="AL31" s="48"/>
      <c r="AM31" s="48"/>
      <c r="AN31" s="48"/>
      <c r="AO31" s="48"/>
      <c r="AP31" s="48"/>
      <c r="AQ31" s="48"/>
      <c r="AR31" s="48"/>
      <c r="AS31" s="48"/>
      <c r="AT31" s="48"/>
      <c r="AU31" s="48"/>
      <c r="AV31" s="48"/>
      <c r="AW31" s="48"/>
      <c r="AX31" s="48"/>
      <c r="AY31" s="48"/>
      <c r="AZ31" s="48"/>
      <c r="BA31" s="49"/>
    </row>
    <row r="32" spans="2:55" ht="17.25" customHeight="1" x14ac:dyDescent="0.25">
      <c r="C32" s="17"/>
      <c r="D32" s="448" t="s">
        <v>8</v>
      </c>
      <c r="E32" s="448"/>
      <c r="F32" s="448"/>
      <c r="G32" s="448"/>
      <c r="H32" s="17"/>
      <c r="I32" s="17"/>
      <c r="J32" s="17"/>
      <c r="K32" s="17"/>
      <c r="L32" s="17"/>
      <c r="M32" s="36"/>
      <c r="N32" s="36"/>
      <c r="O32" s="36"/>
      <c r="P32" s="36"/>
      <c r="Q32" s="36"/>
      <c r="R32" s="36"/>
      <c r="S32" s="36"/>
      <c r="T32" s="36"/>
      <c r="U32" s="36"/>
      <c r="AB32" s="14"/>
      <c r="AC32" s="7"/>
      <c r="AD32" s="3" t="s">
        <v>57</v>
      </c>
      <c r="AE32" s="3" t="s">
        <v>57</v>
      </c>
      <c r="AF32" s="3" t="s">
        <v>304</v>
      </c>
      <c r="AG32" s="3" t="s">
        <v>120</v>
      </c>
      <c r="AH32" s="3" t="s">
        <v>121</v>
      </c>
      <c r="AI32" s="3" t="s">
        <v>122</v>
      </c>
      <c r="AJ32" s="3" t="s">
        <v>123</v>
      </c>
      <c r="AK32" s="3" t="s">
        <v>124</v>
      </c>
      <c r="AL32" s="3" t="s">
        <v>125</v>
      </c>
      <c r="AM32" s="3" t="s">
        <v>101</v>
      </c>
      <c r="AN32" s="3" t="s">
        <v>129</v>
      </c>
      <c r="AO32" s="3" t="s">
        <v>128</v>
      </c>
      <c r="AP32" s="3" t="s">
        <v>126</v>
      </c>
      <c r="AQ32" s="3" t="s">
        <v>127</v>
      </c>
      <c r="AR32" s="3" t="s">
        <v>129</v>
      </c>
      <c r="AS32" s="3" t="s">
        <v>128</v>
      </c>
      <c r="AT32" s="3" t="s">
        <v>130</v>
      </c>
      <c r="AU32" s="3" t="s">
        <v>112</v>
      </c>
      <c r="AV32" s="3" t="s">
        <v>117</v>
      </c>
      <c r="AW32" s="3" t="s">
        <v>143</v>
      </c>
      <c r="AX32" s="3" t="s">
        <v>149</v>
      </c>
      <c r="AY32" s="3" t="s">
        <v>131</v>
      </c>
      <c r="AZ32" s="3" t="s">
        <v>150</v>
      </c>
      <c r="BA32" s="3" t="s">
        <v>112</v>
      </c>
      <c r="BB32" s="3" t="s">
        <v>308</v>
      </c>
      <c r="BC32" s="3" t="s">
        <v>151</v>
      </c>
    </row>
    <row r="33" spans="1:65" ht="17.25" customHeight="1" thickBot="1" x14ac:dyDescent="0.3">
      <c r="C33" s="17"/>
      <c r="D33" s="448"/>
      <c r="E33" s="448"/>
      <c r="F33" s="448"/>
      <c r="G33" s="448"/>
      <c r="H33" s="17"/>
      <c r="I33" s="17"/>
      <c r="J33" s="17"/>
      <c r="K33" s="17"/>
      <c r="L33" s="17"/>
      <c r="M33" s="36"/>
      <c r="N33" s="36"/>
      <c r="O33" s="36"/>
      <c r="P33" s="36"/>
      <c r="Q33" s="36"/>
      <c r="R33" s="36"/>
      <c r="S33" s="36"/>
      <c r="T33" s="36"/>
      <c r="U33" s="36"/>
      <c r="AA33" s="18" t="str">
        <f>IF(VLOOKUP(H34,$A$36:$C$37,3)&gt;0,AA34,CONCATENATE("-",AA34))</f>
        <v>48°52'</v>
      </c>
      <c r="AB33" s="14" t="str">
        <f>BC33</f>
        <v>48°52'00.00 [48°52.00]  (48.8667°)</v>
      </c>
      <c r="AC33" s="7">
        <f>BB33</f>
        <v>48.866666666666667</v>
      </c>
      <c r="AD33" s="5">
        <f>IF(LEFT(TRIM(AA33),1)="-",-1,IF(LEFT(TRIM(AA33),1)="+",1, 0))</f>
        <v>0</v>
      </c>
      <c r="AE33" s="5" t="str">
        <f>IF(AD33&gt;0,"+",IF(AD33&lt;0,"-",""))</f>
        <v/>
      </c>
      <c r="AF33" s="5" t="str">
        <f>IF(ABS(AD33)&gt;0,RIGHT(AA33,LEN(AA33)-1),AA33)</f>
        <v>48°52'</v>
      </c>
      <c r="AG33" s="5" t="b">
        <f>ISNUMBER(SEARCH("°",AF33,1))</f>
        <v>1</v>
      </c>
      <c r="AH33" s="5" t="b">
        <f>ISNUMBER(SEARCH("'",AF33,1))</f>
        <v>1</v>
      </c>
      <c r="AI33" s="5" t="b">
        <f>ISNUMBER(SEARCH("""",AF33,1))</f>
        <v>0</v>
      </c>
      <c r="AJ33" s="5" t="b">
        <f>NOT(OR(AG33,AH33,AI33))</f>
        <v>0</v>
      </c>
      <c r="AK33" s="5" t="b">
        <f t="shared" ref="AK33" si="27">OR(AJ33,AG33)</f>
        <v>1</v>
      </c>
      <c r="AL33" s="6" t="str">
        <f>IF(AJ33,VALUE(AF33),IF(AG33,LEFT(AF33,SEARCH("°",AF33,1)-1),0))</f>
        <v>48</v>
      </c>
      <c r="AM33" s="5" t="str">
        <f>IF(AJ33,"",IF(AG33,RIGHT(AF33,LEN(AF33)-SEARCH("°",AF33,1)),AF33))</f>
        <v>52'</v>
      </c>
      <c r="AN33" s="5" t="b">
        <f>(LEN(AM33)&gt;0)</f>
        <v>1</v>
      </c>
      <c r="AO33" s="5" t="b">
        <f>NOT(OR(AH33,AI33))</f>
        <v>0</v>
      </c>
      <c r="AP33" s="6">
        <f t="shared" ref="AP33" si="28">IF(NOT(AN33),0,IF(AO33,VALUE(AM33),IF(NOT(AH33),0,VALUE(LEFT(AM33,SEARCH("'",AM33,1)-1)))))</f>
        <v>52</v>
      </c>
      <c r="AQ33" s="5" t="str">
        <f t="shared" ref="AQ33" si="29">IF(NOT(AN33),"",IF(AO33,"",IF(NOT(AH33),AM33,RIGHT(AM33,LEN(AM33)-SEARCH("'",AM33,1)))))</f>
        <v/>
      </c>
      <c r="AR33" s="5" t="b">
        <f>(LEN(AQ33)&gt;0)</f>
        <v>0</v>
      </c>
      <c r="AS33" s="5" t="b">
        <f t="shared" ref="AS33" si="30">NOT(AI33)</f>
        <v>1</v>
      </c>
      <c r="AT33" s="5" t="b">
        <f>ISNUMBER(SEARCH(".",AQ33,1))</f>
        <v>0</v>
      </c>
      <c r="AU33" s="6">
        <f t="shared" ref="AU33" si="31">IF(AR33,IF(AI33,IF(AT33,VALUE(SUBSTITUTE(AQ33, """", "")),VALUE(SUBSTITUTE(AQ33, """", "."))),VALUE(AQ33)),0)</f>
        <v>0</v>
      </c>
      <c r="AV33" s="6">
        <f t="shared" ref="AV33" si="32">AL33*3600+AP33*60+AU33</f>
        <v>175920</v>
      </c>
      <c r="AW33" s="6">
        <f>AV33/3600</f>
        <v>48.866666666666667</v>
      </c>
      <c r="AX33" s="6">
        <f>_xlfn.FLOOR.MATH((AW33))</f>
        <v>48</v>
      </c>
      <c r="AY33" s="6">
        <f>(AV33-3600*AX33)/60</f>
        <v>52</v>
      </c>
      <c r="AZ33" s="6">
        <f>_xlfn.FLOOR.MATH((AY33))</f>
        <v>52</v>
      </c>
      <c r="BA33" s="6">
        <f>AV33-3600*AX33-60*AZ33</f>
        <v>0</v>
      </c>
      <c r="BB33" s="6">
        <f>AW33*IF(AD33&lt;0,-1,1)</f>
        <v>48.866666666666667</v>
      </c>
      <c r="BC33" s="7" t="str">
        <f>CONCATENATE(AE33,TEXT(AX33,"00"),"°",TEXT(AZ33,"00"),"'",TEXT(BA33,"00.00"), " [", CONCATENATE(AE33,TEXT(AX33,"00"),"°",TEXT(AY33,"00.00")),"]", "  (", AE33,TEXT(AW33,"00.0000"),"°)")</f>
        <v>48°52'00.00 [48°52.00]  (48.8667°)</v>
      </c>
    </row>
    <row r="34" spans="1:65" ht="17.25" customHeight="1" thickTop="1" thickBot="1" x14ac:dyDescent="0.3">
      <c r="A34" s="410" t="s">
        <v>56</v>
      </c>
      <c r="B34" s="411"/>
      <c r="C34" s="412"/>
      <c r="D34" s="17"/>
      <c r="E34" s="398">
        <f>AC33</f>
        <v>48.866666666666667</v>
      </c>
      <c r="F34" s="424"/>
      <c r="G34" s="424"/>
      <c r="H34" s="363" t="s">
        <v>4</v>
      </c>
      <c r="I34" s="414" t="s">
        <v>371</v>
      </c>
      <c r="J34" s="363"/>
      <c r="K34" s="363"/>
      <c r="L34" s="363"/>
      <c r="M34" s="363"/>
      <c r="N34" s="357" t="str">
        <f>AB33</f>
        <v>48°52'00.00 [48°52.00]  (48.8667°)</v>
      </c>
      <c r="O34" s="357"/>
      <c r="P34" s="357"/>
      <c r="Q34" s="357"/>
      <c r="R34" s="357"/>
      <c r="S34" s="357"/>
      <c r="T34" s="357"/>
      <c r="U34" s="357"/>
      <c r="V34" s="357"/>
      <c r="W34" s="357"/>
      <c r="X34" s="36"/>
      <c r="Y34" s="36"/>
      <c r="AA34" s="18" t="str">
        <f>I34</f>
        <v>48°52'</v>
      </c>
      <c r="AC34" s="37"/>
      <c r="AD34" s="178"/>
      <c r="AE34" s="178"/>
      <c r="AF34" s="178"/>
      <c r="AG34" s="178"/>
      <c r="AL34" s="22"/>
      <c r="AN34" s="29"/>
      <c r="AT34" s="38"/>
      <c r="AU34" s="38"/>
      <c r="AV34" s="39"/>
      <c r="AW34" s="39"/>
      <c r="AX34" s="178"/>
      <c r="AY34" s="178"/>
      <c r="AZ34" s="178"/>
      <c r="BA34" s="178"/>
      <c r="BB34" s="39"/>
      <c r="BC34" s="39"/>
      <c r="BD34" s="39"/>
      <c r="BE34" s="39"/>
      <c r="BF34" s="39"/>
      <c r="BG34" s="39"/>
      <c r="BH34" s="39"/>
      <c r="BI34" s="39"/>
      <c r="BJ34" s="39"/>
      <c r="BK34" s="39"/>
      <c r="BL34" s="39"/>
      <c r="BM34" s="39"/>
    </row>
    <row r="35" spans="1:65" ht="17.25" customHeight="1" thickTop="1" thickBot="1" x14ac:dyDescent="0.3">
      <c r="A35" s="40" t="s">
        <v>68</v>
      </c>
      <c r="B35" s="41" t="s">
        <v>69</v>
      </c>
      <c r="C35" s="42"/>
      <c r="D35" s="17"/>
      <c r="E35" s="424"/>
      <c r="F35" s="424"/>
      <c r="G35" s="424"/>
      <c r="H35" s="363"/>
      <c r="I35" s="363"/>
      <c r="J35" s="363"/>
      <c r="K35" s="363"/>
      <c r="L35" s="363"/>
      <c r="M35" s="363"/>
      <c r="N35" s="357"/>
      <c r="O35" s="357"/>
      <c r="P35" s="357"/>
      <c r="Q35" s="357"/>
      <c r="R35" s="357"/>
      <c r="S35" s="357"/>
      <c r="T35" s="357"/>
      <c r="U35" s="357"/>
      <c r="V35" s="357"/>
      <c r="W35" s="357"/>
      <c r="X35" s="36"/>
      <c r="Y35" s="36"/>
      <c r="AL35" s="22"/>
      <c r="AN35" s="29"/>
      <c r="AV35" s="39"/>
      <c r="AW35" s="39"/>
      <c r="AX35" s="39"/>
      <c r="AY35" s="39"/>
      <c r="AZ35" s="39"/>
      <c r="BA35" s="39"/>
      <c r="BB35" s="39"/>
      <c r="BC35" s="39"/>
      <c r="BD35" s="39"/>
      <c r="BE35" s="39"/>
      <c r="BF35" s="39"/>
      <c r="BG35" s="39"/>
      <c r="BH35" s="39"/>
      <c r="BI35" s="39"/>
      <c r="BJ35" s="39"/>
      <c r="BK35" s="39"/>
      <c r="BL35" s="39"/>
      <c r="BM35" s="39"/>
    </row>
    <row r="36" spans="1:65" ht="17.25" customHeight="1" thickTop="1" x14ac:dyDescent="0.25">
      <c r="A36" s="40" t="s">
        <v>4</v>
      </c>
      <c r="B36" s="41" t="s">
        <v>6</v>
      </c>
      <c r="C36" s="42">
        <v>1</v>
      </c>
      <c r="D36" s="17"/>
      <c r="E36" s="17"/>
      <c r="F36" s="17"/>
      <c r="G36" s="17"/>
      <c r="AD36" s="17"/>
      <c r="AE36" s="17"/>
      <c r="AF36" s="17"/>
      <c r="AG36" s="17"/>
      <c r="AH36" s="17"/>
      <c r="AI36" s="17"/>
      <c r="AJ36" s="17"/>
      <c r="AK36" s="17"/>
      <c r="AV36" s="39"/>
      <c r="AW36" s="39"/>
      <c r="AX36" s="39"/>
      <c r="AY36" s="39"/>
      <c r="AZ36" s="39"/>
      <c r="BA36" s="39"/>
      <c r="BB36" s="39"/>
      <c r="BC36" s="39"/>
      <c r="BD36" s="39"/>
      <c r="BE36" s="39"/>
      <c r="BF36" s="39"/>
      <c r="BG36" s="39"/>
      <c r="BH36" s="39"/>
      <c r="BI36" s="39"/>
      <c r="BJ36" s="39"/>
      <c r="BK36" s="39"/>
      <c r="BL36" s="39"/>
      <c r="BM36" s="39"/>
    </row>
    <row r="37" spans="1:65" ht="17.25" customHeight="1" thickBot="1" x14ac:dyDescent="0.3">
      <c r="A37" s="43" t="s">
        <v>5</v>
      </c>
      <c r="B37" s="44" t="s">
        <v>7</v>
      </c>
      <c r="C37" s="45">
        <v>-1</v>
      </c>
      <c r="D37" s="425" t="s">
        <v>9</v>
      </c>
      <c r="E37" s="425"/>
      <c r="F37" s="425"/>
      <c r="G37" s="425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AB37" s="14"/>
      <c r="AC37" s="7"/>
      <c r="AD37" s="3" t="s">
        <v>57</v>
      </c>
      <c r="AE37" s="3" t="s">
        <v>57</v>
      </c>
      <c r="AF37" s="3" t="s">
        <v>304</v>
      </c>
      <c r="AG37" s="3" t="s">
        <v>120</v>
      </c>
      <c r="AH37" s="3" t="s">
        <v>121</v>
      </c>
      <c r="AI37" s="3" t="s">
        <v>122</v>
      </c>
      <c r="AJ37" s="3" t="s">
        <v>123</v>
      </c>
      <c r="AK37" s="3" t="s">
        <v>124</v>
      </c>
      <c r="AL37" s="3" t="s">
        <v>125</v>
      </c>
      <c r="AM37" s="3" t="s">
        <v>101</v>
      </c>
      <c r="AN37" s="3" t="s">
        <v>129</v>
      </c>
      <c r="AO37" s="3" t="s">
        <v>128</v>
      </c>
      <c r="AP37" s="3" t="s">
        <v>126</v>
      </c>
      <c r="AQ37" s="3" t="s">
        <v>127</v>
      </c>
      <c r="AR37" s="3" t="s">
        <v>129</v>
      </c>
      <c r="AS37" s="3" t="s">
        <v>128</v>
      </c>
      <c r="AT37" s="3" t="s">
        <v>130</v>
      </c>
      <c r="AU37" s="3" t="s">
        <v>112</v>
      </c>
      <c r="AV37" s="3" t="s">
        <v>117</v>
      </c>
      <c r="AW37" s="3" t="s">
        <v>143</v>
      </c>
      <c r="AX37" s="3" t="s">
        <v>149</v>
      </c>
      <c r="AY37" s="3" t="s">
        <v>131</v>
      </c>
      <c r="AZ37" s="3" t="s">
        <v>150</v>
      </c>
      <c r="BA37" s="3" t="s">
        <v>112</v>
      </c>
      <c r="BB37" s="3" t="s">
        <v>308</v>
      </c>
      <c r="BC37" s="3" t="s">
        <v>151</v>
      </c>
      <c r="BD37" s="39"/>
      <c r="BE37" s="39"/>
      <c r="BF37" s="39"/>
      <c r="BG37" s="39"/>
      <c r="BH37" s="39"/>
      <c r="BI37" s="39"/>
      <c r="BJ37" s="39"/>
      <c r="BK37" s="39"/>
      <c r="BL37" s="39"/>
      <c r="BM37" s="39"/>
    </row>
    <row r="38" spans="1:65" ht="17.25" customHeight="1" thickBot="1" x14ac:dyDescent="0.3">
      <c r="C38" s="17"/>
      <c r="D38" s="425"/>
      <c r="E38" s="425"/>
      <c r="F38" s="425"/>
      <c r="G38" s="425"/>
      <c r="H38" s="36"/>
      <c r="I38" s="36"/>
      <c r="J38" s="36"/>
      <c r="K38" s="36"/>
      <c r="L38" s="17"/>
      <c r="M38" s="17"/>
      <c r="N38" s="36"/>
      <c r="O38" s="36"/>
      <c r="P38" s="36"/>
      <c r="Q38" s="36"/>
      <c r="R38" s="36"/>
      <c r="S38" s="36"/>
      <c r="T38" s="36"/>
      <c r="U38" s="36"/>
      <c r="AA38" s="18" t="str">
        <f>IF(VLOOKUP(H39,$A$36:$C$37,3)&gt;0,AA39,CONCATENATE("-",AA39))</f>
        <v>-2°05'</v>
      </c>
      <c r="AB38" s="14" t="str">
        <f>BC38</f>
        <v>-02°05'00.00 [-02°05.00]  (-02.0833°)</v>
      </c>
      <c r="AC38" s="7">
        <f>BB38</f>
        <v>-2.0833333333333335</v>
      </c>
      <c r="AD38" s="5">
        <f>IF(LEFT(TRIM(AA38),1)="-",-1,IF(LEFT(TRIM(AA38),1)="+",1, 0))</f>
        <v>-1</v>
      </c>
      <c r="AE38" s="5" t="str">
        <f>IF(AD38&gt;0,"+",IF(AD38&lt;0,"-",""))</f>
        <v>-</v>
      </c>
      <c r="AF38" s="5" t="str">
        <f>IF(ABS(AD38)&gt;0,RIGHT(AA38,LEN(AA38)-1),AA38)</f>
        <v>2°05'</v>
      </c>
      <c r="AG38" s="5" t="b">
        <f>ISNUMBER(SEARCH("°",AF38,1))</f>
        <v>1</v>
      </c>
      <c r="AH38" s="5" t="b">
        <f>ISNUMBER(SEARCH("'",AF38,1))</f>
        <v>1</v>
      </c>
      <c r="AI38" s="5" t="b">
        <f>ISNUMBER(SEARCH("""",AF38,1))</f>
        <v>0</v>
      </c>
      <c r="AJ38" s="5" t="b">
        <f>NOT(OR(AG38,AH38,AI38))</f>
        <v>0</v>
      </c>
      <c r="AK38" s="5" t="b">
        <f t="shared" ref="AK38" si="33">OR(AJ38,AG38)</f>
        <v>1</v>
      </c>
      <c r="AL38" s="6" t="str">
        <f>IF(AJ38,VALUE(AF38),IF(AG38,LEFT(AF38,SEARCH("°",AF38,1)-1),0))</f>
        <v>2</v>
      </c>
      <c r="AM38" s="5" t="str">
        <f>IF(AJ38,"",IF(AG38,RIGHT(AF38,LEN(AF38)-SEARCH("°",AF38,1)),AF38))</f>
        <v>05'</v>
      </c>
      <c r="AN38" s="5" t="b">
        <f>(LEN(AM38)&gt;0)</f>
        <v>1</v>
      </c>
      <c r="AO38" s="5" t="b">
        <f>NOT(OR(AH38,AI38))</f>
        <v>0</v>
      </c>
      <c r="AP38" s="6">
        <f t="shared" ref="AP38" si="34">IF(NOT(AN38),0,IF(AO38,VALUE(AM38),IF(NOT(AH38),0,VALUE(LEFT(AM38,SEARCH("'",AM38,1)-1)))))</f>
        <v>5</v>
      </c>
      <c r="AQ38" s="5" t="str">
        <f t="shared" ref="AQ38" si="35">IF(NOT(AN38),"",IF(AO38,"",IF(NOT(AH38),AM38,RIGHT(AM38,LEN(AM38)-SEARCH("'",AM38,1)))))</f>
        <v/>
      </c>
      <c r="AR38" s="5" t="b">
        <f>(LEN(AQ38)&gt;0)</f>
        <v>0</v>
      </c>
      <c r="AS38" s="5" t="b">
        <f t="shared" ref="AS38" si="36">NOT(AI38)</f>
        <v>1</v>
      </c>
      <c r="AT38" s="5" t="b">
        <f>ISNUMBER(SEARCH(".",AQ38,1))</f>
        <v>0</v>
      </c>
      <c r="AU38" s="6">
        <f t="shared" ref="AU38" si="37">IF(AR38,IF(AI38,IF(AT38,VALUE(SUBSTITUTE(AQ38, """", "")),VALUE(SUBSTITUTE(AQ38, """", "."))),VALUE(AQ38)),0)</f>
        <v>0</v>
      </c>
      <c r="AV38" s="6">
        <f t="shared" ref="AV38" si="38">AL38*3600+AP38*60+AU38</f>
        <v>7500</v>
      </c>
      <c r="AW38" s="6">
        <f>AV38/3600</f>
        <v>2.0833333333333335</v>
      </c>
      <c r="AX38" s="6">
        <f>_xlfn.FLOOR.MATH((AW38))</f>
        <v>2</v>
      </c>
      <c r="AY38" s="6">
        <f>(AV38-3600*AX38)/60</f>
        <v>5</v>
      </c>
      <c r="AZ38" s="6">
        <f>_xlfn.FLOOR.MATH((AY38))</f>
        <v>5</v>
      </c>
      <c r="BA38" s="6">
        <f>AV38-3600*AX38-60*AZ38</f>
        <v>0</v>
      </c>
      <c r="BB38" s="6">
        <f>AW38*IF(AD38&lt;0,-1,1)</f>
        <v>-2.0833333333333335</v>
      </c>
      <c r="BC38" s="7" t="str">
        <f>CONCATENATE(AE38,TEXT(AX38,"00"),"°",TEXT(AZ38,"00"),"'",TEXT(BA38,"00.00"), " [", CONCATENATE(AE38,TEXT(AX38,"00"),"°",TEXT(AY38,"00.00")),"]", "  (", AE38,TEXT(AW38,"00.0000"),"°)")</f>
        <v>-02°05'00.00 [-02°05.00]  (-02.0833°)</v>
      </c>
      <c r="BD38" s="39"/>
      <c r="BE38" s="39"/>
      <c r="BF38" s="39"/>
      <c r="BG38" s="39"/>
      <c r="BH38" s="39"/>
      <c r="BI38" s="39"/>
      <c r="BJ38" s="39"/>
      <c r="BK38" s="39"/>
      <c r="BL38" s="39"/>
      <c r="BM38" s="39"/>
    </row>
    <row r="39" spans="1:65" ht="17.25" customHeight="1" thickTop="1" thickBot="1" x14ac:dyDescent="0.3">
      <c r="B39" s="17"/>
      <c r="C39" s="46"/>
      <c r="D39" s="17"/>
      <c r="E39" s="398">
        <f>AC38</f>
        <v>-2.0833333333333335</v>
      </c>
      <c r="F39" s="424"/>
      <c r="G39" s="424"/>
      <c r="H39" s="363" t="s">
        <v>7</v>
      </c>
      <c r="I39" s="414" t="s">
        <v>372</v>
      </c>
      <c r="J39" s="363"/>
      <c r="K39" s="363"/>
      <c r="L39" s="363"/>
      <c r="M39" s="363"/>
      <c r="N39" s="357" t="str">
        <f>AB38</f>
        <v>-02°05'00.00 [-02°05.00]  (-02.0833°)</v>
      </c>
      <c r="O39" s="357"/>
      <c r="P39" s="357"/>
      <c r="Q39" s="357"/>
      <c r="R39" s="357"/>
      <c r="S39" s="357"/>
      <c r="T39" s="357"/>
      <c r="U39" s="357"/>
      <c r="V39" s="357"/>
      <c r="W39" s="357"/>
      <c r="X39" s="36"/>
      <c r="Y39" s="36"/>
      <c r="AA39" s="18" t="str">
        <f>I39</f>
        <v>2°05'</v>
      </c>
      <c r="AC39" s="37"/>
      <c r="AD39" s="178"/>
      <c r="AE39" s="178"/>
      <c r="AF39" s="178"/>
      <c r="AG39" s="178"/>
      <c r="AL39" s="22"/>
      <c r="AN39" s="29"/>
      <c r="AT39" s="38"/>
      <c r="AU39" s="38"/>
      <c r="AV39" s="39"/>
      <c r="AW39" s="39"/>
      <c r="AX39" s="178"/>
      <c r="AY39" s="178"/>
      <c r="AZ39" s="178"/>
      <c r="BA39" s="178"/>
    </row>
    <row r="40" spans="1:65" ht="17.25" customHeight="1" thickTop="1" thickBot="1" x14ac:dyDescent="0.3">
      <c r="C40" s="46"/>
      <c r="D40" s="17"/>
      <c r="E40" s="424"/>
      <c r="F40" s="424"/>
      <c r="G40" s="424"/>
      <c r="H40" s="363"/>
      <c r="I40" s="363"/>
      <c r="J40" s="363"/>
      <c r="K40" s="363"/>
      <c r="L40" s="363"/>
      <c r="M40" s="363"/>
      <c r="N40" s="357"/>
      <c r="O40" s="357"/>
      <c r="P40" s="357"/>
      <c r="Q40" s="357"/>
      <c r="R40" s="357"/>
      <c r="S40" s="357"/>
      <c r="T40" s="357"/>
      <c r="U40" s="357"/>
      <c r="V40" s="357"/>
      <c r="W40" s="357"/>
      <c r="X40" s="36"/>
      <c r="Y40" s="36"/>
      <c r="AL40" s="22"/>
      <c r="AN40" s="29"/>
    </row>
    <row r="41" spans="1:65" ht="17.25" customHeight="1" thickTop="1" x14ac:dyDescent="0.25">
      <c r="C41" s="46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AL41" s="22"/>
      <c r="AN41" s="29"/>
    </row>
    <row r="42" spans="1:65" ht="17.25" customHeight="1" thickBot="1" x14ac:dyDescent="0.3">
      <c r="AD42" s="17"/>
      <c r="AE42" s="17"/>
      <c r="AF42" s="17"/>
      <c r="AG42" s="17"/>
      <c r="AH42" s="17"/>
      <c r="AI42" s="17"/>
      <c r="AJ42" s="17"/>
      <c r="AK42" s="17"/>
    </row>
    <row r="43" spans="1:65" ht="17.25" customHeight="1" thickBot="1" x14ac:dyDescent="0.3">
      <c r="B43" s="47" t="s">
        <v>10</v>
      </c>
      <c r="C43" s="48"/>
      <c r="D43" s="48"/>
      <c r="E43" s="362">
        <f>IF(F44=AE44,E48,E56)</f>
        <v>-11.98176</v>
      </c>
      <c r="F43" s="362"/>
      <c r="G43" s="362"/>
      <c r="H43" s="48"/>
      <c r="I43" s="48"/>
      <c r="J43" s="48"/>
      <c r="K43" s="48"/>
      <c r="L43" s="48"/>
      <c r="M43" s="48"/>
      <c r="N43" s="48"/>
      <c r="O43" s="48"/>
      <c r="P43" s="48"/>
      <c r="Q43" s="48"/>
      <c r="R43" s="48"/>
      <c r="S43" s="48"/>
      <c r="T43" s="48"/>
      <c r="U43" s="48"/>
      <c r="V43" s="48"/>
      <c r="W43" s="48"/>
      <c r="X43" s="48"/>
      <c r="Y43" s="48"/>
      <c r="Z43" s="48"/>
      <c r="AA43" s="48"/>
      <c r="AB43" s="48"/>
      <c r="AC43" s="48"/>
      <c r="AD43" s="48"/>
      <c r="AE43" s="48"/>
      <c r="AF43" s="48"/>
      <c r="AG43" s="48"/>
      <c r="AH43" s="48"/>
      <c r="AI43" s="48"/>
      <c r="AJ43" s="48"/>
      <c r="AK43" s="48"/>
      <c r="AL43" s="48"/>
      <c r="AM43" s="48"/>
      <c r="AN43" s="48"/>
      <c r="AO43" s="48"/>
      <c r="AP43" s="48"/>
      <c r="AQ43" s="48"/>
      <c r="AR43" s="48"/>
      <c r="AS43" s="48"/>
      <c r="AT43" s="48"/>
      <c r="AU43" s="48"/>
      <c r="AV43" s="48"/>
      <c r="AW43" s="48"/>
      <c r="AX43" s="48"/>
      <c r="AY43" s="48"/>
      <c r="AZ43" s="48"/>
      <c r="BA43" s="49"/>
    </row>
    <row r="44" spans="1:65" s="50" customFormat="1" ht="17.25" customHeight="1" x14ac:dyDescent="0.25">
      <c r="C44" s="434" t="s">
        <v>58</v>
      </c>
      <c r="D44" s="434"/>
      <c r="E44" s="434"/>
      <c r="F44" s="435" t="s">
        <v>17</v>
      </c>
      <c r="G44" s="435"/>
      <c r="H44" s="435"/>
      <c r="AA44" s="51"/>
      <c r="AB44" s="52"/>
      <c r="AC44" s="52"/>
      <c r="AD44" s="53" t="s">
        <v>59</v>
      </c>
      <c r="AE44" s="54" t="s">
        <v>11</v>
      </c>
      <c r="AF44" s="55">
        <v>0</v>
      </c>
      <c r="AG44" s="55"/>
    </row>
    <row r="45" spans="1:65" ht="17.25" customHeight="1" x14ac:dyDescent="0.25">
      <c r="C45" s="56" t="s">
        <v>11</v>
      </c>
      <c r="D45" s="57"/>
      <c r="E45" s="57"/>
      <c r="F45" s="17"/>
      <c r="G45" s="17"/>
      <c r="H45" s="17"/>
      <c r="AE45" s="58" t="s">
        <v>17</v>
      </c>
      <c r="AF45" s="22">
        <v>1</v>
      </c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</row>
    <row r="46" spans="1:65" ht="17.25" customHeight="1" x14ac:dyDescent="0.25">
      <c r="E46" s="401" t="s">
        <v>10</v>
      </c>
      <c r="F46" s="401"/>
      <c r="G46" s="401"/>
      <c r="H46" s="401" t="s">
        <v>13</v>
      </c>
      <c r="I46" s="401"/>
      <c r="J46" s="401"/>
      <c r="K46" s="401"/>
      <c r="L46" s="402" t="s">
        <v>14</v>
      </c>
      <c r="M46" s="402"/>
      <c r="N46" s="402"/>
      <c r="O46" s="415" t="s">
        <v>18</v>
      </c>
      <c r="P46" s="415"/>
      <c r="Q46" s="415"/>
      <c r="R46" s="415"/>
      <c r="S46" s="415"/>
      <c r="T46" s="17"/>
      <c r="AB46" s="14"/>
      <c r="AC46" s="7"/>
      <c r="AD46" s="3" t="s">
        <v>57</v>
      </c>
      <c r="AE46" s="3" t="s">
        <v>57</v>
      </c>
      <c r="AF46" s="3" t="s">
        <v>304</v>
      </c>
      <c r="AG46" s="3" t="s">
        <v>120</v>
      </c>
      <c r="AH46" s="3" t="s">
        <v>121</v>
      </c>
      <c r="AI46" s="3" t="s">
        <v>122</v>
      </c>
      <c r="AJ46" s="3" t="s">
        <v>123</v>
      </c>
      <c r="AK46" s="3" t="s">
        <v>124</v>
      </c>
      <c r="AL46" s="3" t="s">
        <v>125</v>
      </c>
      <c r="AM46" s="3" t="s">
        <v>101</v>
      </c>
      <c r="AN46" s="3" t="s">
        <v>129</v>
      </c>
      <c r="AO46" s="3" t="s">
        <v>128</v>
      </c>
      <c r="AP46" s="3" t="s">
        <v>126</v>
      </c>
      <c r="AQ46" s="3" t="s">
        <v>127</v>
      </c>
      <c r="AR46" s="3" t="s">
        <v>129</v>
      </c>
      <c r="AS46" s="3" t="s">
        <v>128</v>
      </c>
      <c r="AT46" s="3" t="s">
        <v>130</v>
      </c>
      <c r="AU46" s="3" t="s">
        <v>112</v>
      </c>
      <c r="AV46" s="3" t="s">
        <v>117</v>
      </c>
      <c r="AW46" s="3" t="s">
        <v>143</v>
      </c>
      <c r="AX46" s="3" t="s">
        <v>149</v>
      </c>
      <c r="AY46" s="3" t="s">
        <v>131</v>
      </c>
      <c r="AZ46" s="3" t="s">
        <v>150</v>
      </c>
      <c r="BA46" s="3" t="s">
        <v>112</v>
      </c>
      <c r="BB46" s="3" t="s">
        <v>308</v>
      </c>
      <c r="BC46" s="3" t="s">
        <v>151</v>
      </c>
    </row>
    <row r="47" spans="1:65" ht="17.25" customHeight="1" thickBot="1" x14ac:dyDescent="0.3">
      <c r="E47" s="401"/>
      <c r="F47" s="401"/>
      <c r="G47" s="401"/>
      <c r="H47" s="401"/>
      <c r="I47" s="401"/>
      <c r="J47" s="401"/>
      <c r="K47" s="401"/>
      <c r="L47" s="402"/>
      <c r="M47" s="402"/>
      <c r="N47" s="402"/>
      <c r="O47" s="415"/>
      <c r="P47" s="415"/>
      <c r="Q47" s="415"/>
      <c r="R47" s="415"/>
      <c r="S47" s="415"/>
      <c r="T47" s="17"/>
      <c r="AA47" s="18" t="str">
        <f>IF(VLOOKUP(O48,$A$36:$C$37,3)&gt;0,AA48,CONCATENATE("-",AA48))</f>
        <v>23°08.5'</v>
      </c>
      <c r="AB47" s="14" t="str">
        <f>BC47</f>
        <v>23°08'30.00 [23°08.50]  (23.1417°)</v>
      </c>
      <c r="AC47" s="7">
        <f>BB47</f>
        <v>23.141666666666666</v>
      </c>
      <c r="AD47" s="5">
        <f>IF(LEFT(TRIM(AA47),1)="-",-1,IF(LEFT(TRIM(AA47),1)="+",1, 0))</f>
        <v>0</v>
      </c>
      <c r="AE47" s="5" t="str">
        <f>IF(AD47&gt;0,"+",IF(AD47&lt;0,"-",""))</f>
        <v/>
      </c>
      <c r="AF47" s="5" t="str">
        <f>IF(ABS(AD47)&gt;0,RIGHT(AA47,LEN(AA47)-1),AA47)</f>
        <v>23°08.5'</v>
      </c>
      <c r="AG47" s="5" t="b">
        <f>ISNUMBER(SEARCH("°",AF47,1))</f>
        <v>1</v>
      </c>
      <c r="AH47" s="5" t="b">
        <f>ISNUMBER(SEARCH("'",AF47,1))</f>
        <v>1</v>
      </c>
      <c r="AI47" s="5" t="b">
        <f>ISNUMBER(SEARCH("""",AF47,1))</f>
        <v>0</v>
      </c>
      <c r="AJ47" s="5" t="b">
        <f>NOT(OR(AG47,AH47,AI47))</f>
        <v>0</v>
      </c>
      <c r="AK47" s="5" t="b">
        <f t="shared" ref="AK47" si="39">OR(AJ47,AG47)</f>
        <v>1</v>
      </c>
      <c r="AL47" s="6" t="str">
        <f>IF(AJ47,VALUE(AF47),IF(AG47,LEFT(AF47,SEARCH("°",AF47,1)-1),0))</f>
        <v>23</v>
      </c>
      <c r="AM47" s="5" t="str">
        <f>IF(AJ47,"",IF(AG47,RIGHT(AF47,LEN(AF47)-SEARCH("°",AF47,1)),AF47))</f>
        <v>08.5'</v>
      </c>
      <c r="AN47" s="5" t="b">
        <f>(LEN(AM47)&gt;0)</f>
        <v>1</v>
      </c>
      <c r="AO47" s="5" t="b">
        <f>NOT(OR(AH47,AI47))</f>
        <v>0</v>
      </c>
      <c r="AP47" s="6">
        <f t="shared" ref="AP47" si="40">IF(NOT(AN47),0,IF(AO47,VALUE(AM47),IF(NOT(AH47),0,VALUE(LEFT(AM47,SEARCH("'",AM47,1)-1)))))</f>
        <v>8.5</v>
      </c>
      <c r="AQ47" s="5" t="str">
        <f t="shared" ref="AQ47" si="41">IF(NOT(AN47),"",IF(AO47,"",IF(NOT(AH47),AM47,RIGHT(AM47,LEN(AM47)-SEARCH("'",AM47,1)))))</f>
        <v/>
      </c>
      <c r="AR47" s="5" t="b">
        <f>(LEN(AQ47)&gt;0)</f>
        <v>0</v>
      </c>
      <c r="AS47" s="5" t="b">
        <f t="shared" ref="AS47" si="42">NOT(AI47)</f>
        <v>1</v>
      </c>
      <c r="AT47" s="5" t="b">
        <f>ISNUMBER(SEARCH(".",AQ47,1))</f>
        <v>0</v>
      </c>
      <c r="AU47" s="6">
        <f t="shared" ref="AU47" si="43">IF(AR47,IF(AI47,IF(AT47,VALUE(SUBSTITUTE(AQ47, """", "")),VALUE(SUBSTITUTE(AQ47, """", "."))),VALUE(AQ47)),0)</f>
        <v>0</v>
      </c>
      <c r="AV47" s="6">
        <f t="shared" ref="AV47" si="44">AL47*3600+AP47*60+AU47</f>
        <v>83310</v>
      </c>
      <c r="AW47" s="6">
        <f>AV47/3600</f>
        <v>23.141666666666666</v>
      </c>
      <c r="AX47" s="6">
        <f>_xlfn.FLOOR.MATH((AW47))</f>
        <v>23</v>
      </c>
      <c r="AY47" s="6">
        <f>(AV47-3600*AX47)/60</f>
        <v>8.5</v>
      </c>
      <c r="AZ47" s="6">
        <f>_xlfn.FLOOR.MATH((AY47))</f>
        <v>8</v>
      </c>
      <c r="BA47" s="6">
        <f>AV47-3600*AX47-60*AZ47</f>
        <v>30</v>
      </c>
      <c r="BB47" s="6">
        <f>AW47*IF(AD47&lt;0,-1,1)</f>
        <v>23.141666666666666</v>
      </c>
      <c r="BC47" s="7" t="str">
        <f>CONCATENATE(AE47,TEXT(AX47,"00"),"°",TEXT(AZ47,"00"),"'",TEXT(BA47,"00.00"), " [", CONCATENATE(AE47,TEXT(AX47,"00"),"°",TEXT(AY47,"00.00")),"]", "  (", AE47,TEXT(AW47,"00.0000"),"°)")</f>
        <v>23°08'30.00 [23°08.50]  (23.1417°)</v>
      </c>
    </row>
    <row r="48" spans="1:65" ht="17.25" customHeight="1" thickTop="1" thickBot="1" x14ac:dyDescent="0.3">
      <c r="D48" s="59"/>
      <c r="E48" s="397" t="str">
        <f>IF(F44=AE45,"---",AC51)</f>
        <v>---</v>
      </c>
      <c r="F48" s="397"/>
      <c r="G48" s="397"/>
      <c r="H48" s="321">
        <f>D11</f>
        <v>16.14</v>
      </c>
      <c r="I48" s="321"/>
      <c r="J48" s="321"/>
      <c r="K48" s="321"/>
      <c r="L48" s="307">
        <v>10</v>
      </c>
      <c r="M48" s="321"/>
      <c r="N48" s="321"/>
      <c r="O48" s="321" t="s">
        <v>4</v>
      </c>
      <c r="P48" s="416" t="s">
        <v>237</v>
      </c>
      <c r="Q48" s="321"/>
      <c r="R48" s="321"/>
      <c r="S48" s="321"/>
      <c r="T48" s="357" t="str">
        <f>AB47</f>
        <v>23°08'30.00 [23°08.50]  (23.1417°)</v>
      </c>
      <c r="U48" s="358"/>
      <c r="V48" s="358"/>
      <c r="W48" s="358"/>
      <c r="X48" s="358"/>
      <c r="AA48" s="18" t="str">
        <f>P48</f>
        <v>23°08.5'</v>
      </c>
      <c r="AC48" s="37"/>
      <c r="AD48" s="21"/>
      <c r="AG48" s="21"/>
      <c r="AL48" s="22"/>
      <c r="AN48" s="29"/>
      <c r="AT48" s="38"/>
      <c r="AU48" s="38"/>
      <c r="AV48" s="39"/>
      <c r="AW48" s="39"/>
      <c r="AX48" s="178"/>
      <c r="AY48" s="178"/>
      <c r="AZ48" s="178"/>
      <c r="BA48" s="178"/>
    </row>
    <row r="49" spans="1:57" ht="17.25" customHeight="1" thickTop="1" thickBot="1" x14ac:dyDescent="0.3">
      <c r="E49" s="398"/>
      <c r="F49" s="398"/>
      <c r="G49" s="398"/>
      <c r="H49" s="363"/>
      <c r="I49" s="363"/>
      <c r="J49" s="363"/>
      <c r="K49" s="363"/>
      <c r="L49" s="400"/>
      <c r="M49" s="363"/>
      <c r="N49" s="363"/>
      <c r="O49" s="363"/>
      <c r="P49" s="363"/>
      <c r="Q49" s="363"/>
      <c r="R49" s="363"/>
      <c r="S49" s="363"/>
      <c r="T49" s="358"/>
      <c r="U49" s="358"/>
      <c r="V49" s="358"/>
      <c r="W49" s="358"/>
      <c r="X49" s="358"/>
      <c r="AA49" s="18" t="str">
        <f>IF(VLOOKUP(O50,$A$36:$C$37,3)&gt;0,AA50,CONCATENATE("-",AA50))</f>
        <v>23°08.3'</v>
      </c>
      <c r="AB49" s="14" t="str">
        <f>BC49</f>
        <v>23°08'18.00 [23°08.30]  (23.1383°)</v>
      </c>
      <c r="AC49" s="7">
        <f>BB49</f>
        <v>23.138333333333332</v>
      </c>
      <c r="AD49" s="5">
        <f>IF(LEFT(TRIM(AA49),1)="-",-1,IF(LEFT(TRIM(AA49),1)="+",1, 0))</f>
        <v>0</v>
      </c>
      <c r="AE49" s="5" t="str">
        <f>IF(AD49&gt;0,"+",IF(AD49&lt;0,"-",""))</f>
        <v/>
      </c>
      <c r="AF49" s="5" t="str">
        <f>IF(ABS(AD49)&gt;0,RIGHT(AA49,LEN(AA49)-1),AA49)</f>
        <v>23°08.3'</v>
      </c>
      <c r="AG49" s="5" t="b">
        <f>ISNUMBER(SEARCH("°",AF49,1))</f>
        <v>1</v>
      </c>
      <c r="AH49" s="5" t="b">
        <f>ISNUMBER(SEARCH("'",AF49,1))</f>
        <v>1</v>
      </c>
      <c r="AI49" s="5" t="b">
        <f>ISNUMBER(SEARCH("""",AF49,1))</f>
        <v>0</v>
      </c>
      <c r="AJ49" s="5" t="b">
        <f>NOT(OR(AG49,AH49,AI49))</f>
        <v>0</v>
      </c>
      <c r="AK49" s="5" t="b">
        <f t="shared" ref="AK49" si="45">OR(AJ49,AG49)</f>
        <v>1</v>
      </c>
      <c r="AL49" s="6" t="str">
        <f>IF(AJ49,VALUE(AF49),IF(AG49,LEFT(AF49,SEARCH("°",AF49,1)-1),0))</f>
        <v>23</v>
      </c>
      <c r="AM49" s="5" t="str">
        <f>IF(AJ49,"",IF(AG49,RIGHT(AF49,LEN(AF49)-SEARCH("°",AF49,1)),AF49))</f>
        <v>08.3'</v>
      </c>
      <c r="AN49" s="5" t="b">
        <f>(LEN(AM49)&gt;0)</f>
        <v>1</v>
      </c>
      <c r="AO49" s="5" t="b">
        <f>NOT(OR(AH49,AI49))</f>
        <v>0</v>
      </c>
      <c r="AP49" s="6">
        <f t="shared" ref="AP49" si="46">IF(NOT(AN49),0,IF(AO49,VALUE(AM49),IF(NOT(AH49),0,VALUE(LEFT(AM49,SEARCH("'",AM49,1)-1)))))</f>
        <v>8.3000000000000007</v>
      </c>
      <c r="AQ49" s="5" t="str">
        <f t="shared" ref="AQ49" si="47">IF(NOT(AN49),"",IF(AO49,"",IF(NOT(AH49),AM49,RIGHT(AM49,LEN(AM49)-SEARCH("'",AM49,1)))))</f>
        <v/>
      </c>
      <c r="AR49" s="5" t="b">
        <f>(LEN(AQ49)&gt;0)</f>
        <v>0</v>
      </c>
      <c r="AS49" s="5" t="b">
        <f t="shared" ref="AS49" si="48">NOT(AI49)</f>
        <v>1</v>
      </c>
      <c r="AT49" s="5" t="b">
        <f>ISNUMBER(SEARCH(".",AQ49,1))</f>
        <v>0</v>
      </c>
      <c r="AU49" s="6">
        <f t="shared" ref="AU49" si="49">IF(AR49,IF(AI49,IF(AT49,VALUE(SUBSTITUTE(AQ49, """", "")),VALUE(SUBSTITUTE(AQ49, """", "."))),VALUE(AQ49)),0)</f>
        <v>0</v>
      </c>
      <c r="AV49" s="6">
        <f t="shared" ref="AV49" si="50">AL49*3600+AP49*60+AU49</f>
        <v>83298</v>
      </c>
      <c r="AW49" s="6">
        <f>AV49/3600</f>
        <v>23.138333333333332</v>
      </c>
      <c r="AX49" s="6">
        <f>_xlfn.FLOOR.MATH((AW49))</f>
        <v>23</v>
      </c>
      <c r="AY49" s="6">
        <f>(AV49-3600*AX49)/60</f>
        <v>8.3000000000000007</v>
      </c>
      <c r="AZ49" s="6">
        <f>_xlfn.FLOOR.MATH((AY49))</f>
        <v>8</v>
      </c>
      <c r="BA49" s="6">
        <f>AV49-3600*AX49-60*AZ49</f>
        <v>18</v>
      </c>
      <c r="BB49" s="6">
        <f>AW49*IF(AD49&lt;0,-1,1)</f>
        <v>23.138333333333332</v>
      </c>
      <c r="BC49" s="7" t="str">
        <f>CONCATENATE(AE49,TEXT(AX49,"00"),"°",TEXT(AZ49,"00"),"'",TEXT(BA49,"00.00"), " [", CONCATENATE(AE49,TEXT(AX49,"00"),"°",TEXT(AY49,"00.00")),"]", "  (", AE49,TEXT(AW49,"00.0000"),"°)")</f>
        <v>23°08'18.00 [23°08.30]  (23.1383°)</v>
      </c>
    </row>
    <row r="50" spans="1:57" ht="17.25" customHeight="1" thickTop="1" thickBot="1" x14ac:dyDescent="0.3">
      <c r="E50" s="398"/>
      <c r="F50" s="398"/>
      <c r="G50" s="398"/>
      <c r="H50" s="363"/>
      <c r="I50" s="363"/>
      <c r="J50" s="363"/>
      <c r="K50" s="363"/>
      <c r="L50" s="400">
        <v>11</v>
      </c>
      <c r="M50" s="363"/>
      <c r="N50" s="363"/>
      <c r="O50" s="363" t="s">
        <v>4</v>
      </c>
      <c r="P50" s="414" t="s">
        <v>238</v>
      </c>
      <c r="Q50" s="363"/>
      <c r="R50" s="363"/>
      <c r="S50" s="363"/>
      <c r="T50" s="357" t="str">
        <f>AB49</f>
        <v>23°08'18.00 [23°08.30]  (23.1383°)</v>
      </c>
      <c r="U50" s="358"/>
      <c r="V50" s="358"/>
      <c r="W50" s="358"/>
      <c r="X50" s="358"/>
      <c r="AA50" s="18" t="str">
        <f>P50</f>
        <v>23°08.3'</v>
      </c>
      <c r="AD50" s="31" t="s">
        <v>62</v>
      </c>
      <c r="AE50" s="31" t="s">
        <v>61</v>
      </c>
      <c r="AF50" s="31" t="s">
        <v>63</v>
      </c>
      <c r="AG50" s="31" t="s">
        <v>60</v>
      </c>
      <c r="AL50" s="22"/>
      <c r="AN50" s="29"/>
      <c r="AT50" s="38"/>
      <c r="AU50" s="38"/>
      <c r="AV50" s="39"/>
      <c r="AW50" s="39"/>
      <c r="AX50" s="178"/>
      <c r="AY50" s="178"/>
      <c r="AZ50" s="178"/>
    </row>
    <row r="51" spans="1:57" ht="17.25" customHeight="1" thickTop="1" thickBot="1" x14ac:dyDescent="0.3">
      <c r="E51" s="398"/>
      <c r="F51" s="398"/>
      <c r="G51" s="398"/>
      <c r="H51" s="363"/>
      <c r="I51" s="363"/>
      <c r="J51" s="363"/>
      <c r="K51" s="363"/>
      <c r="L51" s="400"/>
      <c r="M51" s="363"/>
      <c r="N51" s="363"/>
      <c r="O51" s="363"/>
      <c r="P51" s="363"/>
      <c r="Q51" s="363"/>
      <c r="R51" s="363"/>
      <c r="S51" s="363"/>
      <c r="T51" s="358"/>
      <c r="U51" s="358"/>
      <c r="V51" s="358"/>
      <c r="W51" s="358"/>
      <c r="X51" s="358"/>
      <c r="AC51" s="37">
        <f>AG51</f>
        <v>23.121199999999995</v>
      </c>
      <c r="AD51" s="22">
        <f>L50-L48</f>
        <v>1</v>
      </c>
      <c r="AE51" s="22">
        <f>AC49-AC47</f>
        <v>-3.3333333333338544E-3</v>
      </c>
      <c r="AF51" s="22">
        <f>H48-L48</f>
        <v>6.1400000000000006</v>
      </c>
      <c r="AG51" s="22">
        <f>AC47+AF51*AE51</f>
        <v>23.121199999999995</v>
      </c>
      <c r="AH51" s="60"/>
      <c r="AI51" s="31"/>
      <c r="AJ51" s="31"/>
      <c r="AK51" s="31"/>
      <c r="AL51" s="31"/>
      <c r="AM51" s="31"/>
      <c r="AN51" s="17"/>
      <c r="AO51" s="17"/>
      <c r="AP51" s="17"/>
      <c r="AQ51" s="17"/>
      <c r="AR51" s="17"/>
      <c r="AS51" s="17"/>
      <c r="AT51" s="17"/>
    </row>
    <row r="52" spans="1:57" ht="17.25" customHeight="1" thickTop="1" thickBot="1" x14ac:dyDescent="0.3">
      <c r="E52" s="279" t="str">
        <f>AB52</f>
        <v>23°07'16.32 [23°07.27]  (23.1212°)</v>
      </c>
      <c r="F52" s="279"/>
      <c r="G52" s="279"/>
      <c r="H52" s="279"/>
      <c r="I52" s="279"/>
      <c r="J52" s="279"/>
      <c r="Z52" s="17"/>
      <c r="AA52" s="18">
        <f>AC51</f>
        <v>23.121199999999995</v>
      </c>
      <c r="AB52" s="14" t="str">
        <f>BC52</f>
        <v>23°07'16.32 [23°07.27]  (23.1212°)</v>
      </c>
      <c r="AC52" s="7">
        <f>BB52</f>
        <v>23.121199999999995</v>
      </c>
      <c r="AD52" s="5">
        <f>IF(LEFT(TRIM(AA52),1)="-",-1,IF(LEFT(TRIM(AA52),1)="+",1, 0))</f>
        <v>0</v>
      </c>
      <c r="AE52" s="5" t="str">
        <f>IF(AD52&gt;0,"+",IF(AD52&lt;0,"-",""))</f>
        <v/>
      </c>
      <c r="AF52" s="5">
        <f>IF(ABS(AD52)&gt;0,RIGHT(AA52,LEN(AA52)-1),AA52)</f>
        <v>23.121199999999995</v>
      </c>
      <c r="AG52" s="5" t="b">
        <f>ISNUMBER(SEARCH("°",AF52,1))</f>
        <v>0</v>
      </c>
      <c r="AH52" s="5" t="b">
        <f>ISNUMBER(SEARCH("'",AF52,1))</f>
        <v>0</v>
      </c>
      <c r="AI52" s="5" t="b">
        <f>ISNUMBER(SEARCH("""",AF52,1))</f>
        <v>0</v>
      </c>
      <c r="AJ52" s="5" t="b">
        <f>NOT(OR(AG52,AH52,AI52))</f>
        <v>1</v>
      </c>
      <c r="AK52" s="5" t="b">
        <f t="shared" ref="AK52" si="51">OR(AJ52,AG52)</f>
        <v>1</v>
      </c>
      <c r="AL52" s="6">
        <f>IF(AJ52,VALUE(AF52),IF(AG52,LEFT(AF52,SEARCH("°",AF52,1)-1),0))</f>
        <v>23.121199999999995</v>
      </c>
      <c r="AM52" s="5" t="str">
        <f>IF(AJ52,"",IF(AG52,RIGHT(AF52,LEN(AF52)-SEARCH("°",AF52,1)),AF52))</f>
        <v/>
      </c>
      <c r="AN52" s="5" t="b">
        <f>(LEN(AM52)&gt;0)</f>
        <v>0</v>
      </c>
      <c r="AO52" s="5" t="b">
        <f>NOT(OR(AH52,AI52))</f>
        <v>1</v>
      </c>
      <c r="AP52" s="6">
        <f t="shared" ref="AP52" si="52">IF(NOT(AN52),0,IF(AO52,VALUE(AM52),IF(NOT(AH52),0,VALUE(LEFT(AM52,SEARCH("'",AM52,1)-1)))))</f>
        <v>0</v>
      </c>
      <c r="AQ52" s="5" t="str">
        <f t="shared" ref="AQ52" si="53">IF(NOT(AN52),"",IF(AO52,"",IF(NOT(AH52),AM52,RIGHT(AM52,LEN(AM52)-SEARCH("'",AM52,1)))))</f>
        <v/>
      </c>
      <c r="AR52" s="5" t="b">
        <f>(LEN(AQ52)&gt;0)</f>
        <v>0</v>
      </c>
      <c r="AS52" s="5" t="b">
        <f t="shared" ref="AS52" si="54">NOT(AI52)</f>
        <v>1</v>
      </c>
      <c r="AT52" s="5" t="b">
        <f>ISNUMBER(SEARCH(".",AQ52,1))</f>
        <v>0</v>
      </c>
      <c r="AU52" s="6">
        <f t="shared" ref="AU52" si="55">IF(AR52,IF(AI52,IF(AT52,VALUE(SUBSTITUTE(AQ52, """", "")),VALUE(SUBSTITUTE(AQ52, """", "."))),VALUE(AQ52)),0)</f>
        <v>0</v>
      </c>
      <c r="AV52" s="6">
        <f t="shared" ref="AV52" si="56">AL52*3600+AP52*60+AU52</f>
        <v>83236.319999999978</v>
      </c>
      <c r="AW52" s="6">
        <f>AV52/3600</f>
        <v>23.121199999999995</v>
      </c>
      <c r="AX52" s="6">
        <f>_xlfn.FLOOR.MATH((AW52))</f>
        <v>23</v>
      </c>
      <c r="AY52" s="6">
        <f>(AV52-3600*AX52)/60</f>
        <v>7.2719999999996316</v>
      </c>
      <c r="AZ52" s="6">
        <f>_xlfn.FLOOR.MATH((AY52))</f>
        <v>7</v>
      </c>
      <c r="BA52" s="6">
        <f>AV52-3600*AX52-60*AZ52</f>
        <v>16.319999999977881</v>
      </c>
      <c r="BB52" s="6">
        <f>AW52*IF(AD52&lt;0,-1,1)</f>
        <v>23.121199999999995</v>
      </c>
      <c r="BC52" s="7" t="str">
        <f>CONCATENATE(AE52,TEXT(AX52,"00"),"°",TEXT(AZ52,"00"),"'",TEXT(BA52,"00.00"), " [", CONCATENATE(AE52,TEXT(AX52,"00"),"°",TEXT(AY52,"00.00")),"]", "  (", AE52,TEXT(AW52,"00.0000"),"°)")</f>
        <v>23°07'16.32 [23°07.27]  (23.1212°)</v>
      </c>
    </row>
    <row r="53" spans="1:57" ht="17.25" customHeight="1" thickTop="1" x14ac:dyDescent="0.25">
      <c r="C53" s="56" t="s">
        <v>17</v>
      </c>
      <c r="D53" s="57"/>
      <c r="E53" s="57"/>
      <c r="F53" s="17"/>
      <c r="G53" s="17"/>
      <c r="H53" s="17"/>
      <c r="Z53" s="17"/>
    </row>
    <row r="54" spans="1:57" ht="17.25" customHeight="1" x14ac:dyDescent="0.25">
      <c r="C54" s="17"/>
      <c r="D54" s="17"/>
      <c r="E54" s="401" t="s">
        <v>10</v>
      </c>
      <c r="F54" s="401"/>
      <c r="G54" s="401"/>
      <c r="H54" s="401" t="s">
        <v>13</v>
      </c>
      <c r="I54" s="401"/>
      <c r="J54" s="401"/>
      <c r="K54" s="401"/>
      <c r="L54" s="402" t="s">
        <v>14</v>
      </c>
      <c r="M54" s="402"/>
      <c r="N54" s="402"/>
      <c r="O54" s="415" t="s">
        <v>20</v>
      </c>
      <c r="P54" s="415"/>
      <c r="Q54" s="415"/>
      <c r="R54" s="415"/>
      <c r="S54" s="415"/>
      <c r="T54" s="415" t="s">
        <v>19</v>
      </c>
      <c r="U54" s="415"/>
      <c r="V54" s="415"/>
      <c r="W54" s="415"/>
      <c r="X54" s="415"/>
      <c r="Z54" s="17"/>
      <c r="AB54" s="14"/>
      <c r="AC54" s="7"/>
      <c r="AD54" s="3" t="s">
        <v>57</v>
      </c>
      <c r="AE54" s="3" t="s">
        <v>57</v>
      </c>
      <c r="AF54" s="3" t="s">
        <v>304</v>
      </c>
      <c r="AG54" s="3" t="s">
        <v>120</v>
      </c>
      <c r="AH54" s="3" t="s">
        <v>121</v>
      </c>
      <c r="AI54" s="3" t="s">
        <v>122</v>
      </c>
      <c r="AJ54" s="3" t="s">
        <v>123</v>
      </c>
      <c r="AK54" s="3" t="s">
        <v>124</v>
      </c>
      <c r="AL54" s="3" t="s">
        <v>125</v>
      </c>
      <c r="AM54" s="3" t="s">
        <v>101</v>
      </c>
      <c r="AN54" s="3" t="s">
        <v>129</v>
      </c>
      <c r="AO54" s="3" t="s">
        <v>128</v>
      </c>
      <c r="AP54" s="3" t="s">
        <v>126</v>
      </c>
      <c r="AQ54" s="3" t="s">
        <v>127</v>
      </c>
      <c r="AR54" s="3" t="s">
        <v>129</v>
      </c>
      <c r="AS54" s="3" t="s">
        <v>128</v>
      </c>
      <c r="AT54" s="3" t="s">
        <v>130</v>
      </c>
      <c r="AU54" s="3" t="s">
        <v>112</v>
      </c>
      <c r="AV54" s="3" t="s">
        <v>117</v>
      </c>
      <c r="AW54" s="3" t="s">
        <v>143</v>
      </c>
      <c r="AX54" s="3" t="s">
        <v>149</v>
      </c>
      <c r="AY54" s="3" t="s">
        <v>131</v>
      </c>
      <c r="AZ54" s="3" t="s">
        <v>150</v>
      </c>
      <c r="BA54" s="3" t="s">
        <v>112</v>
      </c>
      <c r="BB54" s="3" t="s">
        <v>308</v>
      </c>
      <c r="BC54" s="3" t="s">
        <v>151</v>
      </c>
    </row>
    <row r="55" spans="1:57" ht="17.25" customHeight="1" x14ac:dyDescent="0.25">
      <c r="E55" s="401"/>
      <c r="F55" s="401"/>
      <c r="G55" s="401"/>
      <c r="H55" s="401"/>
      <c r="I55" s="401"/>
      <c r="J55" s="401"/>
      <c r="K55" s="401"/>
      <c r="L55" s="402"/>
      <c r="M55" s="402"/>
      <c r="N55" s="402"/>
      <c r="O55" s="415"/>
      <c r="P55" s="415"/>
      <c r="Q55" s="415"/>
      <c r="R55" s="415"/>
      <c r="S55" s="415"/>
      <c r="T55" s="415"/>
      <c r="U55" s="415"/>
      <c r="V55" s="415"/>
      <c r="W55" s="415"/>
      <c r="X55" s="415"/>
      <c r="Y55" s="17"/>
      <c r="Z55" s="17"/>
      <c r="AA55" s="18" t="str">
        <f>IF(VLOOKUP(O56,$A$36:$C$37,3)&gt;0,AA56,CONCATENATE("-",AA56))</f>
        <v>-12.24°</v>
      </c>
      <c r="AB55" s="14" t="str">
        <f>BC55</f>
        <v>-12°14'24.00 [-12°14.40]  (-12.2400°)</v>
      </c>
      <c r="AC55" s="7">
        <f>BB55</f>
        <v>-12.24</v>
      </c>
      <c r="AD55" s="5">
        <f>IF(LEFT(TRIM(AA55),1)="-",-1,IF(LEFT(TRIM(AA55),1)="+",1, 0))</f>
        <v>-1</v>
      </c>
      <c r="AE55" s="5" t="str">
        <f>IF(AD55&gt;0,"+",IF(AD55&lt;0,"-",""))</f>
        <v>-</v>
      </c>
      <c r="AF55" s="5" t="str">
        <f>IF(ABS(AD55)&gt;0,RIGHT(AA55,LEN(AA55)-1),AA55)</f>
        <v>12.24°</v>
      </c>
      <c r="AG55" s="5" t="b">
        <f>ISNUMBER(SEARCH("°",AF55,1))</f>
        <v>1</v>
      </c>
      <c r="AH55" s="5" t="b">
        <f>ISNUMBER(SEARCH("'",AF55,1))</f>
        <v>0</v>
      </c>
      <c r="AI55" s="5" t="b">
        <f>ISNUMBER(SEARCH("""",AF55,1))</f>
        <v>0</v>
      </c>
      <c r="AJ55" s="5" t="b">
        <f>NOT(OR(AG55,AH55,AI55))</f>
        <v>0</v>
      </c>
      <c r="AK55" s="5" t="b">
        <f t="shared" ref="AK55" si="57">OR(AJ55,AG55)</f>
        <v>1</v>
      </c>
      <c r="AL55" s="6" t="str">
        <f>IF(AJ55,VALUE(AF55),IF(AG55,LEFT(AF55,SEARCH("°",AF55,1)-1),0))</f>
        <v>12.24</v>
      </c>
      <c r="AM55" s="5" t="str">
        <f>IF(AJ55,"",IF(AG55,RIGHT(AF55,LEN(AF55)-SEARCH("°",AF55,1)),AF55))</f>
        <v/>
      </c>
      <c r="AN55" s="5" t="b">
        <f>(LEN(AM55)&gt;0)</f>
        <v>0</v>
      </c>
      <c r="AO55" s="5" t="b">
        <f>NOT(OR(AH55,AI55))</f>
        <v>1</v>
      </c>
      <c r="AP55" s="6">
        <f t="shared" ref="AP55" si="58">IF(NOT(AN55),0,IF(AO55,VALUE(AM55),IF(NOT(AH55),0,VALUE(LEFT(AM55,SEARCH("'",AM55,1)-1)))))</f>
        <v>0</v>
      </c>
      <c r="AQ55" s="5" t="str">
        <f t="shared" ref="AQ55" si="59">IF(NOT(AN55),"",IF(AO55,"",IF(NOT(AH55),AM55,RIGHT(AM55,LEN(AM55)-SEARCH("'",AM55,1)))))</f>
        <v/>
      </c>
      <c r="AR55" s="5" t="b">
        <f>(LEN(AQ55)&gt;0)</f>
        <v>0</v>
      </c>
      <c r="AS55" s="5" t="b">
        <f t="shared" ref="AS55" si="60">NOT(AI55)</f>
        <v>1</v>
      </c>
      <c r="AT55" s="5" t="b">
        <f>ISNUMBER(SEARCH(".",AQ55,1))</f>
        <v>0</v>
      </c>
      <c r="AU55" s="6">
        <f t="shared" ref="AU55" si="61">IF(AR55,IF(AI55,IF(AT55,VALUE(SUBSTITUTE(AQ55, """", "")),VALUE(SUBSTITUTE(AQ55, """", "."))),VALUE(AQ55)),0)</f>
        <v>0</v>
      </c>
      <c r="AV55" s="6">
        <f t="shared" ref="AV55" si="62">AL55*3600+AP55*60+AU55</f>
        <v>44064</v>
      </c>
      <c r="AW55" s="6">
        <f>AV55/3600</f>
        <v>12.24</v>
      </c>
      <c r="AX55" s="6">
        <f>_xlfn.FLOOR.MATH((AW55))</f>
        <v>12</v>
      </c>
      <c r="AY55" s="6">
        <f>(AV55-3600*AX55)/60</f>
        <v>14.4</v>
      </c>
      <c r="AZ55" s="6">
        <f>_xlfn.FLOOR.MATH((AY55))</f>
        <v>14</v>
      </c>
      <c r="BA55" s="6">
        <f>AV55-3600*AX55-60*AZ55</f>
        <v>24</v>
      </c>
      <c r="BB55" s="6">
        <f>AW55*IF(AD55&lt;0,-1,1)</f>
        <v>-12.24</v>
      </c>
      <c r="BC55" s="7" t="str">
        <f>CONCATENATE(AE55,TEXT(AX55,"00"),"°",TEXT(AZ55,"00"),"'",TEXT(BA55,"00.00"), " [", CONCATENATE(AE55,TEXT(AX55,"00"),"°",TEXT(AY55,"00.00")),"]", "  (", AE55,TEXT(AW55,"00.0000"),"°)")</f>
        <v>-12°14'24.00 [-12°14.40]  (-12.2400°)</v>
      </c>
    </row>
    <row r="56" spans="1:57" ht="17.25" customHeight="1" x14ac:dyDescent="0.25">
      <c r="D56" s="59"/>
      <c r="E56" s="397">
        <f>IF(F44=AE45,AC58,"---")</f>
        <v>-11.98176</v>
      </c>
      <c r="F56" s="397"/>
      <c r="G56" s="397"/>
      <c r="H56" s="321">
        <f>D11</f>
        <v>16.14</v>
      </c>
      <c r="I56" s="321"/>
      <c r="J56" s="321"/>
      <c r="K56" s="321"/>
      <c r="L56" s="307">
        <v>0</v>
      </c>
      <c r="M56" s="321"/>
      <c r="N56" s="321"/>
      <c r="O56" s="321" t="s">
        <v>5</v>
      </c>
      <c r="P56" s="416" t="s">
        <v>373</v>
      </c>
      <c r="Q56" s="321"/>
      <c r="R56" s="321"/>
      <c r="S56" s="321"/>
      <c r="T56" s="321" t="s">
        <v>4</v>
      </c>
      <c r="U56" s="416" t="s">
        <v>315</v>
      </c>
      <c r="V56" s="321"/>
      <c r="W56" s="321"/>
      <c r="X56" s="321"/>
      <c r="Y56" s="17"/>
      <c r="AA56" s="18" t="str">
        <f>P56</f>
        <v>12.24°</v>
      </c>
      <c r="AC56" s="37"/>
      <c r="AD56" s="21"/>
      <c r="AG56" s="21"/>
      <c r="AL56" s="22"/>
      <c r="AN56" s="29"/>
      <c r="AT56" s="38"/>
      <c r="AU56" s="38"/>
      <c r="AV56" s="39"/>
      <c r="AW56" s="39"/>
      <c r="AX56" s="178"/>
      <c r="AY56" s="178"/>
      <c r="AZ56" s="178"/>
      <c r="BA56" s="178"/>
    </row>
    <row r="57" spans="1:57" ht="17.25" customHeight="1" collapsed="1" thickBot="1" x14ac:dyDescent="0.3">
      <c r="E57" s="398"/>
      <c r="F57" s="398"/>
      <c r="G57" s="398"/>
      <c r="H57" s="363"/>
      <c r="I57" s="363"/>
      <c r="J57" s="363"/>
      <c r="K57" s="363"/>
      <c r="L57" s="400"/>
      <c r="M57" s="363"/>
      <c r="N57" s="363"/>
      <c r="O57" s="363"/>
      <c r="P57" s="363"/>
      <c r="Q57" s="363"/>
      <c r="R57" s="363"/>
      <c r="S57" s="363"/>
      <c r="T57" s="363"/>
      <c r="U57" s="363"/>
      <c r="V57" s="363"/>
      <c r="W57" s="363"/>
      <c r="X57" s="363"/>
      <c r="Y57" s="17"/>
      <c r="AA57" s="18" t="str">
        <f>IF(VLOOKUP(T56,$A$36:$C$37,3)&gt;0,AA58,CONCATENATE("-",AA58))</f>
        <v>0°0.96'</v>
      </c>
      <c r="AB57" s="14" t="str">
        <f>BC57</f>
        <v>00°00'57.60 [00°00.96]  (00.0160°)</v>
      </c>
      <c r="AC57" s="7">
        <f>BB57</f>
        <v>1.5999999999999997E-2</v>
      </c>
      <c r="AD57" s="5">
        <f>IF(LEFT(TRIM(AA57),1)="-",-1,IF(LEFT(TRIM(AA57),1)="+",1, 0))</f>
        <v>0</v>
      </c>
      <c r="AE57" s="5" t="str">
        <f>IF(AD57&gt;0,"+",IF(AD57&lt;0,"-",""))</f>
        <v/>
      </c>
      <c r="AF57" s="5" t="str">
        <f>IF(ABS(AD57)&gt;0,RIGHT(AA57,LEN(AA57)-1),AA57)</f>
        <v>0°0.96'</v>
      </c>
      <c r="AG57" s="5" t="b">
        <f>ISNUMBER(SEARCH("°",AF57,1))</f>
        <v>1</v>
      </c>
      <c r="AH57" s="5" t="b">
        <f>ISNUMBER(SEARCH("'",AF57,1))</f>
        <v>1</v>
      </c>
      <c r="AI57" s="5" t="b">
        <f>ISNUMBER(SEARCH("""",AF57,1))</f>
        <v>0</v>
      </c>
      <c r="AJ57" s="5" t="b">
        <f>NOT(OR(AG57,AH57,AI57))</f>
        <v>0</v>
      </c>
      <c r="AK57" s="5" t="b">
        <f t="shared" ref="AK57" si="63">OR(AJ57,AG57)</f>
        <v>1</v>
      </c>
      <c r="AL57" s="6" t="str">
        <f>IF(AJ57,VALUE(AF57),IF(AG57,LEFT(AF57,SEARCH("°",AF57,1)-1),0))</f>
        <v>0</v>
      </c>
      <c r="AM57" s="5" t="str">
        <f>IF(AJ57,"",IF(AG57,RIGHT(AF57,LEN(AF57)-SEARCH("°",AF57,1)),AF57))</f>
        <v>0.96'</v>
      </c>
      <c r="AN57" s="5" t="b">
        <f>(LEN(AM57)&gt;0)</f>
        <v>1</v>
      </c>
      <c r="AO57" s="5" t="b">
        <f>NOT(OR(AH57,AI57))</f>
        <v>0</v>
      </c>
      <c r="AP57" s="6">
        <f t="shared" ref="AP57" si="64">IF(NOT(AN57),0,IF(AO57,VALUE(AM57),IF(NOT(AH57),0,VALUE(LEFT(AM57,SEARCH("'",AM57,1)-1)))))</f>
        <v>0.96</v>
      </c>
      <c r="AQ57" s="5" t="str">
        <f t="shared" ref="AQ57" si="65">IF(NOT(AN57),"",IF(AO57,"",IF(NOT(AH57),AM57,RIGHT(AM57,LEN(AM57)-SEARCH("'",AM57,1)))))</f>
        <v/>
      </c>
      <c r="AR57" s="5" t="b">
        <f>(LEN(AQ57)&gt;0)</f>
        <v>0</v>
      </c>
      <c r="AS57" s="5" t="b">
        <f t="shared" ref="AS57" si="66">NOT(AI57)</f>
        <v>1</v>
      </c>
      <c r="AT57" s="5" t="b">
        <f>ISNUMBER(SEARCH(".",AQ57,1))</f>
        <v>0</v>
      </c>
      <c r="AU57" s="6">
        <f t="shared" ref="AU57" si="67">IF(AR57,IF(AI57,IF(AT57,VALUE(SUBSTITUTE(AQ57, """", "")),VALUE(SUBSTITUTE(AQ57, """", "."))),VALUE(AQ57)),0)</f>
        <v>0</v>
      </c>
      <c r="AV57" s="6">
        <f t="shared" ref="AV57" si="68">AL57*3600+AP57*60+AU57</f>
        <v>57.599999999999994</v>
      </c>
      <c r="AW57" s="6">
        <f>AV57/3600</f>
        <v>1.5999999999999997E-2</v>
      </c>
      <c r="AX57" s="6">
        <f>_xlfn.FLOOR.MATH((AW57))</f>
        <v>0</v>
      </c>
      <c r="AY57" s="6">
        <f>(AV57-3600*AX57)/60</f>
        <v>0.95999999999999985</v>
      </c>
      <c r="AZ57" s="6">
        <f>_xlfn.FLOOR.MATH((AY57))</f>
        <v>0</v>
      </c>
      <c r="BA57" s="6">
        <f>AV57-3600*AX57-60*AZ57</f>
        <v>57.599999999999994</v>
      </c>
      <c r="BB57" s="6">
        <f>AW57*IF(AD57&lt;0,-1,1)</f>
        <v>1.5999999999999997E-2</v>
      </c>
      <c r="BC57" s="7" t="str">
        <f>CONCATENATE(AE57,TEXT(AX57,"00"),"°",TEXT(AZ57,"00"),"'",TEXT(BA57,"00.00"), " [", CONCATENATE(AE57,TEXT(AX57,"00"),"°",TEXT(AY57,"00.00")),"]", "  (", AE57,TEXT(AW57,"00.0000"),"°)")</f>
        <v>00°00'57.60 [00°00.96]  (00.0160°)</v>
      </c>
    </row>
    <row r="58" spans="1:57" ht="17.25" customHeight="1" thickTop="1" thickBot="1" x14ac:dyDescent="0.3">
      <c r="E58" s="279" t="str">
        <f>AB59</f>
        <v>-11°58'54.34 [-11°58.91]  (-11.9818°)</v>
      </c>
      <c r="F58" s="279"/>
      <c r="G58" s="279"/>
      <c r="H58" s="279"/>
      <c r="I58" s="279"/>
      <c r="J58" s="279"/>
      <c r="O58" s="279" t="str">
        <f>AB55</f>
        <v>-12°14'24.00 [-12°14.40]  (-12.2400°)</v>
      </c>
      <c r="P58" s="279"/>
      <c r="Q58" s="279"/>
      <c r="R58" s="279"/>
      <c r="S58" s="279"/>
      <c r="T58" s="279" t="str">
        <f>AB57</f>
        <v>00°00'57.60 [00°00.96]  (00.0160°)</v>
      </c>
      <c r="U58" s="287"/>
      <c r="V58" s="287"/>
      <c r="W58" s="287"/>
      <c r="X58" s="287"/>
      <c r="AA58" s="18" t="str">
        <f>U56</f>
        <v>0°0.96'</v>
      </c>
      <c r="AC58" s="37">
        <f>AE58</f>
        <v>-11.98176</v>
      </c>
      <c r="AD58" s="61" t="s">
        <v>154</v>
      </c>
      <c r="AE58" s="22">
        <f>AC55+(H56-L56)*AC57</f>
        <v>-11.98176</v>
      </c>
      <c r="AG58" s="21"/>
      <c r="AL58" s="22"/>
      <c r="AN58" s="29"/>
      <c r="AT58" s="38"/>
      <c r="AU58" s="38"/>
      <c r="AV58" s="39"/>
      <c r="AW58" s="39"/>
      <c r="AX58" s="178"/>
      <c r="AY58" s="178"/>
      <c r="AZ58" s="178"/>
      <c r="BA58" s="178"/>
    </row>
    <row r="59" spans="1:57" ht="17.25" customHeight="1" thickTop="1" x14ac:dyDescent="0.25">
      <c r="R59" s="17"/>
      <c r="S59" s="17"/>
      <c r="T59" s="17"/>
      <c r="U59" s="17"/>
      <c r="V59" s="17"/>
      <c r="W59" s="17"/>
      <c r="AA59" s="18">
        <f>AC58</f>
        <v>-11.98176</v>
      </c>
      <c r="AB59" s="14" t="str">
        <f>BC59</f>
        <v>-11°58'54.34 [-11°58.91]  (-11.9818°)</v>
      </c>
      <c r="AC59" s="7">
        <f>BB59</f>
        <v>-11.98176</v>
      </c>
      <c r="AD59" s="5">
        <f>IF(LEFT(TRIM(AA59),1)="-",-1,IF(LEFT(TRIM(AA59),1)="+",1, 0))</f>
        <v>-1</v>
      </c>
      <c r="AE59" s="5" t="str">
        <f>IF(AD59&gt;0,"+",IF(AD59&lt;0,"-",""))</f>
        <v>-</v>
      </c>
      <c r="AF59" s="5" t="str">
        <f>IF(ABS(AD59)&gt;0,RIGHT(AA59,LEN(AA59)-1),AA59)</f>
        <v>11.98176</v>
      </c>
      <c r="AG59" s="5" t="b">
        <f>ISNUMBER(SEARCH("°",AF59,1))</f>
        <v>0</v>
      </c>
      <c r="AH59" s="5" t="b">
        <f>ISNUMBER(SEARCH("'",AF59,1))</f>
        <v>0</v>
      </c>
      <c r="AI59" s="5" t="b">
        <f>ISNUMBER(SEARCH("""",AF59,1))</f>
        <v>0</v>
      </c>
      <c r="AJ59" s="5" t="b">
        <f>NOT(OR(AG59,AH59,AI59))</f>
        <v>1</v>
      </c>
      <c r="AK59" s="5" t="b">
        <f t="shared" ref="AK59" si="69">OR(AJ59,AG59)</f>
        <v>1</v>
      </c>
      <c r="AL59" s="6">
        <f>IF(AJ59,VALUE(AF59),IF(AG59,LEFT(AF59,SEARCH("°",AF59,1)-1),0))</f>
        <v>11.98176</v>
      </c>
      <c r="AM59" s="5" t="str">
        <f>IF(AJ59,"",IF(AG59,RIGHT(AF59,LEN(AF59)-SEARCH("°",AF59,1)),AF59))</f>
        <v/>
      </c>
      <c r="AN59" s="5" t="b">
        <f>(LEN(AM59)&gt;0)</f>
        <v>0</v>
      </c>
      <c r="AO59" s="5" t="b">
        <f>NOT(OR(AH59,AI59))</f>
        <v>1</v>
      </c>
      <c r="AP59" s="6">
        <f t="shared" ref="AP59" si="70">IF(NOT(AN59),0,IF(AO59,VALUE(AM59),IF(NOT(AH59),0,VALUE(LEFT(AM59,SEARCH("'",AM59,1)-1)))))</f>
        <v>0</v>
      </c>
      <c r="AQ59" s="5" t="str">
        <f t="shared" ref="AQ59" si="71">IF(NOT(AN59),"",IF(AO59,"",IF(NOT(AH59),AM59,RIGHT(AM59,LEN(AM59)-SEARCH("'",AM59,1)))))</f>
        <v/>
      </c>
      <c r="AR59" s="5" t="b">
        <f>(LEN(AQ59)&gt;0)</f>
        <v>0</v>
      </c>
      <c r="AS59" s="5" t="b">
        <f t="shared" ref="AS59" si="72">NOT(AI59)</f>
        <v>1</v>
      </c>
      <c r="AT59" s="5" t="b">
        <f>ISNUMBER(SEARCH(".",AQ59,1))</f>
        <v>0</v>
      </c>
      <c r="AU59" s="6">
        <f t="shared" ref="AU59" si="73">IF(AR59,IF(AI59,IF(AT59,VALUE(SUBSTITUTE(AQ59, """", "")),VALUE(SUBSTITUTE(AQ59, """", "."))),VALUE(AQ59)),0)</f>
        <v>0</v>
      </c>
      <c r="AV59" s="6">
        <f t="shared" ref="AV59" si="74">AL59*3600+AP59*60+AU59</f>
        <v>43134.335999999996</v>
      </c>
      <c r="AW59" s="6">
        <f>AV59/3600</f>
        <v>11.98176</v>
      </c>
      <c r="AX59" s="6">
        <f>_xlfn.FLOOR.MATH((AW59))</f>
        <v>11</v>
      </c>
      <c r="AY59" s="6">
        <f>(AV59-3600*AX59)/60</f>
        <v>58.905599999999929</v>
      </c>
      <c r="AZ59" s="6">
        <f>_xlfn.FLOOR.MATH((AY59))</f>
        <v>58</v>
      </c>
      <c r="BA59" s="6">
        <f>AV59-3600*AX59-60*AZ59</f>
        <v>54.335999999995693</v>
      </c>
      <c r="BB59" s="6">
        <f>AW59*IF(AD59&lt;0,-1,1)</f>
        <v>-11.98176</v>
      </c>
      <c r="BC59" s="7" t="str">
        <f>CONCATENATE(AE59,TEXT(AX59,"00"),"°",TEXT(AZ59,"00"),"'",TEXT(BA59,"00.00"), " [", CONCATENATE(AE59,TEXT(AX59,"00"),"°",TEXT(AY59,"00.00")),"]", "  (", AE59,TEXT(AW59,"00.0000"),"°)")</f>
        <v>-11°58'54.34 [-11°58.91]  (-11.9818°)</v>
      </c>
    </row>
    <row r="60" spans="1:57" ht="17.25" customHeight="1" thickBot="1" x14ac:dyDescent="0.3">
      <c r="R60" s="17"/>
      <c r="S60" s="17"/>
      <c r="T60" s="17"/>
      <c r="U60" s="17"/>
      <c r="V60" s="17"/>
      <c r="W60" s="17"/>
      <c r="AC60" s="37"/>
      <c r="AD60" s="17"/>
      <c r="AE60" s="62"/>
      <c r="AF60" s="17"/>
      <c r="AK60" s="17"/>
      <c r="AL60" s="17"/>
      <c r="AM60" s="17"/>
      <c r="AN60" s="17"/>
      <c r="AO60" s="17"/>
      <c r="AP60" s="17"/>
      <c r="AQ60" s="17"/>
      <c r="AR60" s="17"/>
      <c r="AS60" s="17"/>
      <c r="AT60" s="17"/>
    </row>
    <row r="61" spans="1:57" s="50" customFormat="1" ht="17.25" customHeight="1" thickBot="1" x14ac:dyDescent="0.3">
      <c r="A61" s="1"/>
      <c r="B61" s="47" t="s">
        <v>70</v>
      </c>
      <c r="C61" s="48"/>
      <c r="D61" s="48"/>
      <c r="E61" s="362">
        <f>IF(F62=AE62,E66,E74)</f>
        <v>-18.14</v>
      </c>
      <c r="F61" s="362"/>
      <c r="G61" s="362"/>
      <c r="H61" s="48"/>
      <c r="I61" s="48"/>
      <c r="J61" s="48"/>
      <c r="K61" s="48"/>
      <c r="L61" s="48"/>
      <c r="M61" s="48"/>
      <c r="N61" s="48"/>
      <c r="O61" s="48"/>
      <c r="P61" s="48"/>
      <c r="Q61" s="48"/>
      <c r="R61" s="48"/>
      <c r="S61" s="48"/>
      <c r="T61" s="48"/>
      <c r="U61" s="48"/>
      <c r="V61" s="48"/>
      <c r="W61" s="48"/>
      <c r="X61" s="48"/>
      <c r="Y61" s="48"/>
      <c r="Z61" s="48"/>
      <c r="AA61" s="48"/>
      <c r="AB61" s="48"/>
      <c r="AC61" s="48"/>
      <c r="AD61" s="48"/>
      <c r="AE61" s="48"/>
      <c r="AF61" s="48"/>
      <c r="AG61" s="48"/>
      <c r="AH61" s="48"/>
      <c r="AI61" s="48"/>
      <c r="AJ61" s="48"/>
      <c r="AK61" s="48"/>
      <c r="AL61" s="48"/>
      <c r="AM61" s="48"/>
      <c r="AN61" s="48"/>
      <c r="AO61" s="48"/>
      <c r="AP61" s="48"/>
      <c r="AQ61" s="48"/>
      <c r="AR61" s="48"/>
      <c r="AS61" s="48"/>
      <c r="AT61" s="48"/>
      <c r="AU61" s="48"/>
      <c r="AV61" s="48"/>
      <c r="AW61" s="48"/>
      <c r="AX61" s="48"/>
      <c r="AY61" s="48"/>
      <c r="AZ61" s="48"/>
      <c r="BA61" s="49"/>
    </row>
    <row r="62" spans="1:57" ht="17.25" hidden="1" customHeight="1" outlineLevel="1" x14ac:dyDescent="0.25">
      <c r="A62" s="50"/>
      <c r="B62" s="50"/>
      <c r="C62" s="434" t="s">
        <v>58</v>
      </c>
      <c r="D62" s="434"/>
      <c r="E62" s="434"/>
      <c r="F62" s="582" t="s">
        <v>11</v>
      </c>
      <c r="G62" s="582"/>
      <c r="H62" s="582"/>
      <c r="I62" s="50"/>
      <c r="J62" s="50"/>
      <c r="K62" s="50"/>
      <c r="L62" s="50"/>
      <c r="M62" s="50"/>
      <c r="N62" s="50"/>
      <c r="O62" s="50"/>
      <c r="P62" s="50"/>
      <c r="Q62" s="50"/>
      <c r="R62" s="50"/>
      <c r="S62" s="50"/>
      <c r="T62" s="50"/>
      <c r="U62" s="50"/>
      <c r="V62" s="50"/>
      <c r="W62" s="50"/>
      <c r="X62" s="50"/>
      <c r="Y62" s="50"/>
      <c r="Z62" s="50"/>
      <c r="AA62" s="51"/>
      <c r="AB62" s="52"/>
      <c r="AC62" s="52"/>
      <c r="AD62" s="53" t="s">
        <v>59</v>
      </c>
      <c r="AE62" s="54" t="s">
        <v>11</v>
      </c>
      <c r="AF62" s="55">
        <v>0</v>
      </c>
      <c r="AG62" s="55"/>
      <c r="AH62" s="50"/>
      <c r="AI62" s="50"/>
      <c r="AJ62" s="50"/>
      <c r="AK62" s="50"/>
      <c r="AL62" s="50"/>
      <c r="AM62" s="50"/>
      <c r="AN62" s="50"/>
      <c r="AO62" s="50"/>
      <c r="AP62" s="50"/>
      <c r="AQ62" s="50"/>
      <c r="AR62" s="50"/>
      <c r="AS62" s="50"/>
      <c r="AT62" s="50"/>
      <c r="AU62" s="50"/>
      <c r="AV62" s="50"/>
      <c r="AW62" s="50"/>
      <c r="AX62" s="50"/>
      <c r="AY62" s="50"/>
      <c r="AZ62" s="50"/>
      <c r="BA62" s="50"/>
      <c r="BB62" s="50"/>
      <c r="BC62" s="50"/>
      <c r="BD62" s="50"/>
      <c r="BE62" s="50"/>
    </row>
    <row r="63" spans="1:57" ht="17.25" hidden="1" customHeight="1" outlineLevel="1" x14ac:dyDescent="0.25">
      <c r="C63" s="56" t="s">
        <v>11</v>
      </c>
      <c r="D63" s="57"/>
      <c r="E63" s="57"/>
      <c r="F63" s="17"/>
      <c r="G63" s="17"/>
      <c r="H63" s="17"/>
      <c r="AE63" s="58" t="s">
        <v>17</v>
      </c>
      <c r="AF63" s="22">
        <v>1</v>
      </c>
      <c r="AH63" s="17"/>
      <c r="AI63" s="17"/>
      <c r="AJ63" s="17"/>
      <c r="AK63" s="17"/>
      <c r="AL63" s="17"/>
      <c r="AM63" s="17"/>
      <c r="AN63" s="17"/>
      <c r="AO63" s="17"/>
      <c r="AP63" s="17"/>
      <c r="AQ63" s="17"/>
      <c r="AR63" s="17"/>
      <c r="AS63" s="17"/>
      <c r="AT63" s="17"/>
    </row>
    <row r="64" spans="1:57" ht="17.25" hidden="1" customHeight="1" outlineLevel="1" x14ac:dyDescent="0.25">
      <c r="E64" s="401" t="s">
        <v>10</v>
      </c>
      <c r="F64" s="401"/>
      <c r="G64" s="401"/>
      <c r="H64" s="401" t="s">
        <v>13</v>
      </c>
      <c r="I64" s="401"/>
      <c r="J64" s="401"/>
      <c r="K64" s="401"/>
      <c r="L64" s="402" t="s">
        <v>14</v>
      </c>
      <c r="M64" s="402"/>
      <c r="N64" s="402"/>
      <c r="O64" s="415" t="s">
        <v>18</v>
      </c>
      <c r="P64" s="415"/>
      <c r="Q64" s="415"/>
      <c r="R64" s="415"/>
      <c r="S64" s="415"/>
      <c r="T64" s="17"/>
    </row>
    <row r="65" spans="2:61" ht="17.25" hidden="1" customHeight="1" outlineLevel="1" thickBot="1" x14ac:dyDescent="0.3">
      <c r="E65" s="401"/>
      <c r="F65" s="401"/>
      <c r="G65" s="401"/>
      <c r="H65" s="401"/>
      <c r="I65" s="401"/>
      <c r="J65" s="401"/>
      <c r="K65" s="401"/>
      <c r="L65" s="402"/>
      <c r="M65" s="402"/>
      <c r="N65" s="402"/>
      <c r="O65" s="415"/>
      <c r="P65" s="415"/>
      <c r="Q65" s="415"/>
      <c r="R65" s="415"/>
      <c r="S65" s="415"/>
      <c r="T65" s="17"/>
      <c r="AA65" s="18" t="str">
        <f>P66</f>
        <v>12°</v>
      </c>
      <c r="AB65" s="19"/>
      <c r="AC65" s="20"/>
      <c r="AD65" s="3" t="s">
        <v>57</v>
      </c>
      <c r="AE65" s="3" t="s">
        <v>57</v>
      </c>
      <c r="AF65" s="3" t="s">
        <v>304</v>
      </c>
      <c r="AG65" s="3" t="s">
        <v>120</v>
      </c>
      <c r="AH65" s="3" t="s">
        <v>121</v>
      </c>
      <c r="AI65" s="3" t="s">
        <v>122</v>
      </c>
      <c r="AJ65" s="3" t="s">
        <v>123</v>
      </c>
      <c r="AK65" s="3" t="s">
        <v>124</v>
      </c>
      <c r="AL65" s="3" t="s">
        <v>125</v>
      </c>
      <c r="AM65" s="3" t="s">
        <v>101</v>
      </c>
      <c r="AN65" s="3" t="s">
        <v>129</v>
      </c>
      <c r="AO65" s="3" t="s">
        <v>128</v>
      </c>
      <c r="AP65" s="3" t="s">
        <v>126</v>
      </c>
      <c r="AQ65" s="3" t="s">
        <v>127</v>
      </c>
      <c r="AR65" s="3" t="s">
        <v>129</v>
      </c>
      <c r="AS65" s="3" t="s">
        <v>128</v>
      </c>
      <c r="AT65" s="3" t="s">
        <v>130</v>
      </c>
      <c r="AU65" s="3" t="s">
        <v>112</v>
      </c>
      <c r="AV65" s="3" t="s">
        <v>117</v>
      </c>
      <c r="AW65" s="3" t="s">
        <v>143</v>
      </c>
      <c r="AX65" s="3" t="s">
        <v>149</v>
      </c>
      <c r="AY65" s="3" t="s">
        <v>131</v>
      </c>
      <c r="AZ65" s="3" t="s">
        <v>150</v>
      </c>
      <c r="BA65" s="3" t="s">
        <v>112</v>
      </c>
      <c r="BB65" s="3" t="s">
        <v>308</v>
      </c>
      <c r="BC65" s="3" t="s">
        <v>151</v>
      </c>
    </row>
    <row r="66" spans="2:61" ht="17.25" hidden="1" customHeight="1" outlineLevel="1" thickTop="1" thickBot="1" x14ac:dyDescent="0.3">
      <c r="D66" s="59"/>
      <c r="E66" s="397">
        <f>IF(F62=AE63,"---",AC71)</f>
        <v>-18.14</v>
      </c>
      <c r="F66" s="397"/>
      <c r="G66" s="397"/>
      <c r="H66" s="585">
        <f>D11</f>
        <v>16.14</v>
      </c>
      <c r="I66" s="585"/>
      <c r="J66" s="585"/>
      <c r="K66" s="585"/>
      <c r="L66" s="586">
        <v>10</v>
      </c>
      <c r="M66" s="585"/>
      <c r="N66" s="585"/>
      <c r="O66" s="585" t="s">
        <v>5</v>
      </c>
      <c r="P66" s="585" t="s">
        <v>21</v>
      </c>
      <c r="Q66" s="585"/>
      <c r="R66" s="585"/>
      <c r="S66" s="585"/>
      <c r="T66" s="357" t="str">
        <f>AB66</f>
        <v>-12°00'00.00 [-12°00.00]  (-12.0000°)</v>
      </c>
      <c r="U66" s="358"/>
      <c r="V66" s="358"/>
      <c r="W66" s="358"/>
      <c r="X66" s="358"/>
      <c r="AA66" s="18" t="str">
        <f>IF(VLOOKUP(O66,$A$36:$C$37,3)&gt;0,AA65,CONCATENATE("-",AA65))</f>
        <v>-12°</v>
      </c>
      <c r="AB66" s="14" t="str">
        <f>BC66</f>
        <v>-12°00'00.00 [-12°00.00]  (-12.0000°)</v>
      </c>
      <c r="AC66" s="7">
        <f>BB66</f>
        <v>-12</v>
      </c>
      <c r="AD66" s="5">
        <f>IF(LEFT(TRIM(AA66),1)="-",-1,IF(LEFT(TRIM(AA66),1)="+",1, 0))</f>
        <v>-1</v>
      </c>
      <c r="AE66" s="5" t="str">
        <f>IF(AD66&gt;0,"+",IF(AD66&lt;0,"-",""))</f>
        <v>-</v>
      </c>
      <c r="AF66" s="5" t="str">
        <f>IF(ABS(AD66)&gt;0,RIGHT(AA66,LEN(AA66)-1),AA66)</f>
        <v>12°</v>
      </c>
      <c r="AG66" s="5" t="b">
        <f>ISNUMBER(SEARCH("°",AF66,1))</f>
        <v>1</v>
      </c>
      <c r="AH66" s="5" t="b">
        <f>ISNUMBER(SEARCH("'",AF66,1))</f>
        <v>0</v>
      </c>
      <c r="AI66" s="5" t="b">
        <f>ISNUMBER(SEARCH("""",AF66,1))</f>
        <v>0</v>
      </c>
      <c r="AJ66" s="5" t="b">
        <f>NOT(OR(AG66,AH66,AI66))</f>
        <v>0</v>
      </c>
      <c r="AK66" s="5" t="b">
        <f t="shared" ref="AK66" si="75">OR(AJ66,AG66)</f>
        <v>1</v>
      </c>
      <c r="AL66" s="6" t="str">
        <f>IF(AJ66,VALUE(AF66),IF(AG66,LEFT(AF66,SEARCH("°",AF66,1)-1),0))</f>
        <v>12</v>
      </c>
      <c r="AM66" s="5" t="str">
        <f>IF(AJ66,"",IF(AG66,RIGHT(AF66,LEN(AF66)-SEARCH("°",AF66,1)),AF66))</f>
        <v/>
      </c>
      <c r="AN66" s="5" t="b">
        <f>(LEN(AM66)&gt;0)</f>
        <v>0</v>
      </c>
      <c r="AO66" s="5" t="b">
        <f>NOT(OR(AH66,AI66))</f>
        <v>1</v>
      </c>
      <c r="AP66" s="6">
        <f t="shared" ref="AP66:AP68" si="76">IF(NOT(AN66),0,IF(AO66,VALUE(AM66),IF(NOT(AH66),0,VALUE(LEFT(AM66,SEARCH("'",AM66,1)-1)))))</f>
        <v>0</v>
      </c>
      <c r="AQ66" s="5" t="str">
        <f t="shared" ref="AQ66:AQ68" si="77">IF(NOT(AN66),"",IF(AO66,"",IF(NOT(AH66),AM66,RIGHT(AM66,LEN(AM66)-SEARCH("'",AM66,1)))))</f>
        <v/>
      </c>
      <c r="AR66" s="5" t="b">
        <f>(LEN(AQ66)&gt;0)</f>
        <v>0</v>
      </c>
      <c r="AS66" s="5" t="b">
        <f t="shared" ref="AS66:AS68" si="78">NOT(AI66)</f>
        <v>1</v>
      </c>
      <c r="AT66" s="5" t="b">
        <f>ISNUMBER(SEARCH(".",AQ66,1))</f>
        <v>0</v>
      </c>
      <c r="AU66" s="6">
        <f t="shared" ref="AU66:AU68" si="79">IF(AR66,IF(AI66,IF(AT66,VALUE(SUBSTITUTE(AQ66, """", "")),VALUE(SUBSTITUTE(AQ66, """", "."))),VALUE(AQ66)),0)</f>
        <v>0</v>
      </c>
      <c r="AV66" s="6">
        <f t="shared" ref="AV66:AV68" si="80">AL66*3600+AP66*60+AU66</f>
        <v>43200</v>
      </c>
      <c r="AW66" s="6">
        <f>AV66/3600</f>
        <v>12</v>
      </c>
      <c r="AX66" s="6">
        <f>_xlfn.FLOOR.MATH((AW66))</f>
        <v>12</v>
      </c>
      <c r="AY66" s="6">
        <f>(AV66-3600*AX66)/60</f>
        <v>0</v>
      </c>
      <c r="AZ66" s="6">
        <f>_xlfn.FLOOR.MATH((AY66))</f>
        <v>0</v>
      </c>
      <c r="BA66" s="6">
        <f>AV66-3600*AX66-60*AZ66</f>
        <v>0</v>
      </c>
      <c r="BB66" s="6">
        <f>AW66*IF(AD66&lt;0,-1,1)</f>
        <v>-12</v>
      </c>
      <c r="BC66" s="7" t="str">
        <f>CONCATENATE(AE66,TEXT(AX66,"00"),"°",TEXT(AZ66,"00"),"'",TEXT(BA66,"00.00"), " [", CONCATENATE(AE66,TEXT(AX66,"00"),"°",TEXT(AY66,"00.00")),"]", "  (", AE66,TEXT(AW66,"00.0000"),"°)")</f>
        <v>-12°00'00.00 [-12°00.00]  (-12.0000°)</v>
      </c>
    </row>
    <row r="67" spans="2:61" ht="17.25" hidden="1" customHeight="1" outlineLevel="1" thickTop="1" thickBot="1" x14ac:dyDescent="0.3">
      <c r="E67" s="398"/>
      <c r="F67" s="398"/>
      <c r="G67" s="398"/>
      <c r="H67" s="584"/>
      <c r="I67" s="584"/>
      <c r="J67" s="584"/>
      <c r="K67" s="584"/>
      <c r="L67" s="583"/>
      <c r="M67" s="584"/>
      <c r="N67" s="584"/>
      <c r="O67" s="584"/>
      <c r="P67" s="584"/>
      <c r="Q67" s="584"/>
      <c r="R67" s="584"/>
      <c r="S67" s="584"/>
      <c r="T67" s="358"/>
      <c r="U67" s="358"/>
      <c r="V67" s="358"/>
      <c r="W67" s="358"/>
      <c r="X67" s="358"/>
      <c r="AA67" s="18" t="str">
        <f>P68</f>
        <v>13°</v>
      </c>
      <c r="AB67" s="14"/>
      <c r="AC67" s="7"/>
      <c r="AD67" s="178"/>
      <c r="AE67" s="178"/>
      <c r="AF67" s="178"/>
      <c r="AG67" s="178"/>
      <c r="AH67" s="178"/>
      <c r="AI67" s="178"/>
      <c r="AJ67" s="178"/>
      <c r="AK67" s="178"/>
      <c r="AL67" s="178"/>
      <c r="AM67" s="178"/>
      <c r="AN67" s="178"/>
      <c r="AO67" s="5"/>
      <c r="AP67" s="6">
        <f t="shared" si="76"/>
        <v>0</v>
      </c>
      <c r="AQ67" s="5" t="str">
        <f t="shared" si="77"/>
        <v/>
      </c>
      <c r="AR67" s="5" t="b">
        <f>(LEN(AQ67)&gt;0)</f>
        <v>0</v>
      </c>
      <c r="AS67" s="5" t="b">
        <f t="shared" si="78"/>
        <v>1</v>
      </c>
      <c r="AT67" s="5" t="b">
        <f>ISNUMBER(SEARCH(".",AQ67,1))</f>
        <v>0</v>
      </c>
      <c r="AU67" s="6">
        <f t="shared" si="79"/>
        <v>0</v>
      </c>
      <c r="AV67" s="6">
        <f t="shared" si="80"/>
        <v>0</v>
      </c>
      <c r="AW67" s="6">
        <f>AV67/3600</f>
        <v>0</v>
      </c>
      <c r="AX67" s="6">
        <f>_xlfn.FLOOR.MATH((AW67))</f>
        <v>0</v>
      </c>
      <c r="AY67" s="6">
        <f>(AV67-3600*AX67)/60</f>
        <v>0</v>
      </c>
      <c r="AZ67" s="6">
        <f>_xlfn.FLOOR.MATH((AY67))</f>
        <v>0</v>
      </c>
      <c r="BA67" s="6">
        <f>AV67-3600*AX67-60*AZ67</f>
        <v>0</v>
      </c>
      <c r="BB67" s="6">
        <f>AW67*IF(AD67&lt;0,-1,1)</f>
        <v>0</v>
      </c>
      <c r="BC67" s="7" t="str">
        <f>CONCATENATE(AE67,TEXT(AX67,"00"),"°",TEXT(AZ67,"00"),"'",TEXT(BA67,"00.00"), " [", CONCATENATE(AE67,TEXT(AX67,"00"),"°",TEXT(AY67,"00.00")),"]", "  (", AE67,TEXT(AW67,"00.0000"),"°)")</f>
        <v>00°00'00.00 [00°00.00]  (00.0000°)</v>
      </c>
    </row>
    <row r="68" spans="2:61" ht="17.25" hidden="1" customHeight="1" outlineLevel="1" thickTop="1" thickBot="1" x14ac:dyDescent="0.3">
      <c r="E68" s="398"/>
      <c r="F68" s="398"/>
      <c r="G68" s="398"/>
      <c r="H68" s="584"/>
      <c r="I68" s="584"/>
      <c r="J68" s="584"/>
      <c r="K68" s="584"/>
      <c r="L68" s="583">
        <v>11</v>
      </c>
      <c r="M68" s="584"/>
      <c r="N68" s="584"/>
      <c r="O68" s="584" t="s">
        <v>5</v>
      </c>
      <c r="P68" s="584" t="s">
        <v>22</v>
      </c>
      <c r="Q68" s="584"/>
      <c r="R68" s="584"/>
      <c r="S68" s="584"/>
      <c r="T68" s="357" t="str">
        <f>AB68</f>
        <v>-13°00'00.00 [-13°00.00]  (-13.0000°)</v>
      </c>
      <c r="U68" s="358"/>
      <c r="V68" s="358"/>
      <c r="W68" s="358"/>
      <c r="X68" s="358"/>
      <c r="AA68" s="18" t="str">
        <f>IF(VLOOKUP(O68,$A$36:$C$37,3)&gt;0,AA67,CONCATENATE("-",AA67))</f>
        <v>-13°</v>
      </c>
      <c r="AB68" s="14" t="str">
        <f>BC68</f>
        <v>-13°00'00.00 [-13°00.00]  (-13.0000°)</v>
      </c>
      <c r="AC68" s="7">
        <f>BB68</f>
        <v>-13</v>
      </c>
      <c r="AD68" s="5">
        <f>IF(LEFT(TRIM(AA68),1)="-",-1,IF(LEFT(TRIM(AA68),1)="+",1, 0))</f>
        <v>-1</v>
      </c>
      <c r="AE68" s="5" t="str">
        <f>IF(AD68&gt;0,"+",IF(AD68&lt;0,"-",""))</f>
        <v>-</v>
      </c>
      <c r="AF68" s="5" t="str">
        <f>IF(ABS(AD68)&gt;0,RIGHT(AA68,LEN(AA68)-1),AA68)</f>
        <v>13°</v>
      </c>
      <c r="AG68" s="5" t="b">
        <f>ISNUMBER(SEARCH("°",AF68,1))</f>
        <v>1</v>
      </c>
      <c r="AH68" s="5" t="b">
        <f>ISNUMBER(SEARCH("'",AF68,1))</f>
        <v>0</v>
      </c>
      <c r="AI68" s="5" t="b">
        <f>ISNUMBER(SEARCH("""",AF68,1))</f>
        <v>0</v>
      </c>
      <c r="AJ68" s="5" t="b">
        <f>NOT(OR(AG68,AH68,AI68))</f>
        <v>0</v>
      </c>
      <c r="AK68" s="5" t="b">
        <f t="shared" ref="AK68" si="81">OR(AJ68,AG68)</f>
        <v>1</v>
      </c>
      <c r="AL68" s="6" t="str">
        <f>IF(AJ68,VALUE(AF68),IF(AG68,LEFT(AF68,SEARCH("°",AF68,1)-1),0))</f>
        <v>13</v>
      </c>
      <c r="AM68" s="5" t="str">
        <f>IF(AJ68,"",IF(AG68,RIGHT(AF68,LEN(AF68)-SEARCH("°",AF68,1)),AF68))</f>
        <v/>
      </c>
      <c r="AN68" s="5" t="b">
        <f>(LEN(AM68)&gt;0)</f>
        <v>0</v>
      </c>
      <c r="AO68" s="5" t="b">
        <f>NOT(OR(AH68,AI68))</f>
        <v>1</v>
      </c>
      <c r="AP68" s="6">
        <f t="shared" si="76"/>
        <v>0</v>
      </c>
      <c r="AQ68" s="5" t="str">
        <f t="shared" si="77"/>
        <v/>
      </c>
      <c r="AR68" s="5" t="b">
        <f>(LEN(AQ68)&gt;0)</f>
        <v>0</v>
      </c>
      <c r="AS68" s="5" t="b">
        <f t="shared" si="78"/>
        <v>1</v>
      </c>
      <c r="AT68" s="5" t="b">
        <f>ISNUMBER(SEARCH(".",AQ68,1))</f>
        <v>0</v>
      </c>
      <c r="AU68" s="6">
        <f t="shared" si="79"/>
        <v>0</v>
      </c>
      <c r="AV68" s="6">
        <f t="shared" si="80"/>
        <v>46800</v>
      </c>
      <c r="AW68" s="6">
        <f>AV68/3600</f>
        <v>13</v>
      </c>
      <c r="AX68" s="6">
        <f>_xlfn.FLOOR.MATH((AW68))</f>
        <v>13</v>
      </c>
      <c r="AY68" s="6">
        <f>(AV68-3600*AX68)/60</f>
        <v>0</v>
      </c>
      <c r="AZ68" s="6">
        <f>_xlfn.FLOOR.MATH((AY68))</f>
        <v>0</v>
      </c>
      <c r="BA68" s="6">
        <f>AV68-3600*AX68-60*AZ68</f>
        <v>0</v>
      </c>
      <c r="BB68" s="6">
        <f>AW68*IF(AD68&lt;0,-1,1)</f>
        <v>-13</v>
      </c>
      <c r="BC68" s="7" t="str">
        <f>CONCATENATE(AE68,TEXT(AX68,"00"),"°",TEXT(AZ68,"00"),"'",TEXT(BA68,"00.00"), " [", CONCATENATE(AE68,TEXT(AX68,"00"),"°",TEXT(AY68,"00.00")),"]", "  (", AE68,TEXT(AW68,"00.0000"),"°)")</f>
        <v>-13°00'00.00 [-13°00.00]  (-13.0000°)</v>
      </c>
    </row>
    <row r="69" spans="2:61" ht="17.25" hidden="1" customHeight="1" outlineLevel="1" thickTop="1" thickBot="1" x14ac:dyDescent="0.3">
      <c r="E69" s="398"/>
      <c r="F69" s="398"/>
      <c r="G69" s="398"/>
      <c r="H69" s="584"/>
      <c r="I69" s="584"/>
      <c r="J69" s="584"/>
      <c r="K69" s="584"/>
      <c r="L69" s="583"/>
      <c r="M69" s="584"/>
      <c r="N69" s="584"/>
      <c r="O69" s="584"/>
      <c r="P69" s="584"/>
      <c r="Q69" s="584"/>
      <c r="R69" s="584"/>
      <c r="S69" s="584"/>
      <c r="T69" s="358"/>
      <c r="U69" s="358"/>
      <c r="V69" s="358"/>
      <c r="W69" s="358"/>
      <c r="X69" s="358"/>
      <c r="AA69" s="18">
        <f>AC68</f>
        <v>-13</v>
      </c>
      <c r="AD69" s="31" t="s">
        <v>62</v>
      </c>
      <c r="AE69" s="31" t="s">
        <v>61</v>
      </c>
      <c r="AF69" s="31" t="s">
        <v>63</v>
      </c>
      <c r="AG69" s="31" t="s">
        <v>60</v>
      </c>
      <c r="AH69" s="178"/>
      <c r="AI69" s="178"/>
      <c r="AJ69" s="178"/>
      <c r="AK69" s="178"/>
      <c r="AL69" s="178"/>
      <c r="AM69" s="178"/>
      <c r="AN69" s="17"/>
      <c r="AO69" s="17"/>
      <c r="AP69" s="17"/>
      <c r="AQ69" s="17"/>
      <c r="AR69" s="17"/>
      <c r="AS69" s="17"/>
      <c r="AT69" s="17"/>
    </row>
    <row r="70" spans="2:61" ht="17.25" hidden="1" customHeight="1" outlineLevel="1" thickTop="1" thickBot="1" x14ac:dyDescent="0.3">
      <c r="E70" s="279" t="str">
        <f>AB71</f>
        <v>-18°08'24.00 [-18°08.40]  (-18.1400°)</v>
      </c>
      <c r="F70" s="279"/>
      <c r="G70" s="279"/>
      <c r="H70" s="279"/>
      <c r="I70" s="279"/>
      <c r="J70" s="279"/>
      <c r="Z70" s="17"/>
      <c r="AB70" s="28">
        <f>AL70</f>
        <v>0</v>
      </c>
      <c r="AC70" s="37">
        <f>AG70</f>
        <v>-18.14</v>
      </c>
      <c r="AD70" s="22">
        <f>L68-L66</f>
        <v>1</v>
      </c>
      <c r="AE70" s="22">
        <f>AC68-AC66</f>
        <v>-1</v>
      </c>
      <c r="AF70" s="22">
        <f>H66-L66</f>
        <v>6.1400000000000006</v>
      </c>
      <c r="AG70" s="22">
        <f>AC66+AF70*AE70</f>
        <v>-18.14</v>
      </c>
      <c r="AH70" s="178"/>
      <c r="AI70" s="178"/>
      <c r="AJ70" s="178"/>
      <c r="AK70" s="178"/>
      <c r="AL70" s="178"/>
      <c r="AM70" s="178"/>
      <c r="AN70" s="17"/>
      <c r="AO70" s="17"/>
      <c r="AP70" s="17"/>
      <c r="AQ70" s="17"/>
      <c r="AR70" s="17"/>
      <c r="AS70" s="17"/>
      <c r="AT70" s="17"/>
    </row>
    <row r="71" spans="2:61" ht="17.25" hidden="1" customHeight="1" outlineLevel="1" thickTop="1" x14ac:dyDescent="0.25">
      <c r="C71" s="56" t="s">
        <v>17</v>
      </c>
      <c r="D71" s="57"/>
      <c r="E71" s="57"/>
      <c r="F71" s="17"/>
      <c r="G71" s="17"/>
      <c r="H71" s="17"/>
      <c r="Z71" s="17"/>
      <c r="AA71" s="18">
        <f>AC70</f>
        <v>-18.14</v>
      </c>
      <c r="AB71" s="14" t="str">
        <f>BC71</f>
        <v>-18°08'24.00 [-18°08.40]  (-18.1400°)</v>
      </c>
      <c r="AC71" s="7">
        <f>BB71</f>
        <v>-18.14</v>
      </c>
      <c r="AD71" s="5">
        <f>IF(LEFT(TRIM(AA71),1)="-",-1,IF(LEFT(TRIM(AA71),1)="+",1, 0))</f>
        <v>-1</v>
      </c>
      <c r="AE71" s="5" t="str">
        <f>IF(AD71&gt;0,"+",IF(AD71&lt;0,"-",""))</f>
        <v>-</v>
      </c>
      <c r="AF71" s="5" t="str">
        <f>IF(ABS(AD71)&gt;0,RIGHT(AA71,LEN(AA71)-1),AA71)</f>
        <v>18.14</v>
      </c>
      <c r="AG71" s="5" t="b">
        <f>ISNUMBER(SEARCH("°",AF71,1))</f>
        <v>0</v>
      </c>
      <c r="AH71" s="5" t="b">
        <f>ISNUMBER(SEARCH("'",AF71,1))</f>
        <v>0</v>
      </c>
      <c r="AI71" s="5" t="b">
        <f>ISNUMBER(SEARCH("""",AF71,1))</f>
        <v>0</v>
      </c>
      <c r="AJ71" s="5" t="b">
        <f>NOT(OR(AG71,AH71,AI71))</f>
        <v>1</v>
      </c>
      <c r="AK71" s="5" t="b">
        <f t="shared" ref="AK71" si="82">OR(AJ71,AG71)</f>
        <v>1</v>
      </c>
      <c r="AL71" s="6">
        <f>IF(AJ71,VALUE(AF71),IF(AG71,LEFT(AF71,SEARCH("°",AF71,1)-1),0))</f>
        <v>18.14</v>
      </c>
      <c r="AM71" s="5" t="str">
        <f>IF(AJ71,"",IF(AG71,RIGHT(AF71,LEN(AF71)-SEARCH("°",AF71,1)),AF71))</f>
        <v/>
      </c>
      <c r="AN71" s="5" t="b">
        <f>(LEN(AM71)&gt;0)</f>
        <v>0</v>
      </c>
      <c r="AO71" s="5" t="b">
        <f>NOT(OR(AH71,AI71))</f>
        <v>1</v>
      </c>
      <c r="AP71" s="6">
        <f t="shared" ref="AP71" si="83">IF(NOT(AN71),0,IF(AO71,VALUE(AM71),IF(NOT(AH71),0,VALUE(LEFT(AM71,SEARCH("'",AM71,1)-1)))))</f>
        <v>0</v>
      </c>
      <c r="AQ71" s="5" t="str">
        <f t="shared" ref="AQ71" si="84">IF(NOT(AN71),"",IF(AO71,"",IF(NOT(AH71),AM71,RIGHT(AM71,LEN(AM71)-SEARCH("'",AM71,1)))))</f>
        <v/>
      </c>
      <c r="AR71" s="5" t="b">
        <f>(LEN(AQ71)&gt;0)</f>
        <v>0</v>
      </c>
      <c r="AS71" s="5" t="b">
        <f t="shared" ref="AS71" si="85">NOT(AI71)</f>
        <v>1</v>
      </c>
      <c r="AT71" s="5" t="b">
        <f>ISNUMBER(SEARCH(".",AQ71,1))</f>
        <v>0</v>
      </c>
      <c r="AU71" s="6">
        <f t="shared" ref="AU71" si="86">IF(AR71,IF(AI71,IF(AT71,VALUE(SUBSTITUTE(AQ71, """", "")),VALUE(SUBSTITUTE(AQ71, """", "."))),VALUE(AQ71)),0)</f>
        <v>0</v>
      </c>
      <c r="AV71" s="6">
        <f t="shared" ref="AV71" si="87">AL71*3600+AP71*60+AU71</f>
        <v>65304</v>
      </c>
      <c r="AW71" s="6">
        <f>AV71/3600</f>
        <v>18.14</v>
      </c>
      <c r="AX71" s="6">
        <f>_xlfn.FLOOR.MATH((AW71))</f>
        <v>18</v>
      </c>
      <c r="AY71" s="6">
        <f>(AV71-3600*AX71)/60</f>
        <v>8.4</v>
      </c>
      <c r="AZ71" s="6">
        <f>_xlfn.FLOOR.MATH((AY71))</f>
        <v>8</v>
      </c>
      <c r="BA71" s="6">
        <f>AV71-3600*AX71-60*AZ71</f>
        <v>24</v>
      </c>
      <c r="BB71" s="6">
        <f>AW71*IF(AD71&lt;0,-1,1)</f>
        <v>-18.14</v>
      </c>
      <c r="BC71" s="7" t="str">
        <f>CONCATENATE(AE71,TEXT(AX71,"00"),"°",TEXT(AZ71,"00"),"'",TEXT(BA71,"00.00"), " [", CONCATENATE(AE71,TEXT(AX71,"00"),"°",TEXT(AY71,"00.00")),"]", "  (", AE71,TEXT(AW71,"00.0000"),"°)")</f>
        <v>-18°08'24.00 [-18°08.40]  (-18.1400°)</v>
      </c>
    </row>
    <row r="72" spans="2:61" ht="17.25" hidden="1" customHeight="1" outlineLevel="1" x14ac:dyDescent="0.25">
      <c r="C72" s="17"/>
      <c r="D72" s="17"/>
      <c r="E72" s="401" t="s">
        <v>10</v>
      </c>
      <c r="F72" s="401"/>
      <c r="G72" s="401"/>
      <c r="H72" s="401" t="s">
        <v>13</v>
      </c>
      <c r="I72" s="401"/>
      <c r="J72" s="401"/>
      <c r="K72" s="401"/>
      <c r="L72" s="402" t="s">
        <v>14</v>
      </c>
      <c r="M72" s="402"/>
      <c r="N72" s="402"/>
      <c r="O72" s="415" t="s">
        <v>20</v>
      </c>
      <c r="P72" s="415"/>
      <c r="Q72" s="415"/>
      <c r="R72" s="415"/>
      <c r="S72" s="415"/>
      <c r="T72" s="415" t="s">
        <v>19</v>
      </c>
      <c r="U72" s="415"/>
      <c r="V72" s="415"/>
      <c r="W72" s="415"/>
      <c r="X72" s="415"/>
      <c r="Z72" s="17"/>
      <c r="AA72" s="18" t="str">
        <f>P74</f>
        <v>6°35.9</v>
      </c>
      <c r="AB72" s="19"/>
      <c r="AC72" s="20"/>
      <c r="AD72" s="3" t="s">
        <v>57</v>
      </c>
      <c r="AE72" s="3" t="s">
        <v>57</v>
      </c>
      <c r="AF72" s="3" t="s">
        <v>304</v>
      </c>
      <c r="AG72" s="3" t="s">
        <v>120</v>
      </c>
      <c r="AH72" s="3" t="s">
        <v>121</v>
      </c>
      <c r="AI72" s="3" t="s">
        <v>122</v>
      </c>
      <c r="AJ72" s="3" t="s">
        <v>123</v>
      </c>
      <c r="AK72" s="3" t="s">
        <v>124</v>
      </c>
      <c r="AL72" s="3" t="s">
        <v>125</v>
      </c>
      <c r="AM72" s="3" t="s">
        <v>101</v>
      </c>
      <c r="AN72" s="3" t="s">
        <v>129</v>
      </c>
      <c r="AO72" s="3" t="s">
        <v>128</v>
      </c>
      <c r="AP72" s="3" t="s">
        <v>126</v>
      </c>
      <c r="AQ72" s="3" t="s">
        <v>127</v>
      </c>
      <c r="AR72" s="3" t="s">
        <v>129</v>
      </c>
      <c r="AS72" s="3" t="s">
        <v>128</v>
      </c>
      <c r="AT72" s="3" t="s">
        <v>130</v>
      </c>
      <c r="AU72" s="3" t="s">
        <v>112</v>
      </c>
      <c r="AV72" s="3" t="s">
        <v>117</v>
      </c>
      <c r="AW72" s="3" t="s">
        <v>143</v>
      </c>
      <c r="AX72" s="3" t="s">
        <v>149</v>
      </c>
      <c r="AY72" s="3" t="s">
        <v>131</v>
      </c>
      <c r="AZ72" s="3" t="s">
        <v>150</v>
      </c>
      <c r="BA72" s="3" t="s">
        <v>112</v>
      </c>
      <c r="BB72" s="3" t="s">
        <v>308</v>
      </c>
      <c r="BC72" s="3" t="s">
        <v>151</v>
      </c>
    </row>
    <row r="73" spans="2:61" ht="17.25" hidden="1" customHeight="1" outlineLevel="1" x14ac:dyDescent="0.25">
      <c r="E73" s="401"/>
      <c r="F73" s="401"/>
      <c r="G73" s="401"/>
      <c r="H73" s="401"/>
      <c r="I73" s="401"/>
      <c r="J73" s="401"/>
      <c r="K73" s="401"/>
      <c r="L73" s="402"/>
      <c r="M73" s="402"/>
      <c r="N73" s="402"/>
      <c r="O73" s="415"/>
      <c r="P73" s="415"/>
      <c r="Q73" s="415"/>
      <c r="R73" s="415"/>
      <c r="S73" s="415"/>
      <c r="T73" s="415"/>
      <c r="U73" s="415"/>
      <c r="V73" s="415"/>
      <c r="W73" s="415"/>
      <c r="X73" s="415"/>
      <c r="Y73" s="17"/>
      <c r="Z73" s="17"/>
      <c r="AA73" s="18" t="str">
        <f>IF(VLOOKUP(O74,$A$36:$C$37,3)&gt;0,AA72,CONCATENATE("-",AA72))</f>
        <v>6°35.9</v>
      </c>
      <c r="AB73" s="14" t="str">
        <f>BC73</f>
        <v>06°35'54.00 [06°35.90]  (06.5983°)</v>
      </c>
      <c r="AC73" s="7">
        <f>BB73</f>
        <v>6.5983333333333336</v>
      </c>
      <c r="AD73" s="5">
        <f>IF(LEFT(TRIM(AA73),1)="-",-1,IF(LEFT(TRIM(AA73),1)="+",1, 0))</f>
        <v>0</v>
      </c>
      <c r="AE73" s="5" t="str">
        <f>IF(AD73&gt;0,"+",IF(AD73&lt;0,"-",""))</f>
        <v/>
      </c>
      <c r="AF73" s="5" t="str">
        <f>IF(ABS(AD73)&gt;0,RIGHT(AA73,LEN(AA73)-1),AA73)</f>
        <v>6°35.9</v>
      </c>
      <c r="AG73" s="5" t="b">
        <f>ISNUMBER(SEARCH("°",AF73,1))</f>
        <v>1</v>
      </c>
      <c r="AH73" s="5" t="b">
        <f>ISNUMBER(SEARCH("'",AF73,1))</f>
        <v>0</v>
      </c>
      <c r="AI73" s="5" t="b">
        <f>ISNUMBER(SEARCH("""",AF73,1))</f>
        <v>0</v>
      </c>
      <c r="AJ73" s="5" t="b">
        <f>NOT(OR(AG73,AH73,AI73))</f>
        <v>0</v>
      </c>
      <c r="AK73" s="5" t="b">
        <f t="shared" ref="AK73:AK75" si="88">OR(AJ73,AG73)</f>
        <v>1</v>
      </c>
      <c r="AL73" s="6" t="str">
        <f>IF(AJ73,VALUE(AF73),IF(AG73,LEFT(AF73,SEARCH("°",AF73,1)-1),0))</f>
        <v>6</v>
      </c>
      <c r="AM73" s="5" t="str">
        <f>IF(AJ73,"",IF(AG73,RIGHT(AF73,LEN(AF73)-SEARCH("°",AF73,1)),AF73))</f>
        <v>35.9</v>
      </c>
      <c r="AN73" s="5" t="b">
        <f>(LEN(AM73)&gt;0)</f>
        <v>1</v>
      </c>
      <c r="AO73" s="5" t="b">
        <f>NOT(OR(AH73,AI73))</f>
        <v>1</v>
      </c>
      <c r="AP73" s="6">
        <f t="shared" ref="AP73:AP75" si="89">IF(NOT(AN73),0,IF(AO73,VALUE(AM73),IF(NOT(AH73),0,VALUE(LEFT(AM73,SEARCH("'",AM73,1)-1)))))</f>
        <v>35.9</v>
      </c>
      <c r="AQ73" s="5" t="str">
        <f t="shared" ref="AQ73:AQ75" si="90">IF(NOT(AN73),"",IF(AO73,"",IF(NOT(AH73),AM73,RIGHT(AM73,LEN(AM73)-SEARCH("'",AM73,1)))))</f>
        <v/>
      </c>
      <c r="AR73" s="5" t="b">
        <f>(LEN(AQ73)&gt;0)</f>
        <v>0</v>
      </c>
      <c r="AS73" s="5" t="b">
        <f t="shared" ref="AS73:AS75" si="91">NOT(AI73)</f>
        <v>1</v>
      </c>
      <c r="AT73" s="5" t="b">
        <f>ISNUMBER(SEARCH(".",AQ73,1))</f>
        <v>0</v>
      </c>
      <c r="AU73" s="6">
        <f t="shared" ref="AU73:AU75" si="92">IF(AR73,IF(AI73,IF(AT73,VALUE(SUBSTITUTE(AQ73, """", "")),VALUE(SUBSTITUTE(AQ73, """", "."))),VALUE(AQ73)),0)</f>
        <v>0</v>
      </c>
      <c r="AV73" s="6">
        <f t="shared" ref="AV73:AV75" si="93">AL73*3600+AP73*60+AU73</f>
        <v>23754</v>
      </c>
      <c r="AW73" s="6">
        <f>AV73/3600</f>
        <v>6.5983333333333336</v>
      </c>
      <c r="AX73" s="6">
        <f>_xlfn.FLOOR.MATH((AW73))</f>
        <v>6</v>
      </c>
      <c r="AY73" s="6">
        <f>(AV73-3600*AX73)/60</f>
        <v>35.9</v>
      </c>
      <c r="AZ73" s="6">
        <f>_xlfn.FLOOR.MATH((AY73))</f>
        <v>35</v>
      </c>
      <c r="BA73" s="6">
        <f>AV73-3600*AX73-60*AZ73</f>
        <v>54</v>
      </c>
      <c r="BB73" s="6">
        <f>AW73*IF(AD73&lt;0,-1,1)</f>
        <v>6.5983333333333336</v>
      </c>
      <c r="BC73" s="7" t="str">
        <f>CONCATENATE(AE73,TEXT(AX73,"00"),"°",TEXT(AZ73,"00"),"'",TEXT(BA73,"00.00"), " [", CONCATENATE(AE73,TEXT(AX73,"00"),"°",TEXT(AY73,"00.00")),"]", "  (", AE73,TEXT(AW73,"00.0000"),"°)")</f>
        <v>06°35'54.00 [06°35.90]  (06.5983°)</v>
      </c>
    </row>
    <row r="74" spans="2:61" ht="17.25" hidden="1" customHeight="1" outlineLevel="1" collapsed="1" x14ac:dyDescent="0.25">
      <c r="D74" s="59"/>
      <c r="E74" s="397" t="str">
        <f>IF(F62=AE63,AC76,"---")</f>
        <v>---</v>
      </c>
      <c r="F74" s="397"/>
      <c r="G74" s="397"/>
      <c r="H74" s="585">
        <f>D11</f>
        <v>16.14</v>
      </c>
      <c r="I74" s="585"/>
      <c r="J74" s="585"/>
      <c r="K74" s="585"/>
      <c r="L74" s="586">
        <v>0</v>
      </c>
      <c r="M74" s="585"/>
      <c r="N74" s="585"/>
      <c r="O74" s="585" t="s">
        <v>4</v>
      </c>
      <c r="P74" s="587" t="s">
        <v>29</v>
      </c>
      <c r="Q74" s="585"/>
      <c r="R74" s="585"/>
      <c r="S74" s="585"/>
      <c r="T74" s="585" t="s">
        <v>5</v>
      </c>
      <c r="U74" s="587" t="s">
        <v>64</v>
      </c>
      <c r="V74" s="585"/>
      <c r="W74" s="585"/>
      <c r="X74" s="585"/>
      <c r="Y74" s="17"/>
      <c r="AA74" s="18" t="str">
        <f>U74</f>
        <v>0°10</v>
      </c>
      <c r="AB74" s="14"/>
      <c r="AC74" s="7"/>
      <c r="AD74" s="178"/>
      <c r="AE74" s="178"/>
      <c r="AF74" s="178"/>
      <c r="AG74" s="178"/>
      <c r="AH74" s="178"/>
      <c r="AI74" s="178"/>
      <c r="AJ74" s="178"/>
      <c r="AK74" s="178"/>
      <c r="AL74" s="178"/>
      <c r="AM74" s="178"/>
      <c r="AN74" s="178"/>
      <c r="AO74" s="178"/>
      <c r="AP74" s="178"/>
      <c r="AQ74" s="178"/>
      <c r="AR74" s="178"/>
      <c r="AS74" s="178"/>
      <c r="AT74" s="178"/>
      <c r="AU74" s="178"/>
      <c r="AV74" s="178"/>
      <c r="AW74" s="178"/>
      <c r="AX74" s="178"/>
      <c r="AY74" s="178"/>
      <c r="AZ74" s="178"/>
      <c r="BA74" s="178"/>
      <c r="BB74" s="178"/>
      <c r="BC74" s="178"/>
      <c r="BD74" s="178"/>
      <c r="BE74" s="178"/>
    </row>
    <row r="75" spans="2:61" ht="17.25" hidden="1" customHeight="1" outlineLevel="1" thickBot="1" x14ac:dyDescent="0.3">
      <c r="E75" s="398"/>
      <c r="F75" s="398"/>
      <c r="G75" s="398"/>
      <c r="H75" s="584"/>
      <c r="I75" s="584"/>
      <c r="J75" s="584"/>
      <c r="K75" s="584"/>
      <c r="L75" s="583"/>
      <c r="M75" s="584"/>
      <c r="N75" s="584"/>
      <c r="O75" s="584"/>
      <c r="P75" s="584"/>
      <c r="Q75" s="584"/>
      <c r="R75" s="584"/>
      <c r="S75" s="584"/>
      <c r="T75" s="584"/>
      <c r="U75" s="584"/>
      <c r="V75" s="584"/>
      <c r="W75" s="584"/>
      <c r="X75" s="584"/>
      <c r="Y75" s="17"/>
      <c r="AA75" s="18" t="str">
        <f>IF(VLOOKUP(T74,$A$36:$C$37,3)&gt;0,AA74,CONCATENATE("-",AA74))</f>
        <v>-0°10</v>
      </c>
      <c r="AB75" s="14" t="str">
        <f>BC75</f>
        <v>-00°10'00.00 [-00°10.00]  (-00.1667°)</v>
      </c>
      <c r="AC75" s="7">
        <f>BB75</f>
        <v>-0.16666666666666666</v>
      </c>
      <c r="AD75" s="5">
        <f>IF(LEFT(TRIM(AA75),1)="-",-1,IF(LEFT(TRIM(AA75),1)="+",1, 0))</f>
        <v>-1</v>
      </c>
      <c r="AE75" s="5" t="str">
        <f>IF(AD75&gt;0,"+",IF(AD75&lt;0,"-",""))</f>
        <v>-</v>
      </c>
      <c r="AF75" s="5" t="str">
        <f>IF(ABS(AD75)&gt;0,RIGHT(AA75,LEN(AA75)-1),AA75)</f>
        <v>0°10</v>
      </c>
      <c r="AG75" s="5" t="b">
        <f>ISNUMBER(SEARCH("°",AF75,1))</f>
        <v>1</v>
      </c>
      <c r="AH75" s="5" t="b">
        <f>ISNUMBER(SEARCH("'",AF75,1))</f>
        <v>0</v>
      </c>
      <c r="AI75" s="5" t="b">
        <f>ISNUMBER(SEARCH("""",AF75,1))</f>
        <v>0</v>
      </c>
      <c r="AJ75" s="5" t="b">
        <f>NOT(OR(AG75,AH75,AI75))</f>
        <v>0</v>
      </c>
      <c r="AK75" s="5" t="b">
        <f t="shared" si="88"/>
        <v>1</v>
      </c>
      <c r="AL75" s="6" t="str">
        <f>IF(AJ75,VALUE(AF75),IF(AG75,LEFT(AF75,SEARCH("°",AF75,1)-1),0))</f>
        <v>0</v>
      </c>
      <c r="AM75" s="5" t="str">
        <f>IF(AJ75,"",IF(AG75,RIGHT(AF75,LEN(AF75)-SEARCH("°",AF75,1)),AF75))</f>
        <v>10</v>
      </c>
      <c r="AN75" s="5" t="b">
        <f>(LEN(AM75)&gt;0)</f>
        <v>1</v>
      </c>
      <c r="AO75" s="5" t="b">
        <f>NOT(OR(AH75,AI75))</f>
        <v>1</v>
      </c>
      <c r="AP75" s="6">
        <f t="shared" si="89"/>
        <v>10</v>
      </c>
      <c r="AQ75" s="5" t="str">
        <f t="shared" si="90"/>
        <v/>
      </c>
      <c r="AR75" s="5" t="b">
        <f>(LEN(AQ75)&gt;0)</f>
        <v>0</v>
      </c>
      <c r="AS75" s="5" t="b">
        <f t="shared" si="91"/>
        <v>1</v>
      </c>
      <c r="AT75" s="5" t="b">
        <f>ISNUMBER(SEARCH(".",AQ75,1))</f>
        <v>0</v>
      </c>
      <c r="AU75" s="6">
        <f t="shared" si="92"/>
        <v>0</v>
      </c>
      <c r="AV75" s="6">
        <f t="shared" si="93"/>
        <v>600</v>
      </c>
      <c r="AW75" s="6">
        <f>AV75/3600</f>
        <v>0.16666666666666666</v>
      </c>
      <c r="AX75" s="6">
        <f>_xlfn.FLOOR.MATH((AW75))</f>
        <v>0</v>
      </c>
      <c r="AY75" s="6">
        <f>(AV75-3600*AX75)/60</f>
        <v>10</v>
      </c>
      <c r="AZ75" s="6">
        <f>_xlfn.FLOOR.MATH((AY75))</f>
        <v>10</v>
      </c>
      <c r="BA75" s="6">
        <f>AV75-3600*AX75-60*AZ75</f>
        <v>0</v>
      </c>
      <c r="BB75" s="6">
        <f>AW75*IF(AD75&lt;0,-1,1)</f>
        <v>-0.16666666666666666</v>
      </c>
      <c r="BC75" s="7" t="str">
        <f>CONCATENATE(AE75,TEXT(AX75,"00"),"°",TEXT(AZ75,"00"),"'",TEXT(BA75,"00.00"), " [", CONCATENATE(AE75,TEXT(AX75,"00"),"°",TEXT(AY75,"00.00")),"]", "  (", AE75,TEXT(AW75,"00.0000"),"°)")</f>
        <v>-00°10'00.00 [-00°10.00]  (-00.1667°)</v>
      </c>
    </row>
    <row r="76" spans="2:61" ht="17.25" hidden="1" customHeight="1" outlineLevel="1" thickTop="1" thickBot="1" x14ac:dyDescent="0.3">
      <c r="E76" s="279" t="str">
        <f>AB77</f>
        <v>03°54'30.00 [03°54.50]  (03.9083°)</v>
      </c>
      <c r="F76" s="279"/>
      <c r="G76" s="279"/>
      <c r="H76" s="279"/>
      <c r="I76" s="279"/>
      <c r="J76" s="279"/>
      <c r="O76" s="279" t="str">
        <f>AB73</f>
        <v>06°35'54.00 [06°35.90]  (06.5983°)</v>
      </c>
      <c r="P76" s="279"/>
      <c r="Q76" s="279"/>
      <c r="R76" s="279"/>
      <c r="S76" s="279"/>
      <c r="T76" s="279" t="str">
        <f>AB75</f>
        <v>-00°10'00.00 [-00°10.00]  (-00.1667°)</v>
      </c>
      <c r="U76" s="287"/>
      <c r="V76" s="287"/>
      <c r="W76" s="287"/>
      <c r="X76" s="287"/>
      <c r="AB76" s="14"/>
      <c r="AC76" s="37">
        <f>AE76</f>
        <v>3.9083333333333337</v>
      </c>
      <c r="AD76" s="61" t="s">
        <v>154</v>
      </c>
      <c r="AE76" s="22">
        <f>AC73+(H74-L74)*AC75</f>
        <v>3.9083333333333337</v>
      </c>
      <c r="AF76" s="178"/>
      <c r="AG76" s="178"/>
      <c r="AH76" s="178"/>
      <c r="AI76" s="178"/>
      <c r="AJ76" s="178"/>
      <c r="AK76" s="178"/>
      <c r="AL76" s="178"/>
      <c r="AM76" s="178"/>
      <c r="AN76" s="178"/>
      <c r="AO76" s="178"/>
      <c r="AP76" s="178"/>
      <c r="AQ76" s="178"/>
      <c r="AR76" s="178"/>
      <c r="AS76" s="178"/>
      <c r="AT76" s="178"/>
      <c r="AU76" s="178"/>
      <c r="AV76" s="178"/>
      <c r="AW76" s="178"/>
      <c r="AX76" s="178"/>
      <c r="AY76" s="178"/>
      <c r="AZ76" s="178"/>
      <c r="BA76" s="178"/>
      <c r="BB76" s="178"/>
      <c r="BC76" s="178"/>
      <c r="BD76" s="178"/>
      <c r="BE76" s="178"/>
      <c r="BF76" s="178"/>
    </row>
    <row r="77" spans="2:61" ht="17.25" hidden="1" customHeight="1" outlineLevel="1" thickTop="1" x14ac:dyDescent="0.25"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AA77" s="18">
        <f>AC76</f>
        <v>3.9083333333333337</v>
      </c>
      <c r="AB77" s="14" t="str">
        <f>BC77</f>
        <v>03°54'30.00 [03°54.50]  (03.9083°)</v>
      </c>
      <c r="AC77" s="7">
        <f>BB77</f>
        <v>3.9083333333333337</v>
      </c>
      <c r="AD77" s="5">
        <f>IF(LEFT(TRIM(AA77),1)="-",-1,IF(LEFT(TRIM(AA77),1)="+",1, 0))</f>
        <v>0</v>
      </c>
      <c r="AE77" s="5" t="str">
        <f>IF(AD77&gt;0,"+",IF(AD77&lt;0,"-",""))</f>
        <v/>
      </c>
      <c r="AF77" s="5">
        <f>IF(ABS(AD77)&gt;0,RIGHT(AA77,LEN(AA77)-1),AA77)</f>
        <v>3.9083333333333337</v>
      </c>
      <c r="AG77" s="5" t="b">
        <f>ISNUMBER(SEARCH("°",AF77,1))</f>
        <v>0</v>
      </c>
      <c r="AH77" s="5" t="b">
        <f>ISNUMBER(SEARCH("'",AF77,1))</f>
        <v>0</v>
      </c>
      <c r="AI77" s="5" t="b">
        <f>ISNUMBER(SEARCH("""",AF77,1))</f>
        <v>0</v>
      </c>
      <c r="AJ77" s="5" t="b">
        <f>NOT(OR(AG77,AH77,AI77))</f>
        <v>1</v>
      </c>
      <c r="AK77" s="5" t="b">
        <f t="shared" ref="AK77" si="94">OR(AJ77,AG77)</f>
        <v>1</v>
      </c>
      <c r="AL77" s="6">
        <f>IF(AJ77,VALUE(AF77),IF(AG77,LEFT(AF77,SEARCH("°",AF77,1)-1),0))</f>
        <v>3.9083333333333337</v>
      </c>
      <c r="AM77" s="5" t="str">
        <f>IF(AJ77,"",IF(AG77,RIGHT(AF77,LEN(AF77)-SEARCH("°",AF77,1)),AF77))</f>
        <v/>
      </c>
      <c r="AN77" s="5" t="b">
        <f>(LEN(AM77)&gt;0)</f>
        <v>0</v>
      </c>
      <c r="AO77" s="5" t="b">
        <f>NOT(OR(AH77,AI77))</f>
        <v>1</v>
      </c>
      <c r="AP77" s="6">
        <f t="shared" ref="AP77" si="95">IF(NOT(AN77),0,IF(AO77,VALUE(AM77),IF(NOT(AH77),0,VALUE(LEFT(AM77,SEARCH("'",AM77,1)-1)))))</f>
        <v>0</v>
      </c>
      <c r="AQ77" s="5" t="str">
        <f t="shared" ref="AQ77" si="96">IF(NOT(AN77),"",IF(AO77,"",IF(NOT(AH77),AM77,RIGHT(AM77,LEN(AM77)-SEARCH("'",AM77,1)))))</f>
        <v/>
      </c>
      <c r="AR77" s="5" t="b">
        <f>(LEN(AQ77)&gt;0)</f>
        <v>0</v>
      </c>
      <c r="AS77" s="5" t="b">
        <f t="shared" ref="AS77" si="97">NOT(AI77)</f>
        <v>1</v>
      </c>
      <c r="AT77" s="5" t="b">
        <f>ISNUMBER(SEARCH(".",AQ77,1))</f>
        <v>0</v>
      </c>
      <c r="AU77" s="6">
        <f t="shared" ref="AU77" si="98">IF(AR77,IF(AI77,IF(AT77,VALUE(SUBSTITUTE(AQ77, """", "")),VALUE(SUBSTITUTE(AQ77, """", "."))),VALUE(AQ77)),0)</f>
        <v>0</v>
      </c>
      <c r="AV77" s="6">
        <f t="shared" ref="AV77" si="99">AL77*3600+AP77*60+AU77</f>
        <v>14070.000000000002</v>
      </c>
      <c r="AW77" s="6">
        <f>AV77/3600</f>
        <v>3.9083333333333337</v>
      </c>
      <c r="AX77" s="6">
        <f>_xlfn.FLOOR.MATH((AW77))</f>
        <v>3</v>
      </c>
      <c r="AY77" s="6">
        <f>(AV77-3600*AX77)/60</f>
        <v>54.500000000000028</v>
      </c>
      <c r="AZ77" s="6">
        <f>_xlfn.FLOOR.MATH((AY77))</f>
        <v>54</v>
      </c>
      <c r="BA77" s="6">
        <f>AV77-3600*AX77-60*AZ77</f>
        <v>30.000000000001819</v>
      </c>
      <c r="BB77" s="6">
        <f>AW77*IF(AD77&lt;0,-1,1)</f>
        <v>3.9083333333333337</v>
      </c>
      <c r="BC77" s="7" t="str">
        <f>CONCATENATE(AE77,TEXT(AX77,"00"),"°",TEXT(AZ77,"00"),"'",TEXT(BA77,"00.00"), " [", CONCATENATE(AE77,TEXT(AX77,"00"),"°",TEXT(AY77,"00.00")),"]", "  (", AE77,TEXT(AW77,"00.0000"),"°)")</f>
        <v>03°54'30.00 [03°54.50]  (03.9083°)</v>
      </c>
    </row>
    <row r="78" spans="2:61" ht="17.25" hidden="1" customHeight="1" outlineLevel="1" thickBot="1" x14ac:dyDescent="0.3">
      <c r="R78" s="17"/>
      <c r="S78" s="17"/>
      <c r="T78" s="17"/>
      <c r="U78" s="17"/>
      <c r="V78" s="17"/>
      <c r="W78" s="17"/>
      <c r="AC78" s="37"/>
      <c r="AD78" s="17"/>
      <c r="AE78" s="178"/>
      <c r="AF78" s="178"/>
      <c r="AG78" s="178"/>
      <c r="AH78" s="178"/>
      <c r="AI78" s="178"/>
      <c r="AJ78" s="178"/>
      <c r="AK78" s="17"/>
      <c r="AL78" s="17"/>
      <c r="AM78" s="17"/>
      <c r="AN78" s="17"/>
      <c r="AO78" s="17"/>
      <c r="AP78" s="17"/>
      <c r="AQ78" s="17"/>
      <c r="AR78" s="17"/>
      <c r="AS78" s="17"/>
      <c r="AT78" s="17"/>
    </row>
    <row r="79" spans="2:61" ht="17.25" hidden="1" customHeight="1" outlineLevel="1" thickBot="1" x14ac:dyDescent="0.3">
      <c r="B79" s="47" t="s">
        <v>72</v>
      </c>
      <c r="C79" s="48"/>
      <c r="D79" s="48"/>
      <c r="E79" s="362">
        <f>E81</f>
        <v>2.21665</v>
      </c>
      <c r="F79" s="362"/>
      <c r="G79" s="362"/>
      <c r="H79" s="48"/>
      <c r="I79" s="48"/>
      <c r="J79" s="48"/>
      <c r="K79" s="48"/>
      <c r="L79" s="48"/>
      <c r="M79" s="48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  <c r="AA79" s="48"/>
      <c r="AB79" s="48"/>
      <c r="AC79" s="48"/>
      <c r="AD79" s="48"/>
      <c r="AE79" s="48"/>
      <c r="AF79" s="48"/>
      <c r="AG79" s="48"/>
      <c r="AH79" s="48"/>
      <c r="AI79" s="48"/>
      <c r="AJ79" s="48"/>
      <c r="AK79" s="48"/>
      <c r="AL79" s="48"/>
      <c r="AM79" s="48"/>
      <c r="AN79" s="48"/>
      <c r="AO79" s="48"/>
      <c r="AP79" s="48"/>
      <c r="AQ79" s="48"/>
      <c r="AR79" s="48"/>
      <c r="AS79" s="48"/>
      <c r="AT79" s="48"/>
      <c r="AU79" s="48"/>
      <c r="AV79" s="48"/>
      <c r="AW79" s="48"/>
      <c r="AX79" s="48"/>
      <c r="AY79" s="48"/>
      <c r="AZ79" s="48"/>
      <c r="BA79" s="49"/>
      <c r="BB79" s="50"/>
      <c r="BC79" s="50"/>
      <c r="BD79" s="50"/>
      <c r="BE79" s="50"/>
      <c r="BF79" s="50"/>
      <c r="BG79" s="50"/>
      <c r="BH79" s="50"/>
      <c r="BI79" s="50"/>
    </row>
    <row r="80" spans="2:61" ht="17.25" hidden="1" customHeight="1" outlineLevel="1" thickBot="1" x14ac:dyDescent="0.3">
      <c r="B80" s="178"/>
      <c r="C80" s="588" t="s">
        <v>339</v>
      </c>
      <c r="D80" s="588"/>
      <c r="E80" s="588"/>
      <c r="F80" s="588"/>
      <c r="G80" s="588"/>
      <c r="H80" s="178"/>
      <c r="I80" s="178"/>
      <c r="J80" s="178"/>
      <c r="K80" s="178"/>
      <c r="L80" s="178"/>
      <c r="M80" s="178"/>
      <c r="N80" s="178"/>
      <c r="O80" s="178"/>
      <c r="P80" s="178"/>
      <c r="Q80" s="178"/>
      <c r="R80" s="178"/>
      <c r="S80" s="178"/>
      <c r="T80" s="178"/>
      <c r="U80" s="178"/>
      <c r="V80" s="178"/>
      <c r="W80" s="178"/>
      <c r="X80" s="178"/>
      <c r="Y80" s="178"/>
      <c r="Z80" s="178"/>
      <c r="AA80" s="159"/>
      <c r="AB80" s="159"/>
      <c r="AC80" s="159"/>
      <c r="AD80" s="159"/>
      <c r="AE80" s="159"/>
      <c r="AF80" s="159"/>
      <c r="AG80" s="159"/>
      <c r="AH80" s="159"/>
      <c r="AI80" s="159"/>
      <c r="AJ80" s="159"/>
      <c r="AK80" s="159"/>
      <c r="AL80" s="159"/>
      <c r="AM80" s="159"/>
      <c r="AN80" s="159"/>
      <c r="AO80" s="159"/>
      <c r="AP80" s="159"/>
      <c r="AQ80" s="159"/>
      <c r="AR80" s="159"/>
      <c r="AS80" s="159"/>
      <c r="AT80" s="159"/>
      <c r="AU80" s="159"/>
      <c r="AV80" s="159"/>
      <c r="AW80" s="159"/>
      <c r="AX80" s="159"/>
      <c r="AY80" s="159"/>
      <c r="AZ80" s="159"/>
      <c r="BA80" s="159"/>
      <c r="BB80" s="50"/>
      <c r="BC80" s="50"/>
      <c r="BD80" s="50"/>
      <c r="BE80" s="50"/>
      <c r="BF80" s="50"/>
      <c r="BG80" s="50"/>
      <c r="BH80" s="50"/>
      <c r="BI80" s="50"/>
    </row>
    <row r="81" spans="1:57" ht="17.25" hidden="1" customHeight="1" outlineLevel="1" thickTop="1" thickBot="1" x14ac:dyDescent="0.3">
      <c r="E81" s="373">
        <f>AC82</f>
        <v>2.21665</v>
      </c>
      <c r="F81" s="340"/>
      <c r="G81" s="589"/>
      <c r="H81" s="591" t="s">
        <v>65</v>
      </c>
      <c r="I81" s="592"/>
      <c r="J81" s="592"/>
      <c r="K81" s="593"/>
      <c r="L81" s="357" t="str">
        <f>AB82</f>
        <v>02°12'59.94 [02°13.00]  (02.2167°)</v>
      </c>
      <c r="M81" s="357"/>
      <c r="N81" s="357"/>
      <c r="O81" s="357"/>
      <c r="P81" s="357"/>
      <c r="Q81" s="357"/>
      <c r="R81" s="357"/>
      <c r="V81" s="17"/>
      <c r="W81" s="17"/>
      <c r="AB81" s="19"/>
      <c r="AC81" s="20"/>
      <c r="AD81" s="3" t="s">
        <v>57</v>
      </c>
      <c r="AE81" s="3" t="s">
        <v>57</v>
      </c>
      <c r="AF81" s="3" t="s">
        <v>304</v>
      </c>
      <c r="AG81" s="3" t="s">
        <v>120</v>
      </c>
      <c r="AH81" s="3" t="s">
        <v>121</v>
      </c>
      <c r="AI81" s="3" t="s">
        <v>122</v>
      </c>
      <c r="AJ81" s="3" t="s">
        <v>123</v>
      </c>
      <c r="AK81" s="3" t="s">
        <v>124</v>
      </c>
      <c r="AL81" s="3" t="s">
        <v>125</v>
      </c>
      <c r="AM81" s="3" t="s">
        <v>101</v>
      </c>
      <c r="AN81" s="3" t="s">
        <v>129</v>
      </c>
      <c r="AO81" s="3" t="s">
        <v>128</v>
      </c>
      <c r="AP81" s="3" t="s">
        <v>126</v>
      </c>
      <c r="AQ81" s="3" t="s">
        <v>127</v>
      </c>
      <c r="AR81" s="3" t="s">
        <v>129</v>
      </c>
      <c r="AS81" s="3" t="s">
        <v>128</v>
      </c>
      <c r="AT81" s="3" t="s">
        <v>130</v>
      </c>
      <c r="AU81" s="3" t="s">
        <v>112</v>
      </c>
      <c r="AV81" s="3" t="s">
        <v>117</v>
      </c>
      <c r="AW81" s="3" t="s">
        <v>143</v>
      </c>
      <c r="AX81" s="3" t="s">
        <v>149</v>
      </c>
      <c r="AY81" s="3" t="s">
        <v>131</v>
      </c>
      <c r="AZ81" s="3" t="s">
        <v>150</v>
      </c>
      <c r="BA81" s="3" t="s">
        <v>112</v>
      </c>
      <c r="BB81" s="3" t="s">
        <v>308</v>
      </c>
      <c r="BC81" s="3" t="s">
        <v>151</v>
      </c>
    </row>
    <row r="82" spans="1:57" ht="17.25" hidden="1" customHeight="1" outlineLevel="1" thickTop="1" thickBot="1" x14ac:dyDescent="0.3">
      <c r="E82" s="580"/>
      <c r="F82" s="523"/>
      <c r="G82" s="590"/>
      <c r="H82" s="594"/>
      <c r="I82" s="595"/>
      <c r="J82" s="595"/>
      <c r="K82" s="596"/>
      <c r="L82" s="357"/>
      <c r="M82" s="357"/>
      <c r="N82" s="357"/>
      <c r="O82" s="357"/>
      <c r="P82" s="357"/>
      <c r="Q82" s="357"/>
      <c r="R82" s="357"/>
      <c r="V82" s="17"/>
      <c r="W82" s="17"/>
      <c r="AA82" s="18" t="str">
        <f>H81</f>
        <v>2°12.999</v>
      </c>
      <c r="AB82" s="14" t="str">
        <f>BC82</f>
        <v>02°12'59.94 [02°13.00]  (02.2167°)</v>
      </c>
      <c r="AC82" s="7">
        <f>BB82</f>
        <v>2.21665</v>
      </c>
      <c r="AD82" s="5">
        <f>IF(LEFT(TRIM(AA82),1)="-",-1,IF(LEFT(TRIM(AA82),1)="+",1, 0))</f>
        <v>0</v>
      </c>
      <c r="AE82" s="5" t="str">
        <f>IF(AD82&gt;0,"+",IF(AD82&lt;0,"-",""))</f>
        <v/>
      </c>
      <c r="AF82" s="5" t="str">
        <f>IF(ABS(AD82)&gt;0,RIGHT(AA82,LEN(AA82)-1),AA82)</f>
        <v>2°12.999</v>
      </c>
      <c r="AG82" s="5" t="b">
        <f>ISNUMBER(SEARCH("°",AF82,1))</f>
        <v>1</v>
      </c>
      <c r="AH82" s="5" t="b">
        <f>ISNUMBER(SEARCH("'",AF82,1))</f>
        <v>0</v>
      </c>
      <c r="AI82" s="5" t="b">
        <f>ISNUMBER(SEARCH("""",AF82,1))</f>
        <v>0</v>
      </c>
      <c r="AJ82" s="5" t="b">
        <f>NOT(OR(AG82,AH82,AI82))</f>
        <v>0</v>
      </c>
      <c r="AK82" s="5" t="b">
        <f t="shared" ref="AK82" si="100">OR(AJ82,AG82)</f>
        <v>1</v>
      </c>
      <c r="AL82" s="6" t="str">
        <f>IF(AJ82,VALUE(AF82),IF(AG82,LEFT(AF82,SEARCH("°",AF82,1)-1),0))</f>
        <v>2</v>
      </c>
      <c r="AM82" s="5" t="str">
        <f>IF(AJ82,"",IF(AG82,RIGHT(AF82,LEN(AF82)-SEARCH("°",AF82,1)),AF82))</f>
        <v>12.999</v>
      </c>
      <c r="AN82" s="5" t="b">
        <f>(LEN(AM82)&gt;0)</f>
        <v>1</v>
      </c>
      <c r="AO82" s="5" t="b">
        <f>NOT(OR(AH82,AI82))</f>
        <v>1</v>
      </c>
      <c r="AP82" s="6">
        <f t="shared" ref="AP82" si="101">IF(NOT(AN82),0,IF(AO82,VALUE(AM82),IF(NOT(AH82),0,VALUE(LEFT(AM82,SEARCH("'",AM82,1)-1)))))</f>
        <v>12.999000000000001</v>
      </c>
      <c r="AQ82" s="5" t="str">
        <f t="shared" ref="AQ82" si="102">IF(NOT(AN82),"",IF(AO82,"",IF(NOT(AH82),AM82,RIGHT(AM82,LEN(AM82)-SEARCH("'",AM82,1)))))</f>
        <v/>
      </c>
      <c r="AR82" s="5" t="b">
        <f>(LEN(AQ82)&gt;0)</f>
        <v>0</v>
      </c>
      <c r="AS82" s="5" t="b">
        <f t="shared" ref="AS82" si="103">NOT(AI82)</f>
        <v>1</v>
      </c>
      <c r="AT82" s="5" t="b">
        <f>ISNUMBER(SEARCH(".",AQ82,1))</f>
        <v>0</v>
      </c>
      <c r="AU82" s="6">
        <f t="shared" ref="AU82" si="104">IF(AR82,IF(AI82,IF(AT82,VALUE(SUBSTITUTE(AQ82, """", "")),VALUE(SUBSTITUTE(AQ82, """", "."))),VALUE(AQ82)),0)</f>
        <v>0</v>
      </c>
      <c r="AV82" s="6">
        <f t="shared" ref="AV82" si="105">AL82*3600+AP82*60+AU82</f>
        <v>7979.9400000000005</v>
      </c>
      <c r="AW82" s="6">
        <f>AV82/3600</f>
        <v>2.21665</v>
      </c>
      <c r="AX82" s="6">
        <f>_xlfn.FLOOR.MATH((AW82))</f>
        <v>2</v>
      </c>
      <c r="AY82" s="6">
        <f>(AV82-3600*AX82)/60</f>
        <v>12.999000000000008</v>
      </c>
      <c r="AZ82" s="6">
        <f>_xlfn.FLOOR.MATH((AY82))</f>
        <v>12</v>
      </c>
      <c r="BA82" s="6">
        <f>AV82-3600*AX82-60*AZ82</f>
        <v>59.940000000000509</v>
      </c>
      <c r="BB82" s="6">
        <f>AW82*IF(AD82&lt;0,-1,1)</f>
        <v>2.21665</v>
      </c>
      <c r="BC82" s="7" t="str">
        <f>CONCATENATE(AE82,TEXT(AX82,"00"),"°",TEXT(AZ82,"00"),"'",TEXT(BA82,"00.00"), " [", CONCATENATE(AE82,TEXT(AX82,"00"),"°",TEXT(AY82,"00.00")),"]", "  (", AE82,TEXT(AW82,"00.0000"),"°)")</f>
        <v>02°12'59.94 [02°13.00]  (02.2167°)</v>
      </c>
    </row>
    <row r="83" spans="1:57" ht="17.25" hidden="1" customHeight="1" outlineLevel="1" thickTop="1" x14ac:dyDescent="0.25">
      <c r="R83" s="17"/>
      <c r="S83" s="17"/>
      <c r="T83" s="17"/>
      <c r="U83" s="17"/>
      <c r="V83" s="17"/>
      <c r="W83" s="17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T83" s="17"/>
    </row>
    <row r="84" spans="1:57" s="50" customFormat="1" ht="17.25" hidden="1" customHeight="1" outlineLevel="1" thickBot="1" x14ac:dyDescent="0.3">
      <c r="A84" s="1"/>
      <c r="B84" s="1"/>
      <c r="C84" s="179"/>
      <c r="D84" s="179"/>
      <c r="E84" s="179"/>
      <c r="F84" s="179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8"/>
      <c r="AB84" s="28"/>
      <c r="AC84" s="28"/>
      <c r="AD84" s="22"/>
      <c r="AE84" s="22"/>
      <c r="AF84" s="22"/>
      <c r="AG84" s="22"/>
      <c r="AH84" s="17"/>
      <c r="AI84" s="17"/>
      <c r="AJ84" s="17"/>
      <c r="AK84" s="17"/>
      <c r="AL84" s="17"/>
      <c r="AM84" s="17"/>
      <c r="AN84" s="17"/>
      <c r="AO84" s="17"/>
      <c r="AP84" s="17"/>
      <c r="AQ84" s="17"/>
      <c r="AR84" s="17"/>
      <c r="AS84" s="17"/>
      <c r="AT84" s="17"/>
      <c r="AU84" s="22"/>
      <c r="AV84" s="22"/>
      <c r="AW84" s="22"/>
      <c r="AX84" s="22"/>
      <c r="AY84" s="22"/>
      <c r="AZ84" s="22"/>
      <c r="BA84" s="22"/>
    </row>
    <row r="85" spans="1:57" ht="17.25" customHeight="1" collapsed="1" thickBot="1" x14ac:dyDescent="0.3">
      <c r="A85" s="50"/>
      <c r="B85" s="47" t="s">
        <v>162</v>
      </c>
      <c r="C85" s="48"/>
      <c r="D85" s="48"/>
      <c r="E85" s="362">
        <f>IF(F86=AE86,E90,E98)</f>
        <v>418.62228000000005</v>
      </c>
      <c r="F85" s="362"/>
      <c r="G85" s="362"/>
      <c r="H85" s="48"/>
      <c r="I85" s="48"/>
      <c r="J85" s="48"/>
      <c r="K85" s="48"/>
      <c r="L85" s="48"/>
      <c r="M85" s="48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  <c r="AA85" s="48"/>
      <c r="AB85" s="48"/>
      <c r="AC85" s="48"/>
      <c r="AD85" s="48"/>
      <c r="AE85" s="48"/>
      <c r="AF85" s="48"/>
      <c r="AG85" s="48"/>
      <c r="AH85" s="48"/>
      <c r="AI85" s="48"/>
      <c r="AJ85" s="48"/>
      <c r="AK85" s="48"/>
      <c r="AL85" s="48"/>
      <c r="AM85" s="48"/>
      <c r="AN85" s="48"/>
      <c r="AO85" s="48"/>
      <c r="AP85" s="48"/>
      <c r="AQ85" s="48"/>
      <c r="AR85" s="48"/>
      <c r="AS85" s="48"/>
      <c r="AT85" s="48"/>
      <c r="AU85" s="48"/>
      <c r="AV85" s="48"/>
      <c r="AW85" s="48"/>
      <c r="AX85" s="48"/>
      <c r="AY85" s="48"/>
      <c r="AZ85" s="48"/>
      <c r="BA85" s="49"/>
      <c r="BB85" s="50"/>
    </row>
    <row r="86" spans="1:57" ht="17.25" customHeight="1" x14ac:dyDescent="0.25">
      <c r="B86" s="50"/>
      <c r="C86" s="434" t="s">
        <v>58</v>
      </c>
      <c r="D86" s="434"/>
      <c r="E86" s="434"/>
      <c r="F86" s="435" t="s">
        <v>17</v>
      </c>
      <c r="G86" s="435"/>
      <c r="H86" s="435"/>
      <c r="I86" s="50"/>
      <c r="J86" s="50"/>
      <c r="K86" s="50"/>
      <c r="L86" s="50"/>
      <c r="M86" s="50"/>
      <c r="N86" s="50"/>
      <c r="O86" s="50"/>
      <c r="P86" s="50"/>
      <c r="Q86" s="50"/>
      <c r="R86" s="50"/>
      <c r="S86" s="50"/>
      <c r="T86" s="50"/>
      <c r="U86" s="50"/>
      <c r="V86" s="50"/>
      <c r="W86" s="50"/>
      <c r="X86" s="50"/>
      <c r="Y86" s="50"/>
      <c r="Z86" s="50"/>
      <c r="AA86" s="51"/>
      <c r="AB86" s="52"/>
      <c r="AC86" s="52"/>
      <c r="AD86" s="53" t="s">
        <v>59</v>
      </c>
      <c r="AE86" s="54" t="s">
        <v>11</v>
      </c>
      <c r="AF86" s="55">
        <v>0</v>
      </c>
      <c r="AG86" s="55"/>
      <c r="AH86" s="50"/>
      <c r="AI86" s="50"/>
      <c r="AJ86" s="50"/>
      <c r="AK86" s="50"/>
      <c r="AL86" s="50"/>
      <c r="AM86" s="50"/>
      <c r="AN86" s="50"/>
      <c r="AO86" s="50"/>
      <c r="AP86" s="50"/>
      <c r="AQ86" s="50"/>
      <c r="AR86" s="50"/>
      <c r="AS86" s="50"/>
      <c r="AT86" s="50"/>
      <c r="AU86" s="50"/>
      <c r="AV86" s="50"/>
      <c r="AW86" s="50"/>
      <c r="AX86" s="50"/>
      <c r="AY86" s="50"/>
      <c r="AZ86" s="50"/>
      <c r="BA86" s="50"/>
    </row>
    <row r="87" spans="1:57" ht="17.25" customHeight="1" x14ac:dyDescent="0.25">
      <c r="C87" s="56" t="s">
        <v>11</v>
      </c>
      <c r="D87" s="57"/>
      <c r="E87" s="57"/>
      <c r="F87" s="17"/>
      <c r="G87" s="17"/>
      <c r="H87" s="17"/>
      <c r="AE87" s="58" t="s">
        <v>17</v>
      </c>
      <c r="AF87" s="22">
        <v>1</v>
      </c>
      <c r="AH87" s="17"/>
      <c r="AI87" s="17"/>
      <c r="AJ87" s="17"/>
      <c r="AK87" s="17"/>
      <c r="AL87" s="17"/>
      <c r="AM87" s="17"/>
      <c r="AN87" s="17"/>
      <c r="AO87" s="17"/>
      <c r="AP87" s="17"/>
      <c r="AQ87" s="17"/>
      <c r="AR87" s="17"/>
      <c r="AS87" s="17"/>
      <c r="AT87" s="17"/>
    </row>
    <row r="88" spans="1:57" ht="17.25" customHeight="1" x14ac:dyDescent="0.25">
      <c r="E88" s="401" t="s">
        <v>10</v>
      </c>
      <c r="F88" s="401"/>
      <c r="G88" s="401"/>
      <c r="H88" s="401" t="s">
        <v>13</v>
      </c>
      <c r="I88" s="401"/>
      <c r="J88" s="401"/>
      <c r="K88" s="401"/>
      <c r="L88" s="402" t="s">
        <v>14</v>
      </c>
      <c r="M88" s="402"/>
      <c r="N88" s="402"/>
      <c r="O88" s="415" t="s">
        <v>18</v>
      </c>
      <c r="P88" s="415"/>
      <c r="Q88" s="415"/>
      <c r="R88" s="415"/>
      <c r="S88" s="415"/>
      <c r="T88" s="17"/>
      <c r="AB88" s="19"/>
      <c r="AC88" s="20"/>
    </row>
    <row r="89" spans="1:57" ht="17.25" customHeight="1" thickBot="1" x14ac:dyDescent="0.3">
      <c r="E89" s="401"/>
      <c r="F89" s="401"/>
      <c r="G89" s="401"/>
      <c r="H89" s="401"/>
      <c r="I89" s="401"/>
      <c r="J89" s="401"/>
      <c r="K89" s="401"/>
      <c r="L89" s="402"/>
      <c r="M89" s="402"/>
      <c r="N89" s="402"/>
      <c r="O89" s="415"/>
      <c r="P89" s="415"/>
      <c r="Q89" s="415"/>
      <c r="R89" s="415"/>
      <c r="S89" s="415"/>
      <c r="T89" s="17"/>
      <c r="AA89" s="18" t="str">
        <f>P90</f>
        <v>329°03.9'</v>
      </c>
      <c r="AB89" s="14"/>
      <c r="AC89" s="7"/>
      <c r="AD89" s="3" t="s">
        <v>57</v>
      </c>
      <c r="AE89" s="3" t="s">
        <v>57</v>
      </c>
      <c r="AF89" s="3" t="s">
        <v>304</v>
      </c>
      <c r="AG89" s="3" t="s">
        <v>120</v>
      </c>
      <c r="AH89" s="3" t="s">
        <v>121</v>
      </c>
      <c r="AI89" s="3" t="s">
        <v>122</v>
      </c>
      <c r="AJ89" s="3" t="s">
        <v>123</v>
      </c>
      <c r="AK89" s="3" t="s">
        <v>124</v>
      </c>
      <c r="AL89" s="3" t="s">
        <v>125</v>
      </c>
      <c r="AM89" s="3" t="s">
        <v>101</v>
      </c>
      <c r="AN89" s="3" t="s">
        <v>129</v>
      </c>
      <c r="AO89" s="3" t="s">
        <v>128</v>
      </c>
      <c r="AP89" s="3" t="s">
        <v>126</v>
      </c>
      <c r="AQ89" s="3" t="s">
        <v>127</v>
      </c>
      <c r="AR89" s="3" t="s">
        <v>129</v>
      </c>
      <c r="AS89" s="3" t="s">
        <v>128</v>
      </c>
      <c r="AT89" s="3" t="s">
        <v>130</v>
      </c>
      <c r="AU89" s="3" t="s">
        <v>112</v>
      </c>
      <c r="AV89" s="3" t="s">
        <v>117</v>
      </c>
      <c r="AW89" s="3" t="s">
        <v>143</v>
      </c>
      <c r="AX89" s="3" t="s">
        <v>149</v>
      </c>
      <c r="AY89" s="3" t="s">
        <v>131</v>
      </c>
      <c r="AZ89" s="3" t="s">
        <v>150</v>
      </c>
      <c r="BA89" s="3" t="s">
        <v>112</v>
      </c>
      <c r="BB89" s="3" t="s">
        <v>308</v>
      </c>
      <c r="BC89" s="3" t="s">
        <v>151</v>
      </c>
    </row>
    <row r="90" spans="1:57" ht="17.25" customHeight="1" thickTop="1" thickBot="1" x14ac:dyDescent="0.3">
      <c r="D90" s="59"/>
      <c r="E90" s="397" t="str">
        <f>IF(F86=AE87,"---",AC95)</f>
        <v>---</v>
      </c>
      <c r="F90" s="397"/>
      <c r="G90" s="397"/>
      <c r="H90" s="321">
        <f>D11</f>
        <v>16.14</v>
      </c>
      <c r="I90" s="321"/>
      <c r="J90" s="321"/>
      <c r="K90" s="321"/>
      <c r="L90" s="307">
        <v>10</v>
      </c>
      <c r="M90" s="321"/>
      <c r="N90" s="321"/>
      <c r="O90" s="321" t="s">
        <v>6</v>
      </c>
      <c r="P90" s="416" t="s">
        <v>239</v>
      </c>
      <c r="Q90" s="321"/>
      <c r="R90" s="321"/>
      <c r="S90" s="321"/>
      <c r="T90" s="357" t="str">
        <f>AB90</f>
        <v>329°03'54.00 [329°03.90]  (329.0650°)</v>
      </c>
      <c r="U90" s="357"/>
      <c r="V90" s="357"/>
      <c r="W90" s="357"/>
      <c r="X90" s="357"/>
      <c r="Y90" s="357"/>
      <c r="AA90" s="18" t="str">
        <f>IF(VLOOKUP(O90,$B$36:$C$37,2)&gt;0,AA89,CONCATENATE("-",AA89))</f>
        <v>329°03.9'</v>
      </c>
      <c r="AB90" s="28" t="str">
        <f>BC90</f>
        <v>329°03'54.00 [329°03.90]  (329.0650°)</v>
      </c>
      <c r="AC90" s="37">
        <f>BB90</f>
        <v>329.065</v>
      </c>
      <c r="AD90" s="5">
        <f>IF(LEFT(TRIM(AA90),1)="-",-1,IF(LEFT(TRIM(AA90),1)="+",1, 0))</f>
        <v>0</v>
      </c>
      <c r="AE90" s="5" t="str">
        <f>IF(AD90&gt;0,"+",IF(AD90&lt;0,"-",""))</f>
        <v/>
      </c>
      <c r="AF90" s="5" t="str">
        <f>IF(ABS(AD90)&gt;0,RIGHT(AA90,LEN(AA90)-1),AA90)</f>
        <v>329°03.9'</v>
      </c>
      <c r="AG90" s="5" t="b">
        <f>ISNUMBER(SEARCH("°",AF90,1))</f>
        <v>1</v>
      </c>
      <c r="AH90" s="5" t="b">
        <f>ISNUMBER(SEARCH("'",AF90,1))</f>
        <v>1</v>
      </c>
      <c r="AI90" s="5" t="b">
        <f>ISNUMBER(SEARCH("""",AF90,1))</f>
        <v>0</v>
      </c>
      <c r="AJ90" s="5" t="b">
        <f>NOT(OR(AG90,AH90,AI90))</f>
        <v>0</v>
      </c>
      <c r="AK90" s="5" t="b">
        <f t="shared" ref="AK90" si="106">OR(AJ90,AG90)</f>
        <v>1</v>
      </c>
      <c r="AL90" s="6" t="str">
        <f>IF(AJ90,VALUE(AF90),IF(AG90,LEFT(AF90,SEARCH("°",AF90,1)-1),0))</f>
        <v>329</v>
      </c>
      <c r="AM90" s="5" t="str">
        <f>IF(AJ90,"",IF(AG90,RIGHT(AF90,LEN(AF90)-SEARCH("°",AF90,1)),AF90))</f>
        <v>03.9'</v>
      </c>
      <c r="AN90" s="5" t="b">
        <f>(LEN(AM90)&gt;0)</f>
        <v>1</v>
      </c>
      <c r="AO90" s="5" t="b">
        <f>NOT(OR(AH90,AI90))</f>
        <v>0</v>
      </c>
      <c r="AP90" s="6">
        <f t="shared" ref="AP90" si="107">IF(NOT(AN90),0,IF(AO90,VALUE(AM90),IF(NOT(AH90),0,VALUE(LEFT(AM90,SEARCH("'",AM90,1)-1)))))</f>
        <v>3.9</v>
      </c>
      <c r="AQ90" s="5" t="str">
        <f t="shared" ref="AQ90" si="108">IF(NOT(AN90),"",IF(AO90,"",IF(NOT(AH90),AM90,RIGHT(AM90,LEN(AM90)-SEARCH("'",AM90,1)))))</f>
        <v/>
      </c>
      <c r="AR90" s="5" t="b">
        <f>(LEN(AQ90)&gt;0)</f>
        <v>0</v>
      </c>
      <c r="AS90" s="5" t="b">
        <f t="shared" ref="AS90" si="109">NOT(AI90)</f>
        <v>1</v>
      </c>
      <c r="AT90" s="5" t="b">
        <f>ISNUMBER(SEARCH(".",AQ90,1))</f>
        <v>0</v>
      </c>
      <c r="AU90" s="6">
        <f t="shared" ref="AU90" si="110">IF(AR90,IF(AI90,IF(AT90,VALUE(SUBSTITUTE(AQ90, """", "")),VALUE(SUBSTITUTE(AQ90, """", "."))),VALUE(AQ90)),0)</f>
        <v>0</v>
      </c>
      <c r="AV90" s="6">
        <f t="shared" ref="AV90" si="111">AL90*3600+AP90*60+AU90</f>
        <v>1184634</v>
      </c>
      <c r="AW90" s="6">
        <f>AV90/3600</f>
        <v>329.065</v>
      </c>
      <c r="AX90" s="6">
        <f>_xlfn.FLOOR.MATH((AW90))</f>
        <v>329</v>
      </c>
      <c r="AY90" s="6">
        <f>(AV90-3600*AX90)/60</f>
        <v>3.9</v>
      </c>
      <c r="AZ90" s="6">
        <f>_xlfn.FLOOR.MATH((AY90))</f>
        <v>3</v>
      </c>
      <c r="BA90" s="6">
        <f>AV90-3600*AX90-60*AZ90</f>
        <v>54</v>
      </c>
      <c r="BB90" s="6">
        <f>AW90*IF(AD90&lt;0,-1,1)</f>
        <v>329.065</v>
      </c>
      <c r="BC90" s="7" t="str">
        <f>CONCATENATE(AE90,TEXT(AX90,"00"),"°",TEXT(AZ90,"00"),"'",TEXT(BA90,"00.00"), " [", CONCATENATE(AE90,TEXT(AX90,"00"),"°",TEXT(AY90,"00.00")),"]", "  (", AE90,TEXT(AW90,"00.0000"),"°)")</f>
        <v>329°03'54.00 [329°03.90]  (329.0650°)</v>
      </c>
    </row>
    <row r="91" spans="1:57" ht="17.25" customHeight="1" thickTop="1" thickBot="1" x14ac:dyDescent="0.3">
      <c r="E91" s="398"/>
      <c r="F91" s="398"/>
      <c r="G91" s="398"/>
      <c r="H91" s="363"/>
      <c r="I91" s="363"/>
      <c r="J91" s="363"/>
      <c r="K91" s="363"/>
      <c r="L91" s="400"/>
      <c r="M91" s="363"/>
      <c r="N91" s="363"/>
      <c r="O91" s="363"/>
      <c r="P91" s="363"/>
      <c r="Q91" s="363"/>
      <c r="R91" s="363"/>
      <c r="S91" s="363"/>
      <c r="T91" s="357"/>
      <c r="U91" s="357"/>
      <c r="V91" s="357"/>
      <c r="W91" s="357"/>
      <c r="X91" s="357"/>
      <c r="Y91" s="357"/>
      <c r="AA91" s="18" t="str">
        <f>P92</f>
        <v>344°03.8'</v>
      </c>
      <c r="AB91" s="19"/>
      <c r="AC91" s="20"/>
      <c r="AD91" s="178"/>
      <c r="AE91" s="178"/>
      <c r="AF91" s="178"/>
      <c r="AG91" s="178"/>
      <c r="AH91" s="178"/>
      <c r="AI91" s="178"/>
      <c r="AJ91" s="178"/>
      <c r="AK91" s="178"/>
      <c r="AL91" s="178"/>
      <c r="AM91" s="178"/>
      <c r="AN91" s="178"/>
      <c r="AO91" s="178"/>
      <c r="AP91" s="178"/>
      <c r="AQ91" s="178"/>
      <c r="AR91" s="178"/>
      <c r="AS91" s="178"/>
      <c r="AT91" s="178"/>
      <c r="AU91" s="178"/>
      <c r="AV91" s="178"/>
      <c r="AW91" s="178"/>
      <c r="AX91" s="178"/>
      <c r="AY91" s="178"/>
      <c r="AZ91" s="178"/>
      <c r="BA91" s="178"/>
      <c r="BB91" s="178"/>
      <c r="BC91" s="178"/>
      <c r="BD91" s="178"/>
      <c r="BE91" s="178"/>
    </row>
    <row r="92" spans="1:57" ht="17.25" customHeight="1" thickTop="1" thickBot="1" x14ac:dyDescent="0.3">
      <c r="E92" s="398"/>
      <c r="F92" s="398"/>
      <c r="G92" s="398"/>
      <c r="H92" s="363"/>
      <c r="I92" s="363"/>
      <c r="J92" s="363"/>
      <c r="K92" s="363"/>
      <c r="L92" s="400">
        <v>11</v>
      </c>
      <c r="M92" s="363"/>
      <c r="N92" s="363"/>
      <c r="O92" s="363" t="s">
        <v>6</v>
      </c>
      <c r="P92" s="414" t="s">
        <v>240</v>
      </c>
      <c r="Q92" s="363"/>
      <c r="R92" s="363"/>
      <c r="S92" s="363"/>
      <c r="T92" s="357" t="str">
        <f>AB92</f>
        <v>344°03'48.00 [344°03.80]  (344.0633°)</v>
      </c>
      <c r="U92" s="357"/>
      <c r="V92" s="357"/>
      <c r="W92" s="357"/>
      <c r="X92" s="357"/>
      <c r="Y92" s="357"/>
      <c r="AA92" s="18" t="str">
        <f>IF(VLOOKUP(O92,$B$36:$C$37,2)&gt;0,AA91,CONCATENATE("-",AA91))</f>
        <v>344°03.8'</v>
      </c>
      <c r="AB92" s="28" t="str">
        <f>BC92</f>
        <v>344°03'48.00 [344°03.80]  (344.0633°)</v>
      </c>
      <c r="AC92" s="37">
        <f>BB92</f>
        <v>344.06333333333333</v>
      </c>
      <c r="AD92" s="5">
        <f>IF(LEFT(TRIM(AA92),1)="-",-1,IF(LEFT(TRIM(AA92),1)="+",1, 0))</f>
        <v>0</v>
      </c>
      <c r="AE92" s="5" t="str">
        <f>IF(AD92&gt;0,"+",IF(AD92&lt;0,"-",""))</f>
        <v/>
      </c>
      <c r="AF92" s="5" t="str">
        <f>IF(ABS(AD92)&gt;0,RIGHT(AA92,LEN(AA92)-1),AA92)</f>
        <v>344°03.8'</v>
      </c>
      <c r="AG92" s="5" t="b">
        <f>ISNUMBER(SEARCH("°",AF92,1))</f>
        <v>1</v>
      </c>
      <c r="AH92" s="5" t="b">
        <f>ISNUMBER(SEARCH("'",AF92,1))</f>
        <v>1</v>
      </c>
      <c r="AI92" s="5" t="b">
        <f>ISNUMBER(SEARCH("""",AF92,1))</f>
        <v>0</v>
      </c>
      <c r="AJ92" s="5" t="b">
        <f>NOT(OR(AG92,AH92,AI92))</f>
        <v>0</v>
      </c>
      <c r="AK92" s="5" t="b">
        <f t="shared" ref="AK92" si="112">OR(AJ92,AG92)</f>
        <v>1</v>
      </c>
      <c r="AL92" s="6" t="str">
        <f>IF(AJ92,VALUE(AF92),IF(AG92,LEFT(AF92,SEARCH("°",AF92,1)-1),0))</f>
        <v>344</v>
      </c>
      <c r="AM92" s="5" t="str">
        <f>IF(AJ92,"",IF(AG92,RIGHT(AF92,LEN(AF92)-SEARCH("°",AF92,1)),AF92))</f>
        <v>03.8'</v>
      </c>
      <c r="AN92" s="5" t="b">
        <f>(LEN(AM92)&gt;0)</f>
        <v>1</v>
      </c>
      <c r="AO92" s="5" t="b">
        <f>NOT(OR(AH92,AI92))</f>
        <v>0</v>
      </c>
      <c r="AP92" s="6">
        <f t="shared" ref="AP92" si="113">IF(NOT(AN92),0,IF(AO92,VALUE(AM92),IF(NOT(AH92),0,VALUE(LEFT(AM92,SEARCH("'",AM92,1)-1)))))</f>
        <v>3.8</v>
      </c>
      <c r="AQ92" s="5" t="str">
        <f t="shared" ref="AQ92" si="114">IF(NOT(AN92),"",IF(AO92,"",IF(NOT(AH92),AM92,RIGHT(AM92,LEN(AM92)-SEARCH("'",AM92,1)))))</f>
        <v/>
      </c>
      <c r="AR92" s="5" t="b">
        <f>(LEN(AQ92)&gt;0)</f>
        <v>0</v>
      </c>
      <c r="AS92" s="5" t="b">
        <f t="shared" ref="AS92" si="115">NOT(AI92)</f>
        <v>1</v>
      </c>
      <c r="AT92" s="5" t="b">
        <f>ISNUMBER(SEARCH(".",AQ92,1))</f>
        <v>0</v>
      </c>
      <c r="AU92" s="6">
        <f t="shared" ref="AU92" si="116">IF(AR92,IF(AI92,IF(AT92,VALUE(SUBSTITUTE(AQ92, """", "")),VALUE(SUBSTITUTE(AQ92, """", "."))),VALUE(AQ92)),0)</f>
        <v>0</v>
      </c>
      <c r="AV92" s="6">
        <f t="shared" ref="AV92" si="117">AL92*3600+AP92*60+AU92</f>
        <v>1238628</v>
      </c>
      <c r="AW92" s="6">
        <f>AV92/3600</f>
        <v>344.06333333333333</v>
      </c>
      <c r="AX92" s="6">
        <f>_xlfn.FLOOR.MATH((AW92))</f>
        <v>344</v>
      </c>
      <c r="AY92" s="6">
        <f>(AV92-3600*AX92)/60</f>
        <v>3.8</v>
      </c>
      <c r="AZ92" s="6">
        <f>_xlfn.FLOOR.MATH((AY92))</f>
        <v>3</v>
      </c>
      <c r="BA92" s="6">
        <f>AV92-3600*AX92-60*AZ92</f>
        <v>48</v>
      </c>
      <c r="BB92" s="6">
        <f>AW92*IF(AD92&lt;0,-1,1)</f>
        <v>344.06333333333333</v>
      </c>
      <c r="BC92" s="7" t="str">
        <f>CONCATENATE(AE92,TEXT(AX92,"00"),"°",TEXT(AZ92,"00"),"'",TEXT(BA92,"00.00"), " [", CONCATENATE(AE92,TEXT(AX92,"00"),"°",TEXT(AY92,"00.00")),"]", "  (", AE92,TEXT(AW92,"00.0000"),"°)")</f>
        <v>344°03'48.00 [344°03.80]  (344.0633°)</v>
      </c>
    </row>
    <row r="93" spans="1:57" ht="17.25" customHeight="1" thickTop="1" thickBot="1" x14ac:dyDescent="0.3">
      <c r="E93" s="398"/>
      <c r="F93" s="398"/>
      <c r="G93" s="398"/>
      <c r="H93" s="363"/>
      <c r="I93" s="363"/>
      <c r="J93" s="363"/>
      <c r="K93" s="363"/>
      <c r="L93" s="400"/>
      <c r="M93" s="363"/>
      <c r="N93" s="363"/>
      <c r="O93" s="363"/>
      <c r="P93" s="363"/>
      <c r="Q93" s="363"/>
      <c r="R93" s="363"/>
      <c r="S93" s="363"/>
      <c r="T93" s="357"/>
      <c r="U93" s="357"/>
      <c r="V93" s="357"/>
      <c r="W93" s="357"/>
      <c r="X93" s="357"/>
      <c r="Y93" s="357"/>
      <c r="AD93" s="31" t="s">
        <v>62</v>
      </c>
      <c r="AE93" s="31" t="s">
        <v>61</v>
      </c>
      <c r="AF93" s="31" t="s">
        <v>63</v>
      </c>
      <c r="AG93" s="31" t="s">
        <v>60</v>
      </c>
      <c r="AH93" s="178"/>
      <c r="AI93" s="178"/>
      <c r="AJ93" s="178"/>
      <c r="AK93" s="178"/>
      <c r="AL93" s="178"/>
      <c r="AM93" s="31"/>
      <c r="AN93" s="17"/>
      <c r="AO93" s="17"/>
      <c r="AP93" s="17"/>
      <c r="AQ93" s="17"/>
      <c r="AR93" s="17"/>
      <c r="AS93" s="17"/>
      <c r="AT93" s="17"/>
    </row>
    <row r="94" spans="1:57" ht="17.25" customHeight="1" thickTop="1" thickBot="1" x14ac:dyDescent="0.3">
      <c r="E94" s="279" t="str">
        <f>AB95</f>
        <v>421°09'17.16 [421°09.29]  (421.1548°)</v>
      </c>
      <c r="F94" s="279"/>
      <c r="G94" s="279"/>
      <c r="H94" s="279"/>
      <c r="I94" s="279"/>
      <c r="J94" s="279"/>
      <c r="Z94" s="17"/>
      <c r="AC94" s="37">
        <f>AG94</f>
        <v>421.15476666666666</v>
      </c>
      <c r="AD94" s="22">
        <f>L92-L90</f>
        <v>1</v>
      </c>
      <c r="AE94" s="22">
        <f>AC92-AC90</f>
        <v>14.998333333333335</v>
      </c>
      <c r="AF94" s="22">
        <f>H90-L90</f>
        <v>6.1400000000000006</v>
      </c>
      <c r="AG94" s="22">
        <f>AC90+AF94*AE94</f>
        <v>421.15476666666666</v>
      </c>
      <c r="AH94" s="178"/>
      <c r="AI94" s="178"/>
      <c r="AJ94" s="178"/>
      <c r="AK94" s="178"/>
      <c r="AL94" s="178"/>
      <c r="AN94" s="17"/>
      <c r="AO94" s="17"/>
      <c r="AP94" s="17"/>
      <c r="AQ94" s="17"/>
      <c r="AR94" s="17"/>
      <c r="AS94" s="17"/>
      <c r="AT94" s="17"/>
    </row>
    <row r="95" spans="1:57" ht="17.25" customHeight="1" thickTop="1" x14ac:dyDescent="0.25">
      <c r="C95" s="56" t="s">
        <v>17</v>
      </c>
      <c r="D95" s="57"/>
      <c r="E95" s="57"/>
      <c r="F95" s="17"/>
      <c r="G95" s="17"/>
      <c r="H95" s="17"/>
      <c r="Z95" s="17"/>
      <c r="AA95" s="18">
        <f>AC94</f>
        <v>421.15476666666666</v>
      </c>
      <c r="AB95" s="28" t="str">
        <f>BC95</f>
        <v>421°09'17.16 [421°09.29]  (421.1548°)</v>
      </c>
      <c r="AC95" s="37">
        <f>BB95</f>
        <v>421.15476666666666</v>
      </c>
      <c r="AD95" s="5">
        <f>IF(LEFT(TRIM(AA95),1)="-",-1,IF(LEFT(TRIM(AA95),1)="+",1, 0))</f>
        <v>0</v>
      </c>
      <c r="AE95" s="5" t="str">
        <f>IF(AD95&gt;0,"+",IF(AD95&lt;0,"-",""))</f>
        <v/>
      </c>
      <c r="AF95" s="5">
        <f>IF(ABS(AD95)&gt;0,RIGHT(AA95,LEN(AA95)-1),AA95)</f>
        <v>421.15476666666666</v>
      </c>
      <c r="AG95" s="5" t="b">
        <f>ISNUMBER(SEARCH("°",AF95,1))</f>
        <v>0</v>
      </c>
      <c r="AH95" s="5" t="b">
        <f>ISNUMBER(SEARCH("'",AF95,1))</f>
        <v>0</v>
      </c>
      <c r="AI95" s="5" t="b">
        <f>ISNUMBER(SEARCH("""",AF95,1))</f>
        <v>0</v>
      </c>
      <c r="AJ95" s="5" t="b">
        <f>NOT(OR(AG95,AH95,AI95))</f>
        <v>1</v>
      </c>
      <c r="AK95" s="5" t="b">
        <f t="shared" ref="AK95" si="118">OR(AJ95,AG95)</f>
        <v>1</v>
      </c>
      <c r="AL95" s="6">
        <f>IF(AJ95,VALUE(AF95),IF(AG95,LEFT(AF95,SEARCH("°",AF95,1)-1),0))</f>
        <v>421.15476666666666</v>
      </c>
      <c r="AM95" s="5" t="str">
        <f>IF(AJ95,"",IF(AG95,RIGHT(AF95,LEN(AF95)-SEARCH("°",AF95,1)),AF95))</f>
        <v/>
      </c>
      <c r="AN95" s="5" t="b">
        <f>(LEN(AM95)&gt;0)</f>
        <v>0</v>
      </c>
      <c r="AO95" s="5" t="b">
        <f>NOT(OR(AH95,AI95))</f>
        <v>1</v>
      </c>
      <c r="AP95" s="6">
        <f t="shared" ref="AP95" si="119">IF(NOT(AN95),0,IF(AO95,VALUE(AM95),IF(NOT(AH95),0,VALUE(LEFT(AM95,SEARCH("'",AM95,1)-1)))))</f>
        <v>0</v>
      </c>
      <c r="AQ95" s="5" t="str">
        <f t="shared" ref="AQ95" si="120">IF(NOT(AN95),"",IF(AO95,"",IF(NOT(AH95),AM95,RIGHT(AM95,LEN(AM95)-SEARCH("'",AM95,1)))))</f>
        <v/>
      </c>
      <c r="AR95" s="5" t="b">
        <f>(LEN(AQ95)&gt;0)</f>
        <v>0</v>
      </c>
      <c r="AS95" s="5" t="b">
        <f t="shared" ref="AS95" si="121">NOT(AI95)</f>
        <v>1</v>
      </c>
      <c r="AT95" s="5" t="b">
        <f>ISNUMBER(SEARCH(".",AQ95,1))</f>
        <v>0</v>
      </c>
      <c r="AU95" s="6">
        <f t="shared" ref="AU95" si="122">IF(AR95,IF(AI95,IF(AT95,VALUE(SUBSTITUTE(AQ95, """", "")),VALUE(SUBSTITUTE(AQ95, """", "."))),VALUE(AQ95)),0)</f>
        <v>0</v>
      </c>
      <c r="AV95" s="6">
        <f t="shared" ref="AV95" si="123">AL95*3600+AP95*60+AU95</f>
        <v>1516157.16</v>
      </c>
      <c r="AW95" s="6">
        <f>AV95/3600</f>
        <v>421.15476666666666</v>
      </c>
      <c r="AX95" s="6">
        <f>_xlfn.FLOOR.MATH((AW95))</f>
        <v>421</v>
      </c>
      <c r="AY95" s="6">
        <f>(AV95-3600*AX95)/60</f>
        <v>9.2859999999986034</v>
      </c>
      <c r="AZ95" s="6">
        <f>_xlfn.FLOOR.MATH((AY95))</f>
        <v>9</v>
      </c>
      <c r="BA95" s="6">
        <f>AV95-3600*AX95-60*AZ95</f>
        <v>17.159999999916181</v>
      </c>
      <c r="BB95" s="6">
        <f>AW95*IF(AD95&lt;0,-1,1)</f>
        <v>421.15476666666666</v>
      </c>
      <c r="BC95" s="7" t="str">
        <f>CONCATENATE(AE95,TEXT(AX95,"00"),"°",TEXT(AZ95,"00"),"'",TEXT(BA95,"00.00"), " [", CONCATENATE(AE95,TEXT(AX95,"00"),"°",TEXT(AY95,"00.00")),"]", "  (", AE95,TEXT(AW95,"00.0000"),"°)")</f>
        <v>421°09'17.16 [421°09.29]  (421.1548°)</v>
      </c>
    </row>
    <row r="96" spans="1:57" ht="17.25" customHeight="1" x14ac:dyDescent="0.25">
      <c r="C96" s="17"/>
      <c r="D96" s="17"/>
      <c r="E96" s="401" t="s">
        <v>10</v>
      </c>
      <c r="F96" s="401"/>
      <c r="G96" s="401"/>
      <c r="H96" s="401" t="s">
        <v>13</v>
      </c>
      <c r="I96" s="401"/>
      <c r="J96" s="401"/>
      <c r="K96" s="401"/>
      <c r="L96" s="402" t="s">
        <v>14</v>
      </c>
      <c r="M96" s="402"/>
      <c r="N96" s="402"/>
      <c r="O96" s="415" t="s">
        <v>20</v>
      </c>
      <c r="P96" s="415"/>
      <c r="Q96" s="415"/>
      <c r="R96" s="415"/>
      <c r="S96" s="415"/>
      <c r="T96" s="415" t="s">
        <v>216</v>
      </c>
      <c r="U96" s="415"/>
      <c r="V96" s="415"/>
      <c r="W96" s="415"/>
      <c r="X96" s="415"/>
      <c r="Z96" s="17"/>
      <c r="AB96" s="14"/>
      <c r="AC96" s="7"/>
      <c r="AD96" s="3" t="s">
        <v>57</v>
      </c>
      <c r="AE96" s="3" t="s">
        <v>57</v>
      </c>
      <c r="AF96" s="3" t="s">
        <v>304</v>
      </c>
      <c r="AG96" s="3" t="s">
        <v>120</v>
      </c>
      <c r="AH96" s="3" t="s">
        <v>121</v>
      </c>
      <c r="AI96" s="3" t="s">
        <v>122</v>
      </c>
      <c r="AJ96" s="3" t="s">
        <v>123</v>
      </c>
      <c r="AK96" s="3" t="s">
        <v>124</v>
      </c>
      <c r="AL96" s="3" t="s">
        <v>125</v>
      </c>
      <c r="AM96" s="3" t="s">
        <v>101</v>
      </c>
      <c r="AN96" s="3" t="s">
        <v>129</v>
      </c>
      <c r="AO96" s="3" t="s">
        <v>128</v>
      </c>
      <c r="AP96" s="3" t="s">
        <v>126</v>
      </c>
      <c r="AQ96" s="3" t="s">
        <v>127</v>
      </c>
      <c r="AR96" s="3" t="s">
        <v>129</v>
      </c>
      <c r="AS96" s="3" t="s">
        <v>128</v>
      </c>
      <c r="AT96" s="3" t="s">
        <v>130</v>
      </c>
      <c r="AU96" s="3" t="s">
        <v>112</v>
      </c>
      <c r="AV96" s="3" t="s">
        <v>117</v>
      </c>
      <c r="AW96" s="3" t="s">
        <v>143</v>
      </c>
      <c r="AX96" s="3" t="s">
        <v>149</v>
      </c>
      <c r="AY96" s="3" t="s">
        <v>131</v>
      </c>
      <c r="AZ96" s="3" t="s">
        <v>150</v>
      </c>
      <c r="BA96" s="3" t="s">
        <v>112</v>
      </c>
      <c r="BB96" s="3" t="s">
        <v>308</v>
      </c>
      <c r="BC96" s="3" t="s">
        <v>151</v>
      </c>
    </row>
    <row r="97" spans="1:65" ht="17.25" customHeight="1" collapsed="1" x14ac:dyDescent="0.25">
      <c r="E97" s="401"/>
      <c r="F97" s="401"/>
      <c r="G97" s="401"/>
      <c r="H97" s="401"/>
      <c r="I97" s="401"/>
      <c r="J97" s="401"/>
      <c r="K97" s="401"/>
      <c r="L97" s="402"/>
      <c r="M97" s="402"/>
      <c r="N97" s="402"/>
      <c r="O97" s="415"/>
      <c r="P97" s="415"/>
      <c r="Q97" s="415"/>
      <c r="R97" s="415"/>
      <c r="S97" s="415"/>
      <c r="T97" s="415"/>
      <c r="U97" s="415"/>
      <c r="V97" s="415"/>
      <c r="W97" s="415"/>
      <c r="X97" s="415"/>
      <c r="Y97" s="17"/>
      <c r="Z97" s="17"/>
      <c r="AA97" s="18" t="str">
        <f>IF(VLOOKUP(O98,$B$36:$C$37,2)&gt;0,AA98,CONCATENATE("-",AA98))</f>
        <v>176.49°</v>
      </c>
      <c r="AB97" s="14" t="str">
        <f>BC97</f>
        <v>176°29'24.00 [176°29.40]  (176.4900°)</v>
      </c>
      <c r="AC97" s="7">
        <f>BB97</f>
        <v>176.49</v>
      </c>
      <c r="AD97" s="5">
        <f>IF(LEFT(TRIM(AA97),1)="-",-1,IF(LEFT(TRIM(AA97),1)="+",1, 0))</f>
        <v>0</v>
      </c>
      <c r="AE97" s="5" t="str">
        <f>IF(AD97&gt;0,"+",IF(AD97&lt;0,"-",""))</f>
        <v/>
      </c>
      <c r="AF97" s="5" t="str">
        <f>IF(ABS(AD97)&gt;0,RIGHT(AA97,LEN(AA97)-1),AA97)</f>
        <v>176.49°</v>
      </c>
      <c r="AG97" s="5" t="b">
        <f>ISNUMBER(SEARCH("°",AF97,1))</f>
        <v>1</v>
      </c>
      <c r="AH97" s="5" t="b">
        <f>ISNUMBER(SEARCH("'",AF97,1))</f>
        <v>0</v>
      </c>
      <c r="AI97" s="5" t="b">
        <f>ISNUMBER(SEARCH("""",AF97,1))</f>
        <v>0</v>
      </c>
      <c r="AJ97" s="5" t="b">
        <f>NOT(OR(AG97,AH97,AI97))</f>
        <v>0</v>
      </c>
      <c r="AK97" s="5" t="b">
        <f t="shared" ref="AK97" si="124">OR(AJ97,AG97)</f>
        <v>1</v>
      </c>
      <c r="AL97" s="6" t="str">
        <f>IF(AJ97,VALUE(AF97),IF(AG97,LEFT(AF97,SEARCH("°",AF97,1)-1),0))</f>
        <v>176.49</v>
      </c>
      <c r="AM97" s="5" t="str">
        <f>IF(AJ97,"",IF(AG97,RIGHT(AF97,LEN(AF97)-SEARCH("°",AF97,1)),AF97))</f>
        <v/>
      </c>
      <c r="AN97" s="5" t="b">
        <f>(LEN(AM97)&gt;0)</f>
        <v>0</v>
      </c>
      <c r="AO97" s="5" t="b">
        <f>NOT(OR(AH97,AI97))</f>
        <v>1</v>
      </c>
      <c r="AP97" s="6">
        <f t="shared" ref="AP97" si="125">IF(NOT(AN97),0,IF(AO97,VALUE(AM97),IF(NOT(AH97),0,VALUE(LEFT(AM97,SEARCH("'",AM97,1)-1)))))</f>
        <v>0</v>
      </c>
      <c r="AQ97" s="5" t="str">
        <f t="shared" ref="AQ97" si="126">IF(NOT(AN97),"",IF(AO97,"",IF(NOT(AH97),AM97,RIGHT(AM97,LEN(AM97)-SEARCH("'",AM97,1)))))</f>
        <v/>
      </c>
      <c r="AR97" s="5" t="b">
        <f>(LEN(AQ97)&gt;0)</f>
        <v>0</v>
      </c>
      <c r="AS97" s="5" t="b">
        <f t="shared" ref="AS97" si="127">NOT(AI97)</f>
        <v>1</v>
      </c>
      <c r="AT97" s="5" t="b">
        <f>ISNUMBER(SEARCH(".",AQ97,1))</f>
        <v>0</v>
      </c>
      <c r="AU97" s="6">
        <f t="shared" ref="AU97" si="128">IF(AR97,IF(AI97,IF(AT97,VALUE(SUBSTITUTE(AQ97, """", "")),VALUE(SUBSTITUTE(AQ97, """", "."))),VALUE(AQ97)),0)</f>
        <v>0</v>
      </c>
      <c r="AV97" s="6">
        <f t="shared" ref="AV97" si="129">AL97*3600+AP97*60+AU97</f>
        <v>635364</v>
      </c>
      <c r="AW97" s="6">
        <f>AV97/3600</f>
        <v>176.49</v>
      </c>
      <c r="AX97" s="6">
        <f>_xlfn.FLOOR.MATH((AW97))</f>
        <v>176</v>
      </c>
      <c r="AY97" s="6">
        <f>(AV97-3600*AX97)/60</f>
        <v>29.4</v>
      </c>
      <c r="AZ97" s="6">
        <f>_xlfn.FLOOR.MATH((AY97))</f>
        <v>29</v>
      </c>
      <c r="BA97" s="6">
        <f>AV97-3600*AX97-60*AZ97</f>
        <v>24</v>
      </c>
      <c r="BB97" s="6">
        <f>AW97*IF(AD97&lt;0,-1,1)</f>
        <v>176.49</v>
      </c>
      <c r="BC97" s="7" t="str">
        <f>CONCATENATE(AE97,TEXT(AX97,"00"),"°",TEXT(AZ97,"00"),"'",TEXT(BA97,"00.00"), " [", CONCATENATE(AE97,TEXT(AX97,"00"),"°",TEXT(AY97,"00.00")),"]", "  (", AE97,TEXT(AW97,"00.0000"),"°)")</f>
        <v>176°29'24.00 [176°29.40]  (176.4900°)</v>
      </c>
    </row>
    <row r="98" spans="1:65" ht="17.25" customHeight="1" x14ac:dyDescent="0.25">
      <c r="D98" s="59"/>
      <c r="E98" s="397">
        <f>AC102</f>
        <v>418.62228000000005</v>
      </c>
      <c r="F98" s="397"/>
      <c r="G98" s="397"/>
      <c r="H98" s="321">
        <f>D11</f>
        <v>16.14</v>
      </c>
      <c r="I98" s="321"/>
      <c r="J98" s="321"/>
      <c r="K98" s="321"/>
      <c r="L98" s="307">
        <v>0</v>
      </c>
      <c r="M98" s="321"/>
      <c r="N98" s="321"/>
      <c r="O98" s="321" t="s">
        <v>6</v>
      </c>
      <c r="P98" s="416" t="s">
        <v>374</v>
      </c>
      <c r="Q98" s="321"/>
      <c r="R98" s="321"/>
      <c r="S98" s="321"/>
      <c r="T98" s="321" t="s">
        <v>6</v>
      </c>
      <c r="U98" s="416" t="s">
        <v>316</v>
      </c>
      <c r="V98" s="321"/>
      <c r="W98" s="321"/>
      <c r="X98" s="321"/>
      <c r="Y98" s="17"/>
      <c r="AA98" s="18" t="str">
        <f>P98</f>
        <v>176.49°</v>
      </c>
      <c r="AC98" s="37"/>
      <c r="AD98" s="178"/>
      <c r="AE98" s="178"/>
      <c r="AF98" s="178"/>
      <c r="AG98" s="178"/>
      <c r="AH98" s="178"/>
      <c r="AI98" s="178"/>
      <c r="AJ98" s="178"/>
      <c r="AK98" s="178"/>
      <c r="AL98" s="178"/>
      <c r="AM98" s="178"/>
      <c r="AN98" s="178"/>
      <c r="AO98" s="178"/>
      <c r="AT98" s="38"/>
      <c r="AU98" s="38"/>
      <c r="AV98" s="39"/>
      <c r="AW98" s="39"/>
      <c r="AX98" s="178"/>
      <c r="AY98" s="178"/>
      <c r="AZ98" s="178"/>
      <c r="BA98" s="178"/>
    </row>
    <row r="99" spans="1:65" ht="17.25" customHeight="1" thickBot="1" x14ac:dyDescent="0.3">
      <c r="E99" s="398"/>
      <c r="F99" s="398"/>
      <c r="G99" s="398"/>
      <c r="H99" s="363"/>
      <c r="I99" s="363"/>
      <c r="J99" s="363"/>
      <c r="K99" s="363"/>
      <c r="L99" s="400"/>
      <c r="M99" s="363"/>
      <c r="N99" s="363"/>
      <c r="O99" s="363"/>
      <c r="P99" s="363"/>
      <c r="Q99" s="363"/>
      <c r="R99" s="363"/>
      <c r="S99" s="363"/>
      <c r="T99" s="363"/>
      <c r="U99" s="363"/>
      <c r="V99" s="363"/>
      <c r="W99" s="363"/>
      <c r="X99" s="363"/>
      <c r="Y99" s="17"/>
      <c r="AA99" s="18" t="str">
        <f>U98</f>
        <v>15.002°</v>
      </c>
      <c r="AB99" s="19"/>
      <c r="AC99" s="20"/>
      <c r="AD99" s="178"/>
      <c r="AE99" s="178"/>
      <c r="AF99" s="178"/>
      <c r="AG99" s="178"/>
      <c r="AH99" s="178"/>
      <c r="AI99" s="178"/>
      <c r="AJ99" s="178"/>
      <c r="AK99" s="178"/>
      <c r="AL99" s="178"/>
      <c r="AM99" s="178"/>
      <c r="AN99" s="178"/>
      <c r="AO99" s="178"/>
      <c r="AP99" s="178"/>
      <c r="AQ99" s="178"/>
      <c r="AR99" s="178"/>
      <c r="AS99" s="178"/>
      <c r="AT99" s="178"/>
      <c r="AU99" s="178"/>
      <c r="AV99" s="178"/>
      <c r="AW99" s="178"/>
      <c r="AX99" s="178"/>
      <c r="AY99" s="178"/>
      <c r="AZ99" s="178"/>
      <c r="BA99" s="178"/>
      <c r="BB99" s="178"/>
      <c r="BC99" s="178"/>
      <c r="BD99" s="178"/>
      <c r="BE99" s="178"/>
      <c r="BF99" s="178"/>
      <c r="BG99" s="178"/>
      <c r="BH99" s="178"/>
      <c r="BI99" s="178"/>
      <c r="BJ99" s="178"/>
    </row>
    <row r="100" spans="1:65" ht="17.25" customHeight="1" thickTop="1" thickBot="1" x14ac:dyDescent="0.3">
      <c r="E100" s="279" t="str">
        <f>AB102</f>
        <v>418°37'20.21 [418°37.34]  (418.6223°)</v>
      </c>
      <c r="F100" s="279"/>
      <c r="G100" s="279"/>
      <c r="H100" s="279"/>
      <c r="I100" s="279"/>
      <c r="J100" s="279"/>
      <c r="O100" s="577" t="str">
        <f>AB97</f>
        <v>176°29'24.00 [176°29.40]  (176.4900°)</v>
      </c>
      <c r="P100" s="577"/>
      <c r="Q100" s="577"/>
      <c r="R100" s="577"/>
      <c r="S100" s="577"/>
      <c r="T100" s="577" t="str">
        <f>AB100</f>
        <v>15°00'07.20 [15°00.12]  (15.0020°)</v>
      </c>
      <c r="U100" s="578"/>
      <c r="V100" s="578"/>
      <c r="W100" s="578"/>
      <c r="X100" s="578"/>
      <c r="AA100" s="18" t="str">
        <f>IF(VLOOKUP(T98,$B$36:$C$37,2)&gt;0,AA99,CONCATENATE("-",AA99))</f>
        <v>15.002°</v>
      </c>
      <c r="AB100" s="14" t="str">
        <f>BC100</f>
        <v>15°00'07.20 [15°00.12]  (15.0020°)</v>
      </c>
      <c r="AC100" s="7">
        <f>BB100</f>
        <v>15.002000000000001</v>
      </c>
      <c r="AD100" s="5">
        <f>IF(LEFT(TRIM(AA100),1)="-",-1,IF(LEFT(TRIM(AA100),1)="+",1, 0))</f>
        <v>0</v>
      </c>
      <c r="AE100" s="5" t="str">
        <f>IF(AD100&gt;0,"+",IF(AD100&lt;0,"-",""))</f>
        <v/>
      </c>
      <c r="AF100" s="5" t="str">
        <f>IF(ABS(AD100)&gt;0,RIGHT(AA100,LEN(AA100)-1),AA100)</f>
        <v>15.002°</v>
      </c>
      <c r="AG100" s="5" t="b">
        <f>ISNUMBER(SEARCH("°",AF100,1))</f>
        <v>1</v>
      </c>
      <c r="AH100" s="5" t="b">
        <f>ISNUMBER(SEARCH("'",AF100,1))</f>
        <v>0</v>
      </c>
      <c r="AI100" s="5" t="b">
        <f>ISNUMBER(SEARCH("""",AF100,1))</f>
        <v>0</v>
      </c>
      <c r="AJ100" s="5" t="b">
        <f>NOT(OR(AG100,AH100,AI100))</f>
        <v>0</v>
      </c>
      <c r="AK100" s="5" t="b">
        <f t="shared" ref="AK100" si="130">OR(AJ100,AG100)</f>
        <v>1</v>
      </c>
      <c r="AL100" s="6" t="str">
        <f>IF(AJ100,VALUE(AF100),IF(AG100,LEFT(AF100,SEARCH("°",AF100,1)-1),0))</f>
        <v>15.002</v>
      </c>
      <c r="AM100" s="5" t="str">
        <f>IF(AJ100,"",IF(AG100,RIGHT(AF100,LEN(AF100)-SEARCH("°",AF100,1)),AF100))</f>
        <v/>
      </c>
      <c r="AN100" s="5" t="b">
        <f>(LEN(AM100)&gt;0)</f>
        <v>0</v>
      </c>
      <c r="AO100" s="5" t="b">
        <f>NOT(OR(AH100,AI100))</f>
        <v>1</v>
      </c>
      <c r="AP100" s="6">
        <f t="shared" ref="AP100" si="131">IF(NOT(AN100),0,IF(AO100,VALUE(AM100),IF(NOT(AH100),0,VALUE(LEFT(AM100,SEARCH("'",AM100,1)-1)))))</f>
        <v>0</v>
      </c>
      <c r="AQ100" s="5" t="str">
        <f t="shared" ref="AQ100" si="132">IF(NOT(AN100),"",IF(AO100,"",IF(NOT(AH100),AM100,RIGHT(AM100,LEN(AM100)-SEARCH("'",AM100,1)))))</f>
        <v/>
      </c>
      <c r="AR100" s="5" t="b">
        <f>(LEN(AQ100)&gt;0)</f>
        <v>0</v>
      </c>
      <c r="AS100" s="5" t="b">
        <f t="shared" ref="AS100" si="133">NOT(AI100)</f>
        <v>1</v>
      </c>
      <c r="AT100" s="5" t="b">
        <f>ISNUMBER(SEARCH(".",AQ100,1))</f>
        <v>0</v>
      </c>
      <c r="AU100" s="6">
        <f t="shared" ref="AU100" si="134">IF(AR100,IF(AI100,IF(AT100,VALUE(SUBSTITUTE(AQ100, """", "")),VALUE(SUBSTITUTE(AQ100, """", "."))),VALUE(AQ100)),0)</f>
        <v>0</v>
      </c>
      <c r="AV100" s="6">
        <f t="shared" ref="AV100" si="135">AL100*3600+AP100*60+AU100</f>
        <v>54007.200000000004</v>
      </c>
      <c r="AW100" s="6">
        <f>AV100/3600</f>
        <v>15.002000000000001</v>
      </c>
      <c r="AX100" s="6">
        <f>_xlfn.FLOOR.MATH((AW100))</f>
        <v>15</v>
      </c>
      <c r="AY100" s="6">
        <f>(AV100-3600*AX100)/60</f>
        <v>0.12000000000007276</v>
      </c>
      <c r="AZ100" s="6">
        <f>_xlfn.FLOOR.MATH((AY100))</f>
        <v>0</v>
      </c>
      <c r="BA100" s="6">
        <f>AV100-3600*AX100-60*AZ100</f>
        <v>7.2000000000043656</v>
      </c>
      <c r="BB100" s="6">
        <f>AW100*IF(AD100&lt;0,-1,1)</f>
        <v>15.002000000000001</v>
      </c>
      <c r="BC100" s="7" t="str">
        <f>CONCATENATE(AE100,TEXT(AX100,"00"),"°",TEXT(AZ100,"00"),"'",TEXT(BA100,"00.00"), " [", CONCATENATE(AE100,TEXT(AX100,"00"),"°",TEXT(AY100,"00.00")),"]", "  (", AE100,TEXT(AW100,"00.0000"),"°)")</f>
        <v>15°00'07.20 [15°00.12]  (15.0020°)</v>
      </c>
    </row>
    <row r="101" spans="1:65" ht="17.25" customHeight="1" thickTop="1" x14ac:dyDescent="0.25">
      <c r="R101" s="17"/>
      <c r="S101" s="17"/>
      <c r="T101" s="17"/>
      <c r="U101" s="17"/>
      <c r="V101" s="17"/>
      <c r="W101" s="17"/>
      <c r="AC101" s="37"/>
      <c r="AD101" s="61" t="s">
        <v>154</v>
      </c>
      <c r="AE101" s="22">
        <f>AC97+(H98-L98)*AC100</f>
        <v>418.62228000000005</v>
      </c>
      <c r="AF101" s="178"/>
      <c r="AG101" s="178"/>
      <c r="AH101" s="178"/>
      <c r="AI101" s="178"/>
      <c r="AJ101" s="178"/>
      <c r="AK101" s="178"/>
      <c r="AL101" s="178"/>
      <c r="AM101" s="178"/>
      <c r="AN101" s="178"/>
      <c r="AO101" s="178"/>
      <c r="AP101" s="178"/>
      <c r="AQ101" s="178"/>
      <c r="AR101" s="178"/>
      <c r="AS101" s="178"/>
      <c r="AT101" s="178"/>
      <c r="AU101" s="178"/>
      <c r="AV101" s="178"/>
      <c r="AW101" s="178"/>
      <c r="AX101" s="178"/>
      <c r="AY101" s="178"/>
      <c r="AZ101" s="178"/>
      <c r="BA101" s="178"/>
      <c r="BB101" s="178"/>
      <c r="BC101" s="178"/>
      <c r="BD101" s="178"/>
      <c r="BE101" s="178"/>
    </row>
    <row r="102" spans="1:65" ht="17.25" customHeight="1" x14ac:dyDescent="0.25">
      <c r="R102" s="17"/>
      <c r="S102" s="17"/>
      <c r="T102" s="17"/>
      <c r="U102" s="17"/>
      <c r="V102" s="17"/>
      <c r="AA102" s="18">
        <f>AE101</f>
        <v>418.62228000000005</v>
      </c>
      <c r="AB102" s="14" t="str">
        <f>BC102</f>
        <v>418°37'20.21 [418°37.34]  (418.6223°)</v>
      </c>
      <c r="AC102" s="7">
        <f>BB102</f>
        <v>418.62228000000005</v>
      </c>
      <c r="AD102" s="5">
        <f>IF(LEFT(TRIM(AA102),1)="-",-1,IF(LEFT(TRIM(AA102),1)="+",1, 0))</f>
        <v>0</v>
      </c>
      <c r="AE102" s="5" t="str">
        <f>IF(AD102&gt;0,"+",IF(AD102&lt;0,"-",""))</f>
        <v/>
      </c>
      <c r="AF102" s="5">
        <f>IF(ABS(AD102)&gt;0,RIGHT(AA102,LEN(AA102)-1),AA102)</f>
        <v>418.62228000000005</v>
      </c>
      <c r="AG102" s="5" t="b">
        <f>ISNUMBER(SEARCH("°",AF102,1))</f>
        <v>0</v>
      </c>
      <c r="AH102" s="5" t="b">
        <f>ISNUMBER(SEARCH("'",AF102,1))</f>
        <v>0</v>
      </c>
      <c r="AI102" s="5" t="b">
        <f>ISNUMBER(SEARCH("""",AF102,1))</f>
        <v>0</v>
      </c>
      <c r="AJ102" s="5" t="b">
        <f>NOT(OR(AG102,AH102,AI102))</f>
        <v>1</v>
      </c>
      <c r="AK102" s="5" t="b">
        <f t="shared" ref="AK102" si="136">OR(AJ102,AG102)</f>
        <v>1</v>
      </c>
      <c r="AL102" s="6">
        <f>IF(AJ102,VALUE(AF102),IF(AG102,LEFT(AF102,SEARCH("°",AF102,1)-1),0))</f>
        <v>418.62228000000005</v>
      </c>
      <c r="AM102" s="5" t="str">
        <f>IF(AJ102,"",IF(AG102,RIGHT(AF102,LEN(AF102)-SEARCH("°",AF102,1)),AF102))</f>
        <v/>
      </c>
      <c r="AN102" s="5" t="b">
        <f>(LEN(AM102)&gt;0)</f>
        <v>0</v>
      </c>
      <c r="AO102" s="5" t="b">
        <f>NOT(OR(AH102,AI102))</f>
        <v>1</v>
      </c>
      <c r="AP102" s="6">
        <f t="shared" ref="AP102" si="137">IF(NOT(AN102),0,IF(AO102,VALUE(AM102),IF(NOT(AH102),0,VALUE(LEFT(AM102,SEARCH("'",AM102,1)-1)))))</f>
        <v>0</v>
      </c>
      <c r="AQ102" s="5" t="str">
        <f t="shared" ref="AQ102" si="138">IF(NOT(AN102),"",IF(AO102,"",IF(NOT(AH102),AM102,RIGHT(AM102,LEN(AM102)-SEARCH("'",AM102,1)))))</f>
        <v/>
      </c>
      <c r="AR102" s="5" t="b">
        <f>(LEN(AQ102)&gt;0)</f>
        <v>0</v>
      </c>
      <c r="AS102" s="5" t="b">
        <f t="shared" ref="AS102" si="139">NOT(AI102)</f>
        <v>1</v>
      </c>
      <c r="AT102" s="5" t="b">
        <f>ISNUMBER(SEARCH(".",AQ102,1))</f>
        <v>0</v>
      </c>
      <c r="AU102" s="6">
        <f t="shared" ref="AU102" si="140">IF(AR102,IF(AI102,IF(AT102,VALUE(SUBSTITUTE(AQ102, """", "")),VALUE(SUBSTITUTE(AQ102, """", "."))),VALUE(AQ102)),0)</f>
        <v>0</v>
      </c>
      <c r="AV102" s="6">
        <f t="shared" ref="AV102" si="141">AL102*3600+AP102*60+AU102</f>
        <v>1507040.2080000001</v>
      </c>
      <c r="AW102" s="6">
        <f>AV102/3600</f>
        <v>418.62228000000005</v>
      </c>
      <c r="AX102" s="6">
        <f>_xlfn.FLOOR.MATH((AW102))</f>
        <v>418</v>
      </c>
      <c r="AY102" s="6">
        <f>(AV102-3600*AX102)/60</f>
        <v>37.336800000001674</v>
      </c>
      <c r="AZ102" s="6">
        <f>_xlfn.FLOOR.MATH((AY102))</f>
        <v>37</v>
      </c>
      <c r="BA102" s="6">
        <f>AV102-3600*AX102-60*AZ102</f>
        <v>20.208000000100583</v>
      </c>
      <c r="BB102" s="6">
        <f>AW102*IF(AD102&lt;0,-1,1)</f>
        <v>418.62228000000005</v>
      </c>
      <c r="BC102" s="7" t="str">
        <f>CONCATENATE(AE102,TEXT(AX102,"00"),"°",TEXT(AZ102,"00"),"'",TEXT(BA102,"00.00"), " [", CONCATENATE(AE102,TEXT(AX102,"00"),"°",TEXT(AY102,"00.00")),"]", "  (", AE102,TEXT(AW102,"00.0000"),"°)")</f>
        <v>418°37'20.21 [418°37.34]  (418.6223°)</v>
      </c>
    </row>
    <row r="103" spans="1:65" ht="17.25" customHeight="1" thickBot="1" x14ac:dyDescent="0.3"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AD103" s="31"/>
      <c r="AE103" s="31"/>
      <c r="AF103" s="31"/>
      <c r="AG103" s="31"/>
      <c r="AH103" s="60"/>
      <c r="AI103" s="31"/>
      <c r="AJ103" s="31"/>
      <c r="AK103" s="31"/>
      <c r="AL103" s="31"/>
      <c r="AM103" s="31"/>
      <c r="AN103" s="63"/>
      <c r="AO103" s="31"/>
      <c r="AP103" s="31"/>
      <c r="AQ103" s="31"/>
      <c r="AR103" s="31"/>
      <c r="AS103" s="31"/>
      <c r="AT103" s="17"/>
    </row>
    <row r="104" spans="1:65" s="17" customFormat="1" ht="17.25" customHeight="1" thickBot="1" x14ac:dyDescent="0.3">
      <c r="A104" s="1"/>
      <c r="B104" s="47" t="s">
        <v>71</v>
      </c>
      <c r="C104" s="48"/>
      <c r="D104" s="48"/>
      <c r="E104" s="362">
        <f>H105</f>
        <v>56.538946666666732</v>
      </c>
      <c r="F104" s="362"/>
      <c r="G104" s="362"/>
      <c r="H104" s="48"/>
      <c r="I104" s="332" t="s">
        <v>157</v>
      </c>
      <c r="J104" s="332"/>
      <c r="K104" s="332"/>
      <c r="L104" s="460" t="str">
        <f>I20</f>
        <v>Soleil</v>
      </c>
      <c r="M104" s="460"/>
      <c r="N104" s="460"/>
      <c r="O104" s="48"/>
      <c r="P104" s="48"/>
      <c r="Q104" s="48"/>
      <c r="R104" s="48"/>
      <c r="S104" s="48"/>
      <c r="T104" s="48"/>
      <c r="U104" s="48"/>
      <c r="V104" s="48"/>
      <c r="W104" s="48"/>
      <c r="X104" s="48"/>
      <c r="Y104" s="48"/>
      <c r="Z104" s="48"/>
      <c r="AA104" s="48"/>
      <c r="AB104" s="48"/>
      <c r="AC104" s="48"/>
      <c r="AD104" s="48"/>
      <c r="AE104" s="48"/>
      <c r="AF104" s="48"/>
      <c r="AG104" s="48"/>
      <c r="AH104" s="48"/>
      <c r="AI104" s="48"/>
      <c r="AJ104" s="48"/>
      <c r="AK104" s="48"/>
      <c r="AL104" s="48"/>
      <c r="AM104" s="48"/>
      <c r="AN104" s="48"/>
      <c r="AO104" s="48"/>
      <c r="AP104" s="48"/>
      <c r="AQ104" s="48"/>
      <c r="AR104" s="48"/>
      <c r="AS104" s="48"/>
      <c r="AT104" s="48"/>
      <c r="AU104" s="48"/>
      <c r="AV104" s="48"/>
      <c r="AW104" s="48"/>
      <c r="AX104" s="48"/>
      <c r="AY104" s="48"/>
      <c r="AZ104" s="48"/>
      <c r="BA104" s="49"/>
      <c r="BB104" s="50"/>
      <c r="BC104" s="39"/>
      <c r="BD104" s="39"/>
      <c r="BE104" s="39"/>
      <c r="BF104" s="39"/>
      <c r="BG104" s="39"/>
      <c r="BH104" s="39"/>
      <c r="BI104" s="39"/>
      <c r="BJ104" s="39"/>
      <c r="BK104" s="39"/>
      <c r="BL104" s="39"/>
      <c r="BM104" s="39"/>
    </row>
    <row r="105" spans="1:65" ht="17.25" customHeight="1" thickBot="1" x14ac:dyDescent="0.3">
      <c r="C105" s="282" t="s">
        <v>27</v>
      </c>
      <c r="D105" s="282"/>
      <c r="E105" s="282"/>
      <c r="F105" s="282"/>
      <c r="G105" s="283"/>
      <c r="H105" s="292">
        <f>AG106</f>
        <v>56.538946666666732</v>
      </c>
      <c r="I105" s="293"/>
      <c r="J105" s="293"/>
      <c r="K105" s="294"/>
      <c r="L105" s="64" t="s">
        <v>74</v>
      </c>
      <c r="M105" s="362">
        <f>AD106</f>
        <v>416.53894666666673</v>
      </c>
      <c r="N105" s="362"/>
      <c r="O105" s="362"/>
      <c r="P105" s="362"/>
      <c r="AD105" s="31" t="s">
        <v>75</v>
      </c>
      <c r="AE105" s="31" t="s">
        <v>57</v>
      </c>
      <c r="AF105" s="31" t="s">
        <v>76</v>
      </c>
      <c r="AG105" s="31" t="s">
        <v>77</v>
      </c>
      <c r="AH105" s="17"/>
      <c r="AI105" s="17"/>
      <c r="AJ105" s="17"/>
      <c r="AK105" s="17"/>
      <c r="AL105" s="17"/>
      <c r="AM105" s="17"/>
      <c r="AN105" s="17"/>
      <c r="AO105" s="17"/>
    </row>
    <row r="106" spans="1:65" ht="17.25" customHeight="1" thickTop="1" thickBot="1" x14ac:dyDescent="0.3">
      <c r="A106" s="17"/>
      <c r="C106" s="17"/>
      <c r="D106" s="17"/>
      <c r="E106" s="17"/>
      <c r="F106" s="17"/>
      <c r="G106" s="17"/>
      <c r="H106" s="287" t="str">
        <f>AB107</f>
        <v>56°32'20.21 [56°32.34]  (56.5389°)</v>
      </c>
      <c r="I106" s="287"/>
      <c r="J106" s="287"/>
      <c r="K106" s="287"/>
      <c r="L106" s="287"/>
      <c r="M106" s="287"/>
      <c r="AA106" s="65"/>
      <c r="AB106" s="19"/>
      <c r="AC106" s="19"/>
      <c r="AD106" s="62">
        <f>IF(I20=AF20,E39+E61+E79,E39+E85)</f>
        <v>416.53894666666673</v>
      </c>
      <c r="AE106" s="17">
        <f>SIGN(AD106)</f>
        <v>1</v>
      </c>
      <c r="AF106" s="17">
        <f>INT(ABS(AD106)/360)</f>
        <v>1</v>
      </c>
      <c r="AG106" s="17">
        <f>IF(AE106&lt;0,(1+AF106)*360+AD106,AD106-AF106*360)</f>
        <v>56.538946666666732</v>
      </c>
      <c r="AH106" s="17"/>
      <c r="AI106" s="17"/>
      <c r="AJ106" s="17"/>
      <c r="AK106" s="17"/>
      <c r="AL106" s="17"/>
      <c r="AM106" s="17"/>
      <c r="AN106" s="17"/>
      <c r="AO106" s="17"/>
      <c r="AP106" s="39"/>
      <c r="AQ106" s="39"/>
      <c r="AR106" s="39"/>
      <c r="AS106" s="39"/>
      <c r="AT106" s="39"/>
      <c r="AU106" s="39"/>
      <c r="AV106" s="39"/>
      <c r="AW106" s="39"/>
      <c r="AX106" s="39"/>
      <c r="AY106" s="39"/>
      <c r="AZ106" s="39"/>
      <c r="BA106" s="39"/>
    </row>
    <row r="107" spans="1:65" ht="17.25" customHeight="1" thickTop="1" thickBot="1" x14ac:dyDescent="0.3">
      <c r="B107" s="17"/>
      <c r="C107" s="1"/>
      <c r="D107" s="1"/>
      <c r="E107" s="1"/>
      <c r="F107" s="1"/>
      <c r="Z107" s="17"/>
      <c r="AA107" s="18">
        <f>AG106</f>
        <v>56.538946666666732</v>
      </c>
      <c r="AB107" s="14" t="str">
        <f>BC107</f>
        <v>56°32'20.21 [56°32.34]  (56.5389°)</v>
      </c>
      <c r="AC107" s="7">
        <f>BB107</f>
        <v>56.538946666666732</v>
      </c>
      <c r="AD107" s="5">
        <f>IF(LEFT(TRIM(AA107),1)="-",-1,IF(LEFT(TRIM(AA107),1)="+",1, 0))</f>
        <v>0</v>
      </c>
      <c r="AE107" s="5" t="str">
        <f>IF(AD107&gt;0,"+",IF(AD107&lt;0,"-",""))</f>
        <v/>
      </c>
      <c r="AF107" s="5">
        <f>IF(ABS(AD107)&gt;0,RIGHT(AA107,LEN(AA107)-1),AA107)</f>
        <v>56.538946666666732</v>
      </c>
      <c r="AG107" s="5" t="b">
        <f>ISNUMBER(SEARCH("°",AF107,1))</f>
        <v>0</v>
      </c>
      <c r="AH107" s="5" t="b">
        <f>ISNUMBER(SEARCH("'",AF107,1))</f>
        <v>0</v>
      </c>
      <c r="AI107" s="5" t="b">
        <f>ISNUMBER(SEARCH("""",AF107,1))</f>
        <v>0</v>
      </c>
      <c r="AJ107" s="5" t="b">
        <f>NOT(OR(AG107,AH107,AI107))</f>
        <v>1</v>
      </c>
      <c r="AK107" s="5" t="b">
        <f t="shared" ref="AK107" si="142">OR(AJ107,AG107)</f>
        <v>1</v>
      </c>
      <c r="AL107" s="6">
        <f>IF(AJ107,VALUE(AF107),IF(AG107,LEFT(AF107,SEARCH("°",AF107,1)-1),0))</f>
        <v>56.538946666666732</v>
      </c>
      <c r="AM107" s="5" t="str">
        <f>IF(AJ107,"",IF(AG107,RIGHT(AF107,LEN(AF107)-SEARCH("°",AF107,1)),AF107))</f>
        <v/>
      </c>
      <c r="AN107" s="5" t="b">
        <f>(LEN(AM107)&gt;0)</f>
        <v>0</v>
      </c>
      <c r="AO107" s="5" t="b">
        <f>NOT(OR(AH107,AI107))</f>
        <v>1</v>
      </c>
      <c r="AP107" s="6">
        <f t="shared" ref="AP107" si="143">IF(NOT(AN107),0,IF(AO107,VALUE(AM107),IF(NOT(AH107),0,VALUE(LEFT(AM107,SEARCH("'",AM107,1)-1)))))</f>
        <v>0</v>
      </c>
      <c r="AQ107" s="5" t="str">
        <f t="shared" ref="AQ107" si="144">IF(NOT(AN107),"",IF(AO107,"",IF(NOT(AH107),AM107,RIGHT(AM107,LEN(AM107)-SEARCH("'",AM107,1)))))</f>
        <v/>
      </c>
      <c r="AR107" s="5" t="b">
        <f>(LEN(AQ107)&gt;0)</f>
        <v>0</v>
      </c>
      <c r="AS107" s="5" t="b">
        <f t="shared" ref="AS107" si="145">NOT(AI107)</f>
        <v>1</v>
      </c>
      <c r="AT107" s="5" t="b">
        <f>ISNUMBER(SEARCH(".",AQ107,1))</f>
        <v>0</v>
      </c>
      <c r="AU107" s="6">
        <f t="shared" ref="AU107" si="146">IF(AR107,IF(AI107,IF(AT107,VALUE(SUBSTITUTE(AQ107, """", "")),VALUE(SUBSTITUTE(AQ107, """", "."))),VALUE(AQ107)),0)</f>
        <v>0</v>
      </c>
      <c r="AV107" s="6">
        <f t="shared" ref="AV107" si="147">AL107*3600+AP107*60+AU107</f>
        <v>203540.20800000025</v>
      </c>
      <c r="AW107" s="6">
        <f>AV107/3600</f>
        <v>56.538946666666732</v>
      </c>
      <c r="AX107" s="6">
        <f>_xlfn.FLOOR.MATH((AW107))</f>
        <v>56</v>
      </c>
      <c r="AY107" s="6">
        <f>(AV107-3600*AX107)/60</f>
        <v>32.336800000004104</v>
      </c>
      <c r="AZ107" s="6">
        <f>_xlfn.FLOOR.MATH((AY107))</f>
        <v>32</v>
      </c>
      <c r="BA107" s="6">
        <f>AV107-3600*AX107-60*AZ107</f>
        <v>20.208000000246102</v>
      </c>
      <c r="BB107" s="6">
        <f>AW107*IF(AD107&lt;0,-1,1)</f>
        <v>56.538946666666732</v>
      </c>
      <c r="BC107" s="7" t="str">
        <f>CONCATENATE(AE107,TEXT(AX107,"00"),"°",TEXT(AZ107,"00"),"'",TEXT(BA107,"00.00"), " [", CONCATENATE(AE107,TEXT(AX107,"00"),"°",TEXT(AY107,"00.00")),"]", "  (", AE107,TEXT(AW107,"00.0000"),"°)")</f>
        <v>56°32'20.21 [56°32.34]  (56.5389°)</v>
      </c>
    </row>
    <row r="108" spans="1:65" ht="17.25" customHeight="1" thickTop="1" thickBot="1" x14ac:dyDescent="0.3">
      <c r="B108" s="47" t="s">
        <v>30</v>
      </c>
      <c r="C108" s="48"/>
      <c r="D108" s="48" t="s">
        <v>176</v>
      </c>
      <c r="E108" s="362">
        <f>IF(F109=AE109,N145,N138)</f>
        <v>9.1368001239132006</v>
      </c>
      <c r="F108" s="362"/>
      <c r="G108" s="362"/>
      <c r="H108" s="48"/>
      <c r="I108" s="48"/>
      <c r="J108" s="48"/>
      <c r="K108" s="48"/>
      <c r="L108" s="48"/>
      <c r="M108" s="48"/>
      <c r="N108" s="48"/>
      <c r="O108" s="48" t="s">
        <v>217</v>
      </c>
      <c r="P108" s="48"/>
      <c r="Q108" s="48"/>
      <c r="R108" s="292">
        <f>-N125+N120+N129</f>
        <v>-9.6533209420133284E-2</v>
      </c>
      <c r="S108" s="293"/>
      <c r="T108" s="294"/>
      <c r="U108" s="295" t="str">
        <f>AN108</f>
        <v>-00°05.7920</v>
      </c>
      <c r="V108" s="295"/>
      <c r="W108" s="295"/>
      <c r="X108" s="295"/>
      <c r="Y108" s="295"/>
      <c r="Z108" s="48"/>
      <c r="AA108" s="48"/>
      <c r="AB108" s="48"/>
      <c r="AC108" s="48">
        <f>R108</f>
        <v>-9.6533209420133284E-2</v>
      </c>
      <c r="AD108" s="48"/>
      <c r="AE108" s="48"/>
      <c r="AF108" s="48"/>
      <c r="AG108" s="48"/>
      <c r="AH108" s="48"/>
      <c r="AI108" s="22">
        <f>SIGN(AC108)</f>
        <v>-1</v>
      </c>
      <c r="AJ108" s="22" t="str">
        <f>IF(AI108&lt;0,"-","+")</f>
        <v>-</v>
      </c>
      <c r="AK108" s="17">
        <f>ABS(AC108)*3600</f>
        <v>347.51955391247981</v>
      </c>
      <c r="AL108" s="17">
        <f>_xlfn.FLOOR.MATH(AK108/3600)</f>
        <v>0</v>
      </c>
      <c r="AM108" s="17">
        <f>(AK108-3600*AL108)/60</f>
        <v>5.7919925652079964</v>
      </c>
      <c r="AN108" s="17" t="str">
        <f>CONCATENATE(AJ108,TEXT(AL108, "00"),"°",TEXT(AM108, "00.0000"))</f>
        <v>-00°05.7920</v>
      </c>
      <c r="AO108" s="48"/>
      <c r="AP108" s="48"/>
      <c r="AQ108" s="48"/>
      <c r="AR108" s="48"/>
      <c r="AS108" s="48"/>
      <c r="AT108" s="48"/>
      <c r="AU108" s="48"/>
      <c r="AV108" s="48"/>
      <c r="AW108" s="48"/>
      <c r="AX108" s="48"/>
      <c r="AY108" s="48"/>
      <c r="AZ108" s="48"/>
      <c r="BA108" s="49"/>
      <c r="BB108" s="50"/>
    </row>
    <row r="109" spans="1:65" ht="17.25" customHeight="1" x14ac:dyDescent="0.25">
      <c r="C109" s="434" t="s">
        <v>58</v>
      </c>
      <c r="D109" s="434"/>
      <c r="E109" s="434"/>
      <c r="F109" s="333" t="s">
        <v>84</v>
      </c>
      <c r="G109" s="333"/>
      <c r="H109" s="333"/>
      <c r="O109" s="1" t="s">
        <v>177</v>
      </c>
      <c r="U109" s="17"/>
      <c r="V109" s="17"/>
      <c r="W109" s="17"/>
      <c r="X109" s="17"/>
      <c r="Y109" s="17"/>
      <c r="AD109" s="53" t="s">
        <v>59</v>
      </c>
      <c r="AE109" s="66" t="s">
        <v>83</v>
      </c>
    </row>
    <row r="110" spans="1:65" ht="17.25" customHeight="1" thickBot="1" x14ac:dyDescent="0.3">
      <c r="C110" s="70"/>
      <c r="D110" s="70"/>
      <c r="E110" s="334" t="s">
        <v>168</v>
      </c>
      <c r="F110" s="334"/>
      <c r="G110" s="335"/>
      <c r="H110" s="335"/>
      <c r="I110" s="291">
        <f>IF(F109=AE109,"---",N138)</f>
        <v>9.1368001239132006</v>
      </c>
      <c r="J110" s="291"/>
      <c r="K110" s="291"/>
      <c r="U110" s="17"/>
      <c r="V110" s="17"/>
      <c r="W110" s="17"/>
      <c r="X110" s="17"/>
      <c r="Y110" s="17"/>
      <c r="AD110" s="53"/>
      <c r="AE110" s="67" t="s">
        <v>84</v>
      </c>
      <c r="AI110" s="68" t="s">
        <v>182</v>
      </c>
      <c r="AJ110" s="68" t="s">
        <v>182</v>
      </c>
      <c r="AK110" s="68" t="s">
        <v>112</v>
      </c>
      <c r="AL110" s="68" t="s">
        <v>125</v>
      </c>
      <c r="AM110" s="68" t="s">
        <v>137</v>
      </c>
      <c r="AN110" s="17"/>
    </row>
    <row r="111" spans="1:65" ht="17.25" customHeight="1" thickTop="1" thickBot="1" x14ac:dyDescent="0.3">
      <c r="C111" s="1"/>
      <c r="D111" s="1"/>
      <c r="E111" s="1"/>
      <c r="F111" s="1"/>
      <c r="G111" s="461" t="s">
        <v>79</v>
      </c>
      <c r="H111" s="461"/>
      <c r="I111" s="461"/>
      <c r="J111" s="461"/>
      <c r="K111" s="461"/>
      <c r="L111" s="461"/>
      <c r="M111" s="461"/>
      <c r="N111" s="281">
        <f>I19</f>
        <v>8.9666666666666668</v>
      </c>
      <c r="O111" s="281"/>
      <c r="P111" s="281"/>
      <c r="Q111" s="281"/>
      <c r="R111" s="1" t="s">
        <v>125</v>
      </c>
      <c r="T111" s="279" t="str">
        <f>AB111</f>
        <v>+08°58.0000</v>
      </c>
      <c r="U111" s="279"/>
      <c r="V111" s="279"/>
      <c r="W111" s="279"/>
      <c r="X111" s="279"/>
      <c r="Y111" s="279"/>
      <c r="AB111" s="28" t="str">
        <f>AN111</f>
        <v>+08°58.0000</v>
      </c>
      <c r="AC111" s="28">
        <f>N111</f>
        <v>8.9666666666666668</v>
      </c>
      <c r="AD111" s="31" t="s">
        <v>164</v>
      </c>
      <c r="AE111" s="1"/>
      <c r="AF111" s="17"/>
      <c r="AG111" s="17"/>
      <c r="AH111" s="17"/>
      <c r="AI111" s="22">
        <f>SIGN(AC111)</f>
        <v>1</v>
      </c>
      <c r="AJ111" s="22" t="str">
        <f>IF(AI111&lt;0,"-","+")</f>
        <v>+</v>
      </c>
      <c r="AK111" s="17">
        <f>ABS(AC111)*3600</f>
        <v>32280</v>
      </c>
      <c r="AL111" s="17">
        <f>_xlfn.FLOOR.MATH(AK111/3600)</f>
        <v>8</v>
      </c>
      <c r="AM111" s="17">
        <f>(AK111-3600*AL111)/60</f>
        <v>58</v>
      </c>
      <c r="AN111" s="17" t="str">
        <f>CONCATENATE(AJ111,TEXT(AL111, "00"),"°",TEXT(AM111, "00.0000"))</f>
        <v>+08°58.0000</v>
      </c>
      <c r="AO111" s="17"/>
    </row>
    <row r="112" spans="1:65" ht="17.25" customHeight="1" thickTop="1" thickBot="1" x14ac:dyDescent="0.3">
      <c r="C112" s="1"/>
      <c r="D112" s="1"/>
      <c r="E112" s="1"/>
      <c r="F112" s="1"/>
      <c r="G112" s="461" t="s">
        <v>31</v>
      </c>
      <c r="H112" s="461"/>
      <c r="I112" s="461"/>
      <c r="J112" s="461"/>
      <c r="K112" s="461"/>
      <c r="L112" s="461"/>
      <c r="M112" s="461"/>
      <c r="N112" s="281">
        <f>I18</f>
        <v>0</v>
      </c>
      <c r="O112" s="281"/>
      <c r="P112" s="281"/>
      <c r="Q112" s="281"/>
      <c r="R112" s="1" t="s">
        <v>125</v>
      </c>
      <c r="T112" s="279" t="str">
        <f>AB112</f>
        <v>+00°00.0000 (+00.0000')</v>
      </c>
      <c r="U112" s="279"/>
      <c r="V112" s="279"/>
      <c r="W112" s="279"/>
      <c r="X112" s="279"/>
      <c r="Y112" s="279"/>
      <c r="AB112" s="28" t="str">
        <f>AN112</f>
        <v>+00°00.0000 (+00.0000')</v>
      </c>
      <c r="AC112" s="28">
        <f>N112</f>
        <v>0</v>
      </c>
      <c r="AD112" s="31" t="s">
        <v>163</v>
      </c>
      <c r="AE112" s="1"/>
      <c r="AF112" s="17"/>
      <c r="AG112" s="1"/>
      <c r="AH112" s="17"/>
      <c r="AI112" s="22">
        <f>SIGN(AC112)</f>
        <v>0</v>
      </c>
      <c r="AJ112" s="22" t="str">
        <f>IF(AI112&lt;0,"-","+")</f>
        <v>+</v>
      </c>
      <c r="AK112" s="17">
        <f>ABS(AC112)*3600</f>
        <v>0</v>
      </c>
      <c r="AL112" s="17">
        <f>_xlfn.FLOOR.MATH(AK112/3600)</f>
        <v>0</v>
      </c>
      <c r="AM112" s="17">
        <f>(AK112-3600*AL112)/60</f>
        <v>0</v>
      </c>
      <c r="AN112" s="17" t="str">
        <f>CONCATENATE(AJ112,TEXT(AL112, "00"),"°",TEXT(AM112, "00.0000"), " (", CONCATENATE(AJ112,TEXT(AL112*60 + AM112, "00.0000"),"'"), ")")</f>
        <v>+00°00.0000 (+00.0000')</v>
      </c>
      <c r="AO112" s="17"/>
    </row>
    <row r="113" spans="1:61" ht="17.25" customHeight="1" thickTop="1" thickBot="1" x14ac:dyDescent="0.3">
      <c r="F113" s="1"/>
      <c r="G113" s="480" t="s">
        <v>174</v>
      </c>
      <c r="H113" s="480"/>
      <c r="I113" s="480"/>
      <c r="J113" s="480"/>
      <c r="K113" s="480"/>
      <c r="L113" s="480"/>
      <c r="M113" s="480"/>
      <c r="N113" s="280">
        <f>AC113</f>
        <v>0</v>
      </c>
      <c r="O113" s="280"/>
      <c r="P113" s="280"/>
      <c r="Q113" s="280"/>
      <c r="R113" s="1" t="s">
        <v>125</v>
      </c>
      <c r="T113" s="279" t="str">
        <f>AB113</f>
        <v>+00.0000'</v>
      </c>
      <c r="U113" s="279"/>
      <c r="V113" s="279"/>
      <c r="W113" s="279"/>
      <c r="X113" s="279"/>
      <c r="Y113" s="279"/>
      <c r="AB113" s="28" t="str">
        <f>AN113</f>
        <v>+00.0000'</v>
      </c>
      <c r="AC113" s="28">
        <f>AG113</f>
        <v>0</v>
      </c>
      <c r="AD113" s="31" t="s">
        <v>78</v>
      </c>
      <c r="AE113" s="17">
        <f>I17</f>
        <v>0</v>
      </c>
      <c r="AF113" s="69" t="s">
        <v>173</v>
      </c>
      <c r="AG113" s="1">
        <f>0.0293 * SQRT(AE113)</f>
        <v>0</v>
      </c>
      <c r="AH113" s="17"/>
      <c r="AI113" s="22">
        <f>SIGN(AC113)</f>
        <v>0</v>
      </c>
      <c r="AJ113" s="22" t="str">
        <f>IF(AI113&lt;0,"-","+")</f>
        <v>+</v>
      </c>
      <c r="AK113" s="17">
        <f>ABS(AC113)*3600</f>
        <v>0</v>
      </c>
      <c r="AL113" s="17">
        <f>_xlfn.FLOOR.MATH(AK113/3600)</f>
        <v>0</v>
      </c>
      <c r="AM113" s="17">
        <f>(AK113-3600*AL113)/60</f>
        <v>0</v>
      </c>
      <c r="AN113" s="17" t="str">
        <f>CONCATENATE(AJ113,TEXT(AL113*60 + AM113, "00.0000"),"'")</f>
        <v>+00.0000'</v>
      </c>
      <c r="AO113" s="17"/>
    </row>
    <row r="114" spans="1:61" ht="17.25" customHeight="1" thickTop="1" thickBot="1" x14ac:dyDescent="0.3">
      <c r="J114" s="17"/>
      <c r="K114" s="17"/>
      <c r="L114" s="286" t="s">
        <v>320</v>
      </c>
      <c r="M114" s="286"/>
      <c r="N114" s="286"/>
      <c r="O114" s="286"/>
      <c r="P114" s="17"/>
      <c r="Q114" s="17"/>
      <c r="T114" s="17"/>
      <c r="U114" s="17"/>
      <c r="V114" s="17"/>
      <c r="W114" s="17"/>
      <c r="X114" s="17"/>
      <c r="Y114" s="17"/>
      <c r="AD114" s="1"/>
      <c r="AE114" s="1"/>
      <c r="AF114" s="1"/>
      <c r="AG114" s="17"/>
      <c r="AH114" s="17"/>
      <c r="AI114" s="22" t="s">
        <v>309</v>
      </c>
      <c r="AJ114" s="22" t="s">
        <v>309</v>
      </c>
      <c r="AK114" s="22" t="s">
        <v>309</v>
      </c>
      <c r="AL114" s="29" t="s">
        <v>309</v>
      </c>
      <c r="AM114" s="22" t="s">
        <v>309</v>
      </c>
      <c r="AN114" s="22" t="s">
        <v>310</v>
      </c>
      <c r="AO114" s="17"/>
    </row>
    <row r="115" spans="1:61" ht="17.25" customHeight="1" thickTop="1" thickBot="1" x14ac:dyDescent="0.3">
      <c r="F115" s="1"/>
      <c r="G115" s="518" t="s">
        <v>80</v>
      </c>
      <c r="H115" s="518"/>
      <c r="I115" s="518"/>
      <c r="J115" s="518"/>
      <c r="K115" s="518"/>
      <c r="L115" s="518"/>
      <c r="M115" s="518"/>
      <c r="N115" s="450">
        <f>AC115</f>
        <v>8.9666666666666668</v>
      </c>
      <c r="O115" s="294"/>
      <c r="P115" s="1" t="s">
        <v>125</v>
      </c>
      <c r="Q115" s="485">
        <f>N115*D158</f>
        <v>0.15649785626215823</v>
      </c>
      <c r="R115" s="485"/>
      <c r="S115" s="84" t="s">
        <v>170</v>
      </c>
      <c r="T115" s="279" t="str">
        <f>AB115</f>
        <v>+08°58.0000</v>
      </c>
      <c r="U115" s="279"/>
      <c r="V115" s="279"/>
      <c r="W115" s="279"/>
      <c r="X115" s="279"/>
      <c r="Y115" s="279"/>
      <c r="AB115" s="28" t="str">
        <f>AN115</f>
        <v>+08°58.0000</v>
      </c>
      <c r="AC115" s="28">
        <f>AE115</f>
        <v>8.9666666666666668</v>
      </c>
      <c r="AD115" s="68" t="s">
        <v>86</v>
      </c>
      <c r="AE115" s="62">
        <f>N111-AC112-AC113</f>
        <v>8.9666666666666668</v>
      </c>
      <c r="AF115" s="17"/>
      <c r="AG115" s="17"/>
      <c r="AH115" s="17"/>
      <c r="AI115" s="22">
        <f>SIGN(AC115)</f>
        <v>1</v>
      </c>
      <c r="AJ115" s="22" t="str">
        <f>IF(AI115&lt;0,"-","+")</f>
        <v>+</v>
      </c>
      <c r="AK115" s="17">
        <f>AC115*3600</f>
        <v>32280</v>
      </c>
      <c r="AL115" s="17">
        <f>_xlfn.FLOOR.MATH(AK115/3600)</f>
        <v>8</v>
      </c>
      <c r="AM115" s="17">
        <f>(AK115-3600*AL115)/60</f>
        <v>58</v>
      </c>
      <c r="AN115" s="17" t="str">
        <f>CONCATENATE(AJ115,TEXT(AL115, "00"),"°",TEXT(AM115, "00.0000"))</f>
        <v>+08°58.0000</v>
      </c>
      <c r="AO115" s="17"/>
    </row>
    <row r="116" spans="1:61" ht="17.25" customHeight="1" thickTop="1" x14ac:dyDescent="0.25">
      <c r="C116" s="1"/>
      <c r="D116" s="1"/>
      <c r="E116" s="1"/>
      <c r="F116" s="1"/>
      <c r="G116" s="178"/>
      <c r="H116" s="178"/>
      <c r="I116" s="178"/>
      <c r="J116" s="178"/>
      <c r="K116" s="178"/>
      <c r="L116" s="178"/>
      <c r="M116" s="178"/>
      <c r="N116" s="178"/>
      <c r="O116" s="178"/>
      <c r="P116" s="178"/>
      <c r="Q116" s="178"/>
      <c r="T116" s="178"/>
      <c r="U116" s="178"/>
      <c r="V116" s="178"/>
      <c r="W116" s="178"/>
      <c r="X116" s="178"/>
      <c r="Y116" s="178"/>
      <c r="AD116" s="31"/>
      <c r="AE116" s="17"/>
      <c r="AF116" s="17"/>
      <c r="AG116" s="17"/>
      <c r="AH116" s="17"/>
      <c r="AI116" s="17"/>
      <c r="AJ116" s="17"/>
      <c r="AK116" s="17"/>
      <c r="AL116" s="17"/>
      <c r="AM116" s="17"/>
      <c r="AN116" s="17"/>
      <c r="AO116" s="17"/>
    </row>
    <row r="117" spans="1:61" ht="17.25" customHeight="1" x14ac:dyDescent="0.25">
      <c r="F117" s="1"/>
      <c r="G117" s="178"/>
      <c r="H117" s="178"/>
      <c r="I117" s="178"/>
      <c r="J117" s="178"/>
      <c r="K117" s="178"/>
      <c r="L117" s="481" t="s">
        <v>165</v>
      </c>
      <c r="M117" s="481"/>
      <c r="N117" s="481"/>
      <c r="O117" s="481"/>
      <c r="P117" s="178"/>
      <c r="Q117" s="178"/>
      <c r="T117" s="178"/>
      <c r="U117" s="178"/>
      <c r="V117" s="178"/>
      <c r="W117" s="178"/>
      <c r="X117" s="178"/>
      <c r="Y117" s="178"/>
      <c r="AB117" s="14"/>
      <c r="AC117" s="7"/>
      <c r="AD117" s="178"/>
      <c r="AE117" s="178"/>
      <c r="AF117" s="178"/>
      <c r="AG117" s="178"/>
      <c r="AH117" s="178"/>
      <c r="AI117" s="178"/>
      <c r="AJ117" s="178"/>
      <c r="AK117" s="178"/>
      <c r="AL117" s="178"/>
      <c r="AM117" s="178"/>
      <c r="AN117" s="178"/>
      <c r="AO117" s="178"/>
      <c r="AP117" s="178"/>
      <c r="AQ117" s="178"/>
      <c r="AR117" s="178"/>
      <c r="AS117" s="178"/>
      <c r="AT117" s="178"/>
      <c r="AU117" s="178"/>
      <c r="AV117" s="178"/>
      <c r="AW117" s="178"/>
      <c r="AX117" s="178"/>
      <c r="AY117" s="178"/>
      <c r="AZ117" s="178"/>
      <c r="BA117" s="178"/>
      <c r="BB117" s="178"/>
      <c r="BC117" s="178"/>
      <c r="BD117" s="178"/>
    </row>
    <row r="118" spans="1:61" ht="17.25" customHeight="1" thickBot="1" x14ac:dyDescent="0.3">
      <c r="C118" s="1"/>
      <c r="D118" s="1"/>
      <c r="E118" s="1"/>
      <c r="F118" s="1"/>
      <c r="L118" s="482" t="s">
        <v>166</v>
      </c>
      <c r="M118" s="482"/>
      <c r="N118" s="481"/>
      <c r="O118" s="481"/>
      <c r="AB118" s="14"/>
      <c r="AC118" s="7"/>
      <c r="AD118" s="3" t="s">
        <v>57</v>
      </c>
      <c r="AE118" s="3" t="s">
        <v>57</v>
      </c>
      <c r="AF118" s="3" t="s">
        <v>304</v>
      </c>
      <c r="AG118" s="3" t="s">
        <v>120</v>
      </c>
      <c r="AH118" s="3" t="s">
        <v>121</v>
      </c>
      <c r="AI118" s="3" t="s">
        <v>122</v>
      </c>
      <c r="AJ118" s="3" t="s">
        <v>123</v>
      </c>
      <c r="AK118" s="3" t="s">
        <v>124</v>
      </c>
      <c r="AL118" s="3" t="s">
        <v>125</v>
      </c>
      <c r="AM118" s="3" t="s">
        <v>101</v>
      </c>
      <c r="AN118" s="3" t="s">
        <v>129</v>
      </c>
      <c r="AO118" s="3" t="s">
        <v>128</v>
      </c>
      <c r="AP118" s="3" t="s">
        <v>126</v>
      </c>
      <c r="AQ118" s="3" t="s">
        <v>127</v>
      </c>
      <c r="AR118" s="3" t="s">
        <v>129</v>
      </c>
      <c r="AS118" s="3" t="s">
        <v>128</v>
      </c>
      <c r="AT118" s="3" t="s">
        <v>130</v>
      </c>
      <c r="AU118" s="3" t="s">
        <v>112</v>
      </c>
      <c r="AV118" s="3" t="s">
        <v>117</v>
      </c>
      <c r="AW118" s="3" t="s">
        <v>143</v>
      </c>
      <c r="AX118" s="3" t="s">
        <v>149</v>
      </c>
      <c r="AY118" s="3" t="s">
        <v>131</v>
      </c>
      <c r="AZ118" s="3" t="s">
        <v>150</v>
      </c>
      <c r="BA118" s="3" t="s">
        <v>112</v>
      </c>
      <c r="BB118" s="3" t="s">
        <v>308</v>
      </c>
      <c r="BC118" s="3" t="s">
        <v>151</v>
      </c>
    </row>
    <row r="119" spans="1:61" ht="17.25" customHeight="1" thickTop="1" thickBot="1" x14ac:dyDescent="0.3">
      <c r="A119" s="17"/>
      <c r="B119" s="17"/>
      <c r="C119" s="17"/>
      <c r="D119" s="17"/>
      <c r="E119" s="1"/>
      <c r="F119" s="1"/>
      <c r="G119" s="280" t="s">
        <v>88</v>
      </c>
      <c r="H119" s="280"/>
      <c r="I119" s="280"/>
      <c r="J119" s="280"/>
      <c r="K119" s="280"/>
      <c r="L119" s="280"/>
      <c r="M119" s="280"/>
      <c r="N119" s="483">
        <f>I22</f>
        <v>2.8833333333333332E-3</v>
      </c>
      <c r="O119" s="484"/>
      <c r="P119" s="484"/>
      <c r="Q119" s="484"/>
      <c r="R119" s="1" t="s">
        <v>125</v>
      </c>
      <c r="T119" s="279" t="str">
        <f>AB119</f>
        <v>00°00'10.38 [00°00.17]  (00.0029°)</v>
      </c>
      <c r="U119" s="279"/>
      <c r="V119" s="279"/>
      <c r="W119" s="279"/>
      <c r="X119" s="279"/>
      <c r="Y119" s="279"/>
      <c r="AA119" s="18">
        <f>N119</f>
        <v>2.8833333333333332E-3</v>
      </c>
      <c r="AB119" s="14" t="str">
        <f>BC119</f>
        <v>00°00'10.38 [00°00.17]  (00.0029°)</v>
      </c>
      <c r="AC119" s="7">
        <f>BB119</f>
        <v>2.8833333333333332E-3</v>
      </c>
      <c r="AD119" s="5">
        <f>IF(LEFT(TRIM(AA119),1)="-",-1,IF(LEFT(TRIM(AA119),1)="+",1, 0))</f>
        <v>0</v>
      </c>
      <c r="AE119" s="5" t="str">
        <f>IF(AD119&gt;0,"+",IF(AD119&lt;0,"-",""))</f>
        <v/>
      </c>
      <c r="AF119" s="5">
        <f>IF(ABS(AD119)&gt;0,RIGHT(AA119,LEN(AA119)-1),AA119)</f>
        <v>2.8833333333333332E-3</v>
      </c>
      <c r="AG119" s="5" t="b">
        <f>ISNUMBER(SEARCH("°",AF119,1))</f>
        <v>0</v>
      </c>
      <c r="AH119" s="5" t="b">
        <f>ISNUMBER(SEARCH("'",AF119,1))</f>
        <v>0</v>
      </c>
      <c r="AI119" s="5" t="b">
        <f>ISNUMBER(SEARCH("""",AF119,1))</f>
        <v>0</v>
      </c>
      <c r="AJ119" s="5" t="b">
        <f>NOT(OR(AG119,AH119,AI119))</f>
        <v>1</v>
      </c>
      <c r="AK119" s="5" t="b">
        <f t="shared" ref="AK119" si="148">OR(AJ119,AG119)</f>
        <v>1</v>
      </c>
      <c r="AL119" s="6">
        <f>IF(AJ119,VALUE(AF119),IF(AG119,LEFT(AF119,SEARCH("°",AF119,1)-1),0))</f>
        <v>2.8833333333333332E-3</v>
      </c>
      <c r="AM119" s="5" t="str">
        <f>IF(AJ119,"",IF(AG119,RIGHT(AF119,LEN(AF119)-SEARCH("°",AF119,1)),AF119))</f>
        <v/>
      </c>
      <c r="AN119" s="5" t="b">
        <f>(LEN(AM119)&gt;0)</f>
        <v>0</v>
      </c>
      <c r="AO119" s="5" t="b">
        <f>NOT(OR(AH119,AI119))</f>
        <v>1</v>
      </c>
      <c r="AP119" s="6">
        <f t="shared" ref="AP119" si="149">IF(NOT(AN119),0,IF(AO119,VALUE(AM119),IF(NOT(AH119),0,VALUE(LEFT(AM119,SEARCH("'",AM119,1)-1)))))</f>
        <v>0</v>
      </c>
      <c r="AQ119" s="5" t="str">
        <f t="shared" ref="AQ119" si="150">IF(NOT(AN119),"",IF(AO119,"",IF(NOT(AH119),AM119,RIGHT(AM119,LEN(AM119)-SEARCH("'",AM119,1)))))</f>
        <v/>
      </c>
      <c r="AR119" s="5" t="b">
        <f>(LEN(AQ119)&gt;0)</f>
        <v>0</v>
      </c>
      <c r="AS119" s="5" t="b">
        <f t="shared" ref="AS119" si="151">NOT(AI119)</f>
        <v>1</v>
      </c>
      <c r="AT119" s="5" t="b">
        <f>ISNUMBER(SEARCH(".",AQ119,1))</f>
        <v>0</v>
      </c>
      <c r="AU119" s="6">
        <f t="shared" ref="AU119" si="152">IF(AR119,IF(AI119,IF(AT119,VALUE(SUBSTITUTE(AQ119, """", "")),VALUE(SUBSTITUTE(AQ119, """", "."))),VALUE(AQ119)),0)</f>
        <v>0</v>
      </c>
      <c r="AV119" s="6">
        <f t="shared" ref="AV119" si="153">AL119*3600+AP119*60+AU119</f>
        <v>10.379999999999999</v>
      </c>
      <c r="AW119" s="6">
        <f>AV119/3600</f>
        <v>2.8833333333333332E-3</v>
      </c>
      <c r="AX119" s="6">
        <f>_xlfn.FLOOR.MATH((AW119))</f>
        <v>0</v>
      </c>
      <c r="AY119" s="6">
        <f>(AV119-3600*AX119)/60</f>
        <v>0.17299999999999999</v>
      </c>
      <c r="AZ119" s="6">
        <f>_xlfn.FLOOR.MATH((AY119))</f>
        <v>0</v>
      </c>
      <c r="BA119" s="6">
        <f>AV119-3600*AX119-60*AZ119</f>
        <v>10.379999999999999</v>
      </c>
      <c r="BB119" s="6">
        <f>AW119*IF(AD119&lt;0,-1,1)</f>
        <v>2.8833333333333332E-3</v>
      </c>
      <c r="BC119" s="7" t="str">
        <f>CONCATENATE(AE119,TEXT(AX119,"00"),"°",TEXT(AZ119,"00"),"'",TEXT(BA119,"00.00"), " [", CONCATENATE(AE119,TEXT(AX119,"00"),"°",TEXT(AY119,"00.00")),"]", "  (", AE119,TEXT(AW119,"00.0000"),"°)")</f>
        <v>00°00'10.38 [00°00.17]  (00.0029°)</v>
      </c>
      <c r="BH119" s="1"/>
      <c r="BI119" s="1"/>
    </row>
    <row r="120" spans="1:61" ht="17.25" customHeight="1" thickTop="1" thickBot="1" x14ac:dyDescent="0.3">
      <c r="A120" s="17"/>
      <c r="B120" s="17"/>
      <c r="C120" s="17"/>
      <c r="D120" s="17"/>
      <c r="E120" s="1"/>
      <c r="F120" s="1"/>
      <c r="G120" s="497" t="s">
        <v>167</v>
      </c>
      <c r="H120" s="498"/>
      <c r="I120" s="498"/>
      <c r="J120" s="498"/>
      <c r="K120" s="498"/>
      <c r="L120" s="498"/>
      <c r="M120" s="499"/>
      <c r="N120" s="362">
        <f>AC120</f>
        <v>2.8480966452515944E-3</v>
      </c>
      <c r="O120" s="362"/>
      <c r="P120" s="362"/>
      <c r="Q120" s="362"/>
      <c r="R120" s="1" t="s">
        <v>125</v>
      </c>
      <c r="T120" s="279" t="str">
        <f>AB120</f>
        <v>+00°00.1709 (+00.1709')</v>
      </c>
      <c r="U120" s="279"/>
      <c r="V120" s="279"/>
      <c r="W120" s="279"/>
      <c r="X120" s="279"/>
      <c r="Y120" s="279"/>
      <c r="AB120" s="28" t="str">
        <f>AN120</f>
        <v>+00°00.1709 (+00.1709')</v>
      </c>
      <c r="AC120" s="28">
        <f>AE120</f>
        <v>2.8480966452515944E-3</v>
      </c>
      <c r="AD120" s="31" t="s">
        <v>87</v>
      </c>
      <c r="AE120" s="17">
        <f>N119*COS(Q115)</f>
        <v>2.8480966452515944E-3</v>
      </c>
      <c r="AF120" s="17"/>
      <c r="AG120" s="17"/>
      <c r="AH120" s="17"/>
      <c r="AI120" s="22">
        <f>SIGN(AC120)</f>
        <v>1</v>
      </c>
      <c r="AJ120" s="22" t="str">
        <f>IF(AI120&lt;0,"-","+")</f>
        <v>+</v>
      </c>
      <c r="AK120" s="17">
        <f>ABS(AC120)*3600</f>
        <v>10.25314792290574</v>
      </c>
      <c r="AL120" s="17">
        <f>_xlfn.FLOOR.MATH(AK120/3600)</f>
        <v>0</v>
      </c>
      <c r="AM120" s="17">
        <f>(AK120-3600*AL120)/60</f>
        <v>0.17088579871509565</v>
      </c>
      <c r="AN120" s="17" t="str">
        <f>CONCATENATE(AJ120,TEXT(AL120, "00"),"°",TEXT(AM120, "00.0000"), " (", CONCATENATE(AJ120,TEXT(AL120*60 + AM120, "00.0000"),"'"), ")")</f>
        <v>+00°00.1709 (+00.1709')</v>
      </c>
      <c r="AO120" s="17"/>
      <c r="AT120" s="17"/>
    </row>
    <row r="121" spans="1:61" ht="17.25" customHeight="1" thickTop="1" x14ac:dyDescent="0.25">
      <c r="A121" s="17"/>
      <c r="B121" s="17"/>
      <c r="C121" s="17"/>
      <c r="D121" s="17"/>
      <c r="E121" s="1"/>
      <c r="F121" s="1"/>
      <c r="G121" s="178"/>
      <c r="H121" s="178"/>
      <c r="I121" s="178"/>
      <c r="J121" s="178"/>
      <c r="K121" s="178"/>
      <c r="L121" s="178"/>
      <c r="M121" s="178"/>
      <c r="N121" s="178"/>
      <c r="O121" s="178"/>
      <c r="P121" s="178"/>
      <c r="Q121" s="178"/>
      <c r="R121" s="178"/>
      <c r="S121" s="178"/>
      <c r="T121" s="178"/>
      <c r="U121" s="178"/>
      <c r="V121" s="178"/>
      <c r="W121" s="178"/>
      <c r="X121" s="178"/>
      <c r="Y121" s="178"/>
      <c r="AD121" s="31"/>
      <c r="AE121" s="17"/>
      <c r="AF121" s="17"/>
      <c r="AG121" s="17"/>
      <c r="AH121" s="17"/>
      <c r="AK121" s="17"/>
      <c r="AL121" s="17"/>
      <c r="AM121" s="17"/>
      <c r="AN121" s="17"/>
      <c r="AO121" s="17"/>
      <c r="AT121" s="17"/>
    </row>
    <row r="122" spans="1:61" ht="17.25" customHeight="1" x14ac:dyDescent="0.25">
      <c r="A122" s="178"/>
      <c r="B122" s="178"/>
      <c r="C122" s="178"/>
      <c r="E122" s="1"/>
      <c r="F122" s="1"/>
      <c r="G122" s="17"/>
      <c r="H122" s="17"/>
      <c r="I122" s="17"/>
      <c r="J122" s="17"/>
      <c r="K122" s="17"/>
      <c r="L122" s="17"/>
      <c r="M122" s="17"/>
      <c r="N122" s="17"/>
      <c r="R122" s="492" t="s">
        <v>340</v>
      </c>
      <c r="S122" s="493"/>
      <c r="T122" s="494"/>
      <c r="X122" s="17"/>
      <c r="Y122" s="17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</row>
    <row r="123" spans="1:61" ht="17.25" customHeight="1" x14ac:dyDescent="0.25">
      <c r="A123" s="178"/>
      <c r="B123" s="178"/>
      <c r="C123" s="178"/>
      <c r="E123" s="1"/>
      <c r="F123" s="1"/>
      <c r="G123" s="280" t="s">
        <v>171</v>
      </c>
      <c r="H123" s="280"/>
      <c r="I123" s="280"/>
      <c r="J123" s="280"/>
      <c r="K123" s="280"/>
      <c r="L123" s="280"/>
      <c r="M123" s="280"/>
      <c r="N123" s="500">
        <f>R123</f>
        <v>10</v>
      </c>
      <c r="O123" s="501"/>
      <c r="P123" s="501"/>
      <c r="Q123" s="501"/>
      <c r="R123" s="276">
        <v>10</v>
      </c>
      <c r="S123" s="277"/>
      <c r="T123" s="278"/>
      <c r="X123" s="17"/>
      <c r="Y123" s="17"/>
      <c r="AB123" s="28">
        <f>N115</f>
        <v>8.9666666666666668</v>
      </c>
      <c r="AC123" s="28">
        <f>AB123</f>
        <v>8.9666666666666668</v>
      </c>
      <c r="AD123" s="31" t="s">
        <v>218</v>
      </c>
      <c r="AE123" s="1">
        <f>(1/(TAN((AC123+(7.31/(AC123+4.4))) * D158)))</f>
        <v>5.9670953924690071</v>
      </c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</row>
    <row r="124" spans="1:61" ht="17.25" customHeight="1" thickBot="1" x14ac:dyDescent="0.3">
      <c r="A124" s="178"/>
      <c r="B124" s="178"/>
      <c r="C124" s="178"/>
      <c r="D124" s="17"/>
      <c r="E124" s="1"/>
      <c r="F124" s="1"/>
      <c r="G124" s="280" t="s">
        <v>172</v>
      </c>
      <c r="H124" s="280"/>
      <c r="I124" s="280"/>
      <c r="J124" s="280"/>
      <c r="K124" s="280"/>
      <c r="L124" s="280"/>
      <c r="M124" s="280"/>
      <c r="N124" s="500">
        <f>R124</f>
        <v>1010</v>
      </c>
      <c r="O124" s="501"/>
      <c r="P124" s="501"/>
      <c r="Q124" s="501"/>
      <c r="R124" s="276">
        <v>1010</v>
      </c>
      <c r="S124" s="277"/>
      <c r="T124" s="278"/>
      <c r="X124" s="17"/>
      <c r="Y124" s="17"/>
      <c r="AD124" s="31" t="s">
        <v>219</v>
      </c>
      <c r="AE124" s="1">
        <f>(0.28 * N124 / (273 + N123))</f>
        <v>0.99929328621908131</v>
      </c>
      <c r="AF124" s="1"/>
      <c r="AG124" s="1"/>
      <c r="AI124" s="68" t="s">
        <v>182</v>
      </c>
      <c r="AJ124" s="68" t="s">
        <v>182</v>
      </c>
      <c r="AK124" s="68" t="s">
        <v>112</v>
      </c>
      <c r="AL124" s="68" t="s">
        <v>125</v>
      </c>
      <c r="AM124" s="68" t="s">
        <v>137</v>
      </c>
      <c r="AN124" s="1"/>
      <c r="AO124" s="1"/>
      <c r="AP124" s="1"/>
      <c r="AQ124" s="1"/>
      <c r="AR124" s="1"/>
      <c r="AS124" s="1"/>
    </row>
    <row r="125" spans="1:61" ht="17.25" customHeight="1" thickTop="1" thickBot="1" x14ac:dyDescent="0.3">
      <c r="A125" s="178"/>
      <c r="B125" s="178"/>
      <c r="C125" s="178"/>
      <c r="D125" s="17"/>
      <c r="E125" s="1"/>
      <c r="F125" s="1"/>
      <c r="G125" s="497" t="s">
        <v>82</v>
      </c>
      <c r="H125" s="498"/>
      <c r="I125" s="498"/>
      <c r="J125" s="498"/>
      <c r="K125" s="498"/>
      <c r="L125" s="498"/>
      <c r="M125" s="499"/>
      <c r="N125" s="362">
        <f>AC125</f>
        <v>9.9381306065384881E-2</v>
      </c>
      <c r="O125" s="362"/>
      <c r="P125" s="362"/>
      <c r="Q125" s="362"/>
      <c r="R125" s="1" t="s">
        <v>125</v>
      </c>
      <c r="T125" s="279" t="str">
        <f>AB125</f>
        <v>+00°05.9629 (+05.9629')</v>
      </c>
      <c r="U125" s="279"/>
      <c r="V125" s="279"/>
      <c r="W125" s="279"/>
      <c r="X125" s="279"/>
      <c r="Y125" s="279"/>
      <c r="AB125" s="28" t="str">
        <f>AN125</f>
        <v>+00°05.9629 (+05.9629')</v>
      </c>
      <c r="AC125" s="28">
        <f>AE125</f>
        <v>9.9381306065384881E-2</v>
      </c>
      <c r="AD125" s="31" t="s">
        <v>85</v>
      </c>
      <c r="AE125" s="17">
        <f>AE123*AE124/60</f>
        <v>9.9381306065384881E-2</v>
      </c>
      <c r="AF125" s="17"/>
      <c r="AG125" s="17"/>
      <c r="AI125" s="22">
        <f>SIGN(AC125)</f>
        <v>1</v>
      </c>
      <c r="AJ125" s="22" t="str">
        <f>IF(AI125&lt;0,"-","+")</f>
        <v>+</v>
      </c>
      <c r="AK125" s="17">
        <f>ABS(AC125)*3600</f>
        <v>357.77270183538559</v>
      </c>
      <c r="AL125" s="17">
        <f>_xlfn.FLOOR.MATH(AK125/3600)</f>
        <v>0</v>
      </c>
      <c r="AM125" s="17">
        <f>(AK125-3600*AL125)/60</f>
        <v>5.9628783639230933</v>
      </c>
      <c r="AN125" s="17" t="str">
        <f>CONCATENATE(AJ125,TEXT(AL125, "00"),"°",TEXT(AM125, "00.0000"), " (", CONCATENATE(AJ125,TEXT(AL125*60 + AM125, "00.0000"),"'"), ")")</f>
        <v>+00°05.9629 (+05.9629')</v>
      </c>
      <c r="AO125" s="1"/>
      <c r="AP125" s="1"/>
      <c r="AQ125" s="1"/>
      <c r="AR125" s="1"/>
      <c r="AS125" s="1"/>
    </row>
    <row r="126" spans="1:61" ht="17.25" customHeight="1" thickTop="1" x14ac:dyDescent="0.25">
      <c r="A126" s="178"/>
      <c r="B126" s="178"/>
      <c r="C126" s="178"/>
      <c r="D126" s="17"/>
      <c r="E126" s="1"/>
      <c r="F126" s="1"/>
      <c r="G126" s="178"/>
      <c r="H126" s="178"/>
      <c r="I126" s="178"/>
      <c r="J126" s="178"/>
      <c r="K126" s="178"/>
      <c r="L126" s="178"/>
      <c r="M126" s="178"/>
      <c r="N126" s="178"/>
      <c r="X126" s="17"/>
      <c r="Y126" s="17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</row>
    <row r="127" spans="1:61" ht="17.25" customHeight="1" x14ac:dyDescent="0.25">
      <c r="A127" s="17"/>
      <c r="B127" s="17"/>
      <c r="C127" s="17"/>
      <c r="D127" s="17"/>
      <c r="E127" s="1"/>
      <c r="F127" s="1"/>
      <c r="G127" s="280" t="s">
        <v>226</v>
      </c>
      <c r="H127" s="280"/>
      <c r="I127" s="280"/>
      <c r="J127" s="280"/>
      <c r="K127" s="280"/>
      <c r="L127" s="280"/>
      <c r="M127" s="280"/>
      <c r="N127" s="462">
        <f>I26</f>
        <v>0.53333333333333333</v>
      </c>
      <c r="O127" s="462"/>
      <c r="P127" s="462"/>
      <c r="Q127" s="462"/>
      <c r="AD127" s="31" t="s">
        <v>183</v>
      </c>
      <c r="AE127" s="31" t="s">
        <v>184</v>
      </c>
      <c r="AF127" s="31" t="s">
        <v>185</v>
      </c>
      <c r="AG127" s="17"/>
      <c r="AH127" s="17"/>
      <c r="AI127" s="17"/>
      <c r="AJ127" s="17"/>
      <c r="AK127" s="17"/>
      <c r="AL127" s="17"/>
      <c r="AM127" s="17"/>
      <c r="AN127" s="17"/>
      <c r="AO127" s="17"/>
    </row>
    <row r="128" spans="1:61" ht="17.25" customHeight="1" thickBot="1" x14ac:dyDescent="0.3">
      <c r="B128" s="17"/>
      <c r="C128" s="17"/>
      <c r="G128" s="280" t="s">
        <v>179</v>
      </c>
      <c r="H128" s="280"/>
      <c r="I128" s="280"/>
      <c r="J128" s="280"/>
      <c r="K128" s="280"/>
      <c r="L128" s="280"/>
      <c r="M128" s="280"/>
      <c r="N128" s="462" t="str">
        <f>I21</f>
        <v>BordInf</v>
      </c>
      <c r="O128" s="462"/>
      <c r="P128" s="462"/>
      <c r="Q128" s="462"/>
      <c r="AD128" s="1" t="b">
        <f>(N128=AE21)</f>
        <v>1</v>
      </c>
      <c r="AE128" s="1" t="b">
        <f>(N128=AF21)</f>
        <v>0</v>
      </c>
      <c r="AF128" s="1" t="b">
        <f>(N128=AG21)</f>
        <v>0</v>
      </c>
      <c r="AG128" s="1"/>
      <c r="AH128" s="178"/>
      <c r="AI128" s="68" t="s">
        <v>182</v>
      </c>
      <c r="AJ128" s="68" t="s">
        <v>182</v>
      </c>
      <c r="AK128" s="68" t="s">
        <v>112</v>
      </c>
      <c r="AL128" s="68" t="s">
        <v>125</v>
      </c>
      <c r="AM128" s="68" t="s">
        <v>137</v>
      </c>
      <c r="AN128" s="1"/>
      <c r="AO128" s="1"/>
      <c r="AP128" s="1"/>
      <c r="AQ128" s="1"/>
      <c r="AR128" s="1"/>
      <c r="AS128" s="17"/>
    </row>
    <row r="129" spans="5:55" ht="17.25" customHeight="1" thickTop="1" thickBot="1" x14ac:dyDescent="0.3">
      <c r="G129" s="502" t="s">
        <v>180</v>
      </c>
      <c r="H129" s="503"/>
      <c r="I129" s="503"/>
      <c r="J129" s="503"/>
      <c r="K129" s="503"/>
      <c r="L129" s="503"/>
      <c r="M129" s="504"/>
      <c r="N129" s="505">
        <f>AC129</f>
        <v>0</v>
      </c>
      <c r="O129" s="505"/>
      <c r="P129" s="505"/>
      <c r="Q129" s="505"/>
      <c r="R129" s="1" t="s">
        <v>125</v>
      </c>
      <c r="T129" s="279" t="str">
        <f>AB129</f>
        <v>+00°00.0000 (+00.0000')</v>
      </c>
      <c r="U129" s="279"/>
      <c r="V129" s="279"/>
      <c r="W129" s="279"/>
      <c r="X129" s="279"/>
      <c r="Y129" s="279"/>
      <c r="AB129" s="28" t="str">
        <f>AN129</f>
        <v>+00°00.0000 (+00.0000')</v>
      </c>
      <c r="AC129" s="28">
        <f>SUM(AD129:AF129)</f>
        <v>0</v>
      </c>
      <c r="AD129" s="1">
        <v>0</v>
      </c>
      <c r="AE129" s="1">
        <f>IF(AE128,-0.5*N127,0)</f>
        <v>0</v>
      </c>
      <c r="AF129" s="1">
        <f>IF(AF128,-0.5*N127,0)</f>
        <v>0</v>
      </c>
      <c r="AG129" s="1"/>
      <c r="AH129" s="178"/>
      <c r="AI129" s="22">
        <f>SIGN(AC129)</f>
        <v>0</v>
      </c>
      <c r="AJ129" s="22" t="str">
        <f>IF(AI129&lt;0,"-","+")</f>
        <v>+</v>
      </c>
      <c r="AK129" s="17">
        <f>ABS(AC129)*3600</f>
        <v>0</v>
      </c>
      <c r="AL129" s="17">
        <f>_xlfn.FLOOR.MATH(AK129/3600)</f>
        <v>0</v>
      </c>
      <c r="AM129" s="17">
        <f>(AK129-3600*AL129)/60</f>
        <v>0</v>
      </c>
      <c r="AN129" s="17" t="str">
        <f>CONCATENATE(AJ129,TEXT(AL129, "00"),"°",TEXT(AM129, "00.0000"), " (", CONCATENATE(AJ129,TEXT(AL129*60 + AM129, "00.0000"),"'"), ")")</f>
        <v>+00°00.0000 (+00.0000')</v>
      </c>
      <c r="AO129" s="1"/>
      <c r="AP129" s="1"/>
      <c r="AQ129" s="1"/>
      <c r="AR129" s="1"/>
      <c r="AS129" s="17"/>
    </row>
    <row r="130" spans="5:55" ht="17.25" customHeight="1" thickTop="1" x14ac:dyDescent="0.25">
      <c r="G130" s="178"/>
      <c r="H130" s="178"/>
      <c r="I130" s="178"/>
      <c r="J130" s="178"/>
      <c r="K130" s="178"/>
      <c r="L130" s="178"/>
      <c r="M130" s="178"/>
      <c r="N130" s="178"/>
      <c r="O130" s="178"/>
      <c r="P130" s="178"/>
      <c r="Q130" s="178"/>
      <c r="R130" s="178"/>
      <c r="S130" s="178"/>
      <c r="T130" s="178"/>
      <c r="U130" s="178"/>
      <c r="V130" s="178"/>
      <c r="W130" s="178"/>
      <c r="X130" s="178"/>
      <c r="Y130" s="178"/>
      <c r="AD130" s="1"/>
      <c r="AE130" s="1"/>
      <c r="AF130" s="1"/>
      <c r="AG130" s="1"/>
      <c r="AH130" s="178"/>
      <c r="AK130" s="17"/>
      <c r="AL130" s="17"/>
      <c r="AM130" s="17"/>
      <c r="AN130" s="17"/>
      <c r="AO130" s="1"/>
      <c r="AP130" s="1"/>
      <c r="AQ130" s="1"/>
      <c r="AR130" s="1"/>
      <c r="AS130" s="17"/>
    </row>
    <row r="131" spans="5:55" ht="17.25" customHeight="1" x14ac:dyDescent="0.25">
      <c r="F131" s="477" t="s">
        <v>311</v>
      </c>
      <c r="G131" s="478"/>
      <c r="H131" s="478"/>
      <c r="I131" s="478"/>
      <c r="J131" s="478"/>
      <c r="K131" s="478"/>
      <c r="L131" s="478"/>
      <c r="M131" s="478"/>
      <c r="N131" s="478"/>
      <c r="O131" s="478"/>
      <c r="P131" s="478"/>
      <c r="Q131" s="478"/>
      <c r="R131" s="479"/>
      <c r="S131" s="178"/>
      <c r="T131" s="178"/>
      <c r="U131" s="178"/>
      <c r="V131" s="178"/>
      <c r="W131" s="178"/>
      <c r="X131" s="178"/>
      <c r="Y131" s="178"/>
      <c r="AD131" s="1"/>
      <c r="AE131" s="1"/>
      <c r="AF131" s="1"/>
      <c r="AG131" s="1"/>
      <c r="AH131" s="178"/>
      <c r="AK131" s="17"/>
      <c r="AL131" s="17"/>
      <c r="AM131" s="17"/>
      <c r="AN131" s="17"/>
      <c r="AO131" s="1"/>
      <c r="AP131" s="1"/>
      <c r="AQ131" s="1"/>
      <c r="AR131" s="1"/>
      <c r="AS131" s="17"/>
    </row>
    <row r="132" spans="5:55" ht="17.25" customHeight="1" x14ac:dyDescent="0.25">
      <c r="F132" s="456" t="s">
        <v>327</v>
      </c>
      <c r="G132" s="457"/>
      <c r="H132" s="486" t="s">
        <v>317</v>
      </c>
      <c r="I132" s="487"/>
      <c r="J132" s="487"/>
      <c r="K132" s="487"/>
      <c r="L132" s="487"/>
      <c r="M132" s="488"/>
      <c r="N132" s="516">
        <f>(N120-N125-N113+N127/2) * 60</f>
        <v>10.208007434792004</v>
      </c>
      <c r="O132" s="284"/>
      <c r="P132" s="284"/>
      <c r="Q132" s="284"/>
      <c r="R132" s="451" t="s">
        <v>312</v>
      </c>
      <c r="S132" s="178"/>
      <c r="T132" s="178"/>
      <c r="U132" s="178"/>
      <c r="V132" s="178"/>
      <c r="W132" s="178"/>
      <c r="X132" s="178"/>
      <c r="Y132" s="178"/>
      <c r="AD132" s="1"/>
      <c r="AE132" s="1"/>
      <c r="AF132" s="1"/>
      <c r="AG132" s="1"/>
      <c r="AH132" s="178"/>
      <c r="AK132" s="17"/>
      <c r="AL132" s="17"/>
      <c r="AM132" s="17"/>
      <c r="AN132" s="17"/>
      <c r="AO132" s="1"/>
      <c r="AP132" s="1"/>
      <c r="AQ132" s="1"/>
      <c r="AR132" s="1"/>
      <c r="AS132" s="17"/>
    </row>
    <row r="133" spans="5:55" ht="17.25" customHeight="1" x14ac:dyDescent="0.25">
      <c r="F133" s="458"/>
      <c r="G133" s="459"/>
      <c r="H133" s="489" t="s">
        <v>321</v>
      </c>
      <c r="I133" s="490"/>
      <c r="J133" s="490"/>
      <c r="K133" s="490"/>
      <c r="L133" s="490"/>
      <c r="M133" s="491"/>
      <c r="N133" s="517"/>
      <c r="O133" s="285"/>
      <c r="P133" s="285"/>
      <c r="Q133" s="285"/>
      <c r="R133" s="452"/>
      <c r="S133" s="178"/>
      <c r="T133" s="178"/>
      <c r="U133" s="178"/>
      <c r="V133" s="178"/>
      <c r="W133" s="178"/>
      <c r="X133" s="178"/>
      <c r="Y133" s="178"/>
      <c r="AD133" s="1"/>
      <c r="AE133" s="1"/>
      <c r="AF133" s="1"/>
      <c r="AG133" s="1"/>
      <c r="AH133" s="178"/>
      <c r="AK133" s="17"/>
      <c r="AL133" s="17"/>
      <c r="AM133" s="17"/>
      <c r="AN133" s="17"/>
      <c r="AO133" s="1"/>
      <c r="AP133" s="1"/>
      <c r="AQ133" s="1"/>
      <c r="AR133" s="1"/>
      <c r="AS133" s="17"/>
    </row>
    <row r="134" spans="5:55" ht="17.25" customHeight="1" x14ac:dyDescent="0.25">
      <c r="G134" s="178"/>
      <c r="H134" s="486" t="s">
        <v>318</v>
      </c>
      <c r="I134" s="487"/>
      <c r="J134" s="487"/>
      <c r="K134" s="487"/>
      <c r="L134" s="487"/>
      <c r="M134" s="488"/>
      <c r="N134" s="284">
        <f>(N120-N125+N127/2)*60</f>
        <v>10.208007434792004</v>
      </c>
      <c r="O134" s="284"/>
      <c r="P134" s="284"/>
      <c r="Q134" s="284"/>
      <c r="R134" s="451" t="s">
        <v>312</v>
      </c>
      <c r="S134" s="178"/>
      <c r="T134" s="178"/>
      <c r="U134" s="178"/>
      <c r="V134" s="178"/>
      <c r="W134" s="178"/>
      <c r="X134" s="178"/>
      <c r="Y134" s="178"/>
      <c r="AD134" s="1"/>
      <c r="AE134" s="1"/>
      <c r="AF134" s="1"/>
      <c r="AG134" s="1"/>
      <c r="AH134" s="178"/>
      <c r="AK134" s="17"/>
      <c r="AL134" s="17"/>
      <c r="AM134" s="17"/>
      <c r="AN134" s="17"/>
      <c r="AO134" s="1"/>
      <c r="AP134" s="1"/>
      <c r="AQ134" s="1"/>
      <c r="AR134" s="1"/>
      <c r="AS134" s="17"/>
    </row>
    <row r="135" spans="5:55" ht="17.25" customHeight="1" x14ac:dyDescent="0.25">
      <c r="G135" s="178"/>
      <c r="H135" s="453" t="s">
        <v>319</v>
      </c>
      <c r="I135" s="454"/>
      <c r="J135" s="454"/>
      <c r="K135" s="454"/>
      <c r="L135" s="454"/>
      <c r="M135" s="455"/>
      <c r="N135" s="285"/>
      <c r="O135" s="285"/>
      <c r="P135" s="285"/>
      <c r="Q135" s="285"/>
      <c r="R135" s="452"/>
      <c r="S135" s="178"/>
      <c r="T135" s="178"/>
      <c r="U135" s="178"/>
      <c r="V135" s="178"/>
      <c r="W135" s="178"/>
      <c r="X135" s="178"/>
      <c r="Y135" s="178"/>
      <c r="AD135" s="1"/>
      <c r="AE135" s="1"/>
      <c r="AF135" s="1"/>
      <c r="AG135" s="1"/>
      <c r="AH135" s="178"/>
      <c r="AK135" s="17"/>
      <c r="AL135" s="17"/>
      <c r="AM135" s="17"/>
      <c r="AN135" s="17"/>
      <c r="AO135" s="1"/>
      <c r="AP135" s="1"/>
      <c r="AQ135" s="1"/>
      <c r="AR135" s="1"/>
      <c r="AS135" s="17"/>
    </row>
    <row r="136" spans="5:55" ht="17.25" customHeight="1" x14ac:dyDescent="0.25">
      <c r="G136" s="178"/>
      <c r="H136" s="513" t="s">
        <v>180</v>
      </c>
      <c r="I136" s="513"/>
      <c r="J136" s="513"/>
      <c r="K136" s="513"/>
      <c r="L136" s="513"/>
      <c r="M136" s="513"/>
      <c r="N136" s="514">
        <f>N129*60</f>
        <v>0</v>
      </c>
      <c r="O136" s="515"/>
      <c r="P136" s="515"/>
      <c r="Q136" s="515"/>
      <c r="R136" s="148" t="s">
        <v>312</v>
      </c>
      <c r="S136" s="178"/>
      <c r="T136" s="178"/>
      <c r="U136" s="178"/>
      <c r="V136" s="178"/>
      <c r="W136" s="178"/>
      <c r="X136" s="178"/>
      <c r="Y136" s="178"/>
      <c r="AD136" s="1"/>
      <c r="AE136" s="1"/>
      <c r="AF136" s="1"/>
      <c r="AG136" s="1"/>
      <c r="AH136" s="178"/>
      <c r="AK136" s="17"/>
      <c r="AL136" s="17"/>
      <c r="AM136" s="17"/>
      <c r="AN136" s="17"/>
      <c r="AO136" s="1"/>
      <c r="AP136" s="1"/>
      <c r="AQ136" s="1"/>
      <c r="AR136" s="1"/>
      <c r="AS136" s="17"/>
    </row>
    <row r="137" spans="5:55" ht="17.25" customHeight="1" thickBot="1" x14ac:dyDescent="0.3">
      <c r="G137" s="178"/>
      <c r="H137" s="178"/>
      <c r="I137" s="178"/>
      <c r="J137" s="178"/>
      <c r="K137" s="178"/>
      <c r="L137" s="178"/>
      <c r="M137" s="178"/>
      <c r="N137" s="178"/>
      <c r="O137" s="178"/>
      <c r="P137" s="178"/>
      <c r="Q137" s="178"/>
      <c r="AD137" s="1"/>
      <c r="AE137" s="1"/>
      <c r="AF137" s="1"/>
      <c r="AG137" s="1"/>
      <c r="AH137" s="178"/>
      <c r="AI137" s="178" t="s">
        <v>309</v>
      </c>
      <c r="AJ137" s="178" t="s">
        <v>309</v>
      </c>
      <c r="AK137" s="178" t="s">
        <v>309</v>
      </c>
      <c r="AL137" s="178" t="s">
        <v>309</v>
      </c>
      <c r="AM137" s="1" t="s">
        <v>309</v>
      </c>
      <c r="AN137" s="1" t="s">
        <v>309</v>
      </c>
      <c r="AO137" s="1"/>
      <c r="AP137" s="1"/>
      <c r="AQ137" s="1"/>
      <c r="AR137" s="1"/>
      <c r="AS137" s="17"/>
    </row>
    <row r="138" spans="5:55" ht="17.25" customHeight="1" thickTop="1" thickBot="1" x14ac:dyDescent="0.3">
      <c r="G138" s="579" t="s">
        <v>181</v>
      </c>
      <c r="H138" s="579"/>
      <c r="I138" s="579"/>
      <c r="J138" s="579"/>
      <c r="K138" s="579"/>
      <c r="L138" s="579"/>
      <c r="M138" s="579"/>
      <c r="N138" s="362">
        <f>AC138</f>
        <v>9.1368001239132006</v>
      </c>
      <c r="O138" s="362"/>
      <c r="P138" s="362"/>
      <c r="Q138" s="362"/>
      <c r="R138" s="1" t="s">
        <v>125</v>
      </c>
      <c r="T138" s="279" t="str">
        <f>AB139</f>
        <v>09°08'12.48 [09°08.21]  (09.1368°)</v>
      </c>
      <c r="U138" s="279"/>
      <c r="V138" s="279"/>
      <c r="W138" s="279"/>
      <c r="X138" s="279"/>
      <c r="Y138" s="279"/>
      <c r="AB138" s="28" t="str">
        <f>AN138</f>
        <v>+09°08.2080 (+548.2080')</v>
      </c>
      <c r="AC138" s="28">
        <f>AE138</f>
        <v>9.1368001239132006</v>
      </c>
      <c r="AD138" s="68" t="s">
        <v>178</v>
      </c>
      <c r="AE138" s="62">
        <f>N115 - N125 + N120 +N127/2</f>
        <v>9.1368001239132006</v>
      </c>
      <c r="AF138" s="1"/>
      <c r="AG138" s="1"/>
      <c r="AH138" s="178"/>
      <c r="AI138" s="22">
        <f>SIGN(AC138)</f>
        <v>1</v>
      </c>
      <c r="AJ138" s="22" t="str">
        <f>IF(AI138&lt;0,"-","+")</f>
        <v>+</v>
      </c>
      <c r="AK138" s="17">
        <f>ABS(AC138)*3600</f>
        <v>32892.480446087524</v>
      </c>
      <c r="AL138" s="17">
        <f>_xlfn.FLOOR.MATH(AK138/3600)</f>
        <v>9</v>
      </c>
      <c r="AM138" s="17">
        <f>(AK138-3600*AL138)/60</f>
        <v>8.208007434792064</v>
      </c>
      <c r="AN138" s="17" t="str">
        <f>CONCATENATE(AJ138,TEXT(AL138, "00"),"°",TEXT(AM138, "00.0000"), " (", CONCATENATE(AJ138,TEXT(AL138*60 + AM138, "00.0000"),"'"), ")")</f>
        <v>+09°08.2080 (+548.2080')</v>
      </c>
      <c r="AO138" s="1"/>
      <c r="AP138" s="1"/>
      <c r="AQ138" s="1"/>
      <c r="AR138" s="1"/>
      <c r="AS138" s="17"/>
    </row>
    <row r="139" spans="5:55" ht="17.25" customHeight="1" thickTop="1" x14ac:dyDescent="0.25">
      <c r="AA139" s="18">
        <f>AC138</f>
        <v>9.1368001239132006</v>
      </c>
      <c r="AB139" s="14" t="str">
        <f>BC139</f>
        <v>09°08'12.48 [09°08.21]  (09.1368°)</v>
      </c>
      <c r="AC139" s="7">
        <f>BB139</f>
        <v>9.1368001239132006</v>
      </c>
      <c r="AD139" s="5">
        <f>IF(LEFT(TRIM(AA139),1)="-",-1,IF(LEFT(TRIM(AA139),1)="+",1, 0))</f>
        <v>0</v>
      </c>
      <c r="AE139" s="5" t="str">
        <f>IF(AD139&gt;0,"+",IF(AD139&lt;0,"-",""))</f>
        <v/>
      </c>
      <c r="AF139" s="5">
        <f>IF(ABS(AD139)&gt;0,RIGHT(AA139,LEN(AA139)-1),AA139)</f>
        <v>9.1368001239132006</v>
      </c>
      <c r="AG139" s="5" t="b">
        <f>ISNUMBER(SEARCH("°",AF139,1))</f>
        <v>0</v>
      </c>
      <c r="AH139" s="5" t="b">
        <f>ISNUMBER(SEARCH("'",AF139,1))</f>
        <v>0</v>
      </c>
      <c r="AI139" s="5" t="b">
        <f>ISNUMBER(SEARCH("""",AF139,1))</f>
        <v>0</v>
      </c>
      <c r="AJ139" s="5" t="b">
        <f>NOT(OR(AG139,AH139,AI139))</f>
        <v>1</v>
      </c>
      <c r="AK139" s="5" t="b">
        <f t="shared" ref="AK139" si="154">OR(AJ139,AG139)</f>
        <v>1</v>
      </c>
      <c r="AL139" s="6">
        <f>IF(AJ139,VALUE(AF139),IF(AG139,LEFT(AF139,SEARCH("°",AF139,1)-1),0))</f>
        <v>9.1368001239132006</v>
      </c>
      <c r="AM139" s="5" t="str">
        <f>IF(AJ139,"",IF(AG139,RIGHT(AF139,LEN(AF139)-SEARCH("°",AF139,1)),AF139))</f>
        <v/>
      </c>
      <c r="AN139" s="5" t="b">
        <f>(LEN(AM139)&gt;0)</f>
        <v>0</v>
      </c>
      <c r="AO139" s="5" t="b">
        <f>NOT(OR(AH139,AI139))</f>
        <v>1</v>
      </c>
      <c r="AP139" s="6">
        <f t="shared" ref="AP139" si="155">IF(NOT(AN139),0,IF(AO139,VALUE(AM139),IF(NOT(AH139),0,VALUE(LEFT(AM139,SEARCH("'",AM139,1)-1)))))</f>
        <v>0</v>
      </c>
      <c r="AQ139" s="5" t="str">
        <f t="shared" ref="AQ139" si="156">IF(NOT(AN139),"",IF(AO139,"",IF(NOT(AH139),AM139,RIGHT(AM139,LEN(AM139)-SEARCH("'",AM139,1)))))</f>
        <v/>
      </c>
      <c r="AR139" s="5" t="b">
        <f>(LEN(AQ139)&gt;0)</f>
        <v>0</v>
      </c>
      <c r="AS139" s="5" t="b">
        <f t="shared" ref="AS139" si="157">NOT(AI139)</f>
        <v>1</v>
      </c>
      <c r="AT139" s="5" t="b">
        <f>ISNUMBER(SEARCH(".",AQ139,1))</f>
        <v>0</v>
      </c>
      <c r="AU139" s="6">
        <f t="shared" ref="AU139" si="158">IF(AR139,IF(AI139,IF(AT139,VALUE(SUBSTITUTE(AQ139, """", "")),VALUE(SUBSTITUTE(AQ139, """", "."))),VALUE(AQ139)),0)</f>
        <v>0</v>
      </c>
      <c r="AV139" s="6">
        <f t="shared" ref="AV139" si="159">AL139*3600+AP139*60+AU139</f>
        <v>32892.480446087524</v>
      </c>
      <c r="AW139" s="6">
        <f>AV139/3600</f>
        <v>9.1368001239132006</v>
      </c>
      <c r="AX139" s="6">
        <f>_xlfn.FLOOR.MATH((AW139))</f>
        <v>9</v>
      </c>
      <c r="AY139" s="6">
        <f>(AV139-3600*AX139)/60</f>
        <v>8.208007434792064</v>
      </c>
      <c r="AZ139" s="6">
        <f>_xlfn.FLOOR.MATH((AY139))</f>
        <v>8</v>
      </c>
      <c r="BA139" s="6">
        <f>AV139-3600*AX139-60*AZ139</f>
        <v>12.480446087523887</v>
      </c>
      <c r="BB139" s="6">
        <f>AW139*IF(AD139&lt;0,-1,1)</f>
        <v>9.1368001239132006</v>
      </c>
      <c r="BC139" s="7" t="str">
        <f>CONCATENATE(AE139,TEXT(AX139,"00"),"°",TEXT(AZ139,"00"),"'",TEXT(BA139,"00.00"), " [", CONCATENATE(AE139,TEXT(AX139,"00"),"°",TEXT(AY139,"00.00")),"]", "  (", AE139,TEXT(AW139,"00.0000"),"°)")</f>
        <v>09°08'12.48 [09°08.21]  (09.1368°)</v>
      </c>
    </row>
    <row r="140" spans="5:55" ht="17.25" customHeight="1" x14ac:dyDescent="0.25">
      <c r="E140" s="334" t="s">
        <v>169</v>
      </c>
      <c r="F140" s="334"/>
      <c r="G140" s="334"/>
      <c r="H140" s="334"/>
      <c r="I140" s="362" t="str">
        <f>IF(F109=AE109,N145,"---")</f>
        <v>---</v>
      </c>
      <c r="J140" s="362"/>
      <c r="K140" s="362"/>
      <c r="Q140" s="72" t="s">
        <v>196</v>
      </c>
      <c r="R140" s="1" t="s">
        <v>54</v>
      </c>
      <c r="AB140" s="14"/>
      <c r="AC140" s="7"/>
      <c r="AD140" s="3" t="s">
        <v>57</v>
      </c>
      <c r="AE140" s="3" t="s">
        <v>57</v>
      </c>
      <c r="AF140" s="3" t="s">
        <v>304</v>
      </c>
      <c r="AG140" s="3" t="s">
        <v>120</v>
      </c>
      <c r="AH140" s="3" t="s">
        <v>121</v>
      </c>
      <c r="AI140" s="3" t="s">
        <v>122</v>
      </c>
      <c r="AJ140" s="3" t="s">
        <v>123</v>
      </c>
      <c r="AK140" s="3" t="s">
        <v>124</v>
      </c>
      <c r="AL140" s="3" t="s">
        <v>125</v>
      </c>
      <c r="AM140" s="3" t="s">
        <v>101</v>
      </c>
      <c r="AN140" s="3" t="s">
        <v>129</v>
      </c>
      <c r="AO140" s="3" t="s">
        <v>128</v>
      </c>
      <c r="AP140" s="3" t="s">
        <v>126</v>
      </c>
      <c r="AQ140" s="3" t="s">
        <v>127</v>
      </c>
      <c r="AR140" s="3" t="s">
        <v>129</v>
      </c>
      <c r="AS140" s="3" t="s">
        <v>128</v>
      </c>
      <c r="AT140" s="3" t="s">
        <v>130</v>
      </c>
      <c r="AU140" s="3" t="s">
        <v>112</v>
      </c>
      <c r="AV140" s="3" t="s">
        <v>117</v>
      </c>
      <c r="AW140" s="3" t="s">
        <v>143</v>
      </c>
      <c r="AX140" s="3" t="s">
        <v>149</v>
      </c>
      <c r="AY140" s="3" t="s">
        <v>131</v>
      </c>
      <c r="AZ140" s="3" t="s">
        <v>150</v>
      </c>
      <c r="BA140" s="3" t="s">
        <v>112</v>
      </c>
      <c r="BB140" s="3" t="s">
        <v>308</v>
      </c>
      <c r="BC140" s="3" t="s">
        <v>151</v>
      </c>
    </row>
    <row r="141" spans="5:55" ht="17.25" customHeight="1" thickBot="1" x14ac:dyDescent="0.3">
      <c r="Q141" s="73" t="s">
        <v>192</v>
      </c>
      <c r="R141" s="1" t="s">
        <v>194</v>
      </c>
      <c r="AA141" s="18" t="str">
        <f>M143</f>
        <v>0°11.4</v>
      </c>
      <c r="AB141" s="14" t="str">
        <f>BC141</f>
        <v>00°11'24.00 [00°11.40]  (00.1900°)</v>
      </c>
      <c r="AC141" s="7">
        <f>BB141</f>
        <v>0.19</v>
      </c>
      <c r="AD141" s="5">
        <f>IF(LEFT(TRIM(AA141),1)="-",-1,IF(LEFT(TRIM(AA141),1)="+",1, 0))</f>
        <v>0</v>
      </c>
      <c r="AE141" s="5" t="str">
        <f>IF(AD141&gt;0,"+",IF(AD141&lt;0,"-",""))</f>
        <v/>
      </c>
      <c r="AF141" s="5" t="str">
        <f>IF(ABS(AD141)&gt;0,RIGHT(AA141,LEN(AA141)-1),AA141)</f>
        <v>0°11.4</v>
      </c>
      <c r="AG141" s="5" t="b">
        <f>ISNUMBER(SEARCH("°",AF141,1))</f>
        <v>1</v>
      </c>
      <c r="AH141" s="5" t="b">
        <f>ISNUMBER(SEARCH("'",AF141,1))</f>
        <v>0</v>
      </c>
      <c r="AI141" s="5" t="b">
        <f>ISNUMBER(SEARCH("""",AF141,1))</f>
        <v>0</v>
      </c>
      <c r="AJ141" s="5" t="b">
        <f>NOT(OR(AG141,AH141,AI141))</f>
        <v>0</v>
      </c>
      <c r="AK141" s="5" t="b">
        <f t="shared" ref="AK141" si="160">OR(AJ141,AG141)</f>
        <v>1</v>
      </c>
      <c r="AL141" s="6" t="str">
        <f>IF(AJ141,VALUE(AF141),IF(AG141,LEFT(AF141,SEARCH("°",AF141,1)-1),0))</f>
        <v>0</v>
      </c>
      <c r="AM141" s="5" t="str">
        <f>IF(AJ141,"",IF(AG141,RIGHT(AF141,LEN(AF141)-SEARCH("°",AF141,1)),AF141))</f>
        <v>11.4</v>
      </c>
      <c r="AN141" s="5" t="b">
        <f>(LEN(AM141)&gt;0)</f>
        <v>1</v>
      </c>
      <c r="AO141" s="5" t="b">
        <f>NOT(OR(AH141,AI141))</f>
        <v>1</v>
      </c>
      <c r="AP141" s="6">
        <f t="shared" ref="AP141" si="161">IF(NOT(AN141),0,IF(AO141,VALUE(AM141),IF(NOT(AH141),0,VALUE(LEFT(AM141,SEARCH("'",AM141,1)-1)))))</f>
        <v>11.4</v>
      </c>
      <c r="AQ141" s="5" t="str">
        <f t="shared" ref="AQ141" si="162">IF(NOT(AN141),"",IF(AO141,"",IF(NOT(AH141),AM141,RIGHT(AM141,LEN(AM141)-SEARCH("'",AM141,1)))))</f>
        <v/>
      </c>
      <c r="AR141" s="5" t="b">
        <f>(LEN(AQ141)&gt;0)</f>
        <v>0</v>
      </c>
      <c r="AS141" s="5" t="b">
        <f t="shared" ref="AS141" si="163">NOT(AI141)</f>
        <v>1</v>
      </c>
      <c r="AT141" s="5" t="b">
        <f>ISNUMBER(SEARCH(".",AQ141,1))</f>
        <v>0</v>
      </c>
      <c r="AU141" s="6">
        <f t="shared" ref="AU141" si="164">IF(AR141,IF(AI141,IF(AT141,VALUE(SUBSTITUTE(AQ141, """", "")),VALUE(SUBSTITUTE(AQ141, """", "."))),VALUE(AQ141)),0)</f>
        <v>0</v>
      </c>
      <c r="AV141" s="6">
        <f t="shared" ref="AV141" si="165">AL141*3600+AP141*60+AU141</f>
        <v>684</v>
      </c>
      <c r="AW141" s="6">
        <f>AV141/3600</f>
        <v>0.19</v>
      </c>
      <c r="AX141" s="6">
        <f>_xlfn.FLOOR.MATH((AW141))</f>
        <v>0</v>
      </c>
      <c r="AY141" s="6">
        <f>(AV141-3600*AX141)/60</f>
        <v>11.4</v>
      </c>
      <c r="AZ141" s="6">
        <f>_xlfn.FLOOR.MATH((AY141))</f>
        <v>11</v>
      </c>
      <c r="BA141" s="6">
        <f>AV141-3600*AX141-60*AZ141</f>
        <v>24</v>
      </c>
      <c r="BB141" s="6">
        <f>AW141*IF(AD141&lt;0,-1,1)</f>
        <v>0.19</v>
      </c>
      <c r="BC141" s="7" t="str">
        <f>CONCATENATE(AE141,TEXT(AX141,"00"),"°",TEXT(AZ141,"00"),"'",TEXT(BA141,"00.00"), " [", CONCATENATE(AE141,TEXT(AX141,"00"),"°",TEXT(AY141,"00.00")),"]", "  (", AE141,TEXT(AW141,"00.0000"),"°)")</f>
        <v>00°11'24.00 [00°11.40]  (00.1900°)</v>
      </c>
    </row>
    <row r="142" spans="5:55" ht="17.25" customHeight="1" thickTop="1" thickBot="1" x14ac:dyDescent="0.3">
      <c r="G142" s="1" t="s">
        <v>181</v>
      </c>
      <c r="H142" s="71" t="s">
        <v>186</v>
      </c>
      <c r="I142" s="1" t="s">
        <v>164</v>
      </c>
      <c r="J142" s="71" t="s">
        <v>189</v>
      </c>
      <c r="K142" s="1" t="s">
        <v>163</v>
      </c>
      <c r="M142" s="71" t="s">
        <v>190</v>
      </c>
      <c r="P142" s="71" t="s">
        <v>191</v>
      </c>
      <c r="Q142" s="74" t="s">
        <v>193</v>
      </c>
      <c r="R142" s="1" t="s">
        <v>195</v>
      </c>
      <c r="U142" s="279" t="str">
        <f>AB141</f>
        <v>00°11'24.00 [00°11.40]  (00.1900°)</v>
      </c>
      <c r="V142" s="279"/>
      <c r="W142" s="279"/>
      <c r="X142" s="279"/>
      <c r="Y142" s="279"/>
      <c r="Z142" s="279"/>
      <c r="AA142" s="18" t="str">
        <f>Q143</f>
        <v>-16'</v>
      </c>
      <c r="AB142" s="19" t="str">
        <f>AY142</f>
        <v>-00°16'00.00 [-00°16.00] - (-00.2667°)</v>
      </c>
      <c r="AC142" s="20">
        <f>AF142*AC143</f>
        <v>-0.26666666666666666</v>
      </c>
      <c r="AD142" s="31" t="s">
        <v>197</v>
      </c>
      <c r="AE142" s="27" t="b">
        <f>ISNUMBER(SEARCH("-",AA142,1))</f>
        <v>1</v>
      </c>
      <c r="AF142" s="178">
        <f>IF(AE142,-1,1)</f>
        <v>-1</v>
      </c>
      <c r="AG142" s="178" t="str">
        <f>IF(AE142,"-","+")</f>
        <v>-</v>
      </c>
      <c r="AH142" s="178"/>
      <c r="AI142" s="178"/>
      <c r="AJ142" s="178"/>
      <c r="AK142" s="178"/>
      <c r="AL142" s="178"/>
      <c r="AM142" s="178"/>
      <c r="AN142" s="178"/>
      <c r="AO142" s="178"/>
      <c r="AP142" s="178"/>
      <c r="AQ142" s="178"/>
      <c r="AR142" s="178"/>
      <c r="AS142" s="178"/>
      <c r="AT142" s="178"/>
      <c r="AU142" s="178"/>
      <c r="AV142" s="178"/>
      <c r="AW142" s="178"/>
      <c r="AX142" s="178"/>
      <c r="AY142" s="178" t="str">
        <f>CONCATENATE(AG142,TEXT(AU143,"00"),"°",TEXT(AW143,"00"),"'",TEXT(AX143,"00.00"), " [", CONCATENATE(AG142,TEXT(AU143,"00"),"°",TEXT(AV143,"00.00")),"]", " - (", AG142,TEXT(AT143,"00.0000"),"°)")</f>
        <v>-00°16'00.00 [-00°16.00] - (-00.2667°)</v>
      </c>
      <c r="AZ142" s="178"/>
      <c r="BA142" s="178"/>
    </row>
    <row r="143" spans="5:55" ht="17.25" customHeight="1" thickTop="1" thickBot="1" x14ac:dyDescent="0.3">
      <c r="H143" s="71"/>
      <c r="I143" s="77">
        <f>N111</f>
        <v>8.9666666666666668</v>
      </c>
      <c r="J143" s="71" t="s">
        <v>189</v>
      </c>
      <c r="K143" s="78">
        <f>N112</f>
        <v>0</v>
      </c>
      <c r="M143" s="512" t="s">
        <v>220</v>
      </c>
      <c r="N143" s="512"/>
      <c r="O143" s="512"/>
      <c r="P143" s="71" t="s">
        <v>191</v>
      </c>
      <c r="Q143" s="86" t="s">
        <v>192</v>
      </c>
      <c r="U143" s="279" t="str">
        <f>AB142</f>
        <v>-00°16'00.00 [-00°16.00] - (-00.2667°)</v>
      </c>
      <c r="V143" s="279"/>
      <c r="W143" s="279"/>
      <c r="X143" s="279"/>
      <c r="Y143" s="279"/>
      <c r="Z143" s="279"/>
      <c r="AA143" s="18" t="str">
        <f>IF(AE142,RIGHT(AA142,LEN(AA142)-SEARCH("-",AA142,1)),AA142)</f>
        <v>16'</v>
      </c>
      <c r="AB143" s="19" t="str">
        <f>AY143</f>
        <v>00°16'00.00 [00°16.00] - (00.2667°)</v>
      </c>
      <c r="AC143" s="20">
        <f>AT143</f>
        <v>0.26666666666666666</v>
      </c>
      <c r="AD143" s="27" t="b">
        <f t="shared" ref="AD143" si="166">ISNUMBER(SEARCH("°",AA143,1))</f>
        <v>0</v>
      </c>
      <c r="AE143" s="27" t="b">
        <f t="shared" ref="AE143" si="167">ISNUMBER(SEARCH("'",AA143,1))</f>
        <v>1</v>
      </c>
      <c r="AF143" s="27" t="b">
        <f t="shared" ref="AF143" si="168">ISNUMBER(SEARCH("""",AA143,1))</f>
        <v>0</v>
      </c>
      <c r="AG143" s="27" t="b">
        <f t="shared" ref="AG143" si="169">NOT(OR(AD143,AE143,AF143))</f>
        <v>0</v>
      </c>
      <c r="AH143" s="27" t="b">
        <f t="shared" ref="AH143" si="170">OR(AG143,AD143)</f>
        <v>0</v>
      </c>
      <c r="AI143" s="26">
        <f t="shared" ref="AI143" si="171">IF(AG143,VALUE(AA143),IF(AD143,LEFT(AA143,SEARCH("°",AA143,1)-1),0))</f>
        <v>0</v>
      </c>
      <c r="AJ143" s="27" t="str">
        <f t="shared" ref="AJ143" si="172">IF(AG143,"",IF(AD143,RIGHT(AA143,LEN(AA143)-SEARCH("°",AA143,1)),AA143))</f>
        <v>16'</v>
      </c>
      <c r="AK143" s="27" t="b">
        <f>(LEN(AJ143)&gt;0)</f>
        <v>1</v>
      </c>
      <c r="AL143" s="27" t="b">
        <f>NOT(OR(AE143,AF143))</f>
        <v>0</v>
      </c>
      <c r="AM143" s="26">
        <f>IF(NOT(AK143),0,IF(AL143,VALUE(AJ143),IF(NOT(AE143),0,VALUE(LEFT(AJ143,SEARCH("'",AJ143,1)-1)))))</f>
        <v>16</v>
      </c>
      <c r="AN143" s="27" t="str">
        <f>IF(NOT(AK143),"",IF(AL143,"",IF(NOT(AE143),AJ143,RIGHT(AJ143,LEN(AJ143)-SEARCH("'",AJ143,1)))))</f>
        <v/>
      </c>
      <c r="AO143" s="27" t="b">
        <f>(LEN(AN143)&gt;0)</f>
        <v>0</v>
      </c>
      <c r="AP143" s="27" t="b">
        <f>NOT(AF143)</f>
        <v>1</v>
      </c>
      <c r="AQ143" s="27" t="b">
        <f>ISNUMBER(SEARCH(".",AN143,1))</f>
        <v>0</v>
      </c>
      <c r="AR143" s="26">
        <f>IF(AO143,IF(AF143,IF(AQ143,VALUE(SUBSTITUTE(AN143, """", "")),VALUE(SUBSTITUTE(AN143, """", "."))),VALUE(AN143)),0)</f>
        <v>0</v>
      </c>
      <c r="AS143" s="26">
        <f>AI143*3600+AM143*60+AR143</f>
        <v>960</v>
      </c>
      <c r="AT143" s="26">
        <f>AS143/3600</f>
        <v>0.26666666666666666</v>
      </c>
      <c r="AU143" s="26">
        <f>_xlfn.FLOOR.MATH((AT143))</f>
        <v>0</v>
      </c>
      <c r="AV143" s="26">
        <f>(AS143-3600*AU143)/60</f>
        <v>16</v>
      </c>
      <c r="AW143" s="26">
        <f>_xlfn.FLOOR.MATH((AV143))</f>
        <v>16</v>
      </c>
      <c r="AX143" s="26">
        <f>AS143-3600*AU143-60*AW143</f>
        <v>0</v>
      </c>
      <c r="AY143" s="20" t="str">
        <f>CONCATENATE(TEXT(AU143,"00"),"°",TEXT(AW143,"00"),"'",TEXT(AX143,"00.00"), " [", CONCATENATE(TEXT(AU143,"00"),"°",TEXT(AV143,"00.00")),"]", " - (", TEXT(AT143,"00.0000"),"°)")</f>
        <v>00°16'00.00 [00°16.00] - (00.2667°)</v>
      </c>
    </row>
    <row r="144" spans="5:55" ht="17.25" customHeight="1" thickTop="1" x14ac:dyDescent="0.25">
      <c r="H144" s="71"/>
      <c r="J144" s="71"/>
      <c r="M144" s="71"/>
      <c r="P144" s="71"/>
      <c r="Q144" s="75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</row>
    <row r="145" spans="1:55" ht="17.25" customHeight="1" thickBot="1" x14ac:dyDescent="0.3">
      <c r="G145" s="579" t="s">
        <v>181</v>
      </c>
      <c r="H145" s="579"/>
      <c r="I145" s="579"/>
      <c r="J145" s="579"/>
      <c r="K145" s="579"/>
      <c r="L145" s="579"/>
      <c r="M145" s="579"/>
      <c r="N145" s="362">
        <f>N111-N112+AC141+AC142</f>
        <v>8.8899999999999988</v>
      </c>
      <c r="O145" s="362"/>
      <c r="P145" s="362"/>
      <c r="Q145" s="362"/>
      <c r="AD145" s="17"/>
      <c r="AE145" s="17"/>
      <c r="AF145" s="17"/>
      <c r="AG145" s="17"/>
      <c r="AH145" s="17"/>
      <c r="AI145" s="17"/>
      <c r="AJ145" s="17"/>
      <c r="AK145" s="17"/>
      <c r="AL145" s="17"/>
      <c r="AM145" s="17"/>
      <c r="AN145" s="17"/>
      <c r="AO145" s="17"/>
    </row>
    <row r="146" spans="1:55" ht="17.25" customHeight="1" thickBot="1" x14ac:dyDescent="0.3">
      <c r="AD146" s="17"/>
      <c r="AE146" s="17"/>
      <c r="AF146" s="17"/>
      <c r="AG146" s="17"/>
      <c r="AH146" s="17"/>
      <c r="AI146" s="17"/>
      <c r="AJ146" s="17"/>
      <c r="AK146" s="17"/>
      <c r="AL146" s="17"/>
      <c r="AM146" s="17"/>
      <c r="AN146" s="17"/>
      <c r="AO146" s="17"/>
      <c r="AU146" s="48"/>
      <c r="AV146" s="48"/>
      <c r="AW146" s="48"/>
      <c r="AX146" s="48"/>
      <c r="AY146" s="48"/>
      <c r="AZ146" s="48"/>
      <c r="BA146" s="49"/>
      <c r="BB146" s="50"/>
    </row>
    <row r="147" spans="1:55" ht="17.25" customHeight="1" thickBot="1" x14ac:dyDescent="0.3">
      <c r="D147" s="48"/>
      <c r="E147" s="48"/>
      <c r="F147" s="48"/>
      <c r="G147" s="48"/>
      <c r="H147" s="48"/>
      <c r="I147" s="48"/>
      <c r="J147" s="48"/>
      <c r="K147" s="48"/>
      <c r="L147" s="48"/>
      <c r="M147" s="48"/>
      <c r="N147" s="48"/>
      <c r="O147" s="48"/>
      <c r="P147" s="48"/>
      <c r="Q147" s="48"/>
      <c r="R147" s="48"/>
      <c r="S147" s="48"/>
      <c r="T147" s="48"/>
      <c r="U147" s="48"/>
      <c r="V147" s="48"/>
      <c r="W147" s="48"/>
      <c r="X147" s="48"/>
      <c r="Y147" s="48"/>
      <c r="Z147" s="48"/>
      <c r="AA147" s="48"/>
      <c r="AB147" s="48"/>
      <c r="AC147" s="48"/>
      <c r="AD147" s="48"/>
      <c r="AE147" s="48"/>
      <c r="AF147" s="48"/>
      <c r="AG147" s="48"/>
      <c r="AH147" s="48"/>
      <c r="AI147" s="48"/>
      <c r="AJ147" s="48"/>
      <c r="AK147" s="48"/>
      <c r="AL147" s="48"/>
      <c r="AM147" s="48"/>
      <c r="AN147" s="48"/>
      <c r="AO147" s="48"/>
      <c r="AP147" s="48"/>
      <c r="AQ147" s="48"/>
      <c r="AR147" s="48"/>
      <c r="AS147" s="48"/>
      <c r="AT147" s="48"/>
    </row>
    <row r="148" spans="1:55" ht="17.25" customHeight="1" thickBot="1" x14ac:dyDescent="0.3">
      <c r="B148" s="47" t="s">
        <v>73</v>
      </c>
      <c r="C148" s="48"/>
      <c r="D148" s="1"/>
      <c r="E148" s="1"/>
      <c r="F148" s="1"/>
      <c r="N148" s="476" t="s">
        <v>198</v>
      </c>
      <c r="O148" s="476"/>
      <c r="P148" s="476"/>
      <c r="Q148" s="476"/>
      <c r="R148" s="476"/>
      <c r="S148" s="476"/>
      <c r="T148" s="476"/>
      <c r="U148" s="476"/>
      <c r="V148" s="476"/>
      <c r="W148" s="476"/>
      <c r="X148" s="476"/>
      <c r="Y148" s="476"/>
      <c r="Z148" s="476"/>
    </row>
    <row r="149" spans="1:55" ht="17.25" customHeight="1" x14ac:dyDescent="0.25">
      <c r="C149" s="1"/>
      <c r="D149" s="169"/>
      <c r="E149" s="169"/>
      <c r="F149" s="169"/>
      <c r="G149" s="169"/>
      <c r="H149" s="391">
        <f>AC150</f>
        <v>11.445530958277828</v>
      </c>
      <c r="I149" s="391"/>
      <c r="J149" s="391"/>
      <c r="K149" s="391"/>
      <c r="L149" s="391"/>
      <c r="N149" s="281" t="s">
        <v>199</v>
      </c>
      <c r="O149" s="281"/>
      <c r="P149" s="281">
        <f>D</f>
        <v>-11.98176</v>
      </c>
      <c r="Q149" s="281"/>
      <c r="R149" s="281"/>
      <c r="S149" s="519" t="s">
        <v>125</v>
      </c>
      <c r="T149" s="520">
        <f>P149*$D$158</f>
        <v>-0.20912116218375576</v>
      </c>
      <c r="U149" s="521"/>
      <c r="V149" s="522"/>
      <c r="W149" s="519" t="s">
        <v>170</v>
      </c>
      <c r="AD149" s="79" t="s">
        <v>201</v>
      </c>
      <c r="AE149" s="22">
        <f>SIN(T149)*SIN(T150)+COS(T149)*COS(T150)*COS(T151)</f>
        <v>0.19843626521144325</v>
      </c>
    </row>
    <row r="150" spans="1:55" ht="17.25" customHeight="1" thickBot="1" x14ac:dyDescent="0.3">
      <c r="C150" s="169" t="s">
        <v>28</v>
      </c>
      <c r="D150" s="169"/>
      <c r="E150" s="169"/>
      <c r="F150" s="169"/>
      <c r="G150" s="169"/>
      <c r="H150" s="391"/>
      <c r="I150" s="391"/>
      <c r="J150" s="391"/>
      <c r="K150" s="391"/>
      <c r="L150" s="391"/>
      <c r="M150" s="149" t="s">
        <v>328</v>
      </c>
      <c r="N150" s="281" t="s">
        <v>200</v>
      </c>
      <c r="O150" s="281"/>
      <c r="P150" s="281">
        <f>L</f>
        <v>48.866666666666667</v>
      </c>
      <c r="Q150" s="281"/>
      <c r="R150" s="281"/>
      <c r="S150" s="519"/>
      <c r="T150" s="520">
        <f>P150*$D$158</f>
        <v>0.85288422780789575</v>
      </c>
      <c r="U150" s="521"/>
      <c r="V150" s="522"/>
      <c r="W150" s="519"/>
      <c r="AC150" s="28">
        <f>AF150</f>
        <v>11.445530958277828</v>
      </c>
      <c r="AD150" s="31" t="s">
        <v>202</v>
      </c>
      <c r="AE150" s="22">
        <f>ASIN(AE149)</f>
        <v>0.19976219986088983</v>
      </c>
      <c r="AF150" s="22">
        <f>AE150*$D$159</f>
        <v>11.445530958277828</v>
      </c>
    </row>
    <row r="151" spans="1:55" ht="17.25" customHeight="1" thickTop="1" thickBot="1" x14ac:dyDescent="0.3">
      <c r="C151" s="169"/>
      <c r="D151" s="169"/>
      <c r="E151" s="169"/>
      <c r="F151" s="169"/>
      <c r="G151" s="169"/>
      <c r="H151" s="279" t="str">
        <f>AB153</f>
        <v>11°26'43.91 [11°26.73]  (11.4455°)</v>
      </c>
      <c r="I151" s="279"/>
      <c r="J151" s="279"/>
      <c r="K151" s="279"/>
      <c r="L151" s="279"/>
      <c r="N151" s="281" t="s">
        <v>71</v>
      </c>
      <c r="O151" s="281"/>
      <c r="P151" s="281">
        <f>E104</f>
        <v>56.538946666666732</v>
      </c>
      <c r="Q151" s="281"/>
      <c r="R151" s="281"/>
      <c r="S151" s="519"/>
      <c r="T151" s="520">
        <f>P151*$D$158</f>
        <v>0.98679077494280742</v>
      </c>
      <c r="U151" s="521"/>
      <c r="V151" s="522"/>
      <c r="W151" s="519"/>
    </row>
    <row r="152" spans="1:55" ht="17.25" customHeight="1" thickTop="1" x14ac:dyDescent="0.25">
      <c r="C152" s="169"/>
      <c r="D152" s="1"/>
      <c r="E152" s="1"/>
      <c r="F152" s="1"/>
      <c r="AB152" s="14"/>
      <c r="AC152" s="7"/>
      <c r="AD152" s="3" t="s">
        <v>57</v>
      </c>
      <c r="AE152" s="3" t="s">
        <v>57</v>
      </c>
      <c r="AF152" s="3" t="s">
        <v>304</v>
      </c>
      <c r="AG152" s="3" t="s">
        <v>120</v>
      </c>
      <c r="AH152" s="3" t="s">
        <v>121</v>
      </c>
      <c r="AI152" s="3" t="s">
        <v>122</v>
      </c>
      <c r="AJ152" s="3" t="s">
        <v>123</v>
      </c>
      <c r="AK152" s="3" t="s">
        <v>124</v>
      </c>
      <c r="AL152" s="3" t="s">
        <v>125</v>
      </c>
      <c r="AM152" s="3" t="s">
        <v>101</v>
      </c>
      <c r="AN152" s="3" t="s">
        <v>129</v>
      </c>
      <c r="AO152" s="3" t="s">
        <v>128</v>
      </c>
      <c r="AP152" s="3" t="s">
        <v>126</v>
      </c>
      <c r="AQ152" s="3" t="s">
        <v>127</v>
      </c>
      <c r="AR152" s="3" t="s">
        <v>129</v>
      </c>
      <c r="AS152" s="3" t="s">
        <v>128</v>
      </c>
      <c r="AT152" s="3" t="s">
        <v>130</v>
      </c>
      <c r="AU152" s="3" t="s">
        <v>112</v>
      </c>
      <c r="AV152" s="3" t="s">
        <v>117</v>
      </c>
      <c r="AW152" s="3" t="s">
        <v>143</v>
      </c>
      <c r="AX152" s="3" t="s">
        <v>149</v>
      </c>
      <c r="AY152" s="3" t="s">
        <v>131</v>
      </c>
      <c r="AZ152" s="3" t="s">
        <v>150</v>
      </c>
      <c r="BA152" s="3" t="s">
        <v>112</v>
      </c>
      <c r="BB152" s="3" t="s">
        <v>308</v>
      </c>
      <c r="BC152" s="3" t="s">
        <v>151</v>
      </c>
    </row>
    <row r="153" spans="1:55" ht="17.25" customHeight="1" x14ac:dyDescent="0.25">
      <c r="C153" s="1"/>
      <c r="D153" s="169"/>
      <c r="E153" s="169"/>
      <c r="F153" s="169"/>
      <c r="G153" s="169"/>
      <c r="H153" s="391">
        <f>E108</f>
        <v>9.1368001239132006</v>
      </c>
      <c r="I153" s="391"/>
      <c r="J153" s="391"/>
      <c r="K153" s="391"/>
      <c r="L153" s="391"/>
      <c r="AA153" s="18">
        <f>A</f>
        <v>11.445530958277828</v>
      </c>
      <c r="AB153" s="14" t="str">
        <f>BC153</f>
        <v>11°26'43.91 [11°26.73]  (11.4455°)</v>
      </c>
      <c r="AC153" s="7">
        <f>BB153</f>
        <v>11.445530958277828</v>
      </c>
      <c r="AD153" s="5">
        <f>IF(LEFT(TRIM(AA153),1)="-",-1,IF(LEFT(TRIM(AA153),1)="+",1, 0))</f>
        <v>0</v>
      </c>
      <c r="AE153" s="5" t="str">
        <f>IF(AD153&gt;0,"+",IF(AD153&lt;0,"-",""))</f>
        <v/>
      </c>
      <c r="AF153" s="5">
        <f>IF(ABS(AD153)&gt;0,RIGHT(AA153,LEN(AA153)-1),AA153)</f>
        <v>11.445530958277828</v>
      </c>
      <c r="AG153" s="5" t="b">
        <f>ISNUMBER(SEARCH("°",AF153,1))</f>
        <v>0</v>
      </c>
      <c r="AH153" s="5" t="b">
        <f>ISNUMBER(SEARCH("'",AF153,1))</f>
        <v>0</v>
      </c>
      <c r="AI153" s="5" t="b">
        <f>ISNUMBER(SEARCH("""",AF153,1))</f>
        <v>0</v>
      </c>
      <c r="AJ153" s="5" t="b">
        <f>NOT(OR(AG153,AH153,AI153))</f>
        <v>1</v>
      </c>
      <c r="AK153" s="5" t="b">
        <f t="shared" ref="AK153" si="173">OR(AJ153,AG153)</f>
        <v>1</v>
      </c>
      <c r="AL153" s="6">
        <f>IF(AJ153,VALUE(AF153),IF(AG153,LEFT(AF153,SEARCH("°",AF153,1)-1),0))</f>
        <v>11.445530958277828</v>
      </c>
      <c r="AM153" s="5" t="str">
        <f>IF(AJ153,"",IF(AG153,RIGHT(AF153,LEN(AF153)-SEARCH("°",AF153,1)),AF153))</f>
        <v/>
      </c>
      <c r="AN153" s="5" t="b">
        <f>(LEN(AM153)&gt;0)</f>
        <v>0</v>
      </c>
      <c r="AO153" s="5" t="b">
        <f>NOT(OR(AH153,AI153))</f>
        <v>1</v>
      </c>
      <c r="AP153" s="6">
        <f t="shared" ref="AP153" si="174">IF(NOT(AN153),0,IF(AO153,VALUE(AM153),IF(NOT(AH153),0,VALUE(LEFT(AM153,SEARCH("'",AM153,1)-1)))))</f>
        <v>0</v>
      </c>
      <c r="AQ153" s="5" t="str">
        <f t="shared" ref="AQ153" si="175">IF(NOT(AN153),"",IF(AO153,"",IF(NOT(AH153),AM153,RIGHT(AM153,LEN(AM153)-SEARCH("'",AM153,1)))))</f>
        <v/>
      </c>
      <c r="AR153" s="5" t="b">
        <f>(LEN(AQ153)&gt;0)</f>
        <v>0</v>
      </c>
      <c r="AS153" s="5" t="b">
        <f t="shared" ref="AS153" si="176">NOT(AI153)</f>
        <v>1</v>
      </c>
      <c r="AT153" s="5" t="b">
        <f>ISNUMBER(SEARCH(".",AQ153,1))</f>
        <v>0</v>
      </c>
      <c r="AU153" s="6">
        <f t="shared" ref="AU153" si="177">IF(AR153,IF(AI153,IF(AT153,VALUE(SUBSTITUTE(AQ153, """", "")),VALUE(SUBSTITUTE(AQ153, """", "."))),VALUE(AQ153)),0)</f>
        <v>0</v>
      </c>
      <c r="AV153" s="6">
        <f t="shared" ref="AV153" si="178">AL153*3600+AP153*60+AU153</f>
        <v>41203.91144980018</v>
      </c>
      <c r="AW153" s="6">
        <f>AV153/3600</f>
        <v>11.445530958277828</v>
      </c>
      <c r="AX153" s="6">
        <f>_xlfn.FLOOR.MATH((AW153))</f>
        <v>11</v>
      </c>
      <c r="AY153" s="6">
        <f>(AV153-3600*AX153)/60</f>
        <v>26.731857496669665</v>
      </c>
      <c r="AZ153" s="6">
        <f>_xlfn.FLOOR.MATH((AY153))</f>
        <v>26</v>
      </c>
      <c r="BA153" s="6">
        <f>AV153-3600*AX153-60*AZ153</f>
        <v>43.91144980017998</v>
      </c>
      <c r="BB153" s="6">
        <f>AW153*IF(AD153&lt;0,-1,1)</f>
        <v>11.445530958277828</v>
      </c>
      <c r="BC153" s="7" t="str">
        <f>CONCATENATE(AE153,TEXT(AX153,"00"),"°",TEXT(AZ153,"00"),"'",TEXT(BA153,"00.00"), " [", CONCATENATE(AE153,TEXT(AX153,"00"),"°",TEXT(AY153,"00.00")),"]", "  (", AE153,TEXT(AW153,"00.0000"),"°)")</f>
        <v>11°26'43.91 [11°26.73]  (11.4455°)</v>
      </c>
    </row>
    <row r="154" spans="1:55" ht="17.25" customHeight="1" thickBot="1" x14ac:dyDescent="0.3">
      <c r="C154" s="169" t="s">
        <v>36</v>
      </c>
      <c r="D154" s="169"/>
      <c r="E154" s="169"/>
      <c r="F154" s="169"/>
      <c r="G154" s="169"/>
      <c r="H154" s="391"/>
      <c r="I154" s="391"/>
      <c r="J154" s="391"/>
      <c r="K154" s="391"/>
      <c r="L154" s="391"/>
      <c r="N154" s="509" t="s">
        <v>38</v>
      </c>
      <c r="O154" s="510"/>
      <c r="P154" s="510"/>
      <c r="Q154" s="510"/>
      <c r="R154" s="511"/>
      <c r="S154" s="150">
        <f>H153-A</f>
        <v>-2.3087308343646278</v>
      </c>
      <c r="T154" s="151" t="s">
        <v>39</v>
      </c>
      <c r="U154" s="203">
        <f>S154*60</f>
        <v>-138.52385006187768</v>
      </c>
      <c r="V154" s="151" t="s">
        <v>254</v>
      </c>
      <c r="W154" s="178"/>
      <c r="X154" s="526" t="str">
        <f>IF(S154&gt;0,"Vers Pg", "Oppose de Pg")</f>
        <v>Oppose de Pg</v>
      </c>
      <c r="Y154" s="526"/>
      <c r="AA154" s="18">
        <f>H153</f>
        <v>9.1368001239132006</v>
      </c>
      <c r="AB154" s="19" t="str">
        <f>AY154</f>
        <v>09°08'12.48 [09°08.21] - (09.1368°)</v>
      </c>
      <c r="AC154" s="37">
        <f>H153</f>
        <v>9.1368001239132006</v>
      </c>
      <c r="AD154" s="27" t="b">
        <f t="shared" ref="AD154" si="179">ISNUMBER(SEARCH("°",AA154,1))</f>
        <v>0</v>
      </c>
      <c r="AE154" s="27" t="b">
        <f t="shared" ref="AE154" si="180">ISNUMBER(SEARCH("'",AA154,1))</f>
        <v>0</v>
      </c>
      <c r="AF154" s="27" t="b">
        <f t="shared" ref="AF154" si="181">ISNUMBER(SEARCH("""",AA154,1))</f>
        <v>0</v>
      </c>
      <c r="AG154" s="27" t="b">
        <f t="shared" ref="AG154" si="182">NOT(OR(AD154,AE154,AF154))</f>
        <v>1</v>
      </c>
      <c r="AH154" s="27" t="b">
        <f t="shared" ref="AH154" si="183">OR(AG154,AD154)</f>
        <v>1</v>
      </c>
      <c r="AI154" s="26">
        <f t="shared" ref="AI154" si="184">IF(AG154,VALUE(AA154),IF(AD154,LEFT(AA154,SEARCH("°",AA154,1)-1),0))</f>
        <v>9.1368001239132006</v>
      </c>
      <c r="AJ154" s="27" t="str">
        <f t="shared" ref="AJ154" si="185">IF(AG154,"",IF(AD154,RIGHT(AA154,LEN(AA154)-SEARCH("°",AA154,1)),AA154))</f>
        <v/>
      </c>
      <c r="AK154" s="27" t="b">
        <f>(LEN(AJ154)&gt;0)</f>
        <v>0</v>
      </c>
      <c r="AL154" s="27" t="b">
        <f>NOT(OR(AE154,AF154))</f>
        <v>1</v>
      </c>
      <c r="AM154" s="26">
        <f>IF(NOT(AK154),0,IF(AL154,VALUE(AJ154),IF(NOT(AE154),0,VALUE(LEFT(AJ154,SEARCH("'",AJ154,1)-1)))))</f>
        <v>0</v>
      </c>
      <c r="AN154" s="27" t="str">
        <f>IF(NOT(AK154),"",IF(AL154,"",IF(NOT(AE154),AJ154,RIGHT(AJ154,LEN(AJ154)-SEARCH("'",AJ154,1)))))</f>
        <v/>
      </c>
      <c r="AO154" s="27" t="b">
        <f>(LEN(AN154)&gt;0)</f>
        <v>0</v>
      </c>
      <c r="AP154" s="27" t="b">
        <f>NOT(AF154)</f>
        <v>1</v>
      </c>
      <c r="AQ154" s="27" t="b">
        <f>ISNUMBER(SEARCH(".",AN154,1))</f>
        <v>0</v>
      </c>
      <c r="AR154" s="26">
        <f>IF(AO154,IF(AF154,IF(AQ154,VALUE(SUBSTITUTE(AN154, """", "")),VALUE(SUBSTITUTE(AN154, """", "."))),VALUE(AN154)),0)</f>
        <v>0</v>
      </c>
      <c r="AS154" s="26">
        <f>AI154*3600+AM154*60+AR154</f>
        <v>32892.480446087524</v>
      </c>
      <c r="AT154" s="26">
        <f>AS154/3600</f>
        <v>9.1368001239132006</v>
      </c>
      <c r="AU154" s="26">
        <f>_xlfn.FLOOR.MATH((AT154))</f>
        <v>9</v>
      </c>
      <c r="AV154" s="26">
        <f>(AS154-3600*AU154)/60</f>
        <v>8.208007434792064</v>
      </c>
      <c r="AW154" s="26">
        <f>_xlfn.FLOOR.MATH((AV154))</f>
        <v>8</v>
      </c>
      <c r="AX154" s="26">
        <f>AS154-3600*AU154-60*AW154</f>
        <v>12.480446087523887</v>
      </c>
      <c r="AY154" s="20" t="str">
        <f>CONCATENATE(TEXT(AU154,"00"),"°",TEXT(AW154,"00"),"'",TEXT(AX154,"00.00"), " [", CONCATENATE(TEXT(AU154,"00"),"°",TEXT(AV154,"00.00")),"]", " - (", TEXT(AT154,"00.0000"),"°)")</f>
        <v>09°08'12.48 [09°08.21] - (09.1368°)</v>
      </c>
    </row>
    <row r="155" spans="1:55" ht="17.25" customHeight="1" thickTop="1" thickBot="1" x14ac:dyDescent="0.3">
      <c r="C155" s="169"/>
      <c r="D155" s="169"/>
      <c r="E155" s="169"/>
      <c r="F155" s="169"/>
      <c r="G155" s="169"/>
      <c r="H155" s="279" t="str">
        <f>AB154</f>
        <v>09°08'12.48 [09°08.21] - (09.1368°)</v>
      </c>
      <c r="I155" s="279"/>
      <c r="J155" s="279"/>
      <c r="K155" s="279"/>
      <c r="L155" s="279"/>
    </row>
    <row r="156" spans="1:55" ht="17.25" customHeight="1" thickTop="1" x14ac:dyDescent="0.25">
      <c r="C156" s="169"/>
      <c r="D156" s="1"/>
      <c r="E156" s="1"/>
      <c r="F156" s="1"/>
      <c r="S156" s="178"/>
      <c r="T156" s="178"/>
      <c r="U156" s="178"/>
      <c r="V156" s="178"/>
      <c r="W156" s="178"/>
      <c r="X156" s="178"/>
    </row>
    <row r="157" spans="1:55" ht="17.25" customHeight="1" thickBot="1" x14ac:dyDescent="0.3">
      <c r="C157" s="1"/>
      <c r="D157" s="1"/>
      <c r="E157" s="1"/>
      <c r="S157" s="178"/>
      <c r="T157" s="178"/>
      <c r="U157" s="178"/>
      <c r="V157" s="178"/>
      <c r="W157" s="178"/>
      <c r="X157" s="178"/>
    </row>
    <row r="158" spans="1:55" ht="17.25" customHeight="1" thickBot="1" x14ac:dyDescent="0.3">
      <c r="A158" s="410" t="s">
        <v>232</v>
      </c>
      <c r="B158" s="411"/>
      <c r="C158" s="412"/>
      <c r="D158" s="76">
        <f>PI()/180</f>
        <v>1.7453292519943295E-2</v>
      </c>
      <c r="E158" s="1"/>
      <c r="F158" s="1"/>
      <c r="S158" s="178"/>
      <c r="T158" s="178"/>
      <c r="U158" s="178"/>
      <c r="V158" s="178"/>
      <c r="W158" s="178"/>
      <c r="X158" s="178"/>
    </row>
    <row r="159" spans="1:55" ht="17.25" customHeight="1" x14ac:dyDescent="0.25">
      <c r="A159" s="40" t="s">
        <v>104</v>
      </c>
      <c r="B159" s="80" t="s">
        <v>211</v>
      </c>
      <c r="C159" s="42" t="s">
        <v>212</v>
      </c>
      <c r="D159" s="76">
        <f>180/PI()</f>
        <v>57.295779513082323</v>
      </c>
      <c r="AD159" s="79" t="s">
        <v>204</v>
      </c>
      <c r="AE159" s="22">
        <f>(SIN(T161)-SIN(T162)*SIN(AE150))/(COS(T162)*COS(AE150))</f>
        <v>-0.55380934861731368</v>
      </c>
    </row>
    <row r="160" spans="1:55" ht="17.25" customHeight="1" x14ac:dyDescent="0.25">
      <c r="A160" s="40" t="s">
        <v>213</v>
      </c>
      <c r="B160" s="80" t="s">
        <v>211</v>
      </c>
      <c r="C160" s="42" t="s">
        <v>104</v>
      </c>
      <c r="D160" s="1"/>
      <c r="E160" s="1"/>
      <c r="F160" s="1"/>
      <c r="N160" s="495" t="s">
        <v>203</v>
      </c>
      <c r="O160" s="496"/>
      <c r="P160" s="496"/>
      <c r="Q160" s="496"/>
      <c r="R160" s="496"/>
      <c r="S160" s="496"/>
      <c r="T160" s="496"/>
      <c r="U160" s="496"/>
      <c r="V160" s="496"/>
      <c r="W160" s="496"/>
      <c r="X160" s="496"/>
      <c r="Y160" s="496"/>
      <c r="Z160" s="496"/>
      <c r="AC160" s="28">
        <f>AF160</f>
        <v>123.62874477306292</v>
      </c>
      <c r="AD160" s="31" t="s">
        <v>205</v>
      </c>
      <c r="AE160" s="22">
        <f>ACOS(AE159)</f>
        <v>2.1577286463976777</v>
      </c>
      <c r="AF160" s="22">
        <f>AE160*$D$159</f>
        <v>123.62874477306292</v>
      </c>
    </row>
    <row r="161" spans="1:55" ht="17.25" customHeight="1" thickBot="1" x14ac:dyDescent="0.3">
      <c r="A161" s="43"/>
      <c r="B161" s="44"/>
      <c r="C161" s="155"/>
      <c r="D161" s="161"/>
      <c r="E161" s="161"/>
      <c r="F161" s="161"/>
      <c r="G161" s="162"/>
      <c r="H161" s="373">
        <f>AC160</f>
        <v>123.62874477306292</v>
      </c>
      <c r="I161" s="340"/>
      <c r="J161" s="340"/>
      <c r="K161" s="340"/>
      <c r="L161" s="374"/>
      <c r="N161" s="281" t="s">
        <v>199</v>
      </c>
      <c r="O161" s="281"/>
      <c r="P161" s="281">
        <f>D</f>
        <v>-11.98176</v>
      </c>
      <c r="Q161" s="281"/>
      <c r="R161" s="281"/>
      <c r="S161" s="519" t="s">
        <v>125</v>
      </c>
      <c r="T161" s="281">
        <f>P161*$D$158</f>
        <v>-0.20912116218375576</v>
      </c>
      <c r="U161" s="281"/>
      <c r="V161" s="281"/>
      <c r="W161" s="519" t="s">
        <v>170</v>
      </c>
    </row>
    <row r="162" spans="1:55" ht="17.25" customHeight="1" thickBot="1" x14ac:dyDescent="0.3">
      <c r="C162" s="160" t="s">
        <v>214</v>
      </c>
      <c r="D162" s="164"/>
      <c r="E162" s="164"/>
      <c r="F162" s="164"/>
      <c r="G162" s="165"/>
      <c r="H162" s="580"/>
      <c r="I162" s="523"/>
      <c r="J162" s="523"/>
      <c r="K162" s="523"/>
      <c r="L162" s="524"/>
      <c r="M162" s="149" t="s">
        <v>328</v>
      </c>
      <c r="N162" s="281" t="s">
        <v>200</v>
      </c>
      <c r="O162" s="281"/>
      <c r="P162" s="281">
        <f>L</f>
        <v>48.866666666666667</v>
      </c>
      <c r="Q162" s="281"/>
      <c r="R162" s="281"/>
      <c r="S162" s="519"/>
      <c r="T162" s="281">
        <f>P162*$D$158</f>
        <v>0.85288422780789575</v>
      </c>
      <c r="U162" s="281"/>
      <c r="V162" s="281"/>
      <c r="W162" s="519"/>
    </row>
    <row r="163" spans="1:55" ht="17.25" customHeight="1" thickTop="1" thickBot="1" x14ac:dyDescent="0.3">
      <c r="C163" s="163"/>
      <c r="D163" s="167"/>
      <c r="E163" s="167"/>
      <c r="F163" s="167"/>
      <c r="G163" s="168"/>
      <c r="H163" s="357" t="str">
        <f>AB164</f>
        <v>123°37'43.48 [123°37.72]  (123.6287°)</v>
      </c>
      <c r="I163" s="357"/>
      <c r="J163" s="357"/>
      <c r="K163" s="357"/>
      <c r="L163" s="357"/>
      <c r="N163" s="281" t="s">
        <v>71</v>
      </c>
      <c r="O163" s="281"/>
      <c r="P163" s="281">
        <f>E104</f>
        <v>56.538946666666732</v>
      </c>
      <c r="Q163" s="281"/>
      <c r="R163" s="281"/>
      <c r="S163" s="519"/>
      <c r="T163" s="281">
        <f>P163*$D$158</f>
        <v>0.98679077494280742</v>
      </c>
      <c r="U163" s="281"/>
      <c r="V163" s="281"/>
      <c r="W163" s="519"/>
      <c r="AB163" s="14"/>
      <c r="AC163" s="7"/>
      <c r="AD163" s="3" t="s">
        <v>57</v>
      </c>
      <c r="AE163" s="3" t="s">
        <v>57</v>
      </c>
      <c r="AF163" s="3" t="s">
        <v>304</v>
      </c>
      <c r="AG163" s="3" t="s">
        <v>120</v>
      </c>
      <c r="AH163" s="3" t="s">
        <v>121</v>
      </c>
      <c r="AI163" s="3" t="s">
        <v>122</v>
      </c>
      <c r="AJ163" s="3" t="s">
        <v>123</v>
      </c>
      <c r="AK163" s="3" t="s">
        <v>124</v>
      </c>
      <c r="AL163" s="3" t="s">
        <v>125</v>
      </c>
      <c r="AM163" s="3" t="s">
        <v>101</v>
      </c>
      <c r="AN163" s="3" t="s">
        <v>129</v>
      </c>
      <c r="AO163" s="3" t="s">
        <v>128</v>
      </c>
      <c r="AP163" s="3" t="s">
        <v>126</v>
      </c>
      <c r="AQ163" s="3" t="s">
        <v>127</v>
      </c>
      <c r="AR163" s="3" t="s">
        <v>129</v>
      </c>
      <c r="AS163" s="3" t="s">
        <v>128</v>
      </c>
      <c r="AT163" s="3" t="s">
        <v>130</v>
      </c>
      <c r="AU163" s="3" t="s">
        <v>112</v>
      </c>
      <c r="AV163" s="3" t="s">
        <v>117</v>
      </c>
      <c r="AW163" s="3" t="s">
        <v>143</v>
      </c>
      <c r="AX163" s="3" t="s">
        <v>149</v>
      </c>
      <c r="AY163" s="3" t="s">
        <v>131</v>
      </c>
      <c r="AZ163" s="3" t="s">
        <v>150</v>
      </c>
      <c r="BA163" s="3" t="s">
        <v>112</v>
      </c>
      <c r="BB163" s="3" t="s">
        <v>308</v>
      </c>
      <c r="BC163" s="3" t="s">
        <v>151</v>
      </c>
    </row>
    <row r="164" spans="1:55" ht="17.25" customHeight="1" thickTop="1" x14ac:dyDescent="0.25">
      <c r="C164" s="166"/>
      <c r="D164" s="1"/>
      <c r="E164" s="1"/>
      <c r="F164" s="1"/>
      <c r="AA164" s="18">
        <f>H161</f>
        <v>123.62874477306292</v>
      </c>
      <c r="AB164" s="14" t="str">
        <f>BC164</f>
        <v>123°37'43.48 [123°37.72]  (123.6287°)</v>
      </c>
      <c r="AC164" s="7">
        <f>BB164</f>
        <v>123.62874477306292</v>
      </c>
      <c r="AD164" s="5">
        <f>IF(LEFT(TRIM(AA164),1)="-",-1,IF(LEFT(TRIM(AA164),1)="+",1, 0))</f>
        <v>0</v>
      </c>
      <c r="AE164" s="5" t="str">
        <f>IF(AD164&gt;0,"+",IF(AD164&lt;0,"-",""))</f>
        <v/>
      </c>
      <c r="AF164" s="5">
        <f>IF(ABS(AD164)&gt;0,RIGHT(AA164,LEN(AA164)-1),AA164)</f>
        <v>123.62874477306292</v>
      </c>
      <c r="AG164" s="5" t="b">
        <f>ISNUMBER(SEARCH("°",AF164,1))</f>
        <v>0</v>
      </c>
      <c r="AH164" s="5" t="b">
        <f>ISNUMBER(SEARCH("'",AF164,1))</f>
        <v>0</v>
      </c>
      <c r="AI164" s="5" t="b">
        <f>ISNUMBER(SEARCH("""",AF164,1))</f>
        <v>0</v>
      </c>
      <c r="AJ164" s="5" t="b">
        <f>NOT(OR(AG164,AH164,AI164))</f>
        <v>1</v>
      </c>
      <c r="AK164" s="5" t="b">
        <f t="shared" ref="AK164" si="186">OR(AJ164,AG164)</f>
        <v>1</v>
      </c>
      <c r="AL164" s="6">
        <f>IF(AJ164,VALUE(AF164),IF(AG164,LEFT(AF164,SEARCH("°",AF164,1)-1),0))</f>
        <v>123.62874477306292</v>
      </c>
      <c r="AM164" s="5" t="str">
        <f>IF(AJ164,"",IF(AG164,RIGHT(AF164,LEN(AF164)-SEARCH("°",AF164,1)),AF164))</f>
        <v/>
      </c>
      <c r="AN164" s="5" t="b">
        <f>(LEN(AM164)&gt;0)</f>
        <v>0</v>
      </c>
      <c r="AO164" s="5" t="b">
        <f>NOT(OR(AH164,AI164))</f>
        <v>1</v>
      </c>
      <c r="AP164" s="6">
        <f t="shared" ref="AP164" si="187">IF(NOT(AN164),0,IF(AO164,VALUE(AM164),IF(NOT(AH164),0,VALUE(LEFT(AM164,SEARCH("'",AM164,1)-1)))))</f>
        <v>0</v>
      </c>
      <c r="AQ164" s="5" t="str">
        <f t="shared" ref="AQ164" si="188">IF(NOT(AN164),"",IF(AO164,"",IF(NOT(AH164),AM164,RIGHT(AM164,LEN(AM164)-SEARCH("'",AM164,1)))))</f>
        <v/>
      </c>
      <c r="AR164" s="5" t="b">
        <f>(LEN(AQ164)&gt;0)</f>
        <v>0</v>
      </c>
      <c r="AS164" s="5" t="b">
        <f t="shared" ref="AS164" si="189">NOT(AI164)</f>
        <v>1</v>
      </c>
      <c r="AT164" s="5" t="b">
        <f>ISNUMBER(SEARCH(".",AQ164,1))</f>
        <v>0</v>
      </c>
      <c r="AU164" s="6">
        <f t="shared" ref="AU164" si="190">IF(AR164,IF(AI164,IF(AT164,VALUE(SUBSTITUTE(AQ164, """", "")),VALUE(SUBSTITUTE(AQ164, """", "."))),VALUE(AQ164)),0)</f>
        <v>0</v>
      </c>
      <c r="AV164" s="6">
        <f t="shared" ref="AV164" si="191">AL164*3600+AP164*60+AU164</f>
        <v>445063.48118302651</v>
      </c>
      <c r="AW164" s="6">
        <f>AV164/3600</f>
        <v>123.62874477306292</v>
      </c>
      <c r="AX164" s="6">
        <f>_xlfn.FLOOR.MATH((AW164))</f>
        <v>123</v>
      </c>
      <c r="AY164" s="6">
        <f>(AV164-3600*AX164)/60</f>
        <v>37.724686383775165</v>
      </c>
      <c r="AZ164" s="6">
        <f>_xlfn.FLOOR.MATH((AY164))</f>
        <v>37</v>
      </c>
      <c r="BA164" s="6">
        <f>AV164-3600*AX164-60*AZ164</f>
        <v>43.481183026509825</v>
      </c>
      <c r="BB164" s="6">
        <f>AW164*IF(AD164&lt;0,-1,1)</f>
        <v>123.62874477306292</v>
      </c>
      <c r="BC164" s="7" t="str">
        <f>CONCATENATE(AE164,TEXT(AX164,"00"),"°",TEXT(AZ164,"00"),"'",TEXT(BA164,"00.00"), " [", CONCATENATE(AE164,TEXT(AX164,"00"),"°",TEXT(AY164,"00.00")),"]", "  (", AE164,TEXT(AW164,"00.0000"),"°)")</f>
        <v>123°37'43.48 [123°37.72]  (123.6287°)</v>
      </c>
    </row>
    <row r="165" spans="1:55" ht="17.25" customHeight="1" x14ac:dyDescent="0.25">
      <c r="C165" s="1"/>
      <c r="E165" s="59"/>
      <c r="F165" s="59"/>
      <c r="G165" s="59"/>
      <c r="H165" s="540" t="s">
        <v>206</v>
      </c>
      <c r="I165" s="541"/>
      <c r="J165" s="541"/>
      <c r="K165" s="541"/>
      <c r="L165" s="541"/>
      <c r="M165" s="542"/>
      <c r="N165" s="540" t="s">
        <v>209</v>
      </c>
      <c r="O165" s="541"/>
      <c r="P165" s="541"/>
      <c r="Q165" s="541"/>
      <c r="R165" s="541"/>
      <c r="S165" s="542"/>
      <c r="AA165" s="18">
        <f>S171</f>
        <v>236.37125522693708</v>
      </c>
      <c r="AB165" s="19" t="str">
        <f>AY165</f>
        <v>236°22'16.52 [236°22.28] - (236.3713°)</v>
      </c>
      <c r="AC165" s="37">
        <f>H164</f>
        <v>0</v>
      </c>
      <c r="AD165" s="27" t="b">
        <f t="shared" ref="AD165" si="192">ISNUMBER(SEARCH("°",AA165,1))</f>
        <v>0</v>
      </c>
      <c r="AE165" s="27" t="b">
        <f t="shared" ref="AE165" si="193">ISNUMBER(SEARCH("'",AA165,1))</f>
        <v>0</v>
      </c>
      <c r="AF165" s="27" t="b">
        <f t="shared" ref="AF165" si="194">ISNUMBER(SEARCH("""",AA165,1))</f>
        <v>0</v>
      </c>
      <c r="AG165" s="27" t="b">
        <f t="shared" ref="AG165" si="195">NOT(OR(AD165,AE165,AF165))</f>
        <v>1</v>
      </c>
      <c r="AH165" s="27" t="b">
        <f t="shared" ref="AH165" si="196">OR(AG165,AD165)</f>
        <v>1</v>
      </c>
      <c r="AI165" s="26">
        <f t="shared" ref="AI165" si="197">IF(AG165,VALUE(AA165),IF(AD165,LEFT(AA165,SEARCH("°",AA165,1)-1),0))</f>
        <v>236.37125522693708</v>
      </c>
      <c r="AJ165" s="27" t="str">
        <f t="shared" ref="AJ165" si="198">IF(AG165,"",IF(AD165,RIGHT(AA165,LEN(AA165)-SEARCH("°",AA165,1)),AA165))</f>
        <v/>
      </c>
      <c r="AK165" s="27" t="b">
        <f>(LEN(AJ165)&gt;0)</f>
        <v>0</v>
      </c>
      <c r="AL165" s="27" t="b">
        <f>NOT(OR(AE165,AF165))</f>
        <v>1</v>
      </c>
      <c r="AM165" s="26">
        <f>IF(NOT(AK165),0,IF(AL165,VALUE(AJ165),IF(NOT(AE165),0,VALUE(LEFT(AJ165,SEARCH("'",AJ165,1)-1)))))</f>
        <v>0</v>
      </c>
      <c r="AN165" s="27" t="str">
        <f>IF(NOT(AK165),"",IF(AL165,"",IF(NOT(AE165),AJ165,RIGHT(AJ165,LEN(AJ165)-SEARCH("'",AJ165,1)))))</f>
        <v/>
      </c>
      <c r="AO165" s="27" t="b">
        <f>(LEN(AN165)&gt;0)</f>
        <v>0</v>
      </c>
      <c r="AP165" s="27" t="b">
        <f>NOT(AF165)</f>
        <v>1</v>
      </c>
      <c r="AQ165" s="27" t="b">
        <f>ISNUMBER(SEARCH(".",AN165,1))</f>
        <v>0</v>
      </c>
      <c r="AR165" s="26">
        <f>IF(AO165,IF(AF165,IF(AQ165,VALUE(SUBSTITUTE(AN165, """", "")),VALUE(SUBSTITUTE(AN165, """", "."))),VALUE(AN165)),0)</f>
        <v>0</v>
      </c>
      <c r="AS165" s="26">
        <f>AI165*3600+AM165*60+AR165</f>
        <v>850936.51881697343</v>
      </c>
      <c r="AT165" s="26">
        <f>AS165/3600</f>
        <v>236.37125522693705</v>
      </c>
      <c r="AU165" s="26">
        <f>_xlfn.FLOOR.MATH((AT165))</f>
        <v>236</v>
      </c>
      <c r="AV165" s="26">
        <f>(AS165-3600*AU165)/60</f>
        <v>22.275313616223865</v>
      </c>
      <c r="AW165" s="26">
        <f>_xlfn.FLOOR.MATH((AV165))</f>
        <v>22</v>
      </c>
      <c r="AX165" s="26">
        <f>AS165-3600*AU165-60*AW165</f>
        <v>16.518816973431967</v>
      </c>
      <c r="AY165" s="20" t="str">
        <f>CONCATENATE(TEXT(AU165,"00"),"°",TEXT(AW165,"00"),"'",TEXT(AX165,"00.00"), " [", CONCATENATE(TEXT(AU165,"00"),"°",TEXT(AV165,"00.00")),"]", " - (", TEXT(AT165,"00.0000"),"°)")</f>
        <v>236°22'16.52 [236°22.28] - (236.3713°)</v>
      </c>
    </row>
    <row r="166" spans="1:55" ht="17.25" customHeight="1" x14ac:dyDescent="0.25">
      <c r="E166" s="59"/>
      <c r="F166" s="59"/>
      <c r="G166" s="59"/>
      <c r="H166" s="152"/>
      <c r="I166" s="530" t="s">
        <v>329</v>
      </c>
      <c r="J166" s="531"/>
      <c r="K166" s="532"/>
      <c r="L166" s="536" t="s">
        <v>330</v>
      </c>
      <c r="M166" s="537"/>
      <c r="N166" s="152"/>
      <c r="O166" s="530" t="s">
        <v>329</v>
      </c>
      <c r="P166" s="531"/>
      <c r="Q166" s="532"/>
      <c r="R166" s="536" t="s">
        <v>331</v>
      </c>
      <c r="S166" s="537"/>
    </row>
    <row r="167" spans="1:55" ht="17.25" customHeight="1" x14ac:dyDescent="0.25">
      <c r="E167" s="59"/>
      <c r="F167" s="59"/>
      <c r="G167" s="59"/>
      <c r="H167" s="153"/>
      <c r="I167" s="533" t="s">
        <v>207</v>
      </c>
      <c r="J167" s="534"/>
      <c r="K167" s="535"/>
      <c r="L167" s="538" t="s">
        <v>208</v>
      </c>
      <c r="M167" s="539"/>
      <c r="N167" s="153"/>
      <c r="O167" s="533" t="s">
        <v>207</v>
      </c>
      <c r="P167" s="534"/>
      <c r="Q167" s="535"/>
      <c r="R167" s="538" t="s">
        <v>210</v>
      </c>
      <c r="S167" s="539"/>
    </row>
    <row r="168" spans="1:55" ht="17.25" customHeight="1" x14ac:dyDescent="0.25">
      <c r="E168" s="178"/>
      <c r="F168" s="178"/>
      <c r="G168" s="178"/>
      <c r="H168" s="178"/>
      <c r="I168" s="178"/>
      <c r="J168" s="178"/>
      <c r="P168" s="178"/>
      <c r="Q168" s="178"/>
      <c r="R168" s="178"/>
      <c r="S168" s="449"/>
      <c r="T168" s="449"/>
      <c r="U168" s="449"/>
      <c r="V168" s="178"/>
      <c r="W168" s="449"/>
      <c r="X168" s="449"/>
      <c r="Y168" s="449"/>
    </row>
    <row r="169" spans="1:55" ht="17.25" customHeight="1" x14ac:dyDescent="0.25">
      <c r="E169" s="178"/>
      <c r="M169" s="543"/>
      <c r="N169" s="543"/>
      <c r="P169" s="449"/>
      <c r="Q169" s="449"/>
      <c r="R169" s="449"/>
      <c r="S169" s="449"/>
      <c r="T169" s="449"/>
      <c r="U169" s="449"/>
      <c r="V169" s="178"/>
      <c r="W169" s="449"/>
      <c r="X169" s="449"/>
      <c r="Y169" s="449"/>
    </row>
    <row r="170" spans="1:55" ht="17.25" customHeight="1" x14ac:dyDescent="0.25">
      <c r="H170" s="281" t="s">
        <v>200</v>
      </c>
      <c r="I170" s="281"/>
      <c r="J170" s="154">
        <f>L</f>
        <v>48.866666666666667</v>
      </c>
      <c r="K170" s="362" t="str">
        <f>CONCATENATE("Sens: ",IF(P162&gt;0,"N","S"))</f>
        <v>Sens: N</v>
      </c>
      <c r="L170" s="362"/>
    </row>
    <row r="171" spans="1:55" ht="17.25" customHeight="1" thickBot="1" x14ac:dyDescent="0.3">
      <c r="H171" s="281" t="s">
        <v>71</v>
      </c>
      <c r="I171" s="281"/>
      <c r="J171" s="154">
        <f>P163</f>
        <v>56.538946666666732</v>
      </c>
      <c r="K171" s="362" t="str">
        <f>CONCATENATE("Is 180? ", IF(P163&gt;180,"Y", "N"))</f>
        <v>Is 180? N</v>
      </c>
      <c r="L171" s="362"/>
      <c r="N171" s="509" t="s">
        <v>215</v>
      </c>
      <c r="O171" s="510"/>
      <c r="P171" s="510"/>
      <c r="Q171" s="510"/>
      <c r="R171" s="510"/>
      <c r="S171" s="528">
        <f>ABS(IF(P150&gt;0,IF(P151&gt;180,H161,360-H161),IF(P151&gt;180,180-H161,180+H161)))</f>
        <v>236.37125522693708</v>
      </c>
      <c r="T171" s="529"/>
      <c r="U171" s="151" t="s">
        <v>39</v>
      </c>
      <c r="V171" s="178"/>
    </row>
    <row r="172" spans="1:55" ht="17.25" customHeight="1" thickTop="1" thickBot="1" x14ac:dyDescent="0.3">
      <c r="H172" s="520" t="s">
        <v>332</v>
      </c>
      <c r="I172" s="521"/>
      <c r="J172" s="527"/>
      <c r="K172" s="362" t="str">
        <f>IF(J170&gt;0,IF(J171&gt;180,L166,L167),IF(J171&gt;180,R166,R167))</f>
        <v>Zn = 360 - Z</v>
      </c>
      <c r="L172" s="362"/>
      <c r="S172" s="279" t="str">
        <f>AB165</f>
        <v>236°22'16.52 [236°22.28] - (236.3713°)</v>
      </c>
      <c r="T172" s="279"/>
      <c r="U172" s="279"/>
      <c r="V172" s="279"/>
      <c r="W172" s="279"/>
      <c r="X172" s="279"/>
    </row>
    <row r="173" spans="1:55" ht="17.25" customHeight="1" thickTop="1" x14ac:dyDescent="0.25"/>
  </sheetData>
  <dataConsolidate/>
  <mergeCells count="308">
    <mergeCell ref="H171:I171"/>
    <mergeCell ref="K171:L171"/>
    <mergeCell ref="N171:R171"/>
    <mergeCell ref="S171:T171"/>
    <mergeCell ref="H172:J172"/>
    <mergeCell ref="K172:L172"/>
    <mergeCell ref="S172:X172"/>
    <mergeCell ref="M169:N169"/>
    <mergeCell ref="P169:R169"/>
    <mergeCell ref="S169:U169"/>
    <mergeCell ref="W169:Y169"/>
    <mergeCell ref="H170:I170"/>
    <mergeCell ref="K170:L170"/>
    <mergeCell ref="I167:K167"/>
    <mergeCell ref="L167:M167"/>
    <mergeCell ref="O167:Q167"/>
    <mergeCell ref="R167:S167"/>
    <mergeCell ref="S168:U168"/>
    <mergeCell ref="W168:Y168"/>
    <mergeCell ref="N163:O163"/>
    <mergeCell ref="P163:R163"/>
    <mergeCell ref="T163:V163"/>
    <mergeCell ref="H165:M165"/>
    <mergeCell ref="N165:S165"/>
    <mergeCell ref="I166:K166"/>
    <mergeCell ref="L166:M166"/>
    <mergeCell ref="O166:Q166"/>
    <mergeCell ref="R166:S166"/>
    <mergeCell ref="H161:L162"/>
    <mergeCell ref="N161:O161"/>
    <mergeCell ref="P161:R161"/>
    <mergeCell ref="S161:S163"/>
    <mergeCell ref="T161:V161"/>
    <mergeCell ref="W161:W163"/>
    <mergeCell ref="N162:O162"/>
    <mergeCell ref="P162:R162"/>
    <mergeCell ref="T162:V162"/>
    <mergeCell ref="H163:L163"/>
    <mergeCell ref="H153:L154"/>
    <mergeCell ref="N154:R154"/>
    <mergeCell ref="X154:Y154"/>
    <mergeCell ref="H155:L155"/>
    <mergeCell ref="A158:C158"/>
    <mergeCell ref="N160:Z160"/>
    <mergeCell ref="W149:W151"/>
    <mergeCell ref="N150:O150"/>
    <mergeCell ref="P150:R150"/>
    <mergeCell ref="T150:V150"/>
    <mergeCell ref="H151:L151"/>
    <mergeCell ref="N151:O151"/>
    <mergeCell ref="P151:R151"/>
    <mergeCell ref="T151:V151"/>
    <mergeCell ref="M143:O143"/>
    <mergeCell ref="U143:Z143"/>
    <mergeCell ref="G145:M145"/>
    <mergeCell ref="N145:Q145"/>
    <mergeCell ref="N148:Z148"/>
    <mergeCell ref="H149:L150"/>
    <mergeCell ref="N149:O149"/>
    <mergeCell ref="P149:R149"/>
    <mergeCell ref="S149:S151"/>
    <mergeCell ref="T149:V149"/>
    <mergeCell ref="G138:M138"/>
    <mergeCell ref="N138:Q138"/>
    <mergeCell ref="T138:Y138"/>
    <mergeCell ref="E140:H140"/>
    <mergeCell ref="I140:K140"/>
    <mergeCell ref="U142:Z142"/>
    <mergeCell ref="H134:M134"/>
    <mergeCell ref="N134:Q135"/>
    <mergeCell ref="R134:R135"/>
    <mergeCell ref="H135:M135"/>
    <mergeCell ref="H136:M136"/>
    <mergeCell ref="N136:Q136"/>
    <mergeCell ref="G129:M129"/>
    <mergeCell ref="N129:Q129"/>
    <mergeCell ref="T129:Y129"/>
    <mergeCell ref="F131:R131"/>
    <mergeCell ref="F132:G133"/>
    <mergeCell ref="H132:M132"/>
    <mergeCell ref="N132:Q133"/>
    <mergeCell ref="R132:R133"/>
    <mergeCell ref="H133:M133"/>
    <mergeCell ref="G125:M125"/>
    <mergeCell ref="N125:Q125"/>
    <mergeCell ref="T125:Y125"/>
    <mergeCell ref="G127:M127"/>
    <mergeCell ref="N127:Q127"/>
    <mergeCell ref="G128:M128"/>
    <mergeCell ref="N128:Q128"/>
    <mergeCell ref="R122:T122"/>
    <mergeCell ref="G123:M123"/>
    <mergeCell ref="N123:Q123"/>
    <mergeCell ref="R123:T123"/>
    <mergeCell ref="G124:M124"/>
    <mergeCell ref="N124:Q124"/>
    <mergeCell ref="R124:T124"/>
    <mergeCell ref="L118:O118"/>
    <mergeCell ref="G119:M119"/>
    <mergeCell ref="N119:Q119"/>
    <mergeCell ref="T119:Y119"/>
    <mergeCell ref="G120:M120"/>
    <mergeCell ref="N120:Q120"/>
    <mergeCell ref="T120:Y120"/>
    <mergeCell ref="L114:O114"/>
    <mergeCell ref="G115:M115"/>
    <mergeCell ref="N115:O115"/>
    <mergeCell ref="Q115:R115"/>
    <mergeCell ref="T115:Y115"/>
    <mergeCell ref="L117:O117"/>
    <mergeCell ref="G112:M112"/>
    <mergeCell ref="N112:Q112"/>
    <mergeCell ref="T112:Y112"/>
    <mergeCell ref="G113:M113"/>
    <mergeCell ref="N113:Q113"/>
    <mergeCell ref="T113:Y113"/>
    <mergeCell ref="U108:Y108"/>
    <mergeCell ref="C109:E109"/>
    <mergeCell ref="F109:H109"/>
    <mergeCell ref="E110:H110"/>
    <mergeCell ref="I110:K110"/>
    <mergeCell ref="G111:M111"/>
    <mergeCell ref="N111:Q111"/>
    <mergeCell ref="T111:Y111"/>
    <mergeCell ref="C105:G105"/>
    <mergeCell ref="H105:K105"/>
    <mergeCell ref="M105:P105"/>
    <mergeCell ref="H106:M106"/>
    <mergeCell ref="E108:G108"/>
    <mergeCell ref="R108:T108"/>
    <mergeCell ref="T98:T99"/>
    <mergeCell ref="U98:X99"/>
    <mergeCell ref="E100:J100"/>
    <mergeCell ref="O100:S100"/>
    <mergeCell ref="T100:X100"/>
    <mergeCell ref="E104:G104"/>
    <mergeCell ref="I104:K104"/>
    <mergeCell ref="L104:N104"/>
    <mergeCell ref="E96:G97"/>
    <mergeCell ref="H96:K97"/>
    <mergeCell ref="L96:N97"/>
    <mergeCell ref="O96:S97"/>
    <mergeCell ref="T96:X97"/>
    <mergeCell ref="E98:G99"/>
    <mergeCell ref="H98:K99"/>
    <mergeCell ref="L98:N99"/>
    <mergeCell ref="O98:O99"/>
    <mergeCell ref="P98:S99"/>
    <mergeCell ref="T90:Y91"/>
    <mergeCell ref="L92:N93"/>
    <mergeCell ref="O92:O93"/>
    <mergeCell ref="P92:S93"/>
    <mergeCell ref="T92:Y93"/>
    <mergeCell ref="E94:J94"/>
    <mergeCell ref="E88:G89"/>
    <mergeCell ref="H88:K89"/>
    <mergeCell ref="L88:N89"/>
    <mergeCell ref="O88:S89"/>
    <mergeCell ref="E90:G93"/>
    <mergeCell ref="H90:K93"/>
    <mergeCell ref="L90:N91"/>
    <mergeCell ref="O90:O91"/>
    <mergeCell ref="P90:S91"/>
    <mergeCell ref="C80:G80"/>
    <mergeCell ref="E81:G82"/>
    <mergeCell ref="H81:K82"/>
    <mergeCell ref="L81:R82"/>
    <mergeCell ref="E85:G85"/>
    <mergeCell ref="C86:E86"/>
    <mergeCell ref="F86:H86"/>
    <mergeCell ref="T74:T75"/>
    <mergeCell ref="U74:X75"/>
    <mergeCell ref="E76:J76"/>
    <mergeCell ref="O76:S76"/>
    <mergeCell ref="T76:X76"/>
    <mergeCell ref="E79:G79"/>
    <mergeCell ref="E72:G73"/>
    <mergeCell ref="H72:K73"/>
    <mergeCell ref="L72:N73"/>
    <mergeCell ref="O72:S73"/>
    <mergeCell ref="T72:X73"/>
    <mergeCell ref="E74:G75"/>
    <mergeCell ref="H74:K75"/>
    <mergeCell ref="L74:N75"/>
    <mergeCell ref="O74:O75"/>
    <mergeCell ref="P74:S75"/>
    <mergeCell ref="T66:X67"/>
    <mergeCell ref="L68:N69"/>
    <mergeCell ref="O68:O69"/>
    <mergeCell ref="P68:S69"/>
    <mergeCell ref="T68:X69"/>
    <mergeCell ref="E70:J70"/>
    <mergeCell ref="E64:G65"/>
    <mergeCell ref="H64:K65"/>
    <mergeCell ref="L64:N65"/>
    <mergeCell ref="O64:S65"/>
    <mergeCell ref="E66:G69"/>
    <mergeCell ref="H66:K69"/>
    <mergeCell ref="L66:N67"/>
    <mergeCell ref="O66:O67"/>
    <mergeCell ref="P66:S67"/>
    <mergeCell ref="U56:X57"/>
    <mergeCell ref="E58:J58"/>
    <mergeCell ref="O58:S58"/>
    <mergeCell ref="T58:X58"/>
    <mergeCell ref="E61:G61"/>
    <mergeCell ref="C62:E62"/>
    <mergeCell ref="F62:H62"/>
    <mergeCell ref="E56:G57"/>
    <mergeCell ref="H56:K57"/>
    <mergeCell ref="L56:N57"/>
    <mergeCell ref="O56:O57"/>
    <mergeCell ref="P56:S57"/>
    <mergeCell ref="T56:T57"/>
    <mergeCell ref="E52:J52"/>
    <mergeCell ref="E54:G55"/>
    <mergeCell ref="H54:K55"/>
    <mergeCell ref="L54:N55"/>
    <mergeCell ref="O54:S55"/>
    <mergeCell ref="T54:X55"/>
    <mergeCell ref="E48:G51"/>
    <mergeCell ref="H48:K51"/>
    <mergeCell ref="L48:N49"/>
    <mergeCell ref="O48:O49"/>
    <mergeCell ref="P48:S49"/>
    <mergeCell ref="T48:X49"/>
    <mergeCell ref="L50:N51"/>
    <mergeCell ref="O50:O51"/>
    <mergeCell ref="P50:S51"/>
    <mergeCell ref="T50:X51"/>
    <mergeCell ref="C44:E44"/>
    <mergeCell ref="F44:H44"/>
    <mergeCell ref="E46:G47"/>
    <mergeCell ref="H46:K47"/>
    <mergeCell ref="L46:N47"/>
    <mergeCell ref="O46:S47"/>
    <mergeCell ref="D37:G38"/>
    <mergeCell ref="E39:G40"/>
    <mergeCell ref="H39:H40"/>
    <mergeCell ref="I39:M40"/>
    <mergeCell ref="N39:W40"/>
    <mergeCell ref="E43:G43"/>
    <mergeCell ref="D32:G33"/>
    <mergeCell ref="A34:C34"/>
    <mergeCell ref="E34:G35"/>
    <mergeCell ref="H34:H35"/>
    <mergeCell ref="I34:M35"/>
    <mergeCell ref="N34:W35"/>
    <mergeCell ref="C26:H29"/>
    <mergeCell ref="I26:K29"/>
    <mergeCell ref="L26:N29"/>
    <mergeCell ref="O26:Q27"/>
    <mergeCell ref="O28:Q28"/>
    <mergeCell ref="R28:W28"/>
    <mergeCell ref="O29:W29"/>
    <mergeCell ref="C22:H25"/>
    <mergeCell ref="I22:K25"/>
    <mergeCell ref="L22:N25"/>
    <mergeCell ref="O22:Q23"/>
    <mergeCell ref="O24:Q24"/>
    <mergeCell ref="R24:W24"/>
    <mergeCell ref="O25:W25"/>
    <mergeCell ref="C20:H20"/>
    <mergeCell ref="I20:K20"/>
    <mergeCell ref="L20:N20"/>
    <mergeCell ref="C21:H21"/>
    <mergeCell ref="I21:K21"/>
    <mergeCell ref="L21:N21"/>
    <mergeCell ref="C18:H18"/>
    <mergeCell ref="I18:K18"/>
    <mergeCell ref="L18:N18"/>
    <mergeCell ref="O18:W18"/>
    <mergeCell ref="C19:H19"/>
    <mergeCell ref="I19:K19"/>
    <mergeCell ref="L19:N19"/>
    <mergeCell ref="O19:W19"/>
    <mergeCell ref="C16:H16"/>
    <mergeCell ref="I16:K16"/>
    <mergeCell ref="L16:N16"/>
    <mergeCell ref="O16:W16"/>
    <mergeCell ref="C17:H17"/>
    <mergeCell ref="I17:K17"/>
    <mergeCell ref="L17:N17"/>
    <mergeCell ref="C14:H14"/>
    <mergeCell ref="I14:K14"/>
    <mergeCell ref="L14:N14"/>
    <mergeCell ref="O14:W14"/>
    <mergeCell ref="C15:H15"/>
    <mergeCell ref="I15:K15"/>
    <mergeCell ref="L15:N15"/>
    <mergeCell ref="O15:W15"/>
    <mergeCell ref="U9:X10"/>
    <mergeCell ref="D11:E11"/>
    <mergeCell ref="F11:G11"/>
    <mergeCell ref="H11:J11"/>
    <mergeCell ref="K11:O11"/>
    <mergeCell ref="P11:T11"/>
    <mergeCell ref="U11:X11"/>
    <mergeCell ref="D8:F8"/>
    <mergeCell ref="C9:C11"/>
    <mergeCell ref="D9:G10"/>
    <mergeCell ref="H9:J10"/>
    <mergeCell ref="K9:O10"/>
    <mergeCell ref="P9:T10"/>
    <mergeCell ref="C1:F4"/>
    <mergeCell ref="G1:Y2"/>
    <mergeCell ref="G3:I4"/>
    <mergeCell ref="J3:L4"/>
  </mergeCells>
  <dataValidations count="7">
    <dataValidation type="list" allowBlank="1" showInputMessage="1" showErrorMessage="1" sqref="F109:H109" xr:uid="{00000000-0002-0000-0300-000000000000}">
      <formula1>$AE$109:$AE$110</formula1>
    </dataValidation>
    <dataValidation type="list" allowBlank="1" showInputMessage="1" showErrorMessage="1" sqref="L21:N21" xr:uid="{00000000-0002-0000-0300-000001000000}">
      <formula1>$AE$21:$AG$21</formula1>
    </dataValidation>
    <dataValidation type="list" allowBlank="1" showInputMessage="1" showErrorMessage="1" sqref="F62:H62" xr:uid="{00000000-0002-0000-0300-000002000000}">
      <formula1>$AE$62:$AE$63</formula1>
    </dataValidation>
    <dataValidation type="list" allowBlank="1" showInputMessage="1" showErrorMessage="1" sqref="L41 H41 H39 Q41 O90:O93 O98:O99 T98:T99" xr:uid="{00000000-0002-0000-0300-000003000000}">
      <formula1>$B$36:$B$37</formula1>
    </dataValidation>
    <dataValidation type="list" allowBlank="1" showInputMessage="1" showErrorMessage="1" sqref="H34:H35 T103 O56:O57 T56:T57 O48:O51 O103 O66:O69 O74:O75 T74:T75" xr:uid="{00000000-0002-0000-0300-000004000000}">
      <formula1>$A$36:$A$37</formula1>
    </dataValidation>
    <dataValidation type="list" allowBlank="1" showInputMessage="1" showErrorMessage="1" sqref="F44:H44 F86:H86" xr:uid="{00000000-0002-0000-0300-000005000000}">
      <formula1>$AE$44:$AE$45</formula1>
    </dataValidation>
    <dataValidation type="list" allowBlank="1" showInputMessage="1" showErrorMessage="1" sqref="L20:N20" xr:uid="{00000000-0002-0000-0300-000006000000}">
      <formula1>$AE$20:$AG$20</formula1>
    </dataValidation>
  </dataValidations>
  <printOptions horizontalCentered="1" verticalCentered="1"/>
  <pageMargins left="0.25" right="0.25" top="0.1" bottom="0.1" header="0.3" footer="0.3"/>
  <pageSetup paperSize="9" scale="62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N98"/>
  <sheetViews>
    <sheetView topLeftCell="A28" workbookViewId="0">
      <selection activeCell="M50" sqref="M50"/>
    </sheetView>
  </sheetViews>
  <sheetFormatPr defaultRowHeight="15" outlineLevelCol="1" x14ac:dyDescent="0.25"/>
  <cols>
    <col min="1" max="22" width="7.140625" style="104" customWidth="1"/>
    <col min="23" max="24" width="9" style="104" customWidth="1"/>
    <col min="25" max="26" width="7.140625" style="104" customWidth="1"/>
    <col min="27" max="27" width="13.140625" style="128" customWidth="1" outlineLevel="1"/>
    <col min="28" max="29" width="13.140625" style="14" customWidth="1" outlineLevel="1"/>
    <col min="30" max="52" width="13.140625" style="104" customWidth="1" outlineLevel="1"/>
    <col min="53" max="58" width="13.140625" style="104" customWidth="1"/>
    <col min="59" max="16384" width="9.140625" style="104"/>
  </cols>
  <sheetData>
    <row r="1" spans="1:66" s="1" customFormat="1" ht="17.25" customHeight="1" x14ac:dyDescent="0.25">
      <c r="C1" s="568" t="s">
        <v>382</v>
      </c>
      <c r="D1" s="568"/>
      <c r="E1" s="568"/>
      <c r="F1" s="568"/>
      <c r="G1" s="562" t="s">
        <v>383</v>
      </c>
      <c r="H1" s="562"/>
      <c r="I1" s="562"/>
      <c r="J1" s="562"/>
      <c r="K1" s="562"/>
      <c r="L1" s="562"/>
      <c r="M1" s="562"/>
      <c r="N1" s="562"/>
      <c r="O1" s="562"/>
      <c r="P1" s="562"/>
      <c r="Q1" s="562"/>
      <c r="R1" s="562"/>
      <c r="S1" s="562"/>
      <c r="T1" s="562"/>
      <c r="U1" s="562"/>
      <c r="V1" s="562"/>
      <c r="W1" s="562"/>
      <c r="X1" s="562"/>
      <c r="Y1" s="562"/>
      <c r="AB1" s="18"/>
      <c r="AC1" s="28"/>
      <c r="AD1" s="28"/>
      <c r="AE1" s="22"/>
      <c r="AF1" s="22"/>
      <c r="AG1" s="22"/>
      <c r="AH1" s="22"/>
      <c r="AI1" s="22"/>
      <c r="AJ1" s="22"/>
      <c r="AK1" s="22"/>
      <c r="AL1" s="22"/>
      <c r="AM1" s="29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2"/>
      <c r="BA1" s="22"/>
      <c r="BB1" s="22"/>
      <c r="BC1" s="22"/>
      <c r="BD1" s="22"/>
      <c r="BE1" s="22"/>
      <c r="BF1" s="22"/>
      <c r="BG1" s="22"/>
      <c r="BH1" s="22"/>
      <c r="BI1" s="22"/>
      <c r="BJ1" s="22"/>
      <c r="BK1" s="22"/>
      <c r="BL1" s="22"/>
      <c r="BM1" s="22"/>
      <c r="BN1" s="22"/>
    </row>
    <row r="2" spans="1:66" s="1" customFormat="1" ht="17.25" customHeight="1" x14ac:dyDescent="0.25">
      <c r="C2" s="568"/>
      <c r="D2" s="568"/>
      <c r="E2" s="568"/>
      <c r="F2" s="568"/>
      <c r="G2" s="562"/>
      <c r="H2" s="562"/>
      <c r="I2" s="562"/>
      <c r="J2" s="562"/>
      <c r="K2" s="562"/>
      <c r="L2" s="562"/>
      <c r="M2" s="562"/>
      <c r="N2" s="562"/>
      <c r="O2" s="562"/>
      <c r="P2" s="562"/>
      <c r="Q2" s="562"/>
      <c r="R2" s="562"/>
      <c r="S2" s="562"/>
      <c r="T2" s="562"/>
      <c r="U2" s="562"/>
      <c r="V2" s="562"/>
      <c r="W2" s="562"/>
      <c r="X2" s="562"/>
      <c r="Y2" s="562"/>
      <c r="AB2" s="18"/>
      <c r="AC2" s="28"/>
      <c r="AD2" s="28"/>
      <c r="AE2" s="22"/>
      <c r="AF2" s="22"/>
      <c r="AG2" s="22"/>
      <c r="AH2" s="22"/>
      <c r="AI2" s="22"/>
      <c r="AJ2" s="22"/>
      <c r="AK2" s="22"/>
      <c r="AL2" s="22"/>
      <c r="AM2" s="29"/>
      <c r="AN2" s="22"/>
      <c r="AO2" s="22"/>
      <c r="AP2" s="22"/>
      <c r="AQ2" s="22"/>
      <c r="AR2" s="22"/>
      <c r="AS2" s="22"/>
      <c r="AT2" s="22"/>
      <c r="AU2" s="22"/>
      <c r="AV2" s="22"/>
      <c r="AW2" s="22"/>
      <c r="AX2" s="22"/>
      <c r="AY2" s="22"/>
      <c r="AZ2" s="22"/>
      <c r="BA2" s="22"/>
      <c r="BB2" s="22"/>
      <c r="BC2" s="22"/>
      <c r="BD2" s="22"/>
      <c r="BE2" s="22"/>
      <c r="BF2" s="22"/>
      <c r="BG2" s="22"/>
      <c r="BH2" s="22"/>
      <c r="BI2" s="22"/>
      <c r="BJ2" s="22"/>
      <c r="BK2" s="22"/>
      <c r="BL2" s="22"/>
      <c r="BM2" s="22"/>
      <c r="BN2" s="22"/>
    </row>
    <row r="3" spans="1:66" s="1" customFormat="1" ht="17.25" customHeight="1" x14ac:dyDescent="0.25">
      <c r="C3" s="568"/>
      <c r="D3" s="568"/>
      <c r="E3" s="568"/>
      <c r="F3" s="568"/>
      <c r="G3" s="388" t="s">
        <v>387</v>
      </c>
      <c r="H3" s="388"/>
      <c r="I3" s="388"/>
      <c r="J3" s="567" t="s">
        <v>386</v>
      </c>
      <c r="K3" s="567"/>
      <c r="L3" s="567"/>
      <c r="AB3" s="18"/>
      <c r="AC3" s="28"/>
      <c r="AD3" s="28"/>
      <c r="AE3" s="22"/>
      <c r="AF3" s="22"/>
      <c r="AG3" s="22"/>
      <c r="AH3" s="22"/>
      <c r="AI3" s="22"/>
      <c r="AJ3" s="22"/>
      <c r="AK3" s="22"/>
      <c r="AL3" s="22"/>
      <c r="AM3" s="29"/>
      <c r="AN3" s="22"/>
      <c r="AO3" s="22"/>
      <c r="AP3" s="22"/>
      <c r="AQ3" s="22"/>
      <c r="AR3" s="22"/>
      <c r="AS3" s="22"/>
      <c r="AT3" s="22"/>
      <c r="AU3" s="22"/>
      <c r="AV3" s="22"/>
      <c r="AW3" s="22"/>
      <c r="AX3" s="22"/>
      <c r="AY3" s="22"/>
      <c r="AZ3" s="22"/>
      <c r="BA3" s="22"/>
      <c r="BB3" s="22"/>
      <c r="BC3" s="22"/>
      <c r="BD3" s="22"/>
      <c r="BE3" s="22"/>
      <c r="BF3" s="22"/>
      <c r="BG3" s="22"/>
      <c r="BH3" s="22"/>
      <c r="BI3" s="22"/>
      <c r="BJ3" s="22"/>
      <c r="BK3" s="22"/>
      <c r="BL3" s="22"/>
      <c r="BM3" s="22"/>
      <c r="BN3" s="22"/>
    </row>
    <row r="4" spans="1:66" s="1" customFormat="1" ht="17.25" customHeight="1" x14ac:dyDescent="0.25">
      <c r="C4" s="568"/>
      <c r="D4" s="568"/>
      <c r="E4" s="568"/>
      <c r="F4" s="568"/>
      <c r="G4" s="343"/>
      <c r="H4" s="343"/>
      <c r="I4" s="343"/>
      <c r="J4" s="383"/>
      <c r="K4" s="383"/>
      <c r="L4" s="383"/>
      <c r="AB4" s="18"/>
      <c r="AC4" s="28"/>
      <c r="AD4" s="28"/>
      <c r="AE4" s="22"/>
      <c r="AF4" s="22"/>
      <c r="AG4" s="22"/>
      <c r="AH4" s="22"/>
      <c r="AI4" s="22"/>
      <c r="AJ4" s="22"/>
      <c r="AK4" s="22"/>
      <c r="AL4" s="22"/>
      <c r="AM4" s="29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22"/>
      <c r="AZ4" s="22"/>
      <c r="BA4" s="22"/>
      <c r="BB4" s="22"/>
      <c r="BC4" s="22"/>
      <c r="BD4" s="22"/>
      <c r="BE4" s="22"/>
      <c r="BF4" s="22"/>
      <c r="BG4" s="22"/>
      <c r="BH4" s="22"/>
      <c r="BI4" s="22"/>
      <c r="BJ4" s="22"/>
      <c r="BK4" s="22"/>
      <c r="BL4" s="22"/>
      <c r="BM4" s="22"/>
      <c r="BN4" s="22"/>
    </row>
    <row r="5" spans="1:66" s="1" customFormat="1" ht="17.25" customHeight="1" x14ac:dyDescent="0.25">
      <c r="C5" s="196"/>
      <c r="D5" s="196"/>
      <c r="E5" s="196"/>
      <c r="F5" s="196"/>
      <c r="G5" s="196"/>
      <c r="AB5" s="18"/>
      <c r="AC5" s="28"/>
      <c r="AD5" s="28"/>
      <c r="AE5" s="22"/>
      <c r="AF5" s="22"/>
      <c r="AG5" s="22"/>
      <c r="AH5" s="22"/>
      <c r="AI5" s="22"/>
      <c r="AJ5" s="22"/>
      <c r="AK5" s="22"/>
      <c r="AL5" s="22"/>
      <c r="AM5" s="29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22"/>
      <c r="AZ5" s="22"/>
      <c r="BA5" s="22"/>
      <c r="BB5" s="22"/>
      <c r="BC5" s="22"/>
      <c r="BD5" s="22"/>
      <c r="BE5" s="22"/>
      <c r="BF5" s="22"/>
      <c r="BG5" s="22"/>
      <c r="BH5" s="22"/>
      <c r="BI5" s="22"/>
      <c r="BJ5" s="22"/>
      <c r="BK5" s="22"/>
      <c r="BL5" s="22"/>
      <c r="BM5" s="22"/>
      <c r="BN5" s="22"/>
    </row>
    <row r="6" spans="1:66" s="1" customFormat="1" ht="17.25" customHeight="1" x14ac:dyDescent="0.25">
      <c r="C6" s="196"/>
      <c r="D6" s="196"/>
      <c r="E6" s="196"/>
      <c r="F6" s="196"/>
      <c r="G6" s="196"/>
      <c r="AB6" s="18"/>
      <c r="AC6" s="28"/>
      <c r="AD6" s="28"/>
      <c r="AE6" s="22"/>
      <c r="AF6" s="22"/>
      <c r="AG6" s="22"/>
      <c r="AH6" s="22"/>
      <c r="AI6" s="22"/>
      <c r="AJ6" s="22"/>
      <c r="AK6" s="22"/>
      <c r="AL6" s="22"/>
      <c r="AM6" s="29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</row>
    <row r="7" spans="1:66" s="1" customFormat="1" ht="17.25" customHeight="1" thickBot="1" x14ac:dyDescent="0.3">
      <c r="A7" s="1" t="s">
        <v>66</v>
      </c>
      <c r="B7" s="1" t="s">
        <v>67</v>
      </c>
      <c r="C7" s="89"/>
      <c r="D7" s="681" t="s">
        <v>32</v>
      </c>
      <c r="E7" s="681"/>
      <c r="F7" s="681"/>
      <c r="G7" s="681"/>
      <c r="H7" s="681"/>
      <c r="I7" s="681"/>
      <c r="J7" s="106"/>
      <c r="O7" s="682" t="s">
        <v>33</v>
      </c>
      <c r="P7" s="683"/>
      <c r="Q7" s="683"/>
      <c r="R7" s="683"/>
      <c r="S7" s="683"/>
      <c r="T7" s="683"/>
      <c r="U7" s="684"/>
      <c r="AA7" s="102"/>
      <c r="AB7" s="19"/>
      <c r="AC7" s="19"/>
      <c r="AD7" s="21" t="s">
        <v>132</v>
      </c>
      <c r="AE7" s="21" t="s">
        <v>12</v>
      </c>
      <c r="AF7" s="21" t="s">
        <v>133</v>
      </c>
      <c r="AG7" s="21" t="s">
        <v>129</v>
      </c>
      <c r="AH7" s="21" t="s">
        <v>132</v>
      </c>
      <c r="AI7" s="21" t="s">
        <v>137</v>
      </c>
      <c r="AJ7" s="21" t="s">
        <v>138</v>
      </c>
      <c r="AK7" s="21" t="s">
        <v>129</v>
      </c>
      <c r="AL7" s="21" t="s">
        <v>112</v>
      </c>
      <c r="AM7" s="21" t="s">
        <v>117</v>
      </c>
      <c r="AN7" s="21" t="s">
        <v>144</v>
      </c>
      <c r="AO7" s="21" t="s">
        <v>131</v>
      </c>
      <c r="AP7" s="21" t="s">
        <v>152</v>
      </c>
      <c r="AQ7" s="21" t="s">
        <v>150</v>
      </c>
      <c r="AR7" s="21" t="s">
        <v>112</v>
      </c>
      <c r="AS7" s="21" t="s">
        <v>151</v>
      </c>
    </row>
    <row r="8" spans="1:66" s="1" customFormat="1" ht="17.25" customHeight="1" thickTop="1" thickBot="1" x14ac:dyDescent="0.3">
      <c r="C8" s="89"/>
      <c r="D8" s="685" t="s">
        <v>16</v>
      </c>
      <c r="E8" s="685"/>
      <c r="F8" s="685"/>
      <c r="G8" s="686" t="s">
        <v>15</v>
      </c>
      <c r="H8" s="686"/>
      <c r="I8" s="686"/>
      <c r="J8" s="687" t="s">
        <v>41</v>
      </c>
      <c r="K8" s="687"/>
      <c r="L8" s="687"/>
      <c r="M8" s="687"/>
      <c r="N8" s="687"/>
      <c r="O8" s="688" t="s">
        <v>34</v>
      </c>
      <c r="P8" s="689"/>
      <c r="Q8" s="689"/>
      <c r="R8" s="690"/>
      <c r="S8" s="691" t="s">
        <v>35</v>
      </c>
      <c r="T8" s="692"/>
      <c r="U8" s="693"/>
      <c r="V8" s="687" t="s">
        <v>41</v>
      </c>
      <c r="W8" s="687"/>
      <c r="X8" s="687"/>
      <c r="Y8" s="687"/>
      <c r="Z8" s="687"/>
      <c r="AA8" s="102" t="str">
        <f>D9</f>
        <v>11:59</v>
      </c>
      <c r="AB8" s="90" t="str">
        <f>AS8</f>
        <v>11:59:00.00 [11:59.00] - (11.9833)</v>
      </c>
      <c r="AC8" s="90">
        <f>AN8</f>
        <v>11.983333333333333</v>
      </c>
      <c r="AD8" s="108" t="b">
        <f t="shared" ref="AD8" si="0">ISNUMBER(SEARCH(":",AA8,1))</f>
        <v>1</v>
      </c>
      <c r="AE8" s="109">
        <f t="shared" ref="AE8" si="1">IF(AD8, VALUE(LEFT(AA8,SEARCH(":",AA8,1)-1)),VALUE(AA8))</f>
        <v>11</v>
      </c>
      <c r="AF8" s="109" t="str">
        <f t="shared" ref="AF8" si="2">IF(AD8, RIGHT(AA8,LEN(AA8)-SEARCH(":",AA8,1)),"")</f>
        <v>59</v>
      </c>
      <c r="AG8" s="108" t="b">
        <f>(LEN(AF8)&gt;0)</f>
        <v>1</v>
      </c>
      <c r="AH8" s="108" t="b">
        <f>ISNUMBER(SEARCH(":",AF8,1))</f>
        <v>0</v>
      </c>
      <c r="AI8" s="109">
        <f>IF(NOT(AG8),0,IF(AH8, VALUE(LEFT(AF8,SEARCH(":",AF8,1)-1)),VALUE(AF8)))</f>
        <v>59</v>
      </c>
      <c r="AJ8" s="109" t="str">
        <f>IF(AH8, RIGHT(AF8,LEN(AF8)-SEARCH(":",AF8,1)),"")</f>
        <v/>
      </c>
      <c r="AK8" s="108" t="b">
        <f>(LEN(AJ8)&gt;0)</f>
        <v>0</v>
      </c>
      <c r="AL8" s="109">
        <f>IF(AK8,VALUE(AJ8),0)</f>
        <v>0</v>
      </c>
      <c r="AM8" s="110">
        <f>AE8*3600+AI8*60+AL8</f>
        <v>43140</v>
      </c>
      <c r="AN8" s="110">
        <f>AM8/3600</f>
        <v>11.983333333333333</v>
      </c>
      <c r="AO8" s="110">
        <f>(AM8-3600*INT(AN8))/60</f>
        <v>59</v>
      </c>
      <c r="AP8" s="109">
        <f>_xlfn.FLOOR.MATH(AN8)</f>
        <v>11</v>
      </c>
      <c r="AQ8" s="109">
        <f>_xlfn.FLOOR.MATH(AO8)</f>
        <v>59</v>
      </c>
      <c r="AR8" s="109">
        <f>_xlfn.FLOOR.MATH(AM8-AP8*3600-AQ8*60)</f>
        <v>0</v>
      </c>
      <c r="AS8" s="107" t="str">
        <f>CONCATENATE(TEXT(AP8,"00"),":",TEXT(AQ8,"00"),":",TEXT(AR8,"00.00"), " [", CONCATENATE(TEXT(AP8,"00"),":",TEXT(AO8,"00.00")),"]", " - (", TEXT(AN8,"00.0000"),")")</f>
        <v>11:59:00.00 [11:59.00] - (11.9833)</v>
      </c>
    </row>
    <row r="9" spans="1:66" s="1" customFormat="1" ht="17.25" customHeight="1" thickTop="1" thickBot="1" x14ac:dyDescent="0.3">
      <c r="C9" s="89"/>
      <c r="D9" s="703" t="s">
        <v>146</v>
      </c>
      <c r="E9" s="704"/>
      <c r="F9" s="704"/>
      <c r="G9" s="686">
        <f>AN8</f>
        <v>11.983333333333333</v>
      </c>
      <c r="H9" s="686"/>
      <c r="I9" s="686"/>
      <c r="J9" s="705" t="str">
        <f>AB8</f>
        <v>11:59:00.00 [11:59.00] - (11.9833)</v>
      </c>
      <c r="K9" s="705"/>
      <c r="L9" s="705"/>
      <c r="M9" s="705"/>
      <c r="N9" s="705"/>
      <c r="O9" s="706" t="s">
        <v>153</v>
      </c>
      <c r="P9" s="707"/>
      <c r="Q9" s="707"/>
      <c r="R9" s="708"/>
      <c r="S9" s="712">
        <f>AT10</f>
        <v>2.9333333333333331</v>
      </c>
      <c r="T9" s="713"/>
      <c r="U9" s="714"/>
      <c r="V9" s="705" t="str">
        <f>AB10</f>
        <v>02°56'00.00 [02°56.00] - (02.9333°)</v>
      </c>
      <c r="W9" s="705"/>
      <c r="X9" s="705"/>
      <c r="Y9" s="705"/>
      <c r="Z9" s="705"/>
      <c r="AA9" s="102"/>
      <c r="AB9" s="19"/>
      <c r="AC9" s="19"/>
      <c r="AD9" s="21" t="s">
        <v>120</v>
      </c>
      <c r="AE9" s="21" t="s">
        <v>121</v>
      </c>
      <c r="AF9" s="21" t="s">
        <v>122</v>
      </c>
      <c r="AG9" s="21" t="s">
        <v>123</v>
      </c>
      <c r="AH9" s="21" t="s">
        <v>124</v>
      </c>
      <c r="AI9" s="21" t="s">
        <v>125</v>
      </c>
      <c r="AJ9" s="21" t="s">
        <v>101</v>
      </c>
      <c r="AK9" s="21" t="s">
        <v>129</v>
      </c>
      <c r="AL9" s="21" t="s">
        <v>128</v>
      </c>
      <c r="AM9" s="21" t="s">
        <v>126</v>
      </c>
      <c r="AN9" s="21" t="s">
        <v>127</v>
      </c>
      <c r="AO9" s="21" t="s">
        <v>129</v>
      </c>
      <c r="AP9" s="21" t="s">
        <v>128</v>
      </c>
      <c r="AQ9" s="21" t="s">
        <v>130</v>
      </c>
      <c r="AR9" s="21" t="s">
        <v>112</v>
      </c>
      <c r="AS9" s="21" t="s">
        <v>117</v>
      </c>
      <c r="AT9" s="21" t="s">
        <v>143</v>
      </c>
      <c r="AU9" s="21" t="s">
        <v>149</v>
      </c>
      <c r="AV9" s="21" t="s">
        <v>131</v>
      </c>
      <c r="AW9" s="21" t="s">
        <v>150</v>
      </c>
      <c r="AX9" s="21" t="s">
        <v>112</v>
      </c>
      <c r="AY9" s="21" t="s">
        <v>151</v>
      </c>
    </row>
    <row r="10" spans="1:66" s="1" customFormat="1" ht="17.25" customHeight="1" thickTop="1" thickBot="1" x14ac:dyDescent="0.3">
      <c r="C10" s="89"/>
      <c r="D10" s="704"/>
      <c r="E10" s="704"/>
      <c r="F10" s="704"/>
      <c r="G10" s="686"/>
      <c r="H10" s="686"/>
      <c r="I10" s="686"/>
      <c r="J10" s="705"/>
      <c r="K10" s="705"/>
      <c r="L10" s="705"/>
      <c r="M10" s="705"/>
      <c r="N10" s="705"/>
      <c r="O10" s="709"/>
      <c r="P10" s="710"/>
      <c r="Q10" s="710"/>
      <c r="R10" s="711"/>
      <c r="S10" s="715"/>
      <c r="T10" s="716"/>
      <c r="U10" s="717"/>
      <c r="V10" s="705"/>
      <c r="W10" s="705"/>
      <c r="X10" s="705"/>
      <c r="Y10" s="705"/>
      <c r="Z10" s="705"/>
      <c r="AA10" s="102" t="str">
        <f>O9</f>
        <v>2°56</v>
      </c>
      <c r="AB10" s="19" t="str">
        <f>AY10</f>
        <v>02°56'00.00 [02°56.00] - (02.9333°)</v>
      </c>
      <c r="AC10" s="19">
        <f>AT10</f>
        <v>2.9333333333333331</v>
      </c>
      <c r="AD10" s="111" t="b">
        <f t="shared" ref="AD10" si="3">ISNUMBER(SEARCH("°",AA10,1))</f>
        <v>1</v>
      </c>
      <c r="AE10" s="111" t="b">
        <f t="shared" ref="AE10" si="4">ISNUMBER(SEARCH("'",AA10,1))</f>
        <v>0</v>
      </c>
      <c r="AF10" s="111" t="b">
        <f t="shared" ref="AF10" si="5">ISNUMBER(SEARCH("""",AA10,1))</f>
        <v>0</v>
      </c>
      <c r="AG10" s="111" t="b">
        <f t="shared" ref="AG10" si="6">NOT(OR(AD10,AE10,AF10))</f>
        <v>0</v>
      </c>
      <c r="AH10" s="111" t="b">
        <f t="shared" ref="AH10" si="7">OR(AG10,AD10)</f>
        <v>1</v>
      </c>
      <c r="AI10" s="110" t="str">
        <f t="shared" ref="AI10" si="8">IF(AG10,VALUE(AA10),IF(AD10,LEFT(AA10,SEARCH("°",AA10,1)-1),0))</f>
        <v>2</v>
      </c>
      <c r="AJ10" s="111" t="str">
        <f t="shared" ref="AJ10" si="9">IF(AG10,"",IF(AD10,RIGHT(AA10,LEN(AA10)-SEARCH("°",AA10,1)),AA10))</f>
        <v>56</v>
      </c>
      <c r="AK10" s="111" t="b">
        <f>(LEN(AJ10)&gt;0)</f>
        <v>1</v>
      </c>
      <c r="AL10" s="111" t="b">
        <f>NOT(OR(AE10,AF10))</f>
        <v>1</v>
      </c>
      <c r="AM10" s="110">
        <f>IF(NOT(AK10),0,IF(AL10,VALUE(AJ10),IF(NOT(AE10),0,VALUE(LEFT(AJ10,SEARCH("'",AJ10,1)-1)))))</f>
        <v>56</v>
      </c>
      <c r="AN10" s="111" t="str">
        <f>IF(NOT(AK10),"",IF(AL10,"",IF(NOT(AE10),AJ10,RIGHT(AJ10,LEN(AJ10)-SEARCH("'",AJ10,1)))))</f>
        <v/>
      </c>
      <c r="AO10" s="111" t="b">
        <f>(LEN(AN10)&gt;0)</f>
        <v>0</v>
      </c>
      <c r="AP10" s="111" t="b">
        <f>NOT(AF10)</f>
        <v>1</v>
      </c>
      <c r="AQ10" s="111" t="b">
        <f>ISNUMBER(SEARCH(".",AN10,1))</f>
        <v>0</v>
      </c>
      <c r="AR10" s="110">
        <f>IF(AO10,IF(AF10,IF(AQ10,VALUE(SUBSTITUTE(AN10, """", "")),VALUE(SUBSTITUTE(AN10, """", "."))),VALUE(AN10)),0)</f>
        <v>0</v>
      </c>
      <c r="AS10" s="110">
        <f>AI10*3600+AM10*60+AR10</f>
        <v>10560</v>
      </c>
      <c r="AT10" s="110">
        <f>AS10/3600</f>
        <v>2.9333333333333331</v>
      </c>
      <c r="AU10" s="110">
        <f>_xlfn.FLOOR.MATH((AT10))</f>
        <v>2</v>
      </c>
      <c r="AV10" s="110">
        <f>(AS10-3600*AU10)/60</f>
        <v>56</v>
      </c>
      <c r="AW10" s="110">
        <f>_xlfn.FLOOR.MATH((AV10))</f>
        <v>56</v>
      </c>
      <c r="AX10" s="110">
        <f>AS10-3600*AU10-60*AW10</f>
        <v>0</v>
      </c>
      <c r="AY10" s="107" t="str">
        <f>CONCATENATE(TEXT(AU10,"00"),"°",TEXT(AW10,"00"),"'",TEXT(AX10,"00.00"), " [", CONCATENATE(TEXT(AU10,"00"),"°",TEXT(AV10,"00.00")),"]", " - (", TEXT(AT10,"00.0000"),"°)")</f>
        <v>02°56'00.00 [02°56.00] - (02.9333°)</v>
      </c>
    </row>
    <row r="11" spans="1:66" s="1" customFormat="1" ht="17.25" customHeight="1" thickTop="1" thickBot="1" x14ac:dyDescent="0.3">
      <c r="C11" s="89"/>
      <c r="D11" s="104"/>
      <c r="E11" s="104"/>
      <c r="F11" s="104"/>
      <c r="G11" s="104"/>
      <c r="H11" s="104"/>
      <c r="I11" s="104"/>
      <c r="J11" s="104"/>
      <c r="K11" s="104"/>
      <c r="L11" s="104"/>
      <c r="M11" s="104"/>
      <c r="N11" s="104"/>
      <c r="O11" s="112"/>
      <c r="P11" s="112"/>
      <c r="Q11" s="112"/>
      <c r="R11" s="112"/>
      <c r="S11" s="104"/>
      <c r="T11" s="104"/>
      <c r="U11" s="104"/>
      <c r="V11" s="104"/>
      <c r="W11" s="104"/>
      <c r="X11" s="104"/>
      <c r="Y11" s="104"/>
      <c r="Z11" s="104"/>
      <c r="AA11" s="102"/>
      <c r="AB11" s="19"/>
      <c r="AC11" s="19"/>
      <c r="AD11" s="111"/>
      <c r="AE11" s="111"/>
      <c r="AF11" s="111"/>
      <c r="AG11" s="111"/>
      <c r="AH11" s="111"/>
      <c r="AI11" s="110"/>
      <c r="AJ11" s="111"/>
      <c r="AK11" s="111"/>
      <c r="AL11" s="111"/>
      <c r="AM11" s="110"/>
      <c r="AN11" s="111"/>
      <c r="AO11" s="111"/>
      <c r="AP11" s="111"/>
      <c r="AQ11" s="111"/>
      <c r="AR11" s="110"/>
      <c r="AS11" s="110"/>
      <c r="AT11" s="110"/>
      <c r="AU11" s="110"/>
      <c r="AV11" s="110"/>
      <c r="AW11" s="110"/>
      <c r="AX11" s="110"/>
      <c r="AY11" s="107"/>
    </row>
    <row r="12" spans="1:66" s="1" customFormat="1" ht="17.25" customHeight="1" thickBot="1" x14ac:dyDescent="0.3">
      <c r="C12" s="89"/>
      <c r="D12" s="694" t="s">
        <v>56</v>
      </c>
      <c r="E12" s="695"/>
      <c r="F12" s="696"/>
      <c r="G12" s="104"/>
      <c r="H12" s="104"/>
      <c r="I12" s="694" t="s">
        <v>243</v>
      </c>
      <c r="J12" s="695"/>
      <c r="K12" s="696"/>
      <c r="L12" s="104"/>
      <c r="M12" s="104"/>
      <c r="N12" s="104"/>
      <c r="O12" s="112"/>
      <c r="P12" s="112"/>
      <c r="Q12" s="112"/>
      <c r="R12" s="112"/>
      <c r="S12" s="104"/>
      <c r="T12" s="104"/>
      <c r="U12" s="104"/>
      <c r="V12" s="104"/>
      <c r="W12" s="605" t="s">
        <v>270</v>
      </c>
      <c r="X12" s="605"/>
      <c r="Y12" s="134" t="s">
        <v>10</v>
      </c>
      <c r="Z12" s="134"/>
      <c r="AA12" s="102"/>
      <c r="AB12" s="19"/>
      <c r="AC12" s="19"/>
      <c r="AD12" s="111"/>
      <c r="AE12" s="111"/>
      <c r="AF12" s="111"/>
      <c r="AG12" s="111"/>
      <c r="AH12" s="111"/>
      <c r="AI12" s="110"/>
      <c r="AJ12" s="111"/>
      <c r="AK12" s="111"/>
      <c r="AL12" s="111"/>
      <c r="AM12" s="110"/>
      <c r="AN12" s="111"/>
      <c r="AO12" s="111"/>
      <c r="AP12" s="111"/>
      <c r="AQ12" s="111"/>
      <c r="AR12" s="110"/>
      <c r="AS12" s="110"/>
      <c r="AT12" s="110"/>
      <c r="AU12" s="110"/>
      <c r="AV12" s="110"/>
      <c r="AW12" s="110"/>
      <c r="AX12" s="110"/>
      <c r="AY12" s="107"/>
    </row>
    <row r="13" spans="1:66" s="1" customFormat="1" ht="17.25" customHeight="1" x14ac:dyDescent="0.25">
      <c r="C13" s="89"/>
      <c r="D13" s="113" t="s">
        <v>68</v>
      </c>
      <c r="E13" s="114" t="s">
        <v>69</v>
      </c>
      <c r="F13" s="115"/>
      <c r="G13" s="104"/>
      <c r="H13" s="104"/>
      <c r="I13" s="116" t="s">
        <v>104</v>
      </c>
      <c r="J13" s="117" t="s">
        <v>212</v>
      </c>
      <c r="K13" s="118">
        <f>PI()/180</f>
        <v>1.7453292519943295E-2</v>
      </c>
      <c r="L13" s="104"/>
      <c r="M13" s="104"/>
      <c r="N13" s="104"/>
      <c r="O13" s="112"/>
      <c r="P13" s="112"/>
      <c r="Q13" s="112"/>
      <c r="R13" s="112"/>
      <c r="S13" s="104"/>
      <c r="T13" s="104"/>
      <c r="U13" s="104"/>
      <c r="V13" s="104"/>
      <c r="W13" s="605" t="s">
        <v>271</v>
      </c>
      <c r="X13" s="605"/>
      <c r="Y13" s="134" t="s">
        <v>272</v>
      </c>
      <c r="Z13" s="134"/>
      <c r="AA13" s="102"/>
      <c r="AB13" s="19"/>
      <c r="AC13" s="19"/>
      <c r="AD13" s="111"/>
      <c r="AE13" s="111"/>
      <c r="AF13" s="111"/>
      <c r="AG13" s="111"/>
      <c r="AH13" s="111"/>
      <c r="AI13" s="110"/>
      <c r="AJ13" s="111"/>
      <c r="AK13" s="111"/>
      <c r="AL13" s="111"/>
      <c r="AM13" s="110"/>
      <c r="AN13" s="111"/>
      <c r="AO13" s="111"/>
      <c r="AP13" s="111"/>
      <c r="AQ13" s="111"/>
      <c r="AR13" s="110"/>
      <c r="AS13" s="110"/>
      <c r="AT13" s="110"/>
      <c r="AU13" s="110"/>
      <c r="AV13" s="110"/>
      <c r="AW13" s="110"/>
      <c r="AX13" s="110"/>
      <c r="AY13" s="107"/>
    </row>
    <row r="14" spans="1:66" s="1" customFormat="1" ht="17.25" customHeight="1" thickBot="1" x14ac:dyDescent="0.3">
      <c r="C14" s="89"/>
      <c r="D14" s="113" t="s">
        <v>4</v>
      </c>
      <c r="E14" s="114" t="s">
        <v>6</v>
      </c>
      <c r="F14" s="115">
        <v>1</v>
      </c>
      <c r="G14" s="104"/>
      <c r="H14" s="104"/>
      <c r="I14" s="119" t="s">
        <v>212</v>
      </c>
      <c r="J14" s="120" t="s">
        <v>104</v>
      </c>
      <c r="K14" s="121">
        <f>180/PI()</f>
        <v>57.295779513082323</v>
      </c>
      <c r="L14" s="104"/>
      <c r="M14" s="104"/>
      <c r="N14" s="104"/>
      <c r="O14" s="112"/>
      <c r="P14" s="112"/>
      <c r="Q14" s="112"/>
      <c r="R14" s="112"/>
      <c r="S14" s="104"/>
      <c r="T14" s="104"/>
      <c r="U14" s="104"/>
      <c r="V14" s="104"/>
      <c r="W14" s="606" t="s">
        <v>276</v>
      </c>
      <c r="X14" s="606"/>
      <c r="Y14" s="135" t="s">
        <v>275</v>
      </c>
      <c r="Z14" s="135"/>
      <c r="AA14" s="102"/>
      <c r="AB14" s="19"/>
      <c r="AC14" s="19"/>
      <c r="AD14" s="111"/>
      <c r="AE14" s="111"/>
      <c r="AF14" s="111"/>
      <c r="AG14" s="111"/>
      <c r="AH14" s="111"/>
      <c r="AI14" s="110"/>
      <c r="AJ14" s="111"/>
      <c r="AK14" s="111"/>
      <c r="AL14" s="111"/>
      <c r="AM14" s="110"/>
      <c r="AN14" s="111"/>
      <c r="AO14" s="111"/>
      <c r="AP14" s="111"/>
      <c r="AQ14" s="111"/>
      <c r="AR14" s="110"/>
      <c r="AS14" s="110"/>
      <c r="AT14" s="110"/>
      <c r="AU14" s="110"/>
      <c r="AV14" s="110"/>
      <c r="AW14" s="110"/>
      <c r="AX14" s="110"/>
      <c r="AY14" s="107"/>
    </row>
    <row r="15" spans="1:66" s="1" customFormat="1" ht="17.25" customHeight="1" thickBot="1" x14ac:dyDescent="0.3">
      <c r="C15" s="89"/>
      <c r="D15" s="122" t="s">
        <v>5</v>
      </c>
      <c r="E15" s="123" t="s">
        <v>7</v>
      </c>
      <c r="F15" s="124">
        <v>-1</v>
      </c>
      <c r="G15" s="104"/>
      <c r="H15" s="104"/>
      <c r="I15" s="104"/>
      <c r="J15" s="104"/>
      <c r="K15" s="104"/>
      <c r="L15" s="104"/>
      <c r="M15" s="104"/>
      <c r="N15" s="104"/>
      <c r="O15" s="112"/>
      <c r="P15" s="112"/>
      <c r="Q15" s="112"/>
      <c r="R15" s="112"/>
      <c r="S15" s="104"/>
      <c r="T15" s="104"/>
      <c r="U15" s="104"/>
      <c r="V15" s="104"/>
      <c r="W15" s="605" t="s">
        <v>273</v>
      </c>
      <c r="X15" s="607"/>
      <c r="Y15" s="136"/>
      <c r="Z15" s="137"/>
      <c r="AA15" s="102"/>
      <c r="AB15" s="19"/>
      <c r="AC15" s="19"/>
      <c r="AD15" s="111"/>
      <c r="AE15" s="111"/>
      <c r="AF15" s="111"/>
      <c r="AG15" s="111"/>
      <c r="AH15" s="111"/>
      <c r="AI15" s="110"/>
      <c r="AJ15" s="111"/>
      <c r="AK15" s="111"/>
      <c r="AL15" s="111"/>
      <c r="AM15" s="110"/>
      <c r="AN15" s="111"/>
      <c r="AO15" s="111"/>
      <c r="AP15" s="111"/>
      <c r="AQ15" s="111"/>
      <c r="AR15" s="110"/>
      <c r="AS15" s="110"/>
      <c r="AT15" s="110"/>
      <c r="AU15" s="110"/>
      <c r="AV15" s="110"/>
      <c r="AW15" s="110"/>
      <c r="AX15" s="110"/>
      <c r="AY15" s="107"/>
    </row>
    <row r="16" spans="1:66" s="1" customFormat="1" ht="17.25" customHeight="1" x14ac:dyDescent="0.25">
      <c r="C16" s="88"/>
      <c r="D16" s="88"/>
      <c r="E16" s="88"/>
      <c r="F16" s="88"/>
      <c r="G16" s="88"/>
      <c r="H16" s="104"/>
      <c r="I16" s="104"/>
      <c r="J16" s="104"/>
      <c r="K16" s="104"/>
      <c r="L16" s="104"/>
      <c r="M16" s="104"/>
      <c r="N16" s="104"/>
      <c r="O16" s="112"/>
      <c r="P16" s="112"/>
      <c r="Q16" s="112"/>
      <c r="R16" s="112"/>
      <c r="S16" s="104"/>
      <c r="T16" s="104"/>
      <c r="U16" s="104"/>
      <c r="V16" s="104"/>
      <c r="W16" s="605" t="s">
        <v>274</v>
      </c>
      <c r="X16" s="607"/>
      <c r="Y16" s="138"/>
      <c r="Z16" s="139"/>
      <c r="AA16" s="102"/>
      <c r="AB16" s="19"/>
      <c r="AC16" s="19"/>
      <c r="AD16" s="111"/>
      <c r="AE16" s="111"/>
      <c r="AF16" s="111"/>
      <c r="AG16" s="111"/>
      <c r="AH16" s="111"/>
      <c r="AI16" s="110"/>
      <c r="AJ16" s="111"/>
      <c r="AK16" s="111"/>
      <c r="AL16" s="111"/>
      <c r="AM16" s="110"/>
      <c r="AN16" s="111"/>
      <c r="AO16" s="111"/>
      <c r="AP16" s="111"/>
      <c r="AQ16" s="111"/>
      <c r="AR16" s="110"/>
      <c r="AS16" s="110"/>
      <c r="AT16" s="110"/>
      <c r="AU16" s="110"/>
      <c r="AV16" s="110"/>
      <c r="AW16" s="110"/>
      <c r="AX16" s="110"/>
      <c r="AY16" s="107"/>
    </row>
    <row r="17" spans="2:65" s="1" customFormat="1" ht="17.25" customHeight="1" x14ac:dyDescent="0.25">
      <c r="C17" s="88"/>
      <c r="D17" s="88"/>
      <c r="E17" s="88"/>
      <c r="F17" s="88"/>
      <c r="G17" s="88"/>
      <c r="H17" s="104"/>
      <c r="I17" s="104"/>
      <c r="J17" s="104"/>
      <c r="K17" s="104"/>
      <c r="L17" s="104"/>
      <c r="M17" s="104"/>
      <c r="N17" s="104"/>
      <c r="O17" s="112"/>
      <c r="P17" s="112"/>
      <c r="Q17" s="112"/>
      <c r="R17" s="112"/>
      <c r="S17" s="104"/>
      <c r="T17" s="104"/>
      <c r="U17" s="104"/>
      <c r="V17" s="104"/>
      <c r="W17" s="605" t="s">
        <v>279</v>
      </c>
      <c r="X17" s="605"/>
      <c r="Y17" s="140" t="s">
        <v>277</v>
      </c>
      <c r="Z17" s="140"/>
      <c r="AA17" s="102"/>
      <c r="AB17" s="19"/>
      <c r="AC17" s="19"/>
      <c r="AD17" s="111"/>
      <c r="AE17" s="111"/>
      <c r="AF17" s="111"/>
      <c r="AG17" s="111"/>
      <c r="AH17" s="111"/>
      <c r="AI17" s="110"/>
      <c r="AJ17" s="111"/>
      <c r="AK17" s="111"/>
      <c r="AL17" s="111"/>
      <c r="AM17" s="110"/>
      <c r="AN17" s="111"/>
      <c r="AO17" s="111"/>
      <c r="AP17" s="111"/>
      <c r="AQ17" s="111"/>
      <c r="AR17" s="110"/>
      <c r="AS17" s="110"/>
      <c r="AT17" s="110"/>
      <c r="AU17" s="110"/>
      <c r="AV17" s="110"/>
      <c r="AW17" s="110"/>
      <c r="AX17" s="110"/>
      <c r="AY17" s="107"/>
    </row>
    <row r="18" spans="2:65" s="1" customFormat="1" ht="17.25" customHeight="1" x14ac:dyDescent="0.25">
      <c r="C18" s="88"/>
      <c r="D18" s="88"/>
      <c r="E18" s="88"/>
      <c r="F18" s="88"/>
      <c r="G18" s="88"/>
      <c r="H18" s="104"/>
      <c r="I18" s="104"/>
      <c r="J18" s="104"/>
      <c r="K18" s="104"/>
      <c r="L18" s="104"/>
      <c r="M18" s="104"/>
      <c r="N18" s="104"/>
      <c r="O18" s="112"/>
      <c r="P18" s="112"/>
      <c r="Q18" s="112"/>
      <c r="R18" s="112"/>
      <c r="S18" s="104"/>
      <c r="T18" s="104"/>
      <c r="U18" s="104"/>
      <c r="V18" s="104"/>
      <c r="W18" s="605" t="s">
        <v>278</v>
      </c>
      <c r="X18" s="607"/>
      <c r="Y18" s="136"/>
      <c r="Z18" s="137"/>
      <c r="AA18" s="102"/>
      <c r="AB18" s="19"/>
      <c r="AC18" s="19"/>
      <c r="AD18" s="111"/>
      <c r="AE18" s="111"/>
      <c r="AF18" s="111"/>
      <c r="AG18" s="111"/>
      <c r="AH18" s="111"/>
      <c r="AI18" s="110"/>
      <c r="AJ18" s="111"/>
      <c r="AK18" s="111"/>
      <c r="AL18" s="111"/>
      <c r="AM18" s="110"/>
      <c r="AN18" s="111"/>
      <c r="AO18" s="111"/>
      <c r="AP18" s="111"/>
      <c r="AQ18" s="111"/>
      <c r="AR18" s="110"/>
      <c r="AS18" s="110"/>
      <c r="AT18" s="110"/>
      <c r="AU18" s="110"/>
      <c r="AV18" s="110"/>
      <c r="AW18" s="110"/>
      <c r="AX18" s="110"/>
      <c r="AY18" s="107"/>
    </row>
    <row r="19" spans="2:65" s="1" customFormat="1" ht="17.25" customHeight="1" x14ac:dyDescent="0.25">
      <c r="C19" s="88"/>
      <c r="D19" s="88"/>
      <c r="E19" s="88"/>
      <c r="F19" s="88"/>
      <c r="G19" s="88"/>
      <c r="H19" s="104"/>
      <c r="I19" s="104"/>
      <c r="J19" s="104"/>
      <c r="K19" s="104"/>
      <c r="L19" s="104"/>
      <c r="M19" s="104"/>
      <c r="N19" s="104"/>
      <c r="O19" s="112"/>
      <c r="P19" s="112"/>
      <c r="Q19" s="112"/>
      <c r="R19" s="112"/>
      <c r="S19" s="104"/>
      <c r="T19" s="104"/>
      <c r="U19" s="104"/>
      <c r="V19" s="104"/>
      <c r="W19" s="605" t="s">
        <v>280</v>
      </c>
      <c r="X19" s="607"/>
      <c r="Y19" s="138"/>
      <c r="Z19" s="139"/>
      <c r="AA19" s="102"/>
      <c r="AB19" s="19"/>
      <c r="AC19" s="19"/>
      <c r="AD19" s="111"/>
      <c r="AE19" s="111"/>
      <c r="AF19" s="111"/>
      <c r="AG19" s="111"/>
      <c r="AH19" s="111"/>
      <c r="AI19" s="110"/>
      <c r="AJ19" s="111"/>
      <c r="AK19" s="111"/>
      <c r="AL19" s="111"/>
      <c r="AM19" s="110"/>
      <c r="AN19" s="111"/>
      <c r="AO19" s="111"/>
      <c r="AP19" s="111"/>
      <c r="AQ19" s="111"/>
      <c r="AR19" s="110"/>
      <c r="AS19" s="110"/>
      <c r="AT19" s="110"/>
      <c r="AU19" s="110"/>
      <c r="AV19" s="110"/>
      <c r="AW19" s="110"/>
      <c r="AX19" s="110"/>
      <c r="AY19" s="107"/>
    </row>
    <row r="20" spans="2:65" s="1" customFormat="1" ht="17.25" customHeight="1" x14ac:dyDescent="0.25">
      <c r="B20" s="141" t="s">
        <v>283</v>
      </c>
      <c r="C20" s="142"/>
      <c r="D20" s="142"/>
      <c r="E20" s="142"/>
      <c r="F20" s="142"/>
      <c r="G20" s="142"/>
      <c r="H20" s="143"/>
      <c r="I20" s="104"/>
      <c r="J20" s="104"/>
      <c r="K20" s="104"/>
      <c r="L20" s="104"/>
      <c r="M20" s="104"/>
      <c r="N20" s="104"/>
      <c r="O20" s="112"/>
      <c r="P20" s="112"/>
      <c r="Q20" s="112"/>
      <c r="R20" s="112"/>
      <c r="S20" s="104"/>
      <c r="T20" s="104"/>
      <c r="U20" s="104"/>
      <c r="V20" s="104"/>
      <c r="W20" s="718" t="s">
        <v>281</v>
      </c>
      <c r="X20" s="718"/>
      <c r="Y20" s="432" t="s">
        <v>282</v>
      </c>
      <c r="Z20" s="432"/>
      <c r="AA20" s="102"/>
      <c r="AB20" s="19"/>
      <c r="AC20" s="19"/>
      <c r="AD20" s="111"/>
      <c r="AE20" s="111"/>
      <c r="AF20" s="111"/>
      <c r="AG20" s="111"/>
      <c r="AH20" s="111"/>
      <c r="AI20" s="110"/>
      <c r="AJ20" s="111"/>
      <c r="AK20" s="111"/>
      <c r="AL20" s="111"/>
      <c r="AM20" s="110"/>
      <c r="AN20" s="111"/>
      <c r="AO20" s="111"/>
      <c r="AP20" s="111"/>
      <c r="AQ20" s="111"/>
      <c r="AR20" s="110"/>
      <c r="AS20" s="110"/>
      <c r="AT20" s="110"/>
      <c r="AU20" s="110"/>
      <c r="AV20" s="110"/>
      <c r="AW20" s="110"/>
      <c r="AX20" s="110"/>
      <c r="AY20" s="107"/>
    </row>
    <row r="21" spans="2:65" s="1" customFormat="1" ht="17.25" customHeight="1" x14ac:dyDescent="0.25">
      <c r="C21" s="88"/>
      <c r="D21" s="88"/>
      <c r="E21" s="88"/>
      <c r="F21" s="88"/>
      <c r="G21" s="88"/>
      <c r="H21" s="104"/>
      <c r="I21" s="104"/>
      <c r="J21" s="104"/>
      <c r="K21" s="104"/>
      <c r="L21" s="104"/>
      <c r="M21" s="104"/>
      <c r="N21" s="104"/>
      <c r="O21" s="112"/>
      <c r="P21" s="112"/>
      <c r="Q21" s="112"/>
      <c r="R21" s="112"/>
      <c r="S21" s="104"/>
      <c r="T21" s="104"/>
      <c r="U21" s="104"/>
      <c r="V21" s="104"/>
      <c r="W21" s="602"/>
      <c r="X21" s="602"/>
      <c r="Y21" s="104"/>
      <c r="Z21" s="104"/>
      <c r="AA21" s="102"/>
      <c r="AB21" s="19"/>
      <c r="AC21" s="19"/>
      <c r="AD21" s="111"/>
      <c r="AE21" s="111"/>
      <c r="AF21" s="111"/>
      <c r="AG21" s="111"/>
      <c r="AH21" s="111"/>
      <c r="AI21" s="110"/>
      <c r="AJ21" s="111"/>
      <c r="AK21" s="111"/>
      <c r="AL21" s="111"/>
      <c r="AM21" s="110"/>
      <c r="AN21" s="111"/>
      <c r="AO21" s="111"/>
      <c r="AP21" s="111"/>
      <c r="AQ21" s="111"/>
      <c r="AR21" s="110"/>
      <c r="AS21" s="110"/>
      <c r="AT21" s="110"/>
      <c r="AU21" s="110"/>
      <c r="AV21" s="110"/>
      <c r="AW21" s="110"/>
      <c r="AX21" s="110"/>
      <c r="AY21" s="107"/>
    </row>
    <row r="22" spans="2:65" s="1" customFormat="1" ht="17.25" customHeight="1" x14ac:dyDescent="0.25">
      <c r="C22" s="88"/>
      <c r="D22" s="88"/>
      <c r="E22" s="88"/>
      <c r="F22" s="88"/>
      <c r="G22" s="88"/>
      <c r="H22" s="104"/>
      <c r="I22" s="104"/>
      <c r="J22" s="104"/>
      <c r="K22" s="104"/>
      <c r="L22" s="104"/>
      <c r="M22" s="104"/>
      <c r="N22" s="104"/>
      <c r="O22" s="112"/>
      <c r="P22" s="112"/>
      <c r="Q22" s="112"/>
      <c r="R22" s="112"/>
      <c r="S22" s="104"/>
      <c r="T22" s="104"/>
      <c r="U22" s="104"/>
      <c r="V22" s="104"/>
      <c r="W22" s="104"/>
      <c r="X22" s="104"/>
      <c r="Y22" s="104"/>
      <c r="Z22" s="104"/>
      <c r="AA22" s="102"/>
      <c r="AB22" s="19"/>
      <c r="AC22" s="19"/>
      <c r="AD22" s="111"/>
      <c r="AE22" s="111"/>
      <c r="AF22" s="111"/>
      <c r="AG22" s="111"/>
      <c r="AH22" s="111"/>
      <c r="AI22" s="110"/>
      <c r="AJ22" s="111"/>
      <c r="AK22" s="111"/>
      <c r="AL22" s="111"/>
      <c r="AM22" s="110"/>
      <c r="AN22" s="111"/>
      <c r="AO22" s="111"/>
      <c r="AP22" s="111"/>
      <c r="AQ22" s="111"/>
      <c r="AR22" s="110"/>
      <c r="AS22" s="110"/>
      <c r="AT22" s="110"/>
      <c r="AU22" s="110"/>
      <c r="AV22" s="110"/>
      <c r="AW22" s="110"/>
      <c r="AX22" s="110"/>
      <c r="AY22" s="107"/>
    </row>
    <row r="23" spans="2:65" s="1" customFormat="1" ht="17.25" customHeight="1" x14ac:dyDescent="0.25">
      <c r="C23" s="88"/>
      <c r="D23" s="88"/>
      <c r="E23" s="88"/>
      <c r="F23" s="88"/>
      <c r="G23" s="88"/>
      <c r="H23" s="104"/>
      <c r="I23" s="104"/>
      <c r="J23" s="104"/>
      <c r="K23" s="104"/>
      <c r="L23" s="104"/>
      <c r="M23" s="104"/>
      <c r="N23" s="104"/>
      <c r="O23" s="112"/>
      <c r="P23" s="112"/>
      <c r="Q23" s="112"/>
      <c r="R23" s="112"/>
      <c r="S23" s="104"/>
      <c r="T23" s="104"/>
      <c r="U23" s="104"/>
      <c r="V23" s="104"/>
      <c r="W23" s="104"/>
      <c r="X23" s="104"/>
      <c r="Y23" s="104"/>
      <c r="Z23" s="104"/>
      <c r="AA23" s="102"/>
      <c r="AB23" s="19"/>
      <c r="AC23" s="19"/>
      <c r="AD23" s="111"/>
      <c r="AE23" s="111"/>
      <c r="AF23" s="111"/>
      <c r="AG23" s="111"/>
      <c r="AH23" s="111"/>
      <c r="AI23" s="110"/>
      <c r="AJ23" s="111"/>
      <c r="AK23" s="111"/>
      <c r="AL23" s="111"/>
      <c r="AM23" s="110"/>
      <c r="AN23" s="111"/>
      <c r="AO23" s="111"/>
      <c r="AP23" s="111"/>
      <c r="AQ23" s="111"/>
      <c r="AR23" s="110"/>
      <c r="AS23" s="110"/>
      <c r="AT23" s="110"/>
      <c r="AU23" s="110"/>
      <c r="AV23" s="110"/>
      <c r="AW23" s="110"/>
      <c r="AX23" s="110"/>
      <c r="AY23" s="107"/>
    </row>
    <row r="24" spans="2:65" s="1" customFormat="1" ht="17.25" customHeight="1" x14ac:dyDescent="0.25">
      <c r="C24" s="88"/>
      <c r="D24" s="88"/>
      <c r="E24" s="88"/>
      <c r="F24" s="88"/>
      <c r="G24" s="88"/>
      <c r="H24" s="104"/>
      <c r="I24" s="104"/>
      <c r="J24" s="104"/>
      <c r="K24" s="104"/>
      <c r="L24" s="104"/>
      <c r="M24" s="104"/>
      <c r="N24" s="104"/>
      <c r="O24" s="112"/>
      <c r="P24" s="112"/>
      <c r="Q24" s="112"/>
      <c r="R24" s="112"/>
      <c r="S24" s="104"/>
      <c r="T24" s="104"/>
      <c r="U24" s="104"/>
      <c r="V24" s="104"/>
      <c r="W24" s="104"/>
      <c r="X24" s="104"/>
      <c r="Y24" s="104"/>
      <c r="Z24" s="104"/>
      <c r="AA24" s="102"/>
      <c r="AB24" s="19"/>
      <c r="AC24" s="19"/>
      <c r="AD24" s="111"/>
      <c r="AE24" s="111"/>
      <c r="AF24" s="111"/>
      <c r="AG24" s="111"/>
      <c r="AH24" s="111"/>
      <c r="AI24" s="110"/>
      <c r="AJ24" s="111"/>
      <c r="AK24" s="111"/>
      <c r="AL24" s="111"/>
      <c r="AM24" s="110"/>
      <c r="AN24" s="111"/>
      <c r="AO24" s="111"/>
      <c r="AP24" s="111"/>
      <c r="AQ24" s="111"/>
      <c r="AR24" s="110"/>
      <c r="AS24" s="110"/>
      <c r="AT24" s="110"/>
      <c r="AU24" s="110"/>
      <c r="AV24" s="110"/>
      <c r="AW24" s="110"/>
      <c r="AX24" s="110"/>
      <c r="AY24" s="107"/>
    </row>
    <row r="25" spans="2:65" s="1" customFormat="1" ht="17.25" customHeight="1" x14ac:dyDescent="0.25">
      <c r="C25" s="88"/>
      <c r="D25" s="88"/>
      <c r="E25" s="88"/>
      <c r="F25" s="88"/>
      <c r="G25" s="88"/>
      <c r="H25" s="104"/>
      <c r="I25" s="104"/>
      <c r="J25" s="104"/>
      <c r="K25" s="104"/>
      <c r="L25" s="104"/>
      <c r="M25" s="104"/>
      <c r="N25" s="104"/>
      <c r="O25" s="112"/>
      <c r="P25" s="112"/>
      <c r="Q25" s="112"/>
      <c r="R25" s="112"/>
      <c r="S25" s="104"/>
      <c r="T25" s="104"/>
      <c r="U25" s="104"/>
      <c r="V25" s="104"/>
      <c r="W25" s="104"/>
      <c r="X25" s="104"/>
      <c r="Y25" s="104"/>
      <c r="Z25" s="104"/>
      <c r="AA25" s="102"/>
      <c r="AB25" s="19"/>
      <c r="AC25" s="19"/>
      <c r="AD25" s="111"/>
      <c r="AE25" s="111"/>
      <c r="AF25" s="111"/>
      <c r="AG25" s="111"/>
      <c r="AH25" s="111"/>
      <c r="AI25" s="110"/>
      <c r="AJ25" s="111"/>
      <c r="AK25" s="111"/>
      <c r="AL25" s="111"/>
      <c r="AM25" s="110"/>
      <c r="AN25" s="111"/>
      <c r="AO25" s="111"/>
      <c r="AP25" s="111"/>
      <c r="AQ25" s="111"/>
      <c r="AR25" s="110"/>
      <c r="AS25" s="110"/>
      <c r="AT25" s="110"/>
      <c r="AU25" s="110"/>
      <c r="AV25" s="110"/>
      <c r="AW25" s="110"/>
      <c r="AX25" s="110"/>
      <c r="AY25" s="107"/>
    </row>
    <row r="26" spans="2:65" s="1" customFormat="1" ht="17.25" customHeight="1" x14ac:dyDescent="0.25">
      <c r="C26" s="88"/>
      <c r="D26" s="88"/>
      <c r="E26" s="88"/>
      <c r="F26" s="88"/>
      <c r="G26" s="88"/>
      <c r="H26" s="104"/>
      <c r="I26" s="104"/>
      <c r="J26" s="104"/>
      <c r="K26" s="104"/>
      <c r="L26" s="104"/>
      <c r="M26" s="104"/>
      <c r="N26" s="104"/>
      <c r="O26" s="112"/>
      <c r="P26" s="112"/>
      <c r="Q26" s="112"/>
      <c r="R26" s="112"/>
      <c r="S26" s="104"/>
      <c r="T26" s="104"/>
      <c r="U26" s="104"/>
      <c r="V26" s="104"/>
      <c r="W26" s="104"/>
      <c r="X26" s="104"/>
      <c r="Y26" s="104"/>
      <c r="Z26" s="104"/>
      <c r="AA26" s="102"/>
      <c r="AB26" s="19"/>
      <c r="AC26" s="19"/>
      <c r="AD26" s="111"/>
      <c r="AE26" s="111"/>
      <c r="AF26" s="111"/>
      <c r="AG26" s="111"/>
      <c r="AH26" s="111"/>
      <c r="AI26" s="110"/>
      <c r="AJ26" s="111"/>
      <c r="AK26" s="111"/>
      <c r="AL26" s="111"/>
      <c r="AM26" s="110"/>
      <c r="AN26" s="111"/>
      <c r="AO26" s="111"/>
      <c r="AP26" s="111"/>
      <c r="AQ26" s="111"/>
      <c r="AR26" s="110"/>
      <c r="AS26" s="110"/>
      <c r="AT26" s="110"/>
      <c r="AU26" s="110"/>
      <c r="AV26" s="110"/>
      <c r="AW26" s="110"/>
      <c r="AX26" s="110"/>
      <c r="AY26" s="107"/>
    </row>
    <row r="27" spans="2:65" s="1" customFormat="1" ht="17.25" customHeight="1" x14ac:dyDescent="0.25">
      <c r="C27" s="88"/>
      <c r="D27" s="88"/>
      <c r="E27" s="88"/>
      <c r="F27" s="88"/>
      <c r="G27" s="88"/>
      <c r="H27" s="104"/>
      <c r="I27" s="104"/>
      <c r="J27" s="104"/>
      <c r="K27" s="104"/>
      <c r="L27" s="104"/>
      <c r="M27" s="104"/>
      <c r="N27" s="104"/>
      <c r="O27" s="112"/>
      <c r="P27" s="112"/>
      <c r="Q27" s="112"/>
      <c r="R27" s="112"/>
      <c r="S27" s="104"/>
      <c r="T27" s="104"/>
      <c r="U27" s="104"/>
      <c r="V27" s="104"/>
      <c r="W27" s="104"/>
      <c r="X27" s="104"/>
      <c r="Y27" s="104"/>
      <c r="Z27" s="104"/>
      <c r="AA27" s="102"/>
      <c r="AB27" s="19"/>
      <c r="AC27" s="19"/>
      <c r="AD27" s="111"/>
      <c r="AE27" s="111"/>
      <c r="AF27" s="111"/>
      <c r="AG27" s="111"/>
      <c r="AH27" s="111"/>
      <c r="AI27" s="110"/>
      <c r="AJ27" s="111"/>
      <c r="AK27" s="111"/>
      <c r="AL27" s="111"/>
      <c r="AM27" s="110"/>
      <c r="AN27" s="111"/>
      <c r="AO27" s="111"/>
      <c r="AP27" s="111"/>
      <c r="AQ27" s="111"/>
      <c r="AR27" s="110"/>
      <c r="AS27" s="110"/>
      <c r="AT27" s="110"/>
      <c r="AU27" s="110"/>
      <c r="AV27" s="110"/>
      <c r="AW27" s="110"/>
      <c r="AX27" s="110"/>
      <c r="AY27" s="107"/>
    </row>
    <row r="28" spans="2:65" s="1" customFormat="1" ht="17.25" customHeight="1" thickBot="1" x14ac:dyDescent="0.3">
      <c r="C28" s="89"/>
      <c r="D28" s="89"/>
      <c r="E28" s="89"/>
      <c r="F28" s="89"/>
      <c r="AA28" s="102"/>
      <c r="AB28" s="28"/>
      <c r="AC28" s="28"/>
      <c r="AL28" s="125"/>
    </row>
    <row r="29" spans="2:65" s="1" customFormat="1" ht="17.25" customHeight="1" thickBot="1" x14ac:dyDescent="0.3">
      <c r="B29" s="47" t="s">
        <v>241</v>
      </c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  <c r="AA29" s="100"/>
      <c r="AB29" s="144"/>
      <c r="AC29" s="144"/>
      <c r="AD29" s="48"/>
      <c r="AE29" s="48"/>
      <c r="AF29" s="48"/>
      <c r="AG29" s="48"/>
      <c r="AH29" s="48"/>
      <c r="AI29" s="48"/>
      <c r="AJ29" s="48"/>
      <c r="AK29" s="48"/>
      <c r="AL29" s="48"/>
      <c r="AM29" s="48"/>
      <c r="AN29" s="48"/>
      <c r="AO29" s="48"/>
      <c r="AP29" s="48"/>
      <c r="AQ29" s="48"/>
      <c r="AR29" s="48"/>
      <c r="AS29" s="48"/>
      <c r="AT29" s="48"/>
      <c r="AU29" s="48"/>
      <c r="AV29" s="48"/>
      <c r="AW29" s="48"/>
      <c r="AX29" s="48"/>
      <c r="AY29" s="48"/>
      <c r="AZ29" s="48"/>
      <c r="BA29" s="49"/>
    </row>
    <row r="30" spans="2:65" s="1" customFormat="1" ht="17.25" customHeight="1" thickBot="1" x14ac:dyDescent="0.3">
      <c r="C30" s="106"/>
      <c r="AA30" s="102"/>
      <c r="AB30" s="19"/>
      <c r="AC30" s="19"/>
      <c r="AD30" s="21" t="s">
        <v>120</v>
      </c>
      <c r="AE30" s="21" t="s">
        <v>121</v>
      </c>
      <c r="AF30" s="21" t="s">
        <v>122</v>
      </c>
      <c r="AG30" s="21" t="s">
        <v>123</v>
      </c>
      <c r="AH30" s="21" t="s">
        <v>124</v>
      </c>
      <c r="AI30" s="21" t="s">
        <v>125</v>
      </c>
      <c r="AJ30" s="21" t="s">
        <v>101</v>
      </c>
      <c r="AK30" s="21" t="s">
        <v>129</v>
      </c>
      <c r="AL30" s="21" t="s">
        <v>128</v>
      </c>
      <c r="AM30" s="21" t="s">
        <v>126</v>
      </c>
      <c r="AN30" s="21" t="s">
        <v>127</v>
      </c>
      <c r="AO30" s="21" t="s">
        <v>129</v>
      </c>
      <c r="AP30" s="21" t="s">
        <v>128</v>
      </c>
      <c r="AQ30" s="21" t="s">
        <v>130</v>
      </c>
      <c r="AR30" s="21" t="s">
        <v>112</v>
      </c>
      <c r="AS30" s="21" t="s">
        <v>117</v>
      </c>
      <c r="AT30" s="21" t="s">
        <v>143</v>
      </c>
      <c r="AU30" s="21" t="s">
        <v>149</v>
      </c>
      <c r="AV30" s="21" t="s">
        <v>131</v>
      </c>
      <c r="AW30" s="21" t="s">
        <v>150</v>
      </c>
      <c r="AX30" s="21" t="s">
        <v>112</v>
      </c>
      <c r="AY30" s="21" t="s">
        <v>151</v>
      </c>
    </row>
    <row r="31" spans="2:65" s="1" customFormat="1" ht="17.25" customHeight="1" thickTop="1" x14ac:dyDescent="0.25">
      <c r="C31" s="623" t="s">
        <v>244</v>
      </c>
      <c r="D31" s="625" t="s">
        <v>68</v>
      </c>
      <c r="E31" s="627">
        <f>AC32</f>
        <v>40.086666666666666</v>
      </c>
      <c r="F31" s="628"/>
      <c r="G31" s="629"/>
      <c r="H31" s="646" t="s">
        <v>4</v>
      </c>
      <c r="I31" s="648" t="s">
        <v>255</v>
      </c>
      <c r="J31" s="649"/>
      <c r="K31" s="649"/>
      <c r="L31" s="649"/>
      <c r="M31" s="650"/>
      <c r="N31" s="613" t="str">
        <f>AB32</f>
        <v>+40°05'12.00 [+40°05.20] - (+40.0867°)</v>
      </c>
      <c r="O31" s="613"/>
      <c r="P31" s="613"/>
      <c r="Q31" s="613"/>
      <c r="R31" s="613"/>
      <c r="S31" s="613"/>
      <c r="T31" s="613"/>
      <c r="U31" s="613"/>
      <c r="V31" s="613"/>
      <c r="W31" s="614"/>
      <c r="AA31" s="102" t="str">
        <f>I31</f>
        <v>40°05.2'</v>
      </c>
      <c r="AB31" s="19" t="str">
        <f>AY31</f>
        <v>40°05'12.00 [40°05.20] - (40.0867°)</v>
      </c>
      <c r="AC31" s="19">
        <f>AT31</f>
        <v>40.086666666666666</v>
      </c>
      <c r="AD31" s="111" t="b">
        <f t="shared" ref="AD31" si="10">ISNUMBER(SEARCH("°",AA31,1))</f>
        <v>1</v>
      </c>
      <c r="AE31" s="111" t="b">
        <f t="shared" ref="AE31" si="11">ISNUMBER(SEARCH("'",AA31,1))</f>
        <v>1</v>
      </c>
      <c r="AF31" s="111" t="b">
        <f t="shared" ref="AF31" si="12">ISNUMBER(SEARCH("""",AA31,1))</f>
        <v>0</v>
      </c>
      <c r="AG31" s="111" t="b">
        <f t="shared" ref="AG31" si="13">NOT(OR(AD31,AE31,AF31))</f>
        <v>0</v>
      </c>
      <c r="AH31" s="111" t="b">
        <f t="shared" ref="AH31" si="14">OR(AG31,AD31)</f>
        <v>1</v>
      </c>
      <c r="AI31" s="110" t="str">
        <f t="shared" ref="AI31" si="15">IF(AG31,VALUE(AA31),IF(AD31,LEFT(AA31,SEARCH("°",AA31,1)-1),0))</f>
        <v>40</v>
      </c>
      <c r="AJ31" s="111" t="str">
        <f t="shared" ref="AJ31" si="16">IF(AG31,"",IF(AD31,RIGHT(AA31,LEN(AA31)-SEARCH("°",AA31,1)),AA31))</f>
        <v>05.2'</v>
      </c>
      <c r="AK31" s="111" t="b">
        <f>(LEN(AJ31)&gt;0)</f>
        <v>1</v>
      </c>
      <c r="AL31" s="111" t="b">
        <f>NOT(OR(AE31,AF31))</f>
        <v>0</v>
      </c>
      <c r="AM31" s="110">
        <f>IF(NOT(AK31),0,IF(AL31,VALUE(AJ31),IF(NOT(AE31),0,VALUE(LEFT(AJ31,SEARCH("'",AJ31,1)-1)))))</f>
        <v>5.2</v>
      </c>
      <c r="AN31" s="111" t="str">
        <f>IF(NOT(AK31),"",IF(AL31,"",IF(NOT(AE31),AJ31,RIGHT(AJ31,LEN(AJ31)-SEARCH("'",AJ31,1)))))</f>
        <v/>
      </c>
      <c r="AO31" s="111" t="b">
        <f>(LEN(AN31)&gt;0)</f>
        <v>0</v>
      </c>
      <c r="AP31" s="111" t="b">
        <f>NOT(AF31)</f>
        <v>1</v>
      </c>
      <c r="AQ31" s="111" t="b">
        <f>ISNUMBER(SEARCH(".",AN31,1))</f>
        <v>0</v>
      </c>
      <c r="AR31" s="110">
        <f>IF(AO31,IF(AF31,IF(AQ31,VALUE(SUBSTITUTE(AN31, """", "")),VALUE(SUBSTITUTE(AN31, """", "."))),VALUE(AN31)),0)</f>
        <v>0</v>
      </c>
      <c r="AS31" s="110">
        <f>AI31*3600+AM31*60+AR31</f>
        <v>144312</v>
      </c>
      <c r="AT31" s="110">
        <f>AS31/3600</f>
        <v>40.086666666666666</v>
      </c>
      <c r="AU31" s="110">
        <f>_xlfn.FLOOR.MATH((AT31))</f>
        <v>40</v>
      </c>
      <c r="AV31" s="110">
        <f>(AS31-3600*AU31)/60</f>
        <v>5.2</v>
      </c>
      <c r="AW31" s="110">
        <f>_xlfn.FLOOR.MATH((AV31))</f>
        <v>5</v>
      </c>
      <c r="AX31" s="110">
        <f>AS31-3600*AU31-60*AW31</f>
        <v>12</v>
      </c>
      <c r="AY31" s="107" t="str">
        <f>CONCATENATE(TEXT(AU31,"00"),"°",TEXT(AW31,"00"),"'",TEXT(AX31,"00.00"), " [", CONCATENATE(TEXT(AU31,"00"),"°",TEXT(AV31,"00.00")),"]", " - (", TEXT(AT31,"00.0000"),"°)")</f>
        <v>40°05'12.00 [40°05.20] - (40.0867°)</v>
      </c>
    </row>
    <row r="32" spans="2:65" s="1" customFormat="1" ht="17.25" customHeight="1" thickBot="1" x14ac:dyDescent="0.3">
      <c r="C32" s="624"/>
      <c r="D32" s="626"/>
      <c r="E32" s="630"/>
      <c r="F32" s="631"/>
      <c r="G32" s="632"/>
      <c r="H32" s="647"/>
      <c r="I32" s="651"/>
      <c r="J32" s="652"/>
      <c r="K32" s="652"/>
      <c r="L32" s="652"/>
      <c r="M32" s="653"/>
      <c r="N32" s="615"/>
      <c r="O32" s="615"/>
      <c r="P32" s="615"/>
      <c r="Q32" s="615"/>
      <c r="R32" s="615"/>
      <c r="S32" s="615"/>
      <c r="T32" s="615"/>
      <c r="U32" s="615"/>
      <c r="V32" s="615"/>
      <c r="W32" s="616"/>
      <c r="AA32" s="102"/>
      <c r="AB32" s="28" t="str">
        <f>AH32</f>
        <v>+40°05'12.00 [+40°05.20] - (+40.0867°)</v>
      </c>
      <c r="AC32" s="28">
        <f>AC31*AE32</f>
        <v>40.086666666666666</v>
      </c>
      <c r="AD32" s="21" t="s">
        <v>147</v>
      </c>
      <c r="AE32" s="1">
        <f>VLOOKUP(H31,$D$14:$F$15,3)</f>
        <v>1</v>
      </c>
      <c r="AF32" s="1" t="str">
        <f>IF(AE32&lt;0,"-","+")</f>
        <v>+</v>
      </c>
      <c r="AG32" s="21" t="s">
        <v>156</v>
      </c>
      <c r="AH32" s="1" t="str">
        <f>AY32</f>
        <v>+40°05'12.00 [+40°05.20] - (+40.0867°)</v>
      </c>
      <c r="AN32" s="125"/>
      <c r="AT32" s="126"/>
      <c r="AU32" s="126"/>
      <c r="AV32" s="106"/>
      <c r="AW32" s="106"/>
      <c r="AX32" s="106"/>
      <c r="AY32" s="107" t="str">
        <f>CONCATENATE(AF32, TEXT(AU31,"00"),"°",TEXT(AW31,"00"),"'",TEXT(AX31,"00.00"), " [", CONCATENATE(AF32, TEXT(AU31,"00"),"°",TEXT(AV31,"00.00")),"]", " - (",AF32,  TEXT(AT31,"00.0000"),"°)")</f>
        <v>+40°05'12.00 [+40°05.20] - (+40.0867°)</v>
      </c>
      <c r="AZ32" s="106"/>
      <c r="BA32" s="106"/>
      <c r="BB32" s="106"/>
      <c r="BC32" s="106"/>
      <c r="BD32" s="106"/>
      <c r="BE32" s="106"/>
      <c r="BF32" s="106"/>
      <c r="BG32" s="106"/>
      <c r="BH32" s="106"/>
      <c r="BI32" s="106"/>
      <c r="BJ32" s="106"/>
      <c r="BK32" s="106"/>
      <c r="BL32" s="106"/>
      <c r="BM32" s="106"/>
    </row>
    <row r="33" spans="3:65" s="1" customFormat="1" ht="17.25" customHeight="1" thickTop="1" x14ac:dyDescent="0.25">
      <c r="C33" s="624"/>
      <c r="D33" s="697" t="s">
        <v>69</v>
      </c>
      <c r="E33" s="699">
        <f>AC34</f>
        <v>5.4383333333333335</v>
      </c>
      <c r="F33" s="654"/>
      <c r="G33" s="655"/>
      <c r="H33" s="658" t="s">
        <v>6</v>
      </c>
      <c r="I33" s="660" t="s">
        <v>256</v>
      </c>
      <c r="J33" s="661"/>
      <c r="K33" s="661"/>
      <c r="L33" s="661"/>
      <c r="M33" s="662"/>
      <c r="N33" s="613" t="str">
        <f>AB34</f>
        <v>+05°26'18.00 [+05°26.30] - (+05.4383°)</v>
      </c>
      <c r="O33" s="613"/>
      <c r="P33" s="613"/>
      <c r="Q33" s="613"/>
      <c r="R33" s="613"/>
      <c r="S33" s="613"/>
      <c r="T33" s="613"/>
      <c r="U33" s="613"/>
      <c r="V33" s="613"/>
      <c r="W33" s="614"/>
      <c r="AA33" s="102" t="str">
        <f>I33</f>
        <v>5°26.3'</v>
      </c>
      <c r="AB33" s="19" t="str">
        <f>AY33</f>
        <v>05°26'18.00 [05°26.30] - (05.4383°)</v>
      </c>
      <c r="AC33" s="19">
        <f>AT33</f>
        <v>5.4383333333333335</v>
      </c>
      <c r="AD33" s="111" t="b">
        <f t="shared" ref="AD33" si="17">ISNUMBER(SEARCH("°",AA33,1))</f>
        <v>1</v>
      </c>
      <c r="AE33" s="111" t="b">
        <f t="shared" ref="AE33" si="18">ISNUMBER(SEARCH("'",AA33,1))</f>
        <v>1</v>
      </c>
      <c r="AF33" s="111" t="b">
        <f t="shared" ref="AF33" si="19">ISNUMBER(SEARCH("""",AA33,1))</f>
        <v>0</v>
      </c>
      <c r="AG33" s="111" t="b">
        <f t="shared" ref="AG33" si="20">NOT(OR(AD33,AE33,AF33))</f>
        <v>0</v>
      </c>
      <c r="AH33" s="111" t="b">
        <f t="shared" ref="AH33" si="21">OR(AG33,AD33)</f>
        <v>1</v>
      </c>
      <c r="AI33" s="110" t="str">
        <f t="shared" ref="AI33" si="22">IF(AG33,VALUE(AA33),IF(AD33,LEFT(AA33,SEARCH("°",AA33,1)-1),0))</f>
        <v>5</v>
      </c>
      <c r="AJ33" s="111" t="str">
        <f t="shared" ref="AJ33" si="23">IF(AG33,"",IF(AD33,RIGHT(AA33,LEN(AA33)-SEARCH("°",AA33,1)),AA33))</f>
        <v>26.3'</v>
      </c>
      <c r="AK33" s="111" t="b">
        <f>(LEN(AJ33)&gt;0)</f>
        <v>1</v>
      </c>
      <c r="AL33" s="111" t="b">
        <f>NOT(OR(AE33,AF33))</f>
        <v>0</v>
      </c>
      <c r="AM33" s="110">
        <f>IF(NOT(AK33),0,IF(AL33,VALUE(AJ33),IF(NOT(AE33),0,VALUE(LEFT(AJ33,SEARCH("'",AJ33,1)-1)))))</f>
        <v>26.3</v>
      </c>
      <c r="AN33" s="111" t="str">
        <f>IF(NOT(AK33),"",IF(AL33,"",IF(NOT(AE33),AJ33,RIGHT(AJ33,LEN(AJ33)-SEARCH("'",AJ33,1)))))</f>
        <v/>
      </c>
      <c r="AO33" s="111" t="b">
        <f>(LEN(AN33)&gt;0)</f>
        <v>0</v>
      </c>
      <c r="AP33" s="111" t="b">
        <f>NOT(AF33)</f>
        <v>1</v>
      </c>
      <c r="AQ33" s="111" t="b">
        <f>ISNUMBER(SEARCH(".",AN33,1))</f>
        <v>0</v>
      </c>
      <c r="AR33" s="110">
        <f>IF(AO33,IF(AF33,IF(AQ33,VALUE(SUBSTITUTE(AN33, """", "")),VALUE(SUBSTITUTE(AN33, """", "."))),VALUE(AN33)),0)</f>
        <v>0</v>
      </c>
      <c r="AS33" s="110">
        <f>AI33*3600+AM33*60+AR33</f>
        <v>19578</v>
      </c>
      <c r="AT33" s="110">
        <f>AS33/3600</f>
        <v>5.4383333333333335</v>
      </c>
      <c r="AU33" s="110">
        <f>_xlfn.FLOOR.MATH((AT33))</f>
        <v>5</v>
      </c>
      <c r="AV33" s="110">
        <f>(AS33-3600*AU33)/60</f>
        <v>26.3</v>
      </c>
      <c r="AW33" s="110">
        <f>_xlfn.FLOOR.MATH((AV33))</f>
        <v>26</v>
      </c>
      <c r="AX33" s="110">
        <f>AS33-3600*AU33-60*AW33</f>
        <v>18</v>
      </c>
      <c r="AY33" s="107" t="str">
        <f>CONCATENATE(TEXT(AU33,"00"),"°",TEXT(AW33,"00"),"'",TEXT(AX33,"00.00"), " [", CONCATENATE(TEXT(AU33,"00"),"°",TEXT(AV33,"00.00")),"]", " - (", TEXT(AT33,"00.0000"),"°)")</f>
        <v>05°26'18.00 [05°26.30] - (05.4383°)</v>
      </c>
      <c r="AZ33" s="106"/>
      <c r="BA33" s="106"/>
      <c r="BB33" s="106"/>
      <c r="BC33" s="106"/>
      <c r="BD33" s="106"/>
      <c r="BE33" s="106"/>
      <c r="BF33" s="106"/>
      <c r="BG33" s="106"/>
      <c r="BH33" s="106"/>
      <c r="BI33" s="106"/>
      <c r="BJ33" s="106"/>
      <c r="BK33" s="106"/>
      <c r="BL33" s="106"/>
      <c r="BM33" s="106"/>
    </row>
    <row r="34" spans="3:65" s="1" customFormat="1" ht="17.25" customHeight="1" thickBot="1" x14ac:dyDescent="0.3">
      <c r="C34" s="624"/>
      <c r="D34" s="698"/>
      <c r="E34" s="700"/>
      <c r="F34" s="656"/>
      <c r="G34" s="657"/>
      <c r="H34" s="659"/>
      <c r="I34" s="663"/>
      <c r="J34" s="664"/>
      <c r="K34" s="664"/>
      <c r="L34" s="664"/>
      <c r="M34" s="665"/>
      <c r="N34" s="615"/>
      <c r="O34" s="615"/>
      <c r="P34" s="615"/>
      <c r="Q34" s="615"/>
      <c r="R34" s="615"/>
      <c r="S34" s="615"/>
      <c r="T34" s="615"/>
      <c r="U34" s="615"/>
      <c r="V34" s="615"/>
      <c r="W34" s="616"/>
      <c r="AA34" s="102"/>
      <c r="AB34" s="28" t="str">
        <f>AH34</f>
        <v>+05°26'18.00 [+05°26.30] - (+05.4383°)</v>
      </c>
      <c r="AC34" s="28">
        <f>AC33*AE34</f>
        <v>5.4383333333333335</v>
      </c>
      <c r="AD34" s="21" t="s">
        <v>147</v>
      </c>
      <c r="AE34" s="1">
        <f>VLOOKUP(H33,$E$14:$F$15,2)</f>
        <v>1</v>
      </c>
      <c r="AF34" s="1" t="str">
        <f>IF(AE34&lt;0,"-","+")</f>
        <v>+</v>
      </c>
      <c r="AG34" s="21" t="s">
        <v>156</v>
      </c>
      <c r="AH34" s="1" t="str">
        <f>AY34</f>
        <v>+05°26'18.00 [+05°26.30] - (+05.4383°)</v>
      </c>
      <c r="AN34" s="125"/>
      <c r="AT34" s="126"/>
      <c r="AU34" s="126"/>
      <c r="AV34" s="106"/>
      <c r="AW34" s="106"/>
      <c r="AX34" s="106"/>
      <c r="AY34" s="107" t="str">
        <f>CONCATENATE(AF34, TEXT(AU33,"00"),"°",TEXT(AW33,"00"),"'",TEXT(AX33,"00.00"), " [", CONCATENATE(AF34, TEXT(AU33,"00"),"°",TEXT(AV33,"00.00")),"]", " - (",AF34,  TEXT(AT33,"00.0000"),"°)")</f>
        <v>+05°26'18.00 [+05°26.30] - (+05.4383°)</v>
      </c>
      <c r="AZ34" s="106"/>
      <c r="BA34" s="106"/>
      <c r="BB34" s="106"/>
      <c r="BC34" s="106"/>
      <c r="BD34" s="106"/>
      <c r="BE34" s="106"/>
      <c r="BF34" s="106"/>
      <c r="BG34" s="106"/>
      <c r="BH34" s="106"/>
      <c r="BI34" s="106"/>
      <c r="BJ34" s="106"/>
      <c r="BK34" s="106"/>
      <c r="BL34" s="106"/>
      <c r="BM34" s="106"/>
    </row>
    <row r="35" spans="3:65" s="1" customFormat="1" ht="17.25" customHeight="1" x14ac:dyDescent="0.25">
      <c r="H35" s="127"/>
      <c r="I35" s="127"/>
      <c r="J35" s="127"/>
      <c r="K35" s="127"/>
      <c r="L35" s="127"/>
      <c r="M35" s="127"/>
      <c r="N35" s="127"/>
      <c r="O35" s="127"/>
      <c r="P35" s="127"/>
      <c r="Q35" s="127"/>
      <c r="R35" s="127"/>
      <c r="S35" s="127"/>
      <c r="T35" s="127"/>
      <c r="U35" s="127"/>
      <c r="AA35" s="128"/>
      <c r="AB35" s="14"/>
      <c r="AC35" s="14"/>
      <c r="AD35" s="104"/>
      <c r="AE35" s="104"/>
      <c r="AF35" s="104"/>
      <c r="AG35" s="104"/>
      <c r="AH35" s="104"/>
      <c r="AI35" s="104"/>
      <c r="AJ35" s="104"/>
      <c r="AK35" s="104"/>
      <c r="AL35" s="104"/>
      <c r="AM35" s="104"/>
      <c r="AN35" s="104"/>
      <c r="AO35" s="104"/>
      <c r="AP35" s="104"/>
      <c r="AQ35" s="104"/>
      <c r="AR35" s="104"/>
      <c r="AS35" s="104"/>
      <c r="AT35" s="104"/>
      <c r="AU35" s="104"/>
      <c r="AV35" s="104"/>
      <c r="AW35" s="104"/>
      <c r="AX35" s="104"/>
      <c r="AY35" s="104"/>
      <c r="AZ35" s="104"/>
      <c r="BA35" s="106"/>
      <c r="BB35" s="106"/>
      <c r="BC35" s="106"/>
      <c r="BD35" s="106"/>
      <c r="BE35" s="106"/>
      <c r="BF35" s="106"/>
      <c r="BG35" s="106"/>
      <c r="BH35" s="106"/>
      <c r="BI35" s="106"/>
      <c r="BJ35" s="106"/>
      <c r="BK35" s="106"/>
      <c r="BL35" s="106"/>
      <c r="BM35" s="106"/>
    </row>
    <row r="36" spans="3:65" s="1" customFormat="1" ht="17.25" customHeight="1" thickBot="1" x14ac:dyDescent="0.3">
      <c r="C36" s="106"/>
      <c r="AA36" s="102"/>
      <c r="AB36" s="19"/>
      <c r="AC36" s="19"/>
      <c r="AD36" s="21" t="s">
        <v>120</v>
      </c>
      <c r="AE36" s="21" t="s">
        <v>121</v>
      </c>
      <c r="AF36" s="21" t="s">
        <v>122</v>
      </c>
      <c r="AG36" s="21" t="s">
        <v>123</v>
      </c>
      <c r="AH36" s="21" t="s">
        <v>124</v>
      </c>
      <c r="AI36" s="21" t="s">
        <v>125</v>
      </c>
      <c r="AJ36" s="21" t="s">
        <v>101</v>
      </c>
      <c r="AK36" s="21" t="s">
        <v>129</v>
      </c>
      <c r="AL36" s="21" t="s">
        <v>128</v>
      </c>
      <c r="AM36" s="21" t="s">
        <v>126</v>
      </c>
      <c r="AN36" s="21" t="s">
        <v>127</v>
      </c>
      <c r="AO36" s="21" t="s">
        <v>129</v>
      </c>
      <c r="AP36" s="21" t="s">
        <v>128</v>
      </c>
      <c r="AQ36" s="21" t="s">
        <v>130</v>
      </c>
      <c r="AR36" s="21" t="s">
        <v>112</v>
      </c>
      <c r="AS36" s="21" t="s">
        <v>117</v>
      </c>
      <c r="AT36" s="21" t="s">
        <v>143</v>
      </c>
      <c r="AU36" s="21" t="s">
        <v>149</v>
      </c>
      <c r="AV36" s="21" t="s">
        <v>131</v>
      </c>
      <c r="AW36" s="21" t="s">
        <v>150</v>
      </c>
      <c r="AX36" s="21" t="s">
        <v>112</v>
      </c>
      <c r="AY36" s="21" t="s">
        <v>151</v>
      </c>
    </row>
    <row r="37" spans="3:65" s="1" customFormat="1" ht="17.25" customHeight="1" thickTop="1" x14ac:dyDescent="0.25">
      <c r="C37" s="623" t="s">
        <v>23</v>
      </c>
      <c r="D37" s="625" t="s">
        <v>68</v>
      </c>
      <c r="E37" s="627">
        <f>AC38</f>
        <v>41</v>
      </c>
      <c r="F37" s="628"/>
      <c r="G37" s="629"/>
      <c r="H37" s="646" t="s">
        <v>4</v>
      </c>
      <c r="I37" s="648" t="s">
        <v>262</v>
      </c>
      <c r="J37" s="649"/>
      <c r="K37" s="649"/>
      <c r="L37" s="649"/>
      <c r="M37" s="650"/>
      <c r="N37" s="613" t="str">
        <f>AB38</f>
        <v>+41°00'00.00 [+41°00.00] - (+41.0000°)</v>
      </c>
      <c r="O37" s="613"/>
      <c r="P37" s="613"/>
      <c r="Q37" s="613"/>
      <c r="R37" s="613"/>
      <c r="S37" s="613"/>
      <c r="T37" s="613"/>
      <c r="U37" s="613"/>
      <c r="V37" s="613"/>
      <c r="W37" s="614"/>
      <c r="AA37" s="102" t="str">
        <f>I37</f>
        <v>41°</v>
      </c>
      <c r="AB37" s="19" t="str">
        <f>AY37</f>
        <v>41°00'00.00 [41°00.00] - (41.0000°)</v>
      </c>
      <c r="AC37" s="19">
        <f>AT37</f>
        <v>41</v>
      </c>
      <c r="AD37" s="111" t="b">
        <f t="shared" ref="AD37" si="24">ISNUMBER(SEARCH("°",AA37,1))</f>
        <v>1</v>
      </c>
      <c r="AE37" s="111" t="b">
        <f t="shared" ref="AE37" si="25">ISNUMBER(SEARCH("'",AA37,1))</f>
        <v>0</v>
      </c>
      <c r="AF37" s="111" t="b">
        <f t="shared" ref="AF37" si="26">ISNUMBER(SEARCH("""",AA37,1))</f>
        <v>0</v>
      </c>
      <c r="AG37" s="111" t="b">
        <f t="shared" ref="AG37" si="27">NOT(OR(AD37,AE37,AF37))</f>
        <v>0</v>
      </c>
      <c r="AH37" s="111" t="b">
        <f t="shared" ref="AH37" si="28">OR(AG37,AD37)</f>
        <v>1</v>
      </c>
      <c r="AI37" s="110" t="str">
        <f t="shared" ref="AI37" si="29">IF(AG37,VALUE(AA37),IF(AD37,LEFT(AA37,SEARCH("°",AA37,1)-1),0))</f>
        <v>41</v>
      </c>
      <c r="AJ37" s="111" t="str">
        <f t="shared" ref="AJ37" si="30">IF(AG37,"",IF(AD37,RIGHT(AA37,LEN(AA37)-SEARCH("°",AA37,1)),AA37))</f>
        <v/>
      </c>
      <c r="AK37" s="111" t="b">
        <f>(LEN(AJ37)&gt;0)</f>
        <v>0</v>
      </c>
      <c r="AL37" s="111" t="b">
        <f>NOT(OR(AE37,AF37))</f>
        <v>1</v>
      </c>
      <c r="AM37" s="110">
        <f>IF(NOT(AK37),0,IF(AL37,VALUE(AJ37),IF(NOT(AE37),0,VALUE(LEFT(AJ37,SEARCH("'",AJ37,1)-1)))))</f>
        <v>0</v>
      </c>
      <c r="AN37" s="111" t="str">
        <f>IF(NOT(AK37),"",IF(AL37,"",IF(NOT(AE37),AJ37,RIGHT(AJ37,LEN(AJ37)-SEARCH("'",AJ37,1)))))</f>
        <v/>
      </c>
      <c r="AO37" s="111" t="b">
        <f>(LEN(AN37)&gt;0)</f>
        <v>0</v>
      </c>
      <c r="AP37" s="111" t="b">
        <f>NOT(AF37)</f>
        <v>1</v>
      </c>
      <c r="AQ37" s="111" t="b">
        <f>ISNUMBER(SEARCH(".",AN37,1))</f>
        <v>0</v>
      </c>
      <c r="AR37" s="110">
        <f>IF(AO37,IF(AF37,IF(AQ37,VALUE(SUBSTITUTE(AN37, """", "")),VALUE(SUBSTITUTE(AN37, """", "."))),VALUE(AN37)),0)</f>
        <v>0</v>
      </c>
      <c r="AS37" s="110">
        <f>AI37*3600+AM37*60+AR37</f>
        <v>147600</v>
      </c>
      <c r="AT37" s="110">
        <f>AS37/3600</f>
        <v>41</v>
      </c>
      <c r="AU37" s="110">
        <f>_xlfn.FLOOR.MATH((AT37))</f>
        <v>41</v>
      </c>
      <c r="AV37" s="110">
        <f>(AS37-3600*AU37)/60</f>
        <v>0</v>
      </c>
      <c r="AW37" s="110">
        <f>_xlfn.FLOOR.MATH((AV37))</f>
        <v>0</v>
      </c>
      <c r="AX37" s="110">
        <f>AS37-3600*AU37-60*AW37</f>
        <v>0</v>
      </c>
      <c r="AY37" s="107" t="str">
        <f>CONCATENATE(TEXT(AU37,"00"),"°",TEXT(AW37,"00"),"'",TEXT(AX37,"00.00"), " [", CONCATENATE(TEXT(AU37,"00"),"°",TEXT(AV37,"00.00")),"]", " - (", TEXT(AT37,"00.0000"),"°)")</f>
        <v>41°00'00.00 [41°00.00] - (41.0000°)</v>
      </c>
    </row>
    <row r="38" spans="3:65" s="1" customFormat="1" ht="17.25" customHeight="1" thickBot="1" x14ac:dyDescent="0.3">
      <c r="C38" s="624"/>
      <c r="D38" s="626"/>
      <c r="E38" s="630"/>
      <c r="F38" s="631"/>
      <c r="G38" s="632"/>
      <c r="H38" s="647"/>
      <c r="I38" s="651"/>
      <c r="J38" s="652"/>
      <c r="K38" s="652"/>
      <c r="L38" s="652"/>
      <c r="M38" s="653"/>
      <c r="N38" s="615"/>
      <c r="O38" s="615"/>
      <c r="P38" s="615"/>
      <c r="Q38" s="615"/>
      <c r="R38" s="615"/>
      <c r="S38" s="615"/>
      <c r="T38" s="615"/>
      <c r="U38" s="615"/>
      <c r="V38" s="615"/>
      <c r="W38" s="616"/>
      <c r="AA38" s="102"/>
      <c r="AB38" s="28" t="str">
        <f>AH38</f>
        <v>+41°00'00.00 [+41°00.00] - (+41.0000°)</v>
      </c>
      <c r="AC38" s="28">
        <f>AC37*AE38</f>
        <v>41</v>
      </c>
      <c r="AD38" s="21" t="s">
        <v>147</v>
      </c>
      <c r="AE38" s="1">
        <f>VLOOKUP(H37,$D$14:$F$15,3)</f>
        <v>1</v>
      </c>
      <c r="AF38" s="1" t="str">
        <f>IF(AE38&lt;0,"-","+")</f>
        <v>+</v>
      </c>
      <c r="AG38" s="21" t="s">
        <v>156</v>
      </c>
      <c r="AH38" s="1" t="str">
        <f>AY38</f>
        <v>+41°00'00.00 [+41°00.00] - (+41.0000°)</v>
      </c>
      <c r="AN38" s="125"/>
      <c r="AT38" s="126"/>
      <c r="AU38" s="126"/>
      <c r="AV38" s="106"/>
      <c r="AW38" s="106"/>
      <c r="AX38" s="106"/>
      <c r="AY38" s="107" t="str">
        <f>CONCATENATE(AF38, TEXT(AU37,"00"),"°",TEXT(AW37,"00"),"'",TEXT(AX37,"00.00"), " [", CONCATENATE(AF38, TEXT(AU37,"00"),"°",TEXT(AV37,"00.00")),"]", " - (",AF38,  TEXT(AT37,"00.0000"),"°)")</f>
        <v>+41°00'00.00 [+41°00.00] - (+41.0000°)</v>
      </c>
      <c r="AZ38" s="106"/>
      <c r="BA38" s="106"/>
      <c r="BB38" s="106"/>
      <c r="BC38" s="106"/>
      <c r="BD38" s="106"/>
      <c r="BE38" s="106"/>
      <c r="BF38" s="106"/>
      <c r="BG38" s="106"/>
      <c r="BH38" s="106"/>
      <c r="BI38" s="106"/>
      <c r="BJ38" s="106"/>
      <c r="BK38" s="106"/>
      <c r="BL38" s="106"/>
      <c r="BM38" s="106"/>
    </row>
    <row r="39" spans="3:65" s="1" customFormat="1" ht="17.25" customHeight="1" thickTop="1" x14ac:dyDescent="0.25">
      <c r="C39" s="624"/>
      <c r="D39" s="697" t="s">
        <v>69</v>
      </c>
      <c r="E39" s="699">
        <f>AC40</f>
        <v>-8.0416666666666661</v>
      </c>
      <c r="F39" s="654"/>
      <c r="G39" s="655"/>
      <c r="H39" s="658" t="s">
        <v>7</v>
      </c>
      <c r="I39" s="660" t="s">
        <v>257</v>
      </c>
      <c r="J39" s="661"/>
      <c r="K39" s="661"/>
      <c r="L39" s="661"/>
      <c r="M39" s="662"/>
      <c r="N39" s="613" t="str">
        <f>AB40</f>
        <v>-08°02'30.00 [-08°02.50] - (-08.0417°)</v>
      </c>
      <c r="O39" s="613"/>
      <c r="P39" s="613"/>
      <c r="Q39" s="613"/>
      <c r="R39" s="613"/>
      <c r="S39" s="613"/>
      <c r="T39" s="613"/>
      <c r="U39" s="613"/>
      <c r="V39" s="613"/>
      <c r="W39" s="614"/>
      <c r="AA39" s="102" t="str">
        <f>I39</f>
        <v>8°02.5'</v>
      </c>
      <c r="AB39" s="19" t="str">
        <f>AY39</f>
        <v>08°02'30.00 [08°02.50] - (08.0417°)</v>
      </c>
      <c r="AC39" s="19">
        <f>AT39</f>
        <v>8.0416666666666661</v>
      </c>
      <c r="AD39" s="111" t="b">
        <f t="shared" ref="AD39" si="31">ISNUMBER(SEARCH("°",AA39,1))</f>
        <v>1</v>
      </c>
      <c r="AE39" s="111" t="b">
        <f t="shared" ref="AE39" si="32">ISNUMBER(SEARCH("'",AA39,1))</f>
        <v>1</v>
      </c>
      <c r="AF39" s="111" t="b">
        <f t="shared" ref="AF39" si="33">ISNUMBER(SEARCH("""",AA39,1))</f>
        <v>0</v>
      </c>
      <c r="AG39" s="111" t="b">
        <f t="shared" ref="AG39" si="34">NOT(OR(AD39,AE39,AF39))</f>
        <v>0</v>
      </c>
      <c r="AH39" s="111" t="b">
        <f t="shared" ref="AH39" si="35">OR(AG39,AD39)</f>
        <v>1</v>
      </c>
      <c r="AI39" s="110" t="str">
        <f t="shared" ref="AI39" si="36">IF(AG39,VALUE(AA39),IF(AD39,LEFT(AA39,SEARCH("°",AA39,1)-1),0))</f>
        <v>8</v>
      </c>
      <c r="AJ39" s="111" t="str">
        <f t="shared" ref="AJ39" si="37">IF(AG39,"",IF(AD39,RIGHT(AA39,LEN(AA39)-SEARCH("°",AA39,1)),AA39))</f>
        <v>02.5'</v>
      </c>
      <c r="AK39" s="111" t="b">
        <f>(LEN(AJ39)&gt;0)</f>
        <v>1</v>
      </c>
      <c r="AL39" s="111" t="b">
        <f>NOT(OR(AE39,AF39))</f>
        <v>0</v>
      </c>
      <c r="AM39" s="110">
        <f>IF(NOT(AK39),0,IF(AL39,VALUE(AJ39),IF(NOT(AE39),0,VALUE(LEFT(AJ39,SEARCH("'",AJ39,1)-1)))))</f>
        <v>2.5</v>
      </c>
      <c r="AN39" s="111" t="str">
        <f>IF(NOT(AK39),"",IF(AL39,"",IF(NOT(AE39),AJ39,RIGHT(AJ39,LEN(AJ39)-SEARCH("'",AJ39,1)))))</f>
        <v/>
      </c>
      <c r="AO39" s="111" t="b">
        <f>(LEN(AN39)&gt;0)</f>
        <v>0</v>
      </c>
      <c r="AP39" s="111" t="b">
        <f>NOT(AF39)</f>
        <v>1</v>
      </c>
      <c r="AQ39" s="111" t="b">
        <f>ISNUMBER(SEARCH(".",AN39,1))</f>
        <v>0</v>
      </c>
      <c r="AR39" s="110">
        <f>IF(AO39,IF(AF39,IF(AQ39,VALUE(SUBSTITUTE(AN39, """", "")),VALUE(SUBSTITUTE(AN39, """", "."))),VALUE(AN39)),0)</f>
        <v>0</v>
      </c>
      <c r="AS39" s="110">
        <f>AI39*3600+AM39*60+AR39</f>
        <v>28950</v>
      </c>
      <c r="AT39" s="110">
        <f>AS39/3600</f>
        <v>8.0416666666666661</v>
      </c>
      <c r="AU39" s="110">
        <f>_xlfn.FLOOR.MATH((AT39))</f>
        <v>8</v>
      </c>
      <c r="AV39" s="110">
        <f>(AS39-3600*AU39)/60</f>
        <v>2.5</v>
      </c>
      <c r="AW39" s="110">
        <f>_xlfn.FLOOR.MATH((AV39))</f>
        <v>2</v>
      </c>
      <c r="AX39" s="110">
        <f>AS39-3600*AU39-60*AW39</f>
        <v>30</v>
      </c>
      <c r="AY39" s="107" t="str">
        <f>CONCATENATE(TEXT(AU39,"00"),"°",TEXT(AW39,"00"),"'",TEXT(AX39,"00.00"), " [", CONCATENATE(TEXT(AU39,"00"),"°",TEXT(AV39,"00.00")),"]", " - (", TEXT(AT39,"00.0000"),"°)")</f>
        <v>08°02'30.00 [08°02.50] - (08.0417°)</v>
      </c>
      <c r="AZ39" s="106"/>
      <c r="BA39" s="106"/>
      <c r="BB39" s="106"/>
      <c r="BC39" s="106"/>
      <c r="BD39" s="106"/>
      <c r="BE39" s="106"/>
      <c r="BF39" s="106"/>
      <c r="BG39" s="106"/>
      <c r="BH39" s="106"/>
      <c r="BI39" s="106"/>
      <c r="BJ39" s="106"/>
      <c r="BK39" s="106"/>
      <c r="BL39" s="106"/>
      <c r="BM39" s="106"/>
    </row>
    <row r="40" spans="3:65" s="1" customFormat="1" ht="17.25" customHeight="1" thickBot="1" x14ac:dyDescent="0.3">
      <c r="C40" s="624"/>
      <c r="D40" s="698"/>
      <c r="E40" s="700"/>
      <c r="F40" s="656"/>
      <c r="G40" s="657"/>
      <c r="H40" s="659"/>
      <c r="I40" s="663"/>
      <c r="J40" s="664"/>
      <c r="K40" s="664"/>
      <c r="L40" s="664"/>
      <c r="M40" s="665"/>
      <c r="N40" s="615"/>
      <c r="O40" s="615"/>
      <c r="P40" s="615"/>
      <c r="Q40" s="615"/>
      <c r="R40" s="615"/>
      <c r="S40" s="615"/>
      <c r="T40" s="615"/>
      <c r="U40" s="615"/>
      <c r="V40" s="615"/>
      <c r="W40" s="616"/>
      <c r="AA40" s="102"/>
      <c r="AB40" s="28" t="str">
        <f>AH40</f>
        <v>-08°02'30.00 [-08°02.50] - (-08.0417°)</v>
      </c>
      <c r="AC40" s="28">
        <f>AC39*AE40</f>
        <v>-8.0416666666666661</v>
      </c>
      <c r="AD40" s="21" t="s">
        <v>147</v>
      </c>
      <c r="AE40" s="1">
        <f>VLOOKUP(H39,$E$14:$F$15,2)</f>
        <v>-1</v>
      </c>
      <c r="AF40" s="1" t="str">
        <f>IF(AE40&lt;0,"-","+")</f>
        <v>-</v>
      </c>
      <c r="AG40" s="21" t="s">
        <v>156</v>
      </c>
      <c r="AH40" s="1" t="str">
        <f>AY40</f>
        <v>-08°02'30.00 [-08°02.50] - (-08.0417°)</v>
      </c>
      <c r="AN40" s="125"/>
      <c r="AT40" s="126"/>
      <c r="AU40" s="126"/>
      <c r="AV40" s="106"/>
      <c r="AW40" s="106"/>
      <c r="AX40" s="106"/>
      <c r="AY40" s="107" t="str">
        <f>CONCATENATE(AF40, TEXT(AU39,"00"),"°",TEXT(AW39,"00"),"'",TEXT(AX39,"00.00"), " [", CONCATENATE(AF40, TEXT(AU39,"00"),"°",TEXT(AV39,"00.00")),"]", " - (",AF40,  TEXT(AT39,"00.0000"),"°)")</f>
        <v>-08°02'30.00 [-08°02.50] - (-08.0417°)</v>
      </c>
      <c r="AZ40" s="106"/>
      <c r="BA40" s="106"/>
      <c r="BB40" s="106"/>
      <c r="BC40" s="106"/>
      <c r="BD40" s="106"/>
      <c r="BE40" s="106"/>
      <c r="BF40" s="106"/>
      <c r="BG40" s="106"/>
      <c r="BH40" s="106"/>
      <c r="BI40" s="106"/>
      <c r="BJ40" s="106"/>
      <c r="BK40" s="106"/>
      <c r="BL40" s="106"/>
      <c r="BM40" s="106"/>
    </row>
    <row r="43" spans="3:65" ht="15.75" x14ac:dyDescent="0.25">
      <c r="E43" s="702" t="s">
        <v>245</v>
      </c>
      <c r="F43" s="702"/>
      <c r="G43" s="702"/>
      <c r="H43" s="702"/>
      <c r="I43" s="702"/>
      <c r="J43" s="702"/>
      <c r="K43" s="702"/>
      <c r="L43" s="702"/>
      <c r="M43" s="702"/>
      <c r="N43" s="702"/>
      <c r="O43" s="702"/>
      <c r="P43" s="702"/>
      <c r="Q43" s="702"/>
      <c r="R43" s="105"/>
      <c r="S43" s="666" t="s">
        <v>246</v>
      </c>
      <c r="T43" s="667"/>
      <c r="U43" s="667"/>
      <c r="V43" s="668"/>
      <c r="AD43" s="21" t="s">
        <v>248</v>
      </c>
      <c r="AE43" s="129">
        <f>(E31+E37)/2</f>
        <v>40.543333333333337</v>
      </c>
      <c r="AF43" s="79" t="s">
        <v>249</v>
      </c>
      <c r="AG43" s="130">
        <f>E37-E31</f>
        <v>0.913333333333334</v>
      </c>
      <c r="AI43" s="633" t="s">
        <v>251</v>
      </c>
      <c r="AJ43" s="633"/>
      <c r="AK43" s="633"/>
      <c r="AL43" s="129">
        <f>ABS(AG45*COS(AE43*$K$13)/AG43)</f>
        <v>11.215673354056046</v>
      </c>
      <c r="AS43" s="21" t="s">
        <v>112</v>
      </c>
      <c r="AT43" s="21" t="s">
        <v>149</v>
      </c>
      <c r="AU43" s="21" t="s">
        <v>131</v>
      </c>
      <c r="AV43" s="21" t="s">
        <v>150</v>
      </c>
      <c r="AW43" s="21" t="s">
        <v>112</v>
      </c>
      <c r="AX43" s="21" t="s">
        <v>151</v>
      </c>
    </row>
    <row r="44" spans="3:65" s="1" customFormat="1" ht="17.25" customHeight="1" x14ac:dyDescent="0.25">
      <c r="C44" s="89"/>
      <c r="D44" s="104"/>
      <c r="E44" s="675" t="str">
        <f>AB45</f>
        <v>275°05'</v>
      </c>
      <c r="F44" s="676"/>
      <c r="G44" s="676"/>
      <c r="H44" s="677"/>
      <c r="I44" s="635">
        <f>AC44</f>
        <v>275.09507278154035</v>
      </c>
      <c r="J44" s="636"/>
      <c r="K44" s="637"/>
      <c r="L44" s="701" t="str">
        <f>AB44</f>
        <v>275°05'42.26 [275°05.70] - (275.0951°)</v>
      </c>
      <c r="M44" s="644"/>
      <c r="N44" s="644"/>
      <c r="O44" s="644"/>
      <c r="P44" s="644"/>
      <c r="Q44" s="644"/>
      <c r="S44" s="669">
        <f>AC46</f>
        <v>614.61889980227181</v>
      </c>
      <c r="T44" s="670"/>
      <c r="U44" s="670"/>
      <c r="V44" s="671"/>
      <c r="AA44" s="102"/>
      <c r="AB44" s="28" t="str">
        <f>AX44</f>
        <v>275°05'42.26 [275°05.70] - (275.0951°)</v>
      </c>
      <c r="AC44" s="28">
        <f>AN44</f>
        <v>275.09507278154035</v>
      </c>
      <c r="AF44" s="79" t="s">
        <v>261</v>
      </c>
      <c r="AG44" s="130" t="b">
        <f>IF(AG43&lt;0.01,FALSE,TRUE)</f>
        <v>1</v>
      </c>
      <c r="AI44" s="634" t="s">
        <v>252</v>
      </c>
      <c r="AJ44" s="634"/>
      <c r="AK44" s="634"/>
      <c r="AL44" s="130">
        <f>$K$14*ATAN(AL43)</f>
        <v>84.904927218459662</v>
      </c>
      <c r="AM44" s="103" t="s">
        <v>253</v>
      </c>
      <c r="AN44" s="131">
        <f>IF(NOT(AG44), IF(AG45&lt;0,270,90),   IF(AG43&gt;0,IF(AG45&gt;0,AL44,360-AL44),IF(AG45&gt;0,180-AL44,180+AL44)))</f>
        <v>275.09507278154035</v>
      </c>
      <c r="AO44" s="103"/>
      <c r="AP44" s="130">
        <f>$K$14*ATAN(AP43)</f>
        <v>0</v>
      </c>
      <c r="AS44" s="110">
        <f>AN44*3600</f>
        <v>990342.26201354526</v>
      </c>
      <c r="AT44" s="110">
        <f>_xlfn.FLOOR.MATH(AN44)</f>
        <v>275</v>
      </c>
      <c r="AU44" s="110">
        <f>(AS44-3600*AT44)/60</f>
        <v>5.7043668924209969</v>
      </c>
      <c r="AV44" s="110">
        <f>_xlfn.FLOOR.MATH((AU44))</f>
        <v>5</v>
      </c>
      <c r="AW44" s="110">
        <f>AS44-3600*AT44-60*AV44</f>
        <v>42.262013545259833</v>
      </c>
      <c r="AX44" s="107" t="str">
        <f>CONCATENATE(TEXT(AT44,"00"),"°",TEXT(AV44,"00"),"'",TEXT(AW44,"00.00"), " [", CONCATENATE(TEXT(AT44,"00"),"°",TEXT(AU44,"00.00")),"]", " - (", TEXT(AN44,"00.0000"),"°)")</f>
        <v>275°05'42.26 [275°05.70] - (275.0951°)</v>
      </c>
    </row>
    <row r="45" spans="3:65" s="1" customFormat="1" ht="17.25" customHeight="1" x14ac:dyDescent="0.25">
      <c r="C45" s="89"/>
      <c r="D45" s="104"/>
      <c r="E45" s="678"/>
      <c r="F45" s="679"/>
      <c r="G45" s="679"/>
      <c r="H45" s="680"/>
      <c r="I45" s="638"/>
      <c r="J45" s="639"/>
      <c r="K45" s="640"/>
      <c r="L45" s="701"/>
      <c r="M45" s="644"/>
      <c r="N45" s="644"/>
      <c r="O45" s="644"/>
      <c r="P45" s="644"/>
      <c r="Q45" s="644"/>
      <c r="S45" s="672"/>
      <c r="T45" s="673"/>
      <c r="U45" s="673"/>
      <c r="V45" s="674"/>
      <c r="AA45" s="102"/>
      <c r="AB45" s="28" t="str">
        <f>AX45</f>
        <v>275°05'</v>
      </c>
      <c r="AC45" s="28"/>
      <c r="AF45" s="79" t="s">
        <v>250</v>
      </c>
      <c r="AG45" s="130">
        <f>E39-E33</f>
        <v>-13.48</v>
      </c>
      <c r="AM45" s="79" t="s">
        <v>254</v>
      </c>
      <c r="AN45" s="130">
        <f>ABS(60*AG45*COS(AE43*$K$13))</f>
        <v>614.61889980227181</v>
      </c>
      <c r="AX45" s="1" t="str">
        <f>CONCATENATE(TEXT(AT44,"00"),"°",TEXT(AV44,"00"),"'")</f>
        <v>275°05'</v>
      </c>
    </row>
    <row r="46" spans="3:65" x14ac:dyDescent="0.25">
      <c r="AC46" s="145">
        <f>AN45</f>
        <v>614.61889980227181</v>
      </c>
    </row>
    <row r="48" spans="3:65" x14ac:dyDescent="0.25">
      <c r="AA48" s="102"/>
      <c r="AB48" s="19"/>
      <c r="AC48" s="19"/>
      <c r="AD48" s="21" t="s">
        <v>120</v>
      </c>
      <c r="AE48" s="21" t="s">
        <v>121</v>
      </c>
      <c r="AF48" s="21" t="s">
        <v>122</v>
      </c>
      <c r="AG48" s="21" t="s">
        <v>123</v>
      </c>
      <c r="AH48" s="21" t="s">
        <v>124</v>
      </c>
      <c r="AI48" s="21" t="s">
        <v>125</v>
      </c>
      <c r="AJ48" s="21" t="s">
        <v>101</v>
      </c>
      <c r="AK48" s="21" t="s">
        <v>129</v>
      </c>
      <c r="AL48" s="21" t="s">
        <v>128</v>
      </c>
      <c r="AM48" s="21" t="s">
        <v>126</v>
      </c>
      <c r="AN48" s="21" t="s">
        <v>127</v>
      </c>
      <c r="AO48" s="21" t="s">
        <v>129</v>
      </c>
      <c r="AP48" s="21" t="s">
        <v>128</v>
      </c>
      <c r="AQ48" s="21" t="s">
        <v>130</v>
      </c>
      <c r="AR48" s="21" t="s">
        <v>112</v>
      </c>
      <c r="AS48" s="21" t="s">
        <v>117</v>
      </c>
      <c r="AT48" s="21" t="s">
        <v>143</v>
      </c>
      <c r="AU48" s="21" t="s">
        <v>149</v>
      </c>
      <c r="AV48" s="21" t="s">
        <v>131</v>
      </c>
      <c r="AW48" s="21" t="s">
        <v>150</v>
      </c>
      <c r="AX48" s="21" t="s">
        <v>112</v>
      </c>
      <c r="AY48" s="21" t="s">
        <v>151</v>
      </c>
      <c r="AZ48" s="1"/>
      <c r="BA48" s="1"/>
      <c r="BB48" s="1"/>
    </row>
    <row r="49" spans="2:65" x14ac:dyDescent="0.25">
      <c r="AA49" s="102" t="str">
        <f>E44</f>
        <v>275°05'</v>
      </c>
      <c r="AB49" s="19" t="str">
        <f>AY49</f>
        <v>275°05'00.00 [275°05.00] - (275.0833°)</v>
      </c>
      <c r="AC49" s="19">
        <f>AT49</f>
        <v>275.08333333333331</v>
      </c>
      <c r="AD49" s="111" t="b">
        <f t="shared" ref="AD49" si="38">ISNUMBER(SEARCH("°",AA49,1))</f>
        <v>1</v>
      </c>
      <c r="AE49" s="111" t="b">
        <f t="shared" ref="AE49" si="39">ISNUMBER(SEARCH("'",AA49,1))</f>
        <v>1</v>
      </c>
      <c r="AF49" s="111" t="b">
        <f t="shared" ref="AF49" si="40">ISNUMBER(SEARCH("""",AA49,1))</f>
        <v>0</v>
      </c>
      <c r="AG49" s="111" t="b">
        <f t="shared" ref="AG49" si="41">NOT(OR(AD49,AE49,AF49))</f>
        <v>0</v>
      </c>
      <c r="AH49" s="111" t="b">
        <f t="shared" ref="AH49" si="42">OR(AG49,AD49)</f>
        <v>1</v>
      </c>
      <c r="AI49" s="110" t="str">
        <f t="shared" ref="AI49" si="43">IF(AG49,VALUE(AA49),IF(AD49,LEFT(AA49,SEARCH("°",AA49,1)-1),0))</f>
        <v>275</v>
      </c>
      <c r="AJ49" s="111" t="str">
        <f t="shared" ref="AJ49" si="44">IF(AG49,"",IF(AD49,RIGHT(AA49,LEN(AA49)-SEARCH("°",AA49,1)),AA49))</f>
        <v>05'</v>
      </c>
      <c r="AK49" s="111" t="b">
        <f>(LEN(AJ49)&gt;0)</f>
        <v>1</v>
      </c>
      <c r="AL49" s="111" t="b">
        <f>NOT(OR(AE49,AF49))</f>
        <v>0</v>
      </c>
      <c r="AM49" s="110">
        <f>IF(NOT(AK49),0,IF(AL49,VALUE(AJ49),IF(NOT(AE49),0,VALUE(LEFT(AJ49,SEARCH("'",AJ49,1)-1)))))</f>
        <v>5</v>
      </c>
      <c r="AN49" s="111" t="str">
        <f>IF(NOT(AK49),"",IF(AL49,"",IF(NOT(AE49),AJ49,RIGHT(AJ49,LEN(AJ49)-SEARCH("'",AJ49,1)))))</f>
        <v/>
      </c>
      <c r="AO49" s="111" t="b">
        <f>(LEN(AN49)&gt;0)</f>
        <v>0</v>
      </c>
      <c r="AP49" s="111" t="b">
        <f>NOT(AF49)</f>
        <v>1</v>
      </c>
      <c r="AQ49" s="111" t="b">
        <f>ISNUMBER(SEARCH(".",AN49,1))</f>
        <v>0</v>
      </c>
      <c r="AR49" s="110">
        <f>IF(AO49,IF(AF49,IF(AQ49,VALUE(SUBSTITUTE(AN49, """", "")),VALUE(SUBSTITUTE(AN49, """", "."))),VALUE(AN49)),0)</f>
        <v>0</v>
      </c>
      <c r="AS49" s="110">
        <f>AI49*3600+AM49*60+AR49</f>
        <v>990300</v>
      </c>
      <c r="AT49" s="110">
        <f>AS49/3600</f>
        <v>275.08333333333331</v>
      </c>
      <c r="AU49" s="110">
        <f>_xlfn.FLOOR.MATH((AT49))</f>
        <v>275</v>
      </c>
      <c r="AV49" s="110">
        <f>(AS49-3600*AU49)/60</f>
        <v>5</v>
      </c>
      <c r="AW49" s="110">
        <f>_xlfn.FLOOR.MATH((AV49))</f>
        <v>5</v>
      </c>
      <c r="AX49" s="110">
        <f>AS49-3600*AU49-60*AW49</f>
        <v>0</v>
      </c>
      <c r="AY49" s="107" t="str">
        <f>CONCATENATE(TEXT(AU49,"00"),"°",TEXT(AW49,"00"),"'",TEXT(AX49,"00.00"), " [", CONCATENATE(TEXT(AU49,"00"),"°",TEXT(AV49,"00.00")),"]", " - (", TEXT(AT49,"00.0000"),"°)")</f>
        <v>275°05'00.00 [275°05.00] - (275.0833°)</v>
      </c>
      <c r="AZ49" s="1"/>
      <c r="BA49" s="1"/>
      <c r="BB49" s="1"/>
    </row>
    <row r="51" spans="2:65" ht="15.75" thickBot="1" x14ac:dyDescent="0.3"/>
    <row r="52" spans="2:65" s="1" customFormat="1" ht="17.25" customHeight="1" thickBot="1" x14ac:dyDescent="0.3">
      <c r="B52" s="47" t="s">
        <v>247</v>
      </c>
      <c r="C52" s="48"/>
      <c r="D52" s="48"/>
      <c r="E52" s="48"/>
      <c r="F52" s="48"/>
      <c r="G52" s="48"/>
      <c r="H52" s="48"/>
      <c r="I52" s="48"/>
      <c r="J52" s="48"/>
      <c r="K52" s="48"/>
      <c r="L52" s="48"/>
      <c r="M52" s="48"/>
      <c r="N52" s="48"/>
      <c r="O52" s="48"/>
      <c r="P52" s="48"/>
      <c r="Q52" s="48"/>
      <c r="R52" s="48"/>
      <c r="S52" s="48"/>
      <c r="T52" s="48"/>
      <c r="U52" s="48"/>
      <c r="V52" s="48"/>
      <c r="W52" s="48"/>
      <c r="X52" s="48"/>
      <c r="Y52" s="48"/>
      <c r="Z52" s="48"/>
      <c r="AA52" s="100"/>
      <c r="AB52" s="144"/>
      <c r="AC52" s="144"/>
      <c r="AD52" s="48"/>
      <c r="AE52" s="48"/>
      <c r="AF52" s="48"/>
      <c r="AG52" s="48"/>
      <c r="AH52" s="48"/>
      <c r="AI52" s="48"/>
      <c r="AJ52" s="48"/>
      <c r="AK52" s="48"/>
      <c r="AL52" s="48"/>
      <c r="AM52" s="48"/>
      <c r="AN52" s="48"/>
      <c r="AO52" s="48"/>
      <c r="AP52" s="48"/>
      <c r="AQ52" s="48"/>
      <c r="AR52" s="48"/>
      <c r="AS52" s="48"/>
      <c r="AT52" s="48"/>
      <c r="AU52" s="48"/>
      <c r="AV52" s="48"/>
      <c r="AW52" s="48"/>
      <c r="AX52" s="48"/>
      <c r="AY52" s="48"/>
      <c r="AZ52" s="48"/>
      <c r="BA52" s="49"/>
    </row>
    <row r="53" spans="2:65" s="1" customFormat="1" ht="17.25" customHeight="1" thickBot="1" x14ac:dyDescent="0.3">
      <c r="C53" s="106"/>
      <c r="AA53" s="102"/>
      <c r="AB53" s="19"/>
      <c r="AC53" s="19"/>
      <c r="AD53" s="21" t="s">
        <v>120</v>
      </c>
      <c r="AE53" s="21" t="s">
        <v>121</v>
      </c>
      <c r="AF53" s="21" t="s">
        <v>122</v>
      </c>
      <c r="AG53" s="21" t="s">
        <v>123</v>
      </c>
      <c r="AH53" s="21" t="s">
        <v>124</v>
      </c>
      <c r="AI53" s="21" t="s">
        <v>125</v>
      </c>
      <c r="AJ53" s="21" t="s">
        <v>101</v>
      </c>
      <c r="AK53" s="21" t="s">
        <v>129</v>
      </c>
      <c r="AL53" s="21" t="s">
        <v>128</v>
      </c>
      <c r="AM53" s="21" t="s">
        <v>126</v>
      </c>
      <c r="AN53" s="21" t="s">
        <v>127</v>
      </c>
      <c r="AO53" s="21" t="s">
        <v>129</v>
      </c>
      <c r="AP53" s="21" t="s">
        <v>128</v>
      </c>
      <c r="AQ53" s="21" t="s">
        <v>130</v>
      </c>
      <c r="AR53" s="21" t="s">
        <v>112</v>
      </c>
      <c r="AS53" s="21" t="s">
        <v>117</v>
      </c>
      <c r="AT53" s="21" t="s">
        <v>143</v>
      </c>
      <c r="AU53" s="21" t="s">
        <v>149</v>
      </c>
      <c r="AV53" s="21" t="s">
        <v>131</v>
      </c>
      <c r="AW53" s="21" t="s">
        <v>150</v>
      </c>
      <c r="AX53" s="21" t="s">
        <v>112</v>
      </c>
      <c r="AY53" s="21" t="s">
        <v>151</v>
      </c>
    </row>
    <row r="54" spans="2:65" s="1" customFormat="1" ht="17.25" customHeight="1" thickTop="1" x14ac:dyDescent="0.25">
      <c r="C54" s="620" t="s">
        <v>244</v>
      </c>
      <c r="D54" s="622" t="s">
        <v>68</v>
      </c>
      <c r="E54" s="628">
        <f>AC55</f>
        <v>49.011666666666663</v>
      </c>
      <c r="F54" s="628"/>
      <c r="G54" s="629"/>
      <c r="H54" s="646" t="s">
        <v>4</v>
      </c>
      <c r="I54" s="648" t="s">
        <v>263</v>
      </c>
      <c r="J54" s="649"/>
      <c r="K54" s="649"/>
      <c r="L54" s="649"/>
      <c r="M54" s="650"/>
      <c r="N54" s="613" t="str">
        <f>AB55</f>
        <v>+49°00'42.00 [+49°00.70] - (+49.0117°)</v>
      </c>
      <c r="O54" s="613"/>
      <c r="P54" s="613"/>
      <c r="Q54" s="613"/>
      <c r="R54" s="613"/>
      <c r="S54" s="613"/>
      <c r="T54" s="613"/>
      <c r="U54" s="613"/>
      <c r="V54" s="613"/>
      <c r="W54" s="614"/>
      <c r="AA54" s="102" t="str">
        <f>I54</f>
        <v>49°0.7'</v>
      </c>
      <c r="AB54" s="19" t="str">
        <f>AY54</f>
        <v>49°00'42.00 [49°00.70] - (49.0117°)</v>
      </c>
      <c r="AC54" s="19">
        <f>AT54</f>
        <v>49.011666666666663</v>
      </c>
      <c r="AD54" s="111" t="b">
        <f t="shared" ref="AD54" si="45">ISNUMBER(SEARCH("°",AA54,1))</f>
        <v>1</v>
      </c>
      <c r="AE54" s="111" t="b">
        <f t="shared" ref="AE54" si="46">ISNUMBER(SEARCH("'",AA54,1))</f>
        <v>1</v>
      </c>
      <c r="AF54" s="111" t="b">
        <f t="shared" ref="AF54" si="47">ISNUMBER(SEARCH("""",AA54,1))</f>
        <v>0</v>
      </c>
      <c r="AG54" s="111" t="b">
        <f t="shared" ref="AG54" si="48">NOT(OR(AD54,AE54,AF54))</f>
        <v>0</v>
      </c>
      <c r="AH54" s="111" t="b">
        <f t="shared" ref="AH54" si="49">OR(AG54,AD54)</f>
        <v>1</v>
      </c>
      <c r="AI54" s="110" t="str">
        <f t="shared" ref="AI54" si="50">IF(AG54,VALUE(AA54),IF(AD54,LEFT(AA54,SEARCH("°",AA54,1)-1),0))</f>
        <v>49</v>
      </c>
      <c r="AJ54" s="111" t="str">
        <f t="shared" ref="AJ54" si="51">IF(AG54,"",IF(AD54,RIGHT(AA54,LEN(AA54)-SEARCH("°",AA54,1)),AA54))</f>
        <v>0.7'</v>
      </c>
      <c r="AK54" s="111" t="b">
        <f>(LEN(AJ54)&gt;0)</f>
        <v>1</v>
      </c>
      <c r="AL54" s="111" t="b">
        <f>NOT(OR(AE54,AF54))</f>
        <v>0</v>
      </c>
      <c r="AM54" s="110">
        <f>IF(NOT(AK54),0,IF(AL54,VALUE(AJ54),IF(NOT(AE54),0,VALUE(LEFT(AJ54,SEARCH("'",AJ54,1)-1)))))</f>
        <v>0.7</v>
      </c>
      <c r="AN54" s="111" t="str">
        <f>IF(NOT(AK54),"",IF(AL54,"",IF(NOT(AE54),AJ54,RIGHT(AJ54,LEN(AJ54)-SEARCH("'",AJ54,1)))))</f>
        <v/>
      </c>
      <c r="AO54" s="111" t="b">
        <f>(LEN(AN54)&gt;0)</f>
        <v>0</v>
      </c>
      <c r="AP54" s="111" t="b">
        <f>NOT(AF54)</f>
        <v>1</v>
      </c>
      <c r="AQ54" s="111" t="b">
        <f>ISNUMBER(SEARCH(".",AN54,1))</f>
        <v>0</v>
      </c>
      <c r="AR54" s="110">
        <f>IF(AO54,IF(AF54,IF(AQ54,VALUE(SUBSTITUTE(AN54, """", "")),VALUE(SUBSTITUTE(AN54, """", "."))),VALUE(AN54)),0)</f>
        <v>0</v>
      </c>
      <c r="AS54" s="110">
        <f>AI54*3600+AM54*60+AR54</f>
        <v>176442</v>
      </c>
      <c r="AT54" s="110">
        <f>AS54/3600</f>
        <v>49.011666666666663</v>
      </c>
      <c r="AU54" s="110">
        <f>_xlfn.FLOOR.MATH((AT54))</f>
        <v>49</v>
      </c>
      <c r="AV54" s="110">
        <f>(AS54-3600*AU54)/60</f>
        <v>0.7</v>
      </c>
      <c r="AW54" s="110">
        <f>_xlfn.FLOOR.MATH((AV54))</f>
        <v>0</v>
      </c>
      <c r="AX54" s="110">
        <f>AS54-3600*AU54-60*AW54</f>
        <v>42</v>
      </c>
      <c r="AY54" s="107" t="str">
        <f>CONCATENATE(TEXT(AU54,"00"),"°",TEXT(AW54,"00"),"'",TEXT(AX54,"00.00"), " [", CONCATENATE(TEXT(AU54,"00"),"°",TEXT(AV54,"00.00")),"]", " - (", TEXT(AT54,"00.0000"),"°)")</f>
        <v>49°00'42.00 [49°00.70] - (49.0117°)</v>
      </c>
    </row>
    <row r="55" spans="2:65" s="1" customFormat="1" ht="17.25" customHeight="1" thickBot="1" x14ac:dyDescent="0.3">
      <c r="C55" s="621"/>
      <c r="D55" s="622"/>
      <c r="E55" s="631"/>
      <c r="F55" s="631"/>
      <c r="G55" s="632"/>
      <c r="H55" s="647"/>
      <c r="I55" s="651"/>
      <c r="J55" s="652"/>
      <c r="K55" s="652"/>
      <c r="L55" s="652"/>
      <c r="M55" s="653"/>
      <c r="N55" s="615"/>
      <c r="O55" s="615"/>
      <c r="P55" s="615"/>
      <c r="Q55" s="615"/>
      <c r="R55" s="615"/>
      <c r="S55" s="615"/>
      <c r="T55" s="615"/>
      <c r="U55" s="615"/>
      <c r="V55" s="615"/>
      <c r="W55" s="616"/>
      <c r="AA55" s="102"/>
      <c r="AB55" s="28" t="str">
        <f>AH55</f>
        <v>+49°00'42.00 [+49°00.70] - (+49.0117°)</v>
      </c>
      <c r="AC55" s="28">
        <f>AC54*AE55</f>
        <v>49.011666666666663</v>
      </c>
      <c r="AD55" s="21" t="s">
        <v>147</v>
      </c>
      <c r="AE55" s="1">
        <f>VLOOKUP(H54,$D$14:$F$15,3)</f>
        <v>1</v>
      </c>
      <c r="AF55" s="1" t="str">
        <f>IF(AE55&lt;0,"-","+")</f>
        <v>+</v>
      </c>
      <c r="AG55" s="21" t="s">
        <v>156</v>
      </c>
      <c r="AH55" s="1" t="str">
        <f>AY55</f>
        <v>+49°00'42.00 [+49°00.70] - (+49.0117°)</v>
      </c>
      <c r="AN55" s="125"/>
      <c r="AT55" s="126"/>
      <c r="AU55" s="126"/>
      <c r="AV55" s="106"/>
      <c r="AW55" s="106"/>
      <c r="AX55" s="106"/>
      <c r="AY55" s="107" t="str">
        <f>CONCATENATE(AF55, TEXT(AU54,"00"),"°",TEXT(AW54,"00"),"'",TEXT(AX54,"00.00"), " [", CONCATENATE(AF55, TEXT(AU54,"00"),"°",TEXT(AV54,"00.00")),"]", " - (",AF55,  TEXT(AT54,"00.0000"),"°)")</f>
        <v>+49°00'42.00 [+49°00.70] - (+49.0117°)</v>
      </c>
      <c r="AZ55" s="106"/>
      <c r="BA55" s="106"/>
      <c r="BB55" s="106"/>
      <c r="BC55" s="106"/>
      <c r="BD55" s="106"/>
      <c r="BE55" s="106"/>
      <c r="BF55" s="106"/>
      <c r="BG55" s="106"/>
      <c r="BH55" s="106"/>
      <c r="BI55" s="106"/>
      <c r="BJ55" s="106"/>
      <c r="BK55" s="106"/>
      <c r="BL55" s="106"/>
      <c r="BM55" s="106"/>
    </row>
    <row r="56" spans="2:65" s="1" customFormat="1" ht="17.25" customHeight="1" thickTop="1" x14ac:dyDescent="0.25">
      <c r="C56" s="621"/>
      <c r="D56" s="622" t="s">
        <v>69</v>
      </c>
      <c r="E56" s="654">
        <f>AC57</f>
        <v>-3.1749999999999998</v>
      </c>
      <c r="F56" s="654"/>
      <c r="G56" s="655"/>
      <c r="H56" s="658" t="s">
        <v>7</v>
      </c>
      <c r="I56" s="660" t="s">
        <v>264</v>
      </c>
      <c r="J56" s="661"/>
      <c r="K56" s="661"/>
      <c r="L56" s="661"/>
      <c r="M56" s="662"/>
      <c r="N56" s="613" t="str">
        <f>AB57</f>
        <v>-03°10'30.00 [-03°10.50] - (-03.1750°)</v>
      </c>
      <c r="O56" s="613"/>
      <c r="P56" s="613"/>
      <c r="Q56" s="613"/>
      <c r="R56" s="613"/>
      <c r="S56" s="613"/>
      <c r="T56" s="613"/>
      <c r="U56" s="613"/>
      <c r="V56" s="613"/>
      <c r="W56" s="614"/>
      <c r="AA56" s="102" t="str">
        <f>I56</f>
        <v>3°10.5'</v>
      </c>
      <c r="AB56" s="19" t="str">
        <f>AY56</f>
        <v>03°10'30.00 [03°10.50] - (03.1750°)</v>
      </c>
      <c r="AC56" s="19">
        <f>AT56</f>
        <v>3.1749999999999998</v>
      </c>
      <c r="AD56" s="111" t="b">
        <f t="shared" ref="AD56" si="52">ISNUMBER(SEARCH("°",AA56,1))</f>
        <v>1</v>
      </c>
      <c r="AE56" s="111" t="b">
        <f t="shared" ref="AE56" si="53">ISNUMBER(SEARCH("'",AA56,1))</f>
        <v>1</v>
      </c>
      <c r="AF56" s="111" t="b">
        <f t="shared" ref="AF56" si="54">ISNUMBER(SEARCH("""",AA56,1))</f>
        <v>0</v>
      </c>
      <c r="AG56" s="111" t="b">
        <f t="shared" ref="AG56" si="55">NOT(OR(AD56,AE56,AF56))</f>
        <v>0</v>
      </c>
      <c r="AH56" s="111" t="b">
        <f t="shared" ref="AH56" si="56">OR(AG56,AD56)</f>
        <v>1</v>
      </c>
      <c r="AI56" s="110" t="str">
        <f t="shared" ref="AI56" si="57">IF(AG56,VALUE(AA56),IF(AD56,LEFT(AA56,SEARCH("°",AA56,1)-1),0))</f>
        <v>3</v>
      </c>
      <c r="AJ56" s="111" t="str">
        <f t="shared" ref="AJ56" si="58">IF(AG56,"",IF(AD56,RIGHT(AA56,LEN(AA56)-SEARCH("°",AA56,1)),AA56))</f>
        <v>10.5'</v>
      </c>
      <c r="AK56" s="111" t="b">
        <f>(LEN(AJ56)&gt;0)</f>
        <v>1</v>
      </c>
      <c r="AL56" s="111" t="b">
        <f>NOT(OR(AE56,AF56))</f>
        <v>0</v>
      </c>
      <c r="AM56" s="110">
        <f>IF(NOT(AK56),0,IF(AL56,VALUE(AJ56),IF(NOT(AE56),0,VALUE(LEFT(AJ56,SEARCH("'",AJ56,1)-1)))))</f>
        <v>10.5</v>
      </c>
      <c r="AN56" s="111" t="str">
        <f>IF(NOT(AK56),"",IF(AL56,"",IF(NOT(AE56),AJ56,RIGHT(AJ56,LEN(AJ56)-SEARCH("'",AJ56,1)))))</f>
        <v/>
      </c>
      <c r="AO56" s="111" t="b">
        <f>(LEN(AN56)&gt;0)</f>
        <v>0</v>
      </c>
      <c r="AP56" s="111" t="b">
        <f>NOT(AF56)</f>
        <v>1</v>
      </c>
      <c r="AQ56" s="111" t="b">
        <f>ISNUMBER(SEARCH(".",AN56,1))</f>
        <v>0</v>
      </c>
      <c r="AR56" s="110">
        <f>IF(AO56,IF(AF56,IF(AQ56,VALUE(SUBSTITUTE(AN56, """", "")),VALUE(SUBSTITUTE(AN56, """", "."))),VALUE(AN56)),0)</f>
        <v>0</v>
      </c>
      <c r="AS56" s="110">
        <f>AI56*3600+AM56*60+AR56</f>
        <v>11430</v>
      </c>
      <c r="AT56" s="110">
        <f>AS56/3600</f>
        <v>3.1749999999999998</v>
      </c>
      <c r="AU56" s="110">
        <f>_xlfn.FLOOR.MATH((AT56))</f>
        <v>3</v>
      </c>
      <c r="AV56" s="110">
        <f>(AS56-3600*AU56)/60</f>
        <v>10.5</v>
      </c>
      <c r="AW56" s="110">
        <f>_xlfn.FLOOR.MATH((AV56))</f>
        <v>10</v>
      </c>
      <c r="AX56" s="110">
        <f>AS56-3600*AU56-60*AW56</f>
        <v>30</v>
      </c>
      <c r="AY56" s="107" t="str">
        <f>CONCATENATE(TEXT(AU56,"00"),"°",TEXT(AW56,"00"),"'",TEXT(AX56,"00.00"), " [", CONCATENATE(TEXT(AU56,"00"),"°",TEXT(AV56,"00.00")),"]", " - (", TEXT(AT56,"00.0000"),"°)")</f>
        <v>03°10'30.00 [03°10.50] - (03.1750°)</v>
      </c>
      <c r="AZ56" s="106"/>
      <c r="BA56" s="106"/>
      <c r="BB56" s="106"/>
      <c r="BC56" s="106"/>
      <c r="BD56" s="106"/>
      <c r="BE56" s="106"/>
      <c r="BF56" s="106"/>
      <c r="BG56" s="106"/>
      <c r="BH56" s="106"/>
      <c r="BI56" s="106"/>
      <c r="BJ56" s="106"/>
      <c r="BK56" s="106"/>
      <c r="BL56" s="106"/>
      <c r="BM56" s="106"/>
    </row>
    <row r="57" spans="2:65" s="1" customFormat="1" ht="17.25" customHeight="1" thickBot="1" x14ac:dyDescent="0.3">
      <c r="C57" s="621"/>
      <c r="D57" s="622"/>
      <c r="E57" s="656"/>
      <c r="F57" s="656"/>
      <c r="G57" s="657"/>
      <c r="H57" s="659"/>
      <c r="I57" s="663"/>
      <c r="J57" s="664"/>
      <c r="K57" s="664"/>
      <c r="L57" s="664"/>
      <c r="M57" s="665"/>
      <c r="N57" s="615"/>
      <c r="O57" s="615"/>
      <c r="P57" s="615"/>
      <c r="Q57" s="615"/>
      <c r="R57" s="615"/>
      <c r="S57" s="615"/>
      <c r="T57" s="615"/>
      <c r="U57" s="615"/>
      <c r="V57" s="615"/>
      <c r="W57" s="616"/>
      <c r="AA57" s="102"/>
      <c r="AB57" s="28" t="str">
        <f>AH57</f>
        <v>-03°10'30.00 [-03°10.50] - (-03.1750°)</v>
      </c>
      <c r="AC57" s="28">
        <f>AC56*AE57</f>
        <v>-3.1749999999999998</v>
      </c>
      <c r="AD57" s="21" t="s">
        <v>147</v>
      </c>
      <c r="AE57" s="1">
        <f>VLOOKUP(H56,$E$14:$F$15,2)</f>
        <v>-1</v>
      </c>
      <c r="AF57" s="1" t="str">
        <f>IF(AE57&lt;0,"-","+")</f>
        <v>-</v>
      </c>
      <c r="AG57" s="21" t="s">
        <v>156</v>
      </c>
      <c r="AH57" s="1" t="str">
        <f>AY57</f>
        <v>-03°10'30.00 [-03°10.50] - (-03.1750°)</v>
      </c>
      <c r="AN57" s="125"/>
      <c r="AT57" s="126"/>
      <c r="AU57" s="126"/>
      <c r="AV57" s="106"/>
      <c r="AW57" s="106"/>
      <c r="AX57" s="106"/>
      <c r="AY57" s="107" t="str">
        <f>CONCATENATE(AF57, TEXT(AU56,"00"),"°",TEXT(AW56,"00"),"'",TEXT(AX56,"00.00"), " [", CONCATENATE(AF57, TEXT(AU56,"00"),"°",TEXT(AV56,"00.00")),"]", " - (",AF57,  TEXT(AT56,"00.0000"),"°)")</f>
        <v>-03°10'30.00 [-03°10.50] - (-03.1750°)</v>
      </c>
      <c r="AZ57" s="106"/>
      <c r="BA57" s="106"/>
      <c r="BB57" s="106"/>
      <c r="BC57" s="106"/>
      <c r="BD57" s="106"/>
      <c r="BE57" s="106"/>
      <c r="BF57" s="106"/>
      <c r="BG57" s="106"/>
      <c r="BH57" s="106"/>
      <c r="BI57" s="106"/>
      <c r="BJ57" s="106"/>
      <c r="BK57" s="106"/>
      <c r="BL57" s="106"/>
      <c r="BM57" s="106"/>
    </row>
    <row r="58" spans="2:65" s="1" customFormat="1" ht="17.25" customHeight="1" x14ac:dyDescent="0.25">
      <c r="H58" s="127"/>
      <c r="I58" s="127"/>
      <c r="J58" s="127"/>
      <c r="K58" s="127"/>
      <c r="L58" s="127"/>
      <c r="M58" s="127"/>
      <c r="N58" s="127"/>
      <c r="O58" s="127"/>
      <c r="P58" s="127"/>
      <c r="Q58" s="127"/>
      <c r="R58" s="127"/>
      <c r="S58" s="127"/>
      <c r="T58" s="127"/>
      <c r="U58" s="127"/>
      <c r="AA58" s="128"/>
      <c r="AB58" s="14"/>
      <c r="AC58" s="14"/>
      <c r="AD58" s="104"/>
      <c r="AE58" s="104"/>
      <c r="AF58" s="104"/>
      <c r="AG58" s="104"/>
      <c r="AH58" s="104"/>
      <c r="AI58" s="104"/>
      <c r="AJ58" s="104"/>
      <c r="AK58" s="104"/>
      <c r="AL58" s="104"/>
      <c r="AM58" s="104"/>
      <c r="AN58" s="104"/>
      <c r="AO58" s="104"/>
      <c r="AP58" s="104"/>
      <c r="AQ58" s="104"/>
      <c r="AR58" s="104"/>
      <c r="AS58" s="104"/>
      <c r="AT58" s="104"/>
      <c r="AU58" s="104"/>
      <c r="AV58" s="104"/>
      <c r="AW58" s="104"/>
      <c r="AX58" s="104"/>
      <c r="AY58" s="104"/>
      <c r="AZ58" s="104"/>
      <c r="BA58" s="106"/>
      <c r="BB58" s="106"/>
      <c r="BC58" s="106"/>
      <c r="BD58" s="106"/>
      <c r="BE58" s="106"/>
      <c r="BF58" s="106"/>
      <c r="BG58" s="106"/>
      <c r="BH58" s="106"/>
      <c r="BI58" s="106"/>
      <c r="BJ58" s="106"/>
      <c r="BK58" s="106"/>
      <c r="BL58" s="106"/>
      <c r="BM58" s="106"/>
    </row>
    <row r="59" spans="2:65" s="1" customFormat="1" ht="17.25" customHeight="1" thickBot="1" x14ac:dyDescent="0.3">
      <c r="C59" s="106"/>
      <c r="AA59" s="102"/>
      <c r="AB59" s="19"/>
      <c r="AC59" s="19"/>
      <c r="AD59" s="21" t="s">
        <v>120</v>
      </c>
      <c r="AE59" s="21" t="s">
        <v>121</v>
      </c>
      <c r="AF59" s="21" t="s">
        <v>122</v>
      </c>
      <c r="AG59" s="21" t="s">
        <v>123</v>
      </c>
      <c r="AH59" s="21" t="s">
        <v>124</v>
      </c>
      <c r="AI59" s="21" t="s">
        <v>125</v>
      </c>
      <c r="AJ59" s="21" t="s">
        <v>101</v>
      </c>
      <c r="AK59" s="21" t="s">
        <v>129</v>
      </c>
      <c r="AL59" s="21" t="s">
        <v>128</v>
      </c>
      <c r="AM59" s="21" t="s">
        <v>126</v>
      </c>
      <c r="AN59" s="21" t="s">
        <v>127</v>
      </c>
      <c r="AO59" s="21" t="s">
        <v>129</v>
      </c>
      <c r="AP59" s="21" t="s">
        <v>128</v>
      </c>
      <c r="AQ59" s="21" t="s">
        <v>130</v>
      </c>
      <c r="AR59" s="21" t="s">
        <v>112</v>
      </c>
      <c r="AS59" s="21" t="s">
        <v>117</v>
      </c>
      <c r="AT59" s="21" t="s">
        <v>143</v>
      </c>
      <c r="AU59" s="21" t="s">
        <v>149</v>
      </c>
      <c r="AV59" s="21" t="s">
        <v>131</v>
      </c>
      <c r="AW59" s="21" t="s">
        <v>150</v>
      </c>
      <c r="AX59" s="21" t="s">
        <v>112</v>
      </c>
      <c r="AY59" s="21" t="s">
        <v>151</v>
      </c>
    </row>
    <row r="60" spans="2:65" s="1" customFormat="1" ht="17.25" customHeight="1" thickTop="1" x14ac:dyDescent="0.25">
      <c r="C60" s="603" t="s">
        <v>258</v>
      </c>
      <c r="D60" s="610" t="s">
        <v>259</v>
      </c>
      <c r="E60" s="610"/>
      <c r="F60" s="609">
        <f>AC60</f>
        <v>300</v>
      </c>
      <c r="G60" s="609"/>
      <c r="H60" s="609"/>
      <c r="I60" s="608" t="s">
        <v>269</v>
      </c>
      <c r="J60" s="608"/>
      <c r="K60" s="608"/>
      <c r="L60" s="608"/>
      <c r="M60" s="608"/>
      <c r="N60" s="613" t="str">
        <f>AB60</f>
        <v>300°00'00.00 [300°00.00] - (300.0000°)</v>
      </c>
      <c r="O60" s="613"/>
      <c r="P60" s="613"/>
      <c r="Q60" s="613"/>
      <c r="R60" s="613"/>
      <c r="S60" s="613"/>
      <c r="T60" s="613"/>
      <c r="U60" s="613"/>
      <c r="V60" s="613"/>
      <c r="W60" s="614"/>
      <c r="AA60" s="102" t="str">
        <f>I60</f>
        <v>300°</v>
      </c>
      <c r="AB60" s="19" t="str">
        <f>AY60</f>
        <v>300°00'00.00 [300°00.00] - (300.0000°)</v>
      </c>
      <c r="AC60" s="19">
        <f>AT60</f>
        <v>300</v>
      </c>
      <c r="AD60" s="111" t="b">
        <f t="shared" ref="AD60" si="59">ISNUMBER(SEARCH("°",AA60,1))</f>
        <v>1</v>
      </c>
      <c r="AE60" s="111" t="b">
        <f t="shared" ref="AE60" si="60">ISNUMBER(SEARCH("'",AA60,1))</f>
        <v>0</v>
      </c>
      <c r="AF60" s="111" t="b">
        <f t="shared" ref="AF60" si="61">ISNUMBER(SEARCH("""",AA60,1))</f>
        <v>0</v>
      </c>
      <c r="AG60" s="111" t="b">
        <f t="shared" ref="AG60" si="62">NOT(OR(AD60,AE60,AF60))</f>
        <v>0</v>
      </c>
      <c r="AH60" s="111" t="b">
        <f t="shared" ref="AH60" si="63">OR(AG60,AD60)</f>
        <v>1</v>
      </c>
      <c r="AI60" s="110" t="str">
        <f t="shared" ref="AI60" si="64">IF(AG60,VALUE(AA60),IF(AD60,LEFT(AA60,SEARCH("°",AA60,1)-1),0))</f>
        <v>300</v>
      </c>
      <c r="AJ60" s="111" t="str">
        <f t="shared" ref="AJ60" si="65">IF(AG60,"",IF(AD60,RIGHT(AA60,LEN(AA60)-SEARCH("°",AA60,1)),AA60))</f>
        <v/>
      </c>
      <c r="AK60" s="111" t="b">
        <f>(LEN(AJ60)&gt;0)</f>
        <v>0</v>
      </c>
      <c r="AL60" s="111" t="b">
        <f>NOT(OR(AE60,AF60))</f>
        <v>1</v>
      </c>
      <c r="AM60" s="110">
        <f>IF(NOT(AK60),0,IF(AL60,VALUE(AJ60),IF(NOT(AE60),0,VALUE(LEFT(AJ60,SEARCH("'",AJ60,1)-1)))))</f>
        <v>0</v>
      </c>
      <c r="AN60" s="111" t="str">
        <f>IF(NOT(AK60),"",IF(AL60,"",IF(NOT(AE60),AJ60,RIGHT(AJ60,LEN(AJ60)-SEARCH("'",AJ60,1)))))</f>
        <v/>
      </c>
      <c r="AO60" s="111" t="b">
        <f>(LEN(AN60)&gt;0)</f>
        <v>0</v>
      </c>
      <c r="AP60" s="111" t="b">
        <f>NOT(AF60)</f>
        <v>1</v>
      </c>
      <c r="AQ60" s="111" t="b">
        <f>ISNUMBER(SEARCH(".",AN60,1))</f>
        <v>0</v>
      </c>
      <c r="AR60" s="110">
        <f>IF(AO60,IF(AF60,IF(AQ60,VALUE(SUBSTITUTE(AN60, """", "")),VALUE(SUBSTITUTE(AN60, """", "."))),VALUE(AN60)),0)</f>
        <v>0</v>
      </c>
      <c r="AS60" s="110">
        <f>AI60*3600+AM60*60+AR60</f>
        <v>1080000</v>
      </c>
      <c r="AT60" s="110">
        <f>AS60/3600</f>
        <v>300</v>
      </c>
      <c r="AU60" s="110">
        <f>_xlfn.FLOOR.MATH((AT60))</f>
        <v>300</v>
      </c>
      <c r="AV60" s="110">
        <f>(AS60-3600*AU60)/60</f>
        <v>0</v>
      </c>
      <c r="AW60" s="110">
        <f>_xlfn.FLOOR.MATH((AV60))</f>
        <v>0</v>
      </c>
      <c r="AX60" s="110">
        <f>AS60-3600*AU60-60*AW60</f>
        <v>0</v>
      </c>
      <c r="AY60" s="107" t="str">
        <f>CONCATENATE(TEXT(AU60,"00"),"°",TEXT(AW60,"00"),"'",TEXT(AX60,"00.00"), " [", CONCATENATE(TEXT(AU60,"00"),"°",TEXT(AV60,"00.00")),"]", " - (", TEXT(AT60,"00.0000"),"°)")</f>
        <v>300°00'00.00 [300°00.00] - (300.0000°)</v>
      </c>
    </row>
    <row r="61" spans="2:65" s="1" customFormat="1" ht="17.25" customHeight="1" thickBot="1" x14ac:dyDescent="0.3">
      <c r="C61" s="603"/>
      <c r="D61" s="610"/>
      <c r="E61" s="610"/>
      <c r="F61" s="609"/>
      <c r="G61" s="609"/>
      <c r="H61" s="609"/>
      <c r="I61" s="608"/>
      <c r="J61" s="608"/>
      <c r="K61" s="608"/>
      <c r="L61" s="608"/>
      <c r="M61" s="608"/>
      <c r="N61" s="615"/>
      <c r="O61" s="615"/>
      <c r="P61" s="615"/>
      <c r="Q61" s="615"/>
      <c r="R61" s="615"/>
      <c r="S61" s="615"/>
      <c r="T61" s="615"/>
      <c r="U61" s="615"/>
      <c r="V61" s="615"/>
      <c r="W61" s="616"/>
      <c r="AA61" s="102">
        <f>I62</f>
        <v>14.5</v>
      </c>
      <c r="AB61" s="19" t="str">
        <f>AY61</f>
        <v>14°30'00.00 [14°30.00] - (14.5000°)</v>
      </c>
      <c r="AC61" s="19">
        <f>AT61</f>
        <v>14.5</v>
      </c>
      <c r="AD61" s="111" t="b">
        <f t="shared" ref="AD61" si="66">ISNUMBER(SEARCH("°",AA61,1))</f>
        <v>0</v>
      </c>
      <c r="AE61" s="111" t="b">
        <f t="shared" ref="AE61" si="67">ISNUMBER(SEARCH("'",AA61,1))</f>
        <v>0</v>
      </c>
      <c r="AF61" s="111" t="b">
        <f t="shared" ref="AF61" si="68">ISNUMBER(SEARCH("""",AA61,1))</f>
        <v>0</v>
      </c>
      <c r="AG61" s="111" t="b">
        <f t="shared" ref="AG61" si="69">NOT(OR(AD61,AE61,AF61))</f>
        <v>1</v>
      </c>
      <c r="AH61" s="111" t="b">
        <f t="shared" ref="AH61" si="70">OR(AG61,AD61)</f>
        <v>1</v>
      </c>
      <c r="AI61" s="110">
        <f t="shared" ref="AI61" si="71">IF(AG61,VALUE(AA61),IF(AD61,LEFT(AA61,SEARCH("°",AA61,1)-1),0))</f>
        <v>14.5</v>
      </c>
      <c r="AJ61" s="111" t="str">
        <f t="shared" ref="AJ61" si="72">IF(AG61,"",IF(AD61,RIGHT(AA61,LEN(AA61)-SEARCH("°",AA61,1)),AA61))</f>
        <v/>
      </c>
      <c r="AK61" s="111" t="b">
        <f>(LEN(AJ61)&gt;0)</f>
        <v>0</v>
      </c>
      <c r="AL61" s="111" t="b">
        <f>NOT(OR(AE61,AF61))</f>
        <v>1</v>
      </c>
      <c r="AM61" s="110">
        <f>IF(NOT(AK61),0,IF(AL61,VALUE(AJ61),IF(NOT(AE61),0,VALUE(LEFT(AJ61,SEARCH("'",AJ61,1)-1)))))</f>
        <v>0</v>
      </c>
      <c r="AN61" s="111" t="str">
        <f>IF(NOT(AK61),"",IF(AL61,"",IF(NOT(AE61),AJ61,RIGHT(AJ61,LEN(AJ61)-SEARCH("'",AJ61,1)))))</f>
        <v/>
      </c>
      <c r="AO61" s="111" t="b">
        <f>(LEN(AN61)&gt;0)</f>
        <v>0</v>
      </c>
      <c r="AP61" s="111" t="b">
        <f>NOT(AF61)</f>
        <v>1</v>
      </c>
      <c r="AQ61" s="111" t="b">
        <f>ISNUMBER(SEARCH(".",AN61,1))</f>
        <v>0</v>
      </c>
      <c r="AR61" s="110">
        <f>IF(AO61,IF(AF61,IF(AQ61,VALUE(SUBSTITUTE(AN61, """", "")),VALUE(SUBSTITUTE(AN61, """", "."))),VALUE(AN61)),0)</f>
        <v>0</v>
      </c>
      <c r="AS61" s="110">
        <f>AI61*3600+AM61*60+AR61</f>
        <v>52200</v>
      </c>
      <c r="AT61" s="110">
        <f>AS61/3600</f>
        <v>14.5</v>
      </c>
      <c r="AU61" s="110">
        <f>_xlfn.FLOOR.MATH((AT61))</f>
        <v>14</v>
      </c>
      <c r="AV61" s="110">
        <f>(AS61-3600*AU61)/60</f>
        <v>30</v>
      </c>
      <c r="AW61" s="110">
        <f>_xlfn.FLOOR.MATH((AV61))</f>
        <v>30</v>
      </c>
      <c r="AX61" s="110">
        <f>AS61-3600*AU61-60*AW61</f>
        <v>0</v>
      </c>
      <c r="AY61" s="107" t="str">
        <f>CONCATENATE(TEXT(AU61,"00"),"°",TEXT(AW61,"00"),"'",TEXT(AX61,"00.00"), " [", CONCATENATE(TEXT(AU61,"00"),"°",TEXT(AV61,"00.00")),"]", " - (", TEXT(AT61,"00.0000"),"°)")</f>
        <v>14°30'00.00 [14°30.00] - (14.5000°)</v>
      </c>
      <c r="AZ61" s="106"/>
      <c r="BA61" s="106"/>
      <c r="BB61" s="106"/>
      <c r="BC61" s="106"/>
      <c r="BD61" s="106"/>
      <c r="BE61" s="106"/>
      <c r="BF61" s="106"/>
      <c r="BG61" s="106"/>
      <c r="BH61" s="106"/>
      <c r="BI61" s="106"/>
      <c r="BJ61" s="106"/>
      <c r="BK61" s="106"/>
      <c r="BL61" s="106"/>
      <c r="BM61" s="106"/>
    </row>
    <row r="62" spans="2:65" s="1" customFormat="1" ht="17.25" customHeight="1" thickTop="1" x14ac:dyDescent="0.25">
      <c r="C62" s="603"/>
      <c r="D62" s="610" t="s">
        <v>258</v>
      </c>
      <c r="E62" s="610"/>
      <c r="F62" s="609">
        <v>5</v>
      </c>
      <c r="G62" s="609"/>
      <c r="H62" s="609"/>
      <c r="I62" s="608">
        <v>14.5</v>
      </c>
      <c r="J62" s="608"/>
      <c r="K62" s="608"/>
      <c r="L62" s="608"/>
      <c r="M62" s="608"/>
      <c r="N62" s="643"/>
      <c r="O62" s="643"/>
      <c r="P62" s="643"/>
      <c r="Q62" s="643"/>
      <c r="R62" s="643"/>
      <c r="S62" s="643"/>
      <c r="T62" s="643"/>
      <c r="U62" s="643"/>
      <c r="V62" s="643"/>
      <c r="W62" s="643"/>
      <c r="AA62" s="102"/>
      <c r="AB62" s="19"/>
      <c r="AC62" s="19"/>
      <c r="AD62" s="21" t="s">
        <v>132</v>
      </c>
      <c r="AE62" s="21" t="s">
        <v>12</v>
      </c>
      <c r="AF62" s="21" t="s">
        <v>133</v>
      </c>
      <c r="AG62" s="21" t="s">
        <v>129</v>
      </c>
      <c r="AH62" s="21" t="s">
        <v>132</v>
      </c>
      <c r="AI62" s="21" t="s">
        <v>137</v>
      </c>
      <c r="AJ62" s="21" t="s">
        <v>138</v>
      </c>
      <c r="AK62" s="21" t="s">
        <v>129</v>
      </c>
      <c r="AL62" s="21" t="s">
        <v>112</v>
      </c>
      <c r="AM62" s="21" t="s">
        <v>117</v>
      </c>
      <c r="AN62" s="21" t="s">
        <v>144</v>
      </c>
      <c r="AO62" s="21" t="s">
        <v>131</v>
      </c>
      <c r="AP62" s="21" t="s">
        <v>152</v>
      </c>
      <c r="AQ62" s="21" t="s">
        <v>150</v>
      </c>
      <c r="AR62" s="21" t="s">
        <v>112</v>
      </c>
      <c r="AS62" s="21" t="s">
        <v>151</v>
      </c>
      <c r="BB62" s="106"/>
      <c r="BC62" s="106"/>
      <c r="BD62" s="106"/>
      <c r="BE62" s="106"/>
      <c r="BF62" s="106"/>
      <c r="BG62" s="106"/>
      <c r="BH62" s="106"/>
      <c r="BI62" s="106"/>
      <c r="BJ62" s="106"/>
      <c r="BK62" s="106"/>
      <c r="BL62" s="106"/>
      <c r="BM62" s="106"/>
    </row>
    <row r="63" spans="2:65" s="1" customFormat="1" ht="17.25" customHeight="1" thickBot="1" x14ac:dyDescent="0.3">
      <c r="C63" s="603"/>
      <c r="D63" s="610"/>
      <c r="E63" s="610"/>
      <c r="F63" s="609"/>
      <c r="G63" s="609"/>
      <c r="H63" s="609"/>
      <c r="I63" s="608"/>
      <c r="J63" s="608"/>
      <c r="K63" s="608"/>
      <c r="L63" s="608"/>
      <c r="M63" s="608"/>
      <c r="N63" s="643"/>
      <c r="O63" s="643"/>
      <c r="P63" s="643"/>
      <c r="Q63" s="643"/>
      <c r="R63" s="643"/>
      <c r="S63" s="643"/>
      <c r="T63" s="643"/>
      <c r="U63" s="643"/>
      <c r="V63" s="643"/>
      <c r="W63" s="643"/>
      <c r="AA63" s="102" t="str">
        <f>I64</f>
        <v>3:36</v>
      </c>
      <c r="AB63" s="90" t="str">
        <f>AS63</f>
        <v>03:36:00.00 [03:36.00] - (03.6000)</v>
      </c>
      <c r="AC63" s="90">
        <f>AN63</f>
        <v>3.6</v>
      </c>
      <c r="AD63" s="108" t="b">
        <f t="shared" ref="AD63" si="73">ISNUMBER(SEARCH(":",AA63,1))</f>
        <v>1</v>
      </c>
      <c r="AE63" s="109">
        <f t="shared" ref="AE63" si="74">IF(AD63, VALUE(LEFT(AA63,SEARCH(":",AA63,1)-1)),VALUE(AA63))</f>
        <v>3</v>
      </c>
      <c r="AF63" s="109" t="str">
        <f t="shared" ref="AF63" si="75">IF(AD63, RIGHT(AA63,LEN(AA63)-SEARCH(":",AA63,1)),"")</f>
        <v>36</v>
      </c>
      <c r="AG63" s="108" t="b">
        <f>(LEN(AF63)&gt;0)</f>
        <v>1</v>
      </c>
      <c r="AH63" s="108" t="b">
        <f>ISNUMBER(SEARCH(":",AF63,1))</f>
        <v>0</v>
      </c>
      <c r="AI63" s="109">
        <f>IF(NOT(AG63),0,IF(AH63, VALUE(LEFT(AF63,SEARCH(":",AF63,1)-1)),VALUE(AF63)))</f>
        <v>36</v>
      </c>
      <c r="AJ63" s="109" t="str">
        <f>IF(AH63, RIGHT(AF63,LEN(AF63)-SEARCH(":",AF63,1)),"")</f>
        <v/>
      </c>
      <c r="AK63" s="108" t="b">
        <f>(LEN(AJ63)&gt;0)</f>
        <v>0</v>
      </c>
      <c r="AL63" s="109">
        <f>IF(AK63,VALUE(AJ63),0)</f>
        <v>0</v>
      </c>
      <c r="AM63" s="110">
        <f>AE63*3600+AI63*60+AL63</f>
        <v>12960</v>
      </c>
      <c r="AN63" s="110">
        <f>AM63/3600</f>
        <v>3.6</v>
      </c>
      <c r="AO63" s="110">
        <f>(AM63-3600*INT(AN63))/60</f>
        <v>36</v>
      </c>
      <c r="AP63" s="109">
        <f>_xlfn.FLOOR.MATH(AN63)</f>
        <v>3</v>
      </c>
      <c r="AQ63" s="109">
        <f>_xlfn.FLOOR.MATH(AO63)</f>
        <v>36</v>
      </c>
      <c r="AR63" s="109">
        <f>_xlfn.FLOOR.MATH(AM63-AP63*3600-AQ63*60)</f>
        <v>0</v>
      </c>
      <c r="AS63" s="107" t="str">
        <f>CONCATENATE(TEXT(AP63,"00"),":",TEXT(AQ63,"00"),":",TEXT(AR63,"00.00"), " [", CONCATENATE(TEXT(AP63,"00"),":",TEXT(AO63,"00.00")),"]", " - (", TEXT(AN63,"00.0000"),")")</f>
        <v>03:36:00.00 [03:36.00] - (03.6000)</v>
      </c>
      <c r="AY63" s="107" t="str">
        <f>CONCATENATE(AF63, TEXT(AU61,"00"),"°",TEXT(AW61,"00"),"'",TEXT(AX61,"00.00"), " [", CONCATENATE(AF63, TEXT(AU61,"00"),"°",TEXT(AV61,"00.00")),"]", " - (",AF63,  TEXT(AT61,"00.0000"),"°)")</f>
        <v>3614°30'00.00 [3614°30.00] - (3614.5000°)</v>
      </c>
      <c r="AZ63" s="106"/>
      <c r="BA63" s="106"/>
      <c r="BB63" s="106"/>
      <c r="BC63" s="106"/>
      <c r="BD63" s="106"/>
      <c r="BE63" s="106"/>
      <c r="BF63" s="106"/>
      <c r="BG63" s="106"/>
      <c r="BH63" s="106"/>
      <c r="BI63" s="106"/>
      <c r="BJ63" s="106"/>
      <c r="BK63" s="106"/>
      <c r="BL63" s="106"/>
      <c r="BM63" s="106"/>
    </row>
    <row r="64" spans="2:65" ht="15.75" thickTop="1" x14ac:dyDescent="0.25">
      <c r="C64" s="603"/>
      <c r="D64" s="610" t="s">
        <v>266</v>
      </c>
      <c r="E64" s="610"/>
      <c r="F64" s="609">
        <f>AC63</f>
        <v>3.6</v>
      </c>
      <c r="G64" s="609"/>
      <c r="H64" s="609"/>
      <c r="I64" s="608" t="s">
        <v>265</v>
      </c>
      <c r="J64" s="608"/>
      <c r="K64" s="608"/>
      <c r="L64" s="608"/>
      <c r="M64" s="608"/>
      <c r="N64" s="613" t="str">
        <f>AB63</f>
        <v>03:36:00.00 [03:36.00] - (03.6000)</v>
      </c>
      <c r="O64" s="613"/>
      <c r="P64" s="613"/>
      <c r="Q64" s="613"/>
      <c r="R64" s="613"/>
      <c r="S64" s="613"/>
      <c r="T64" s="613"/>
      <c r="U64" s="613"/>
      <c r="V64" s="613"/>
      <c r="W64" s="614"/>
    </row>
    <row r="65" spans="2:65" ht="15.75" thickBot="1" x14ac:dyDescent="0.3">
      <c r="C65" s="603"/>
      <c r="D65" s="610"/>
      <c r="E65" s="610"/>
      <c r="F65" s="609"/>
      <c r="G65" s="609"/>
      <c r="H65" s="609"/>
      <c r="I65" s="608"/>
      <c r="J65" s="608"/>
      <c r="K65" s="608"/>
      <c r="L65" s="608"/>
      <c r="M65" s="608"/>
      <c r="N65" s="615"/>
      <c r="O65" s="615"/>
      <c r="P65" s="615"/>
      <c r="Q65" s="615"/>
      <c r="R65" s="615"/>
      <c r="S65" s="615"/>
      <c r="T65" s="615"/>
      <c r="U65" s="615"/>
      <c r="V65" s="615"/>
      <c r="W65" s="616"/>
    </row>
    <row r="66" spans="2:65" ht="15.75" thickTop="1" x14ac:dyDescent="0.25">
      <c r="AB66" s="90" t="s">
        <v>242</v>
      </c>
      <c r="AC66" s="14">
        <f>F64*I62</f>
        <v>52.2</v>
      </c>
      <c r="AD66" s="79" t="s">
        <v>249</v>
      </c>
      <c r="AE66" s="130">
        <f>AC66*COS(AC60*$K$13)/60</f>
        <v>0.43500000000000016</v>
      </c>
      <c r="AF66" s="79" t="s">
        <v>68</v>
      </c>
      <c r="AG66" s="130">
        <f>AE66+AC54</f>
        <v>49.446666666666665</v>
      </c>
    </row>
    <row r="67" spans="2:65" s="1" customFormat="1" ht="17.25" customHeight="1" x14ac:dyDescent="0.25">
      <c r="C67" s="89"/>
      <c r="D67" s="104"/>
      <c r="AA67" s="101"/>
      <c r="AB67" s="28"/>
      <c r="AC67" s="28"/>
      <c r="AD67" s="79" t="s">
        <v>267</v>
      </c>
      <c r="AE67" s="130">
        <f>AC54+AE66/2</f>
        <v>49.229166666666664</v>
      </c>
      <c r="AF67" s="79" t="s">
        <v>69</v>
      </c>
      <c r="AG67" s="130">
        <f>AC57+AE68</f>
        <v>-2.021245748236943</v>
      </c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</row>
    <row r="68" spans="2:65" s="1" customFormat="1" ht="17.25" customHeight="1" x14ac:dyDescent="0.25">
      <c r="C68" s="89"/>
      <c r="D68" s="104"/>
      <c r="F68" s="617" t="s">
        <v>260</v>
      </c>
      <c r="G68" s="618"/>
      <c r="H68" s="618"/>
      <c r="I68" s="618"/>
      <c r="J68" s="618"/>
      <c r="K68" s="618"/>
      <c r="L68" s="618"/>
      <c r="M68" s="618"/>
      <c r="N68" s="618"/>
      <c r="O68" s="618"/>
      <c r="P68" s="618"/>
      <c r="Q68" s="618"/>
      <c r="R68" s="618"/>
      <c r="S68" s="618"/>
      <c r="T68" s="618"/>
      <c r="U68" s="618"/>
      <c r="V68" s="618"/>
      <c r="W68" s="618"/>
      <c r="X68" s="618"/>
      <c r="Y68" s="619"/>
      <c r="AA68" s="101"/>
      <c r="AB68" s="28"/>
      <c r="AC68" s="28"/>
      <c r="AD68" s="79" t="s">
        <v>268</v>
      </c>
      <c r="AE68" s="130">
        <f>-AC66*SIN(AC60*$K$13)/(60*COS(AE67*$K$13))</f>
        <v>1.1537542517630566</v>
      </c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</row>
    <row r="69" spans="2:65" x14ac:dyDescent="0.25">
      <c r="F69" s="641" t="s">
        <v>68</v>
      </c>
      <c r="G69" s="604" t="str">
        <f>AB70</f>
        <v>49°26.80</v>
      </c>
      <c r="H69" s="604"/>
      <c r="I69" s="604"/>
      <c r="J69" s="604"/>
      <c r="K69" s="604"/>
      <c r="L69" s="604"/>
      <c r="M69" s="604"/>
      <c r="N69" s="604"/>
      <c r="O69" s="604"/>
      <c r="P69" s="644" t="str">
        <f>AC70</f>
        <v>N 49°26'48.00 [N 49°26.80] - (N 00.0000°)</v>
      </c>
      <c r="Q69" s="644"/>
      <c r="R69" s="644"/>
      <c r="S69" s="644"/>
      <c r="T69" s="644"/>
      <c r="U69" s="644"/>
      <c r="V69" s="644"/>
      <c r="W69" s="644"/>
      <c r="X69" s="644"/>
      <c r="Y69" s="645"/>
      <c r="AA69" s="101"/>
      <c r="AF69" s="21" t="s">
        <v>112</v>
      </c>
      <c r="AG69" s="21" t="s">
        <v>149</v>
      </c>
      <c r="AH69" s="21" t="s">
        <v>131</v>
      </c>
      <c r="AI69" s="21" t="s">
        <v>150</v>
      </c>
      <c r="AJ69" s="21" t="s">
        <v>112</v>
      </c>
      <c r="AK69" s="21" t="s">
        <v>151</v>
      </c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</row>
    <row r="70" spans="2:65" ht="15.75" thickBot="1" x14ac:dyDescent="0.3">
      <c r="F70" s="642"/>
      <c r="G70" s="604"/>
      <c r="H70" s="604"/>
      <c r="I70" s="604"/>
      <c r="J70" s="604"/>
      <c r="K70" s="604"/>
      <c r="L70" s="604"/>
      <c r="M70" s="604"/>
      <c r="N70" s="604"/>
      <c r="O70" s="604"/>
      <c r="P70" s="615"/>
      <c r="Q70" s="615"/>
      <c r="R70" s="615"/>
      <c r="S70" s="615"/>
      <c r="T70" s="615"/>
      <c r="U70" s="615"/>
      <c r="V70" s="615"/>
      <c r="W70" s="615"/>
      <c r="X70" s="615"/>
      <c r="Y70" s="616"/>
      <c r="AA70" s="132">
        <f>AG66</f>
        <v>49.446666666666665</v>
      </c>
      <c r="AB70" s="14" t="str">
        <f>AK70</f>
        <v>49°26.80</v>
      </c>
      <c r="AC70" s="14" t="str">
        <f>AL70</f>
        <v>N 49°26'48.00 [N 49°26.80] - (N 00.0000°)</v>
      </c>
      <c r="AD70" s="14" t="str">
        <f>IF(AA70&lt;0,"S","N")</f>
        <v>N</v>
      </c>
      <c r="AE70" s="14">
        <f>ABS(AA70)</f>
        <v>49.446666666666665</v>
      </c>
      <c r="AF70" s="110">
        <f>AE70*3600</f>
        <v>178008</v>
      </c>
      <c r="AG70" s="110">
        <f>_xlfn.FLOOR.MATH(AE70)</f>
        <v>49</v>
      </c>
      <c r="AH70" s="110">
        <f>(AF70-3600*AG70)/60</f>
        <v>26.8</v>
      </c>
      <c r="AI70" s="110">
        <f>_xlfn.FLOOR.MATH((AH70))</f>
        <v>26</v>
      </c>
      <c r="AJ70" s="110">
        <f>AF70-3600*AG70-60*AI70</f>
        <v>48</v>
      </c>
      <c r="AK70" s="104" t="str">
        <f>CONCATENATE(TEXT(AG70,"00"),"°",TEXT(AH70,"00.00"))</f>
        <v>49°26.80</v>
      </c>
      <c r="AL70" s="107" t="str">
        <f>CONCATENATE(AD70, " ", TEXT(AG70,"00"),"°",TEXT(AI70,"00"),"'",TEXT(AJ70,"00.00"), " [", AD70, " ",CONCATENATE(TEXT(AG70,"00"),"°",TEXT(AH70,"00.00")),"]", " - (", AD70, " ", TEXT(Y70,"00.0000"),"°)")</f>
        <v>N 49°26'48.00 [N 49°26.80] - (N 00.0000°)</v>
      </c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</row>
    <row r="71" spans="2:65" ht="15.75" thickTop="1" x14ac:dyDescent="0.25">
      <c r="F71" s="611" t="s">
        <v>69</v>
      </c>
      <c r="G71" s="604" t="str">
        <f>AB71</f>
        <v>02°01.27</v>
      </c>
      <c r="H71" s="604"/>
      <c r="I71" s="604"/>
      <c r="J71" s="604"/>
      <c r="K71" s="604"/>
      <c r="L71" s="604"/>
      <c r="M71" s="604"/>
      <c r="N71" s="604"/>
      <c r="O71" s="604"/>
      <c r="P71" s="613" t="str">
        <f>AC71</f>
        <v>W 02°01'16.48 [W 02°01.27] - (W 00.0000°)</v>
      </c>
      <c r="Q71" s="613"/>
      <c r="R71" s="613"/>
      <c r="S71" s="613"/>
      <c r="T71" s="613"/>
      <c r="U71" s="613"/>
      <c r="V71" s="613"/>
      <c r="W71" s="613"/>
      <c r="X71" s="613"/>
      <c r="Y71" s="614"/>
      <c r="AA71" s="133">
        <f>AG67</f>
        <v>-2.021245748236943</v>
      </c>
      <c r="AB71" s="14" t="str">
        <f>AK71</f>
        <v>02°01.27</v>
      </c>
      <c r="AC71" s="14" t="str">
        <f>AL71</f>
        <v>W 02°01'16.48 [W 02°01.27] - (W 00.0000°)</v>
      </c>
      <c r="AD71" s="14" t="str">
        <f>IF(AA71&lt;0,"W","E")</f>
        <v>W</v>
      </c>
      <c r="AE71" s="14">
        <f>ABS(AA71)</f>
        <v>2.021245748236943</v>
      </c>
      <c r="AF71" s="110">
        <f>AE71*3600</f>
        <v>7276.4846936529948</v>
      </c>
      <c r="AG71" s="110">
        <f>_xlfn.FLOOR.MATH(AE71)</f>
        <v>2</v>
      </c>
      <c r="AH71" s="110">
        <f>(AF71-3600*AG71)/60</f>
        <v>1.2747448942165798</v>
      </c>
      <c r="AI71" s="110">
        <f>_xlfn.FLOOR.MATH((AH71))</f>
        <v>1</v>
      </c>
      <c r="AJ71" s="110">
        <f>AF71-3600*AG71-60*AI71</f>
        <v>16.484693652994793</v>
      </c>
      <c r="AK71" s="104" t="str">
        <f>CONCATENATE(TEXT(AG71,"00"),"°",TEXT(AH71,"00.00"))</f>
        <v>02°01.27</v>
      </c>
      <c r="AL71" s="107" t="str">
        <f>CONCATENATE(AD71, " ", TEXT(AG71,"00"),"°",TEXT(AI71,"00"),"'",TEXT(AJ71,"00.00"), " [", AD71, " ",CONCATENATE(TEXT(AG71,"00"),"°",TEXT(AH71,"00.00")),"]", " - (", AD71, " ", TEXT(Y71,"00.0000"),"°)")</f>
        <v>W 02°01'16.48 [W 02°01.27] - (W 00.0000°)</v>
      </c>
      <c r="AM71" s="88"/>
      <c r="AN71" s="88"/>
    </row>
    <row r="72" spans="2:65" ht="15.75" thickBot="1" x14ac:dyDescent="0.3">
      <c r="F72" s="612"/>
      <c r="G72" s="604"/>
      <c r="H72" s="604"/>
      <c r="I72" s="604"/>
      <c r="J72" s="604"/>
      <c r="K72" s="604"/>
      <c r="L72" s="604"/>
      <c r="M72" s="604"/>
      <c r="N72" s="604"/>
      <c r="O72" s="604"/>
      <c r="P72" s="615"/>
      <c r="Q72" s="615"/>
      <c r="R72" s="615"/>
      <c r="S72" s="615"/>
      <c r="T72" s="615"/>
      <c r="U72" s="615"/>
      <c r="V72" s="615"/>
      <c r="W72" s="615"/>
      <c r="X72" s="615"/>
      <c r="Y72" s="616"/>
    </row>
    <row r="76" spans="2:65" ht="15.75" thickBot="1" x14ac:dyDescent="0.3"/>
    <row r="77" spans="2:65" s="1" customFormat="1" ht="17.25" customHeight="1" thickBot="1" x14ac:dyDescent="0.3">
      <c r="B77" s="47" t="s">
        <v>322</v>
      </c>
      <c r="C77" s="48"/>
      <c r="D77" s="48"/>
      <c r="E77" s="48"/>
      <c r="F77" s="48"/>
      <c r="G77" s="48"/>
      <c r="H77" s="48"/>
      <c r="I77" s="48"/>
      <c r="J77" s="48"/>
      <c r="K77" s="48"/>
      <c r="L77" s="48"/>
      <c r="M77" s="48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100"/>
      <c r="AB77" s="144"/>
      <c r="AC77" s="144"/>
      <c r="AD77" s="48"/>
      <c r="AE77" s="48"/>
      <c r="AF77" s="48"/>
      <c r="AG77" s="48"/>
      <c r="AH77" s="48"/>
      <c r="AI77" s="48"/>
      <c r="AJ77" s="48"/>
      <c r="AK77" s="48"/>
      <c r="AL77" s="48"/>
      <c r="AM77" s="48"/>
      <c r="AN77" s="48"/>
      <c r="AO77" s="48"/>
      <c r="AP77" s="48"/>
      <c r="AQ77" s="48"/>
      <c r="AR77" s="48"/>
      <c r="AS77" s="48"/>
      <c r="AT77" s="48"/>
      <c r="AU77" s="48"/>
      <c r="AV77" s="48"/>
      <c r="AW77" s="48"/>
      <c r="AX77" s="48"/>
      <c r="AY77" s="48"/>
      <c r="AZ77" s="48"/>
      <c r="BA77" s="49"/>
    </row>
    <row r="78" spans="2:65" s="1" customFormat="1" ht="17.25" customHeight="1" thickBot="1" x14ac:dyDescent="0.3">
      <c r="C78" s="106"/>
      <c r="AA78" s="102"/>
      <c r="AB78" s="19"/>
      <c r="AC78" s="19"/>
      <c r="AD78" s="21" t="s">
        <v>120</v>
      </c>
      <c r="AE78" s="21" t="s">
        <v>121</v>
      </c>
      <c r="AF78" s="21" t="s">
        <v>122</v>
      </c>
      <c r="AG78" s="21" t="s">
        <v>123</v>
      </c>
      <c r="AH78" s="21" t="s">
        <v>124</v>
      </c>
      <c r="AI78" s="21" t="s">
        <v>125</v>
      </c>
      <c r="AJ78" s="21" t="s">
        <v>101</v>
      </c>
      <c r="AK78" s="21" t="s">
        <v>129</v>
      </c>
      <c r="AL78" s="21" t="s">
        <v>128</v>
      </c>
      <c r="AM78" s="21" t="s">
        <v>126</v>
      </c>
      <c r="AN78" s="21" t="s">
        <v>127</v>
      </c>
      <c r="AO78" s="21" t="s">
        <v>129</v>
      </c>
      <c r="AP78" s="21" t="s">
        <v>128</v>
      </c>
      <c r="AQ78" s="21" t="s">
        <v>130</v>
      </c>
      <c r="AR78" s="21" t="s">
        <v>112</v>
      </c>
      <c r="AS78" s="21" t="s">
        <v>117</v>
      </c>
      <c r="AT78" s="21" t="s">
        <v>143</v>
      </c>
      <c r="AU78" s="21" t="s">
        <v>149</v>
      </c>
      <c r="AV78" s="21" t="s">
        <v>131</v>
      </c>
      <c r="AW78" s="21" t="s">
        <v>150</v>
      </c>
      <c r="AX78" s="21" t="s">
        <v>112</v>
      </c>
      <c r="AY78" s="21" t="s">
        <v>151</v>
      </c>
    </row>
    <row r="79" spans="2:65" s="1" customFormat="1" ht="17.25" customHeight="1" thickTop="1" thickBot="1" x14ac:dyDescent="0.3">
      <c r="B79" s="88"/>
      <c r="C79" s="599" t="s">
        <v>26</v>
      </c>
      <c r="D79" s="600"/>
      <c r="E79" s="600"/>
      <c r="F79" s="600"/>
      <c r="G79" s="600"/>
      <c r="H79" s="601"/>
      <c r="I79" s="362">
        <f>AC79</f>
        <v>-0.05</v>
      </c>
      <c r="J79" s="395"/>
      <c r="K79" s="395"/>
      <c r="L79" s="443" t="s">
        <v>313</v>
      </c>
      <c r="M79" s="444"/>
      <c r="N79" s="444"/>
      <c r="O79" s="279" t="str">
        <f>AB79</f>
        <v>-00°03'00.00 [-00°03.00]  (-00.0500°)</v>
      </c>
      <c r="P79" s="279"/>
      <c r="Q79" s="279"/>
      <c r="R79" s="279"/>
      <c r="S79" s="279"/>
      <c r="T79" s="279"/>
      <c r="U79" s="279"/>
      <c r="V79" s="279"/>
      <c r="W79" s="279"/>
      <c r="X79" s="17"/>
      <c r="AA79" s="18" t="str">
        <f>L79</f>
        <v>-3'</v>
      </c>
      <c r="AB79" s="14" t="str">
        <f>BC79</f>
        <v>-00°03'00.00 [-00°03.00]  (-00.0500°)</v>
      </c>
      <c r="AC79" s="7">
        <f>BB79</f>
        <v>-0.05</v>
      </c>
      <c r="AD79" s="5">
        <f>IF(LEFT(TRIM(AA79),1)="-",-1,IF(LEFT(TRIM(AA79),1)="+",1, 0))</f>
        <v>-1</v>
      </c>
      <c r="AE79" s="5" t="str">
        <f>IF(AD79&gt;0,"+",IF(AD79&lt;0,"-",""))</f>
        <v>-</v>
      </c>
      <c r="AF79" s="5" t="str">
        <f>IF(ABS(AD79)&gt;0,RIGHT(AA79,LEN(AA79)-1),AA79)</f>
        <v>3'</v>
      </c>
      <c r="AG79" s="5" t="b">
        <f>ISNUMBER(SEARCH("°",AF79,1))</f>
        <v>0</v>
      </c>
      <c r="AH79" s="5" t="b">
        <f>ISNUMBER(SEARCH("'",AF79,1))</f>
        <v>1</v>
      </c>
      <c r="AI79" s="5" t="b">
        <f>ISNUMBER(SEARCH("""",AF79,1))</f>
        <v>0</v>
      </c>
      <c r="AJ79" s="5" t="b">
        <f>NOT(OR(AG79,AH79,AI79))</f>
        <v>0</v>
      </c>
      <c r="AK79" s="5" t="b">
        <f t="shared" ref="AK79:AK80" si="76">OR(AJ79,AG79)</f>
        <v>0</v>
      </c>
      <c r="AL79" s="6">
        <f>IF(AJ79,VALUE(AF79),IF(AG79,LEFT(AF79,SEARCH("°",AF79,1)-1),0))</f>
        <v>0</v>
      </c>
      <c r="AM79" s="5" t="str">
        <f>IF(AJ79,"",IF(AG79,RIGHT(AF79,LEN(AF79)-SEARCH("°",AF79,1)),AF79))</f>
        <v>3'</v>
      </c>
      <c r="AN79" s="5" t="b">
        <f>(LEN(AM79)&gt;0)</f>
        <v>1</v>
      </c>
      <c r="AO79" s="5" t="b">
        <f>NOT(OR(AH79,AI79))</f>
        <v>0</v>
      </c>
      <c r="AP79" s="6">
        <f t="shared" ref="AP79:AP80" si="77">IF(NOT(AN79),0,IF(AO79,VALUE(AM79),IF(NOT(AH79),0,VALUE(LEFT(AM79,SEARCH("'",AM79,1)-1)))))</f>
        <v>3</v>
      </c>
      <c r="AQ79" s="5" t="str">
        <f t="shared" ref="AQ79:AQ80" si="78">IF(NOT(AN79),"",IF(AO79,"",IF(NOT(AH79),AM79,RIGHT(AM79,LEN(AM79)-SEARCH("'",AM79,1)))))</f>
        <v/>
      </c>
      <c r="AR79" s="5" t="b">
        <f>(LEN(AQ79)&gt;0)</f>
        <v>0</v>
      </c>
      <c r="AS79" s="5" t="b">
        <f t="shared" ref="AS79:AS80" si="79">NOT(AI79)</f>
        <v>1</v>
      </c>
      <c r="AT79" s="5" t="b">
        <f>ISNUMBER(SEARCH(".",AQ79,1))</f>
        <v>0</v>
      </c>
      <c r="AU79" s="6">
        <f t="shared" ref="AU79:AU80" si="80">IF(AR79,IF(AI79,IF(AT79,VALUE(SUBSTITUTE(AQ79, """", "")),VALUE(SUBSTITUTE(AQ79, """", "."))),VALUE(AQ79)),0)</f>
        <v>0</v>
      </c>
      <c r="AV79" s="6">
        <f t="shared" ref="AV79:AV80" si="81">AL79*3600+AP79*60+AU79</f>
        <v>180</v>
      </c>
      <c r="AW79" s="6">
        <f>AV79/3600</f>
        <v>0.05</v>
      </c>
      <c r="AX79" s="6">
        <f>_xlfn.FLOOR.MATH((AW79))</f>
        <v>0</v>
      </c>
      <c r="AY79" s="6">
        <f>(AV79-3600*AX79)/60</f>
        <v>3</v>
      </c>
      <c r="AZ79" s="6">
        <f>_xlfn.FLOOR.MATH((AY79))</f>
        <v>3</v>
      </c>
      <c r="BA79" s="6">
        <f>AV79-3600*AX79-60*AZ79</f>
        <v>0</v>
      </c>
      <c r="BB79" s="6">
        <f>AW79*IF(AD79&lt;0,-1,1)</f>
        <v>-0.05</v>
      </c>
      <c r="BC79" s="7" t="str">
        <f>CONCATENATE(AE79,TEXT(AX79,"00"),"°",TEXT(AZ79,"00"),"'",TEXT(BA79,"00.00"), " [", CONCATENATE(AE79,TEXT(AX79,"00"),"°",TEXT(AY79,"00.00")),"]", "  (", AE79,TEXT(AW79,"00.0000"),"°)")</f>
        <v>-00°03'00.00 [-00°03.00]  (-00.0500°)</v>
      </c>
      <c r="BD79" s="22"/>
      <c r="BE79" s="22"/>
      <c r="BF79" s="22"/>
      <c r="BG79" s="22"/>
      <c r="BH79" s="22"/>
      <c r="BI79" s="22"/>
      <c r="BJ79" s="22"/>
      <c r="BK79" s="22"/>
      <c r="BL79" s="22"/>
      <c r="BM79" s="22"/>
    </row>
    <row r="80" spans="2:65" s="1" customFormat="1" ht="17.25" customHeight="1" thickTop="1" thickBot="1" x14ac:dyDescent="0.3">
      <c r="C80" s="597" t="s">
        <v>37</v>
      </c>
      <c r="D80" s="597"/>
      <c r="E80" s="597"/>
      <c r="F80" s="597"/>
      <c r="G80" s="597"/>
      <c r="H80" s="597"/>
      <c r="I80" s="445">
        <f>AC80</f>
        <v>8.1666666666666658E-3</v>
      </c>
      <c r="J80" s="446"/>
      <c r="K80" s="446"/>
      <c r="L80" s="439" t="s">
        <v>326</v>
      </c>
      <c r="M80" s="428"/>
      <c r="N80" s="429"/>
      <c r="O80" s="279" t="str">
        <f>AB80</f>
        <v>00°00'29.40 [00°00.49]  (00.0082°)</v>
      </c>
      <c r="P80" s="279"/>
      <c r="Q80" s="279"/>
      <c r="R80" s="279"/>
      <c r="S80" s="279"/>
      <c r="T80" s="279"/>
      <c r="U80" s="279"/>
      <c r="V80" s="279"/>
      <c r="W80" s="279"/>
      <c r="X80" s="17"/>
      <c r="AA80" s="18" t="str">
        <f>L80</f>
        <v>0.49'</v>
      </c>
      <c r="AB80" s="14" t="str">
        <f>BC80</f>
        <v>00°00'29.40 [00°00.49]  (00.0082°)</v>
      </c>
      <c r="AC80" s="7">
        <f>BB80</f>
        <v>8.1666666666666658E-3</v>
      </c>
      <c r="AD80" s="5">
        <f>IF(LEFT(TRIM(AA80),1)="-",-1,IF(LEFT(TRIM(AA80),1)="+",1, 0))</f>
        <v>0</v>
      </c>
      <c r="AE80" s="5" t="str">
        <f>IF(AD80&gt;0,"+",IF(AD80&lt;0,"-",""))</f>
        <v/>
      </c>
      <c r="AF80" s="5" t="str">
        <f>IF(ABS(AD80)&gt;0,RIGHT(AA80,LEN(AA80)-1),AA80)</f>
        <v>0.49'</v>
      </c>
      <c r="AG80" s="5" t="b">
        <f>ISNUMBER(SEARCH("°",AF80,1))</f>
        <v>0</v>
      </c>
      <c r="AH80" s="5" t="b">
        <f>ISNUMBER(SEARCH("'",AF80,1))</f>
        <v>1</v>
      </c>
      <c r="AI80" s="5" t="b">
        <f>ISNUMBER(SEARCH("""",AF80,1))</f>
        <v>0</v>
      </c>
      <c r="AJ80" s="5" t="b">
        <f>NOT(OR(AG80,AH80,AI80))</f>
        <v>0</v>
      </c>
      <c r="AK80" s="5" t="b">
        <f t="shared" si="76"/>
        <v>0</v>
      </c>
      <c r="AL80" s="6">
        <f>IF(AJ80,VALUE(AF80),IF(AG80,LEFT(AF80,SEARCH("°",AF80,1)-1),0))</f>
        <v>0</v>
      </c>
      <c r="AM80" s="5" t="str">
        <f>IF(AJ80,"",IF(AG80,RIGHT(AF80,LEN(AF80)-SEARCH("°",AF80,1)),AF80))</f>
        <v>0.49'</v>
      </c>
      <c r="AN80" s="5" t="b">
        <f>(LEN(AM80)&gt;0)</f>
        <v>1</v>
      </c>
      <c r="AO80" s="5" t="b">
        <f>NOT(OR(AH80,AI80))</f>
        <v>0</v>
      </c>
      <c r="AP80" s="6">
        <f t="shared" si="77"/>
        <v>0.49</v>
      </c>
      <c r="AQ80" s="5" t="str">
        <f t="shared" si="78"/>
        <v/>
      </c>
      <c r="AR80" s="5" t="b">
        <f>(LEN(AQ80)&gt;0)</f>
        <v>0</v>
      </c>
      <c r="AS80" s="5" t="b">
        <f t="shared" si="79"/>
        <v>1</v>
      </c>
      <c r="AT80" s="5" t="b">
        <f>ISNUMBER(SEARCH(".",AQ80,1))</f>
        <v>0</v>
      </c>
      <c r="AU80" s="6">
        <f t="shared" si="80"/>
        <v>0</v>
      </c>
      <c r="AV80" s="6">
        <f t="shared" si="81"/>
        <v>29.4</v>
      </c>
      <c r="AW80" s="6">
        <f>AV80/3600</f>
        <v>8.1666666666666658E-3</v>
      </c>
      <c r="AX80" s="6">
        <f>_xlfn.FLOOR.MATH((AW80))</f>
        <v>0</v>
      </c>
      <c r="AY80" s="6">
        <f>(AV80-3600*AX80)/60</f>
        <v>0.49</v>
      </c>
      <c r="AZ80" s="6">
        <f>_xlfn.FLOOR.MATH((AY80))</f>
        <v>0</v>
      </c>
      <c r="BA80" s="6">
        <f>AV80-3600*AX80-60*AZ80</f>
        <v>29.4</v>
      </c>
      <c r="BB80" s="6">
        <f>AW80*IF(AD80&lt;0,-1,1)</f>
        <v>8.1666666666666658E-3</v>
      </c>
      <c r="BC80" s="7" t="str">
        <f>CONCATENATE(AE80,TEXT(AX80,"00"),"°",TEXT(AZ80,"00"),"'",TEXT(BA80,"00.00"), " [", CONCATENATE(AE80,TEXT(AX80,"00"),"°",TEXT(AY80,"00.00")),"]", "  (", AE80,TEXT(AW80,"00.0000"),"°)")</f>
        <v>00°00'29.40 [00°00.49]  (00.0082°)</v>
      </c>
      <c r="BD80" s="22"/>
      <c r="BE80" s="22"/>
      <c r="BF80" s="22"/>
      <c r="BG80" s="22"/>
      <c r="BH80" s="22"/>
      <c r="BI80" s="22"/>
      <c r="BJ80" s="22"/>
      <c r="BK80" s="22"/>
      <c r="BL80" s="22"/>
      <c r="BM80" s="22"/>
    </row>
    <row r="81" spans="3:65" s="1" customFormat="1" ht="17.25" customHeight="1" thickTop="1" thickBot="1" x14ac:dyDescent="0.3">
      <c r="C81" s="597" t="s">
        <v>323</v>
      </c>
      <c r="D81" s="597"/>
      <c r="E81" s="597"/>
      <c r="F81" s="597"/>
      <c r="G81" s="597"/>
      <c r="H81" s="597"/>
      <c r="I81" s="445">
        <f>AC81</f>
        <v>5.8166666666666665E-2</v>
      </c>
      <c r="J81" s="446"/>
      <c r="K81" s="446"/>
      <c r="L81" s="439" t="s">
        <v>314</v>
      </c>
      <c r="M81" s="428"/>
      <c r="N81" s="429"/>
      <c r="O81" s="279" t="str">
        <f>AB81</f>
        <v>00°03'29.40 [00°03.49]  (00.0582°)</v>
      </c>
      <c r="P81" s="279"/>
      <c r="Q81" s="279"/>
      <c r="R81" s="279"/>
      <c r="S81" s="279"/>
      <c r="T81" s="279"/>
      <c r="U81" s="279"/>
      <c r="V81" s="279"/>
      <c r="W81" s="279"/>
      <c r="X81" s="17"/>
      <c r="AA81" s="18">
        <f>I80-I79</f>
        <v>5.8166666666666672E-2</v>
      </c>
      <c r="AB81" s="14" t="str">
        <f>BC81</f>
        <v>00°03'29.40 [00°03.49]  (00.0582°)</v>
      </c>
      <c r="AC81" s="7">
        <f>BB81</f>
        <v>5.8166666666666665E-2</v>
      </c>
      <c r="AD81" s="5">
        <f>IF(LEFT(TRIM(AA81),1)="-",-1,IF(LEFT(TRIM(AA81),1)="+",1, 0))</f>
        <v>0</v>
      </c>
      <c r="AE81" s="5" t="str">
        <f>IF(AD81&gt;0,"+",IF(AD81&lt;0,"-",""))</f>
        <v/>
      </c>
      <c r="AF81" s="5">
        <f>IF(ABS(AD81)&gt;0,RIGHT(AA81,LEN(AA81)-1),AA81)</f>
        <v>5.8166666666666672E-2</v>
      </c>
      <c r="AG81" s="5" t="b">
        <f>ISNUMBER(SEARCH("°",AF81,1))</f>
        <v>0</v>
      </c>
      <c r="AH81" s="5" t="b">
        <f>ISNUMBER(SEARCH("'",AF81,1))</f>
        <v>0</v>
      </c>
      <c r="AI81" s="5" t="b">
        <f>ISNUMBER(SEARCH("""",AF81,1))</f>
        <v>0</v>
      </c>
      <c r="AJ81" s="5" t="b">
        <f>NOT(OR(AG81,AH81,AI81))</f>
        <v>1</v>
      </c>
      <c r="AK81" s="5" t="b">
        <f t="shared" ref="AK81" si="82">OR(AJ81,AG81)</f>
        <v>1</v>
      </c>
      <c r="AL81" s="6">
        <f>IF(AJ81,VALUE(AF81),IF(AG81,LEFT(AF81,SEARCH("°",AF81,1)-1),0))</f>
        <v>5.8166666666666672E-2</v>
      </c>
      <c r="AM81" s="5" t="str">
        <f>IF(AJ81,"",IF(AG81,RIGHT(AF81,LEN(AF81)-SEARCH("°",AF81,1)),AF81))</f>
        <v/>
      </c>
      <c r="AN81" s="5" t="b">
        <f>(LEN(AM81)&gt;0)</f>
        <v>0</v>
      </c>
      <c r="AO81" s="5" t="b">
        <f>NOT(OR(AH81,AI81))</f>
        <v>1</v>
      </c>
      <c r="AP81" s="6">
        <f t="shared" ref="AP81" si="83">IF(NOT(AN81),0,IF(AO81,VALUE(AM81),IF(NOT(AH81),0,VALUE(LEFT(AM81,SEARCH("'",AM81,1)-1)))))</f>
        <v>0</v>
      </c>
      <c r="AQ81" s="5" t="str">
        <f t="shared" ref="AQ81" si="84">IF(NOT(AN81),"",IF(AO81,"",IF(NOT(AH81),AM81,RIGHT(AM81,LEN(AM81)-SEARCH("'",AM81,1)))))</f>
        <v/>
      </c>
      <c r="AR81" s="5" t="b">
        <f>(LEN(AQ81)&gt;0)</f>
        <v>0</v>
      </c>
      <c r="AS81" s="5" t="b">
        <f t="shared" ref="AS81" si="85">NOT(AI81)</f>
        <v>1</v>
      </c>
      <c r="AT81" s="5" t="b">
        <f>ISNUMBER(SEARCH(".",AQ81,1))</f>
        <v>0</v>
      </c>
      <c r="AU81" s="6">
        <f t="shared" ref="AU81" si="86">IF(AR81,IF(AI81,IF(AT81,VALUE(SUBSTITUTE(AQ81, """", "")),VALUE(SUBSTITUTE(AQ81, """", "."))),VALUE(AQ81)),0)</f>
        <v>0</v>
      </c>
      <c r="AV81" s="6">
        <f t="shared" ref="AV81" si="87">AL81*3600+AP81*60+AU81</f>
        <v>209.4</v>
      </c>
      <c r="AW81" s="6">
        <f>AV81/3600</f>
        <v>5.8166666666666665E-2</v>
      </c>
      <c r="AX81" s="6">
        <f>_xlfn.FLOOR.MATH((AW81))</f>
        <v>0</v>
      </c>
      <c r="AY81" s="6">
        <f>(AV81-3600*AX81)/60</f>
        <v>3.49</v>
      </c>
      <c r="AZ81" s="6">
        <f>_xlfn.FLOOR.MATH((AY81))</f>
        <v>3</v>
      </c>
      <c r="BA81" s="6">
        <f>AV81-3600*AX81-60*AZ81</f>
        <v>29.400000000000006</v>
      </c>
      <c r="BB81" s="6">
        <f>AW81*IF(AD81&lt;0,-1,1)</f>
        <v>5.8166666666666665E-2</v>
      </c>
      <c r="BC81" s="7" t="str">
        <f>CONCATENATE(AE81,TEXT(AX81,"00"),"°",TEXT(AZ81,"00"),"'",TEXT(BA81,"00.00"), " [", CONCATENATE(AE81,TEXT(AX81,"00"),"°",TEXT(AY81,"00.00")),"]", "  (", AE81,TEXT(AW81,"00.0000"),"°)")</f>
        <v>00°03'29.40 [00°03.49]  (00.0582°)</v>
      </c>
      <c r="BD81" s="22"/>
      <c r="BE81" s="22"/>
      <c r="BF81" s="22"/>
      <c r="BG81" s="22"/>
      <c r="BH81" s="22"/>
      <c r="BI81" s="22"/>
      <c r="BJ81" s="22"/>
      <c r="BK81" s="22"/>
      <c r="BL81" s="22"/>
      <c r="BM81" s="22"/>
    </row>
    <row r="82" spans="3:65" s="1" customFormat="1" ht="17.25" customHeight="1" thickTop="1" x14ac:dyDescent="0.25">
      <c r="C82" s="597" t="s">
        <v>324</v>
      </c>
      <c r="D82" s="597"/>
      <c r="E82" s="597"/>
      <c r="F82" s="597"/>
      <c r="G82" s="597"/>
      <c r="H82" s="597"/>
      <c r="I82" s="445">
        <v>13</v>
      </c>
      <c r="J82" s="446"/>
      <c r="K82" s="446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 s="22"/>
      <c r="BH82" s="22"/>
      <c r="BI82" s="22"/>
      <c r="BJ82" s="22"/>
      <c r="BK82" s="22"/>
      <c r="BL82" s="22"/>
      <c r="BM82" s="22"/>
    </row>
    <row r="83" spans="3:65" customFormat="1" ht="17.25" customHeight="1" x14ac:dyDescent="0.25"/>
    <row r="84" spans="3:65" customFormat="1" ht="17.25" customHeight="1" x14ac:dyDescent="0.25"/>
    <row r="85" spans="3:65" customFormat="1" ht="17.25" customHeight="1" x14ac:dyDescent="0.25">
      <c r="I85" s="598" t="s">
        <v>325</v>
      </c>
      <c r="J85" s="598"/>
      <c r="K85" s="598"/>
      <c r="L85" s="598">
        <f>I82/TAN(I81*PI()/180)</f>
        <v>12805.356065042253</v>
      </c>
      <c r="M85" s="598"/>
    </row>
    <row r="86" spans="3:65" customFormat="1" ht="17.25" customHeight="1" x14ac:dyDescent="0.25">
      <c r="I86" s="598" t="s">
        <v>246</v>
      </c>
      <c r="J86" s="598"/>
      <c r="K86" s="598"/>
      <c r="L86" s="598">
        <f>L85/1852</f>
        <v>6.9143391279925774</v>
      </c>
      <c r="M86" s="598"/>
    </row>
    <row r="87" spans="3:65" customFormat="1" ht="17.25" customHeight="1" x14ac:dyDescent="0.25"/>
    <row r="88" spans="3:65" customFormat="1" ht="17.25" customHeight="1" x14ac:dyDescent="0.25"/>
    <row r="89" spans="3:65" customFormat="1" x14ac:dyDescent="0.25"/>
    <row r="90" spans="3:65" customFormat="1" x14ac:dyDescent="0.25"/>
    <row r="91" spans="3:65" customFormat="1" x14ac:dyDescent="0.25"/>
    <row r="92" spans="3:65" customFormat="1" ht="17.25" customHeight="1" x14ac:dyDescent="0.25"/>
    <row r="93" spans="3:65" customFormat="1" ht="17.25" customHeight="1" x14ac:dyDescent="0.25"/>
    <row r="94" spans="3:65" customFormat="1" x14ac:dyDescent="0.25"/>
    <row r="95" spans="3:65" customFormat="1" x14ac:dyDescent="0.25"/>
    <row r="96" spans="3:65" customFormat="1" x14ac:dyDescent="0.25"/>
    <row r="97" customFormat="1" x14ac:dyDescent="0.25"/>
    <row r="98" customFormat="1" x14ac:dyDescent="0.25"/>
  </sheetData>
  <mergeCells count="110">
    <mergeCell ref="D39:D40"/>
    <mergeCell ref="E39:G40"/>
    <mergeCell ref="H39:H40"/>
    <mergeCell ref="I39:M40"/>
    <mergeCell ref="O9:R10"/>
    <mergeCell ref="S9:U10"/>
    <mergeCell ref="V9:Z10"/>
    <mergeCell ref="W17:X17"/>
    <mergeCell ref="W18:X18"/>
    <mergeCell ref="W19:X19"/>
    <mergeCell ref="W20:X20"/>
    <mergeCell ref="H37:H38"/>
    <mergeCell ref="I37:M38"/>
    <mergeCell ref="N37:W38"/>
    <mergeCell ref="D7:I7"/>
    <mergeCell ref="O7:U7"/>
    <mergeCell ref="D8:F8"/>
    <mergeCell ref="G8:I8"/>
    <mergeCell ref="J8:N8"/>
    <mergeCell ref="O8:R8"/>
    <mergeCell ref="S8:U8"/>
    <mergeCell ref="C31:C34"/>
    <mergeCell ref="I12:K12"/>
    <mergeCell ref="D31:D32"/>
    <mergeCell ref="D33:D34"/>
    <mergeCell ref="E31:G32"/>
    <mergeCell ref="E33:G34"/>
    <mergeCell ref="H31:H32"/>
    <mergeCell ref="D12:F12"/>
    <mergeCell ref="H33:H34"/>
    <mergeCell ref="I31:M32"/>
    <mergeCell ref="I33:M34"/>
    <mergeCell ref="N31:W32"/>
    <mergeCell ref="N33:W34"/>
    <mergeCell ref="V8:Z8"/>
    <mergeCell ref="D9:F10"/>
    <mergeCell ref="G9:I10"/>
    <mergeCell ref="J9:N10"/>
    <mergeCell ref="AI43:AK43"/>
    <mergeCell ref="AI44:AK44"/>
    <mergeCell ref="I44:K45"/>
    <mergeCell ref="F69:F70"/>
    <mergeCell ref="I62:M63"/>
    <mergeCell ref="N62:W63"/>
    <mergeCell ref="P69:Y70"/>
    <mergeCell ref="N56:W57"/>
    <mergeCell ref="I60:M61"/>
    <mergeCell ref="N60:W61"/>
    <mergeCell ref="E54:G55"/>
    <mergeCell ref="H54:H55"/>
    <mergeCell ref="I54:M55"/>
    <mergeCell ref="N54:W55"/>
    <mergeCell ref="E56:G57"/>
    <mergeCell ref="H56:H57"/>
    <mergeCell ref="I56:M57"/>
    <mergeCell ref="S43:V43"/>
    <mergeCell ref="S44:V45"/>
    <mergeCell ref="E44:H45"/>
    <mergeCell ref="D64:E65"/>
    <mergeCell ref="N64:W65"/>
    <mergeCell ref="L44:Q45"/>
    <mergeCell ref="E43:Q43"/>
    <mergeCell ref="C60:C65"/>
    <mergeCell ref="G69:O70"/>
    <mergeCell ref="G71:O72"/>
    <mergeCell ref="W12:X12"/>
    <mergeCell ref="W13:X13"/>
    <mergeCell ref="W14:X14"/>
    <mergeCell ref="W15:X15"/>
    <mergeCell ref="W16:X16"/>
    <mergeCell ref="I64:M65"/>
    <mergeCell ref="F60:H61"/>
    <mergeCell ref="F62:H63"/>
    <mergeCell ref="F64:H65"/>
    <mergeCell ref="D60:E61"/>
    <mergeCell ref="D62:E63"/>
    <mergeCell ref="F71:F72"/>
    <mergeCell ref="P71:Y72"/>
    <mergeCell ref="F68:Y68"/>
    <mergeCell ref="C54:C57"/>
    <mergeCell ref="D54:D55"/>
    <mergeCell ref="D56:D57"/>
    <mergeCell ref="N39:W40"/>
    <mergeCell ref="C37:C40"/>
    <mergeCell ref="D37:D38"/>
    <mergeCell ref="E37:G38"/>
    <mergeCell ref="C1:F4"/>
    <mergeCell ref="G1:Y2"/>
    <mergeCell ref="G3:I4"/>
    <mergeCell ref="J3:L4"/>
    <mergeCell ref="C82:H82"/>
    <mergeCell ref="I82:K82"/>
    <mergeCell ref="I85:K85"/>
    <mergeCell ref="I86:K86"/>
    <mergeCell ref="L85:M85"/>
    <mergeCell ref="L86:M86"/>
    <mergeCell ref="C79:H79"/>
    <mergeCell ref="C80:H80"/>
    <mergeCell ref="C81:H81"/>
    <mergeCell ref="I81:K81"/>
    <mergeCell ref="L81:N81"/>
    <mergeCell ref="O81:W81"/>
    <mergeCell ref="I79:K79"/>
    <mergeCell ref="L79:N79"/>
    <mergeCell ref="O79:W79"/>
    <mergeCell ref="I80:K80"/>
    <mergeCell ref="L80:N80"/>
    <mergeCell ref="O80:W80"/>
    <mergeCell ref="W21:X21"/>
    <mergeCell ref="Y20:Z20"/>
  </mergeCells>
  <dataValidations count="4">
    <dataValidation type="list" allowBlank="1" showInputMessage="1" showErrorMessage="1" sqref="H56" xr:uid="{00000000-0002-0000-0400-000000000000}">
      <formula1>$B$55:$B$56</formula1>
    </dataValidation>
    <dataValidation type="list" allowBlank="1" showInputMessage="1" showErrorMessage="1" sqref="H54" xr:uid="{00000000-0002-0000-0400-000001000000}">
      <formula1>$A$55:$A$56</formula1>
    </dataValidation>
    <dataValidation type="list" allowBlank="1" showInputMessage="1" showErrorMessage="1" sqref="H31:H32 H37:H38" xr:uid="{00000000-0002-0000-0400-000002000000}">
      <formula1>$D$14:$D$15</formula1>
    </dataValidation>
    <dataValidation type="list" allowBlank="1" showInputMessage="1" showErrorMessage="1" sqref="H33:H34 H39:H40" xr:uid="{00000000-0002-0000-0400-000003000000}">
      <formula1>$E$14:$E$15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G78"/>
  <sheetViews>
    <sheetView topLeftCell="A24" zoomScaleNormal="100" workbookViewId="0">
      <selection activeCell="D37" sqref="D37"/>
    </sheetView>
  </sheetViews>
  <sheetFormatPr defaultColWidth="9.7109375" defaultRowHeight="15" outlineLevelCol="1" x14ac:dyDescent="0.25"/>
  <cols>
    <col min="1" max="1" width="9.7109375" style="198"/>
    <col min="2" max="2" width="11.7109375" style="170" customWidth="1"/>
    <col min="3" max="3" width="13.7109375" style="170" customWidth="1"/>
    <col min="4" max="4" width="13.42578125" style="170" customWidth="1"/>
    <col min="5" max="5" width="15.42578125" style="170" bestFit="1" customWidth="1"/>
    <col min="6" max="6" width="15.85546875" style="170" customWidth="1"/>
    <col min="7" max="7" width="15.42578125" style="170" bestFit="1" customWidth="1"/>
    <col min="8" max="8" width="15.5703125" style="170" customWidth="1"/>
    <col min="9" max="9" width="9.7109375" style="170"/>
    <col min="10" max="10" width="15.5703125" style="170" customWidth="1"/>
    <col min="11" max="14" width="9.7109375" style="170"/>
    <col min="15" max="15" width="2.42578125" style="170" customWidth="1"/>
    <col min="16" max="17" width="2" style="171" customWidth="1"/>
    <col min="18" max="26" width="2" style="170" customWidth="1"/>
    <col min="27" max="27" width="2" style="5" customWidth="1"/>
    <col min="28" max="28" width="14.85546875" style="170" customWidth="1" outlineLevel="1"/>
    <col min="29" max="34" width="15.42578125" style="170" customWidth="1" outlineLevel="1"/>
    <col min="35" max="35" width="15.5703125" style="170" customWidth="1" outlineLevel="1"/>
    <col min="36" max="36" width="18.28515625" style="170" customWidth="1" outlineLevel="1"/>
    <col min="37" max="37" width="12.28515625" style="170" customWidth="1" outlineLevel="1"/>
    <col min="38" max="38" width="18.28515625" style="170" customWidth="1" outlineLevel="1"/>
    <col min="39" max="39" width="7.28515625" style="170" customWidth="1" outlineLevel="1"/>
    <col min="40" max="40" width="18.28515625" style="170" customWidth="1" outlineLevel="1"/>
    <col min="41" max="47" width="14.140625" style="170" customWidth="1" outlineLevel="1"/>
    <col min="48" max="50" width="9.7109375" style="170" customWidth="1" outlineLevel="1"/>
    <col min="51" max="51" width="17.5703125" style="170" customWidth="1" outlineLevel="1"/>
    <col min="52" max="53" width="15.42578125" style="170" customWidth="1" outlineLevel="1"/>
    <col min="54" max="58" width="9.7109375" style="170" customWidth="1" outlineLevel="1"/>
    <col min="59" max="59" width="15.42578125" style="170" customWidth="1" outlineLevel="1"/>
    <col min="60" max="64" width="9.7109375" style="170" customWidth="1" outlineLevel="1"/>
    <col min="65" max="65" width="14.28515625" style="170" customWidth="1" outlineLevel="1"/>
    <col min="66" max="70" width="9.7109375" style="170" customWidth="1" outlineLevel="1"/>
    <col min="71" max="71" width="14.28515625" style="170" customWidth="1" outlineLevel="1"/>
    <col min="72" max="76" width="9.7109375" style="170" customWidth="1" outlineLevel="1"/>
    <col min="77" max="77" width="15.42578125" style="170" customWidth="1" outlineLevel="1"/>
    <col min="78" max="82" width="9.7109375" style="170" customWidth="1" outlineLevel="1"/>
    <col min="83" max="83" width="15.42578125" style="170" customWidth="1" outlineLevel="1"/>
    <col min="84" max="111" width="9.7109375" style="170" customWidth="1" outlineLevel="1"/>
    <col min="112" max="16384" width="9.7109375" style="170"/>
  </cols>
  <sheetData>
    <row r="1" spans="1:66" s="1" customFormat="1" ht="17.25" customHeight="1" x14ac:dyDescent="0.25">
      <c r="C1" s="568" t="s">
        <v>382</v>
      </c>
      <c r="D1" s="568"/>
      <c r="E1" s="568"/>
      <c r="F1" s="568"/>
      <c r="G1" s="562" t="s">
        <v>383</v>
      </c>
      <c r="H1" s="562"/>
      <c r="I1" s="562"/>
      <c r="J1" s="562"/>
      <c r="K1" s="562"/>
      <c r="L1" s="562"/>
      <c r="M1" s="562"/>
      <c r="N1" s="562"/>
      <c r="O1" s="562"/>
      <c r="P1" s="562"/>
      <c r="Q1" s="562"/>
      <c r="R1" s="562"/>
      <c r="S1" s="562"/>
      <c r="T1" s="562"/>
      <c r="U1" s="562"/>
      <c r="V1" s="562"/>
      <c r="W1" s="562"/>
      <c r="X1" s="562"/>
      <c r="Y1" s="562"/>
      <c r="AB1" s="18"/>
      <c r="AC1" s="28"/>
      <c r="AD1" s="28"/>
      <c r="AE1" s="22"/>
      <c r="AF1" s="22"/>
      <c r="AG1" s="22"/>
      <c r="AH1" s="22"/>
      <c r="AI1" s="22"/>
      <c r="AJ1" s="22"/>
      <c r="AK1" s="22"/>
      <c r="AL1" s="22"/>
      <c r="AM1" s="29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2"/>
      <c r="BA1" s="22"/>
      <c r="BB1" s="22"/>
      <c r="BC1" s="22"/>
      <c r="BD1" s="22"/>
      <c r="BE1" s="22"/>
      <c r="BF1" s="22"/>
      <c r="BG1" s="22"/>
      <c r="BH1" s="22"/>
      <c r="BI1" s="22"/>
      <c r="BJ1" s="22"/>
      <c r="BK1" s="22"/>
      <c r="BL1" s="22"/>
      <c r="BM1" s="22"/>
      <c r="BN1" s="22"/>
    </row>
    <row r="2" spans="1:66" s="1" customFormat="1" ht="17.25" customHeight="1" x14ac:dyDescent="0.25">
      <c r="C2" s="568"/>
      <c r="D2" s="568"/>
      <c r="E2" s="568"/>
      <c r="F2" s="568"/>
      <c r="G2" s="562"/>
      <c r="H2" s="562"/>
      <c r="I2" s="562"/>
      <c r="J2" s="562"/>
      <c r="K2" s="562"/>
      <c r="L2" s="562"/>
      <c r="M2" s="562"/>
      <c r="N2" s="562"/>
      <c r="O2" s="562"/>
      <c r="P2" s="562"/>
      <c r="Q2" s="562"/>
      <c r="R2" s="562"/>
      <c r="S2" s="562"/>
      <c r="T2" s="562"/>
      <c r="U2" s="562"/>
      <c r="V2" s="562"/>
      <c r="W2" s="562"/>
      <c r="X2" s="562"/>
      <c r="Y2" s="562"/>
      <c r="AB2" s="18"/>
      <c r="AC2" s="28"/>
      <c r="AD2" s="28"/>
      <c r="AE2" s="22"/>
      <c r="AF2" s="22"/>
      <c r="AG2" s="22"/>
      <c r="AH2" s="22"/>
      <c r="AI2" s="22"/>
      <c r="AJ2" s="22"/>
      <c r="AK2" s="22"/>
      <c r="AL2" s="22"/>
      <c r="AM2" s="29"/>
      <c r="AN2" s="22"/>
      <c r="AO2" s="22"/>
      <c r="AP2" s="22"/>
      <c r="AQ2" s="22"/>
      <c r="AR2" s="22"/>
      <c r="AS2" s="22"/>
      <c r="AT2" s="22"/>
      <c r="AU2" s="22"/>
      <c r="AV2" s="22"/>
      <c r="AW2" s="22"/>
      <c r="AX2" s="22"/>
      <c r="AY2" s="22"/>
      <c r="AZ2" s="22"/>
      <c r="BA2" s="22"/>
      <c r="BB2" s="22"/>
      <c r="BC2" s="22"/>
      <c r="BD2" s="22"/>
      <c r="BE2" s="22"/>
      <c r="BF2" s="22"/>
      <c r="BG2" s="22"/>
      <c r="BH2" s="22"/>
      <c r="BI2" s="22"/>
      <c r="BJ2" s="22"/>
      <c r="BK2" s="22"/>
      <c r="BL2" s="22"/>
      <c r="BM2" s="22"/>
      <c r="BN2" s="22"/>
    </row>
    <row r="3" spans="1:66" s="1" customFormat="1" ht="17.25" customHeight="1" x14ac:dyDescent="0.25">
      <c r="C3" s="568"/>
      <c r="D3" s="568"/>
      <c r="E3" s="568"/>
      <c r="F3" s="568"/>
      <c r="G3" s="388" t="s">
        <v>387</v>
      </c>
      <c r="H3" s="388"/>
      <c r="I3" s="388"/>
      <c r="J3" s="567" t="s">
        <v>386</v>
      </c>
      <c r="K3" s="567"/>
      <c r="L3" s="567"/>
      <c r="AB3" s="18"/>
      <c r="AC3" s="28"/>
      <c r="AD3" s="28"/>
      <c r="AE3" s="22"/>
      <c r="AF3" s="22"/>
      <c r="AG3" s="22"/>
      <c r="AH3" s="22"/>
      <c r="AI3" s="22"/>
      <c r="AJ3" s="22"/>
      <c r="AK3" s="22"/>
      <c r="AL3" s="22"/>
      <c r="AM3" s="29"/>
      <c r="AN3" s="22"/>
      <c r="AO3" s="22"/>
      <c r="AP3" s="22"/>
      <c r="AQ3" s="22"/>
      <c r="AR3" s="22"/>
      <c r="AS3" s="22"/>
      <c r="AT3" s="22"/>
      <c r="AU3" s="22"/>
      <c r="AV3" s="22"/>
      <c r="AW3" s="22"/>
      <c r="AX3" s="22"/>
      <c r="AY3" s="22"/>
      <c r="AZ3" s="22"/>
      <c r="BA3" s="22"/>
      <c r="BB3" s="22"/>
      <c r="BC3" s="22"/>
      <c r="BD3" s="22"/>
      <c r="BE3" s="22"/>
      <c r="BF3" s="22"/>
      <c r="BG3" s="22"/>
      <c r="BH3" s="22"/>
      <c r="BI3" s="22"/>
      <c r="BJ3" s="22"/>
      <c r="BK3" s="22"/>
      <c r="BL3" s="22"/>
      <c r="BM3" s="22"/>
      <c r="BN3" s="22"/>
    </row>
    <row r="4" spans="1:66" s="1" customFormat="1" ht="17.25" customHeight="1" x14ac:dyDescent="0.25">
      <c r="C4" s="568"/>
      <c r="D4" s="568"/>
      <c r="E4" s="568"/>
      <c r="F4" s="568"/>
      <c r="G4" s="343"/>
      <c r="H4" s="343"/>
      <c r="I4" s="343"/>
      <c r="J4" s="383"/>
      <c r="K4" s="383"/>
      <c r="L4" s="383"/>
      <c r="AB4" s="18"/>
      <c r="AC4" s="28"/>
      <c r="AD4" s="28"/>
      <c r="AE4" s="22"/>
      <c r="AF4" s="22"/>
      <c r="AG4" s="22"/>
      <c r="AH4" s="22"/>
      <c r="AI4" s="22"/>
      <c r="AJ4" s="22"/>
      <c r="AK4" s="22"/>
      <c r="AL4" s="22"/>
      <c r="AM4" s="29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22"/>
      <c r="AZ4" s="22"/>
      <c r="BA4" s="22"/>
      <c r="BB4" s="22"/>
      <c r="BC4" s="22"/>
      <c r="BD4" s="22"/>
      <c r="BE4" s="22"/>
      <c r="BF4" s="22"/>
      <c r="BG4" s="22"/>
      <c r="BH4" s="22"/>
      <c r="BI4" s="22"/>
      <c r="BJ4" s="22"/>
      <c r="BK4" s="22"/>
      <c r="BL4" s="22"/>
      <c r="BM4" s="22"/>
      <c r="BN4" s="22"/>
    </row>
    <row r="5" spans="1:66" s="1" customFormat="1" ht="17.25" customHeight="1" x14ac:dyDescent="0.25">
      <c r="C5" s="196"/>
      <c r="D5" s="196"/>
      <c r="E5" s="196"/>
      <c r="F5" s="196"/>
      <c r="G5" s="196"/>
      <c r="AB5" s="18"/>
      <c r="AC5" s="28"/>
      <c r="AD5" s="28"/>
      <c r="AE5" s="22"/>
      <c r="AF5" s="22"/>
      <c r="AG5" s="22"/>
      <c r="AH5" s="22"/>
      <c r="AI5" s="22"/>
      <c r="AJ5" s="22"/>
      <c r="AK5" s="22"/>
      <c r="AL5" s="22"/>
      <c r="AM5" s="29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22"/>
      <c r="AZ5" s="22"/>
      <c r="BA5" s="22"/>
      <c r="BB5" s="22"/>
      <c r="BC5" s="22"/>
      <c r="BD5" s="22"/>
      <c r="BE5" s="22"/>
      <c r="BF5" s="22"/>
      <c r="BG5" s="22"/>
      <c r="BH5" s="22"/>
      <c r="BI5" s="22"/>
      <c r="BJ5" s="22"/>
      <c r="BK5" s="22"/>
      <c r="BL5" s="22"/>
      <c r="BM5" s="22"/>
      <c r="BN5" s="22"/>
    </row>
    <row r="6" spans="1:66" s="1" customFormat="1" ht="17.25" customHeight="1" x14ac:dyDescent="0.25">
      <c r="C6" s="196"/>
      <c r="D6" s="196"/>
      <c r="E6" s="196"/>
      <c r="F6" s="196"/>
      <c r="G6" s="196"/>
      <c r="AB6" s="18"/>
      <c r="AC6" s="28"/>
      <c r="AD6" s="28"/>
      <c r="AE6" s="22"/>
      <c r="AF6" s="22"/>
      <c r="AG6" s="22"/>
      <c r="AH6" s="22"/>
      <c r="AI6" s="22"/>
      <c r="AJ6" s="22"/>
      <c r="AK6" s="22"/>
      <c r="AL6" s="22"/>
      <c r="AM6" s="29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</row>
    <row r="7" spans="1:66" s="181" customFormat="1" x14ac:dyDescent="0.25">
      <c r="A7" s="198"/>
      <c r="P7" s="182"/>
      <c r="Q7" s="182"/>
      <c r="AA7" s="5"/>
      <c r="AC7" s="172" t="s">
        <v>411</v>
      </c>
      <c r="AD7" s="223">
        <f ca="1">TODAY()</f>
        <v>45351</v>
      </c>
      <c r="AE7" s="172"/>
      <c r="AF7" s="172"/>
      <c r="AG7" s="172"/>
      <c r="AH7" s="172"/>
      <c r="AI7" s="173">
        <f ca="1">AD7</f>
        <v>45351</v>
      </c>
      <c r="AQ7" s="181" t="s">
        <v>418</v>
      </c>
      <c r="AR7" s="181" t="s">
        <v>182</v>
      </c>
      <c r="AS7" s="181" t="s">
        <v>419</v>
      </c>
      <c r="AT7" s="181" t="s">
        <v>118</v>
      </c>
      <c r="AU7" s="181" t="s">
        <v>419</v>
      </c>
    </row>
    <row r="8" spans="1:66" s="181" customFormat="1" ht="18.75" x14ac:dyDescent="0.3">
      <c r="A8" s="198"/>
      <c r="C8" s="199" t="s">
        <v>346</v>
      </c>
      <c r="D8" s="219" t="s">
        <v>309</v>
      </c>
      <c r="E8" s="195"/>
      <c r="F8" s="738" t="s">
        <v>217</v>
      </c>
      <c r="G8" s="738"/>
      <c r="H8" s="738"/>
      <c r="I8" s="738"/>
      <c r="J8" s="738"/>
      <c r="K8" s="738"/>
      <c r="L8" s="738"/>
      <c r="M8" s="738"/>
      <c r="P8" s="182"/>
      <c r="Q8" s="182"/>
      <c r="AA8" s="5"/>
      <c r="AO8" s="181">
        <v>1</v>
      </c>
      <c r="AP8" s="181" t="str">
        <f>AG9</f>
        <v>0:0</v>
      </c>
      <c r="AQ8" s="181" t="b">
        <f>ISNUMBER(SEARCH("-",AP8,1))</f>
        <v>0</v>
      </c>
      <c r="AR8" s="181">
        <f>IF(AQ8,-1,1)</f>
        <v>1</v>
      </c>
      <c r="AS8" s="181">
        <f>ABS(VALUE(LEFT($AP8,SEARCH(":",$AP8,1)-1)))</f>
        <v>0</v>
      </c>
      <c r="AT8" s="198">
        <f>ABS(VALUE(RIGHT($AP8,LEN($AP8)-SEARCH(":",$AP8,1))))</f>
        <v>0</v>
      </c>
      <c r="AU8" s="181">
        <f>(AS8+AT8/60)/24</f>
        <v>0</v>
      </c>
    </row>
    <row r="9" spans="1:66" s="181" customFormat="1" ht="18.75" x14ac:dyDescent="0.3">
      <c r="A9" s="198"/>
      <c r="C9" s="199" t="s">
        <v>348</v>
      </c>
      <c r="D9" s="219" t="s">
        <v>309</v>
      </c>
      <c r="E9" s="195"/>
      <c r="F9" s="730" t="s">
        <v>349</v>
      </c>
      <c r="G9" s="730"/>
      <c r="H9" s="730"/>
      <c r="I9" s="730"/>
      <c r="J9" s="730" t="s">
        <v>352</v>
      </c>
      <c r="K9" s="730"/>
      <c r="L9" s="730"/>
      <c r="M9" s="730"/>
      <c r="P9" s="182"/>
      <c r="Q9" s="182"/>
      <c r="AA9" s="5"/>
      <c r="AD9" s="198" t="str">
        <f>CONCATENATE(D8,"-",D9)</f>
        <v>x-x</v>
      </c>
      <c r="AE9" s="181">
        <f>MATCH(AD9,AD12:AD18,0)</f>
        <v>7</v>
      </c>
      <c r="AF9" s="181">
        <f>INDEX($AF$12:$AM$18,$AE$9,1)</f>
        <v>0</v>
      </c>
      <c r="AG9" s="218" t="str">
        <f>INDEX($AF$12:$AM$18,$AE$9,2)</f>
        <v>0:0</v>
      </c>
      <c r="AH9" s="218">
        <f>INDEX($AF$12:$AM$18,$AE$9,3)</f>
        <v>0</v>
      </c>
      <c r="AI9" s="218" t="str">
        <f>INDEX($AF$12:$AM$18,$AE$9,4)</f>
        <v>0:0</v>
      </c>
      <c r="AJ9" s="218">
        <f>INDEX($AF$12:$AM$18,$AE$9,5)</f>
        <v>0</v>
      </c>
      <c r="AK9" s="218" t="str">
        <f>INDEX($AF$12:$AM$18,$AE$9,6)</f>
        <v>0:0</v>
      </c>
      <c r="AL9" s="218">
        <f>INDEX($AF$12:$AM$18,$AE$9,7)</f>
        <v>0</v>
      </c>
      <c r="AM9" s="218" t="str">
        <f>INDEX($AF$12:$AM$18,$AE$9,8)</f>
        <v>0:0</v>
      </c>
      <c r="AO9" s="181">
        <v>2</v>
      </c>
      <c r="AP9" s="181" t="str">
        <f>AI9</f>
        <v>0:0</v>
      </c>
      <c r="AQ9" s="198" t="b">
        <f>ISNUMBER(SEARCH("-",AP9,1))</f>
        <v>0</v>
      </c>
      <c r="AR9" s="198">
        <f t="shared" ref="AR9:AR11" si="0">IF(AQ9,-1,1)</f>
        <v>1</v>
      </c>
      <c r="AS9" s="198">
        <f t="shared" ref="AS9:AS11" si="1">ABS(VALUE(LEFT($AP9,SEARCH(":",$AP9,1)-1)))</f>
        <v>0</v>
      </c>
      <c r="AT9" s="198">
        <f t="shared" ref="AT9:AT11" si="2">ABS(VALUE(RIGHT($AP9,LEN($AP9)-SEARCH(":",$AP9,1))))</f>
        <v>0</v>
      </c>
      <c r="AU9" s="198">
        <f>(AS9+AT9/60)/24</f>
        <v>0</v>
      </c>
    </row>
    <row r="10" spans="1:66" s="172" customFormat="1" ht="15.75" x14ac:dyDescent="0.25">
      <c r="A10" s="198"/>
      <c r="F10" s="730" t="s">
        <v>350</v>
      </c>
      <c r="G10" s="730"/>
      <c r="H10" s="730" t="s">
        <v>351</v>
      </c>
      <c r="I10" s="730"/>
      <c r="J10" s="730" t="s">
        <v>350</v>
      </c>
      <c r="K10" s="730"/>
      <c r="L10" s="730" t="s">
        <v>351</v>
      </c>
      <c r="M10" s="730"/>
      <c r="S10" s="178"/>
      <c r="T10" s="178"/>
      <c r="AA10" s="5"/>
      <c r="AF10" s="172">
        <f>AF9</f>
        <v>0</v>
      </c>
      <c r="AG10" s="172">
        <f>AU8</f>
        <v>0</v>
      </c>
      <c r="AH10" s="172">
        <f>AH9</f>
        <v>0</v>
      </c>
      <c r="AI10" s="172">
        <f>AU9</f>
        <v>0</v>
      </c>
      <c r="AJ10" s="172">
        <f>AJ9</f>
        <v>0</v>
      </c>
      <c r="AK10" s="172">
        <f>AU10</f>
        <v>0</v>
      </c>
      <c r="AL10" s="172">
        <f>AL9</f>
        <v>0</v>
      </c>
      <c r="AM10" s="172">
        <f>AU11</f>
        <v>0</v>
      </c>
      <c r="AO10" s="172">
        <v>3</v>
      </c>
      <c r="AP10" s="172" t="str">
        <f>AK9</f>
        <v>0:0</v>
      </c>
      <c r="AQ10" s="198" t="b">
        <f>ISNUMBER(SEARCH("-",AP10,1))</f>
        <v>0</v>
      </c>
      <c r="AR10" s="198">
        <f t="shared" si="0"/>
        <v>1</v>
      </c>
      <c r="AS10" s="198">
        <f t="shared" si="1"/>
        <v>0</v>
      </c>
      <c r="AT10" s="198">
        <f t="shared" si="2"/>
        <v>0</v>
      </c>
      <c r="AU10" s="198">
        <f>(AS10+AT10/60)/24</f>
        <v>0</v>
      </c>
    </row>
    <row r="11" spans="1:66" s="172" customFormat="1" ht="18.75" x14ac:dyDescent="0.3">
      <c r="A11" s="198"/>
      <c r="C11" s="195"/>
      <c r="D11" s="220" t="s">
        <v>346</v>
      </c>
      <c r="E11" s="220" t="s">
        <v>348</v>
      </c>
      <c r="F11" s="175" t="s">
        <v>353</v>
      </c>
      <c r="G11" s="175" t="s">
        <v>354</v>
      </c>
      <c r="H11" s="175" t="s">
        <v>353</v>
      </c>
      <c r="I11" s="175" t="s">
        <v>354</v>
      </c>
      <c r="J11" s="175" t="s">
        <v>353</v>
      </c>
      <c r="K11" s="175" t="s">
        <v>354</v>
      </c>
      <c r="L11" s="175" t="s">
        <v>353</v>
      </c>
      <c r="M11" s="175" t="s">
        <v>354</v>
      </c>
      <c r="S11" s="195"/>
      <c r="T11" s="195"/>
      <c r="U11" s="195"/>
      <c r="AA11" s="5"/>
      <c r="AO11" s="172">
        <v>4</v>
      </c>
      <c r="AP11" s="172" t="str">
        <f>AM9</f>
        <v>0:0</v>
      </c>
      <c r="AQ11" s="198" t="b">
        <f>ISNUMBER(SEARCH("-",AP11,1))</f>
        <v>0</v>
      </c>
      <c r="AR11" s="198">
        <f t="shared" si="0"/>
        <v>1</v>
      </c>
      <c r="AS11" s="198">
        <f t="shared" si="1"/>
        <v>0</v>
      </c>
      <c r="AT11" s="198">
        <f t="shared" si="2"/>
        <v>0</v>
      </c>
      <c r="AU11" s="198">
        <f>(AS11+AT11/60)/24</f>
        <v>0</v>
      </c>
    </row>
    <row r="12" spans="1:66" s="172" customFormat="1" x14ac:dyDescent="0.25">
      <c r="A12" s="239" t="s">
        <v>401</v>
      </c>
      <c r="B12" s="239" t="s">
        <v>455</v>
      </c>
      <c r="C12" s="239" t="s">
        <v>348</v>
      </c>
      <c r="D12" s="735" t="s">
        <v>347</v>
      </c>
      <c r="E12" s="221" t="s">
        <v>365</v>
      </c>
      <c r="F12" s="214">
        <v>0.23</v>
      </c>
      <c r="G12" s="215" t="s">
        <v>356</v>
      </c>
      <c r="H12" s="214">
        <v>-2.1</v>
      </c>
      <c r="I12" s="216" t="s">
        <v>355</v>
      </c>
      <c r="J12" s="214">
        <v>0.13</v>
      </c>
      <c r="K12" s="215" t="s">
        <v>356</v>
      </c>
      <c r="L12" s="214">
        <v>-0.78</v>
      </c>
      <c r="M12" s="216" t="s">
        <v>362</v>
      </c>
      <c r="S12" s="195"/>
      <c r="T12" s="195"/>
      <c r="U12" s="195"/>
      <c r="AA12" s="5"/>
      <c r="AC12" s="172" t="str">
        <f>IF(ISBLANK(D12),AC11,D12)</f>
        <v>Brest</v>
      </c>
      <c r="AD12" s="172" t="str">
        <f>CONCATENATE(AC12,"-",E12)</f>
        <v>Brest-StQuay</v>
      </c>
      <c r="AF12" s="172">
        <f t="shared" ref="AF12:AM17" si="3">F12</f>
        <v>0.23</v>
      </c>
      <c r="AG12" s="198" t="str">
        <f t="shared" si="3"/>
        <v>00:12</v>
      </c>
      <c r="AH12" s="198">
        <f t="shared" si="3"/>
        <v>-2.1</v>
      </c>
      <c r="AI12" s="198" t="str">
        <f t="shared" si="3"/>
        <v>-0:01</v>
      </c>
      <c r="AJ12" s="198">
        <f t="shared" si="3"/>
        <v>0.13</v>
      </c>
      <c r="AK12" s="198" t="str">
        <f t="shared" si="3"/>
        <v>00:12</v>
      </c>
      <c r="AL12" s="198">
        <f t="shared" si="3"/>
        <v>-0.78</v>
      </c>
      <c r="AM12" s="198" t="str">
        <f t="shared" si="3"/>
        <v>-0:04</v>
      </c>
    </row>
    <row r="13" spans="1:66" s="172" customFormat="1" x14ac:dyDescent="0.25">
      <c r="A13" s="222" t="s">
        <v>350</v>
      </c>
      <c r="B13" s="6" t="s">
        <v>309</v>
      </c>
      <c r="C13" s="235" t="s">
        <v>309</v>
      </c>
      <c r="D13" s="736"/>
      <c r="E13" s="221" t="s">
        <v>398</v>
      </c>
      <c r="F13" s="214">
        <v>0.23</v>
      </c>
      <c r="G13" s="215" t="s">
        <v>356</v>
      </c>
      <c r="H13" s="214">
        <v>-2.1</v>
      </c>
      <c r="I13" s="216" t="s">
        <v>420</v>
      </c>
      <c r="J13" s="214">
        <v>0.13</v>
      </c>
      <c r="K13" s="215" t="s">
        <v>356</v>
      </c>
      <c r="L13" s="214">
        <v>-0.78</v>
      </c>
      <c r="M13" s="216" t="s">
        <v>362</v>
      </c>
      <c r="S13" s="195"/>
      <c r="T13" s="195"/>
      <c r="U13" s="195"/>
      <c r="AA13" s="5"/>
      <c r="AC13" s="198" t="str">
        <f t="shared" ref="AC13:AC17" si="4">IF(ISBLANK(D13),AC12,D13)</f>
        <v>Brest</v>
      </c>
      <c r="AD13" s="198" t="str">
        <f t="shared" ref="AD13:AD17" si="5">CONCATENATE(AC13,"-",E13)</f>
        <v>Brest-Binic</v>
      </c>
      <c r="AF13" s="198">
        <f t="shared" si="3"/>
        <v>0.23</v>
      </c>
      <c r="AG13" s="198" t="str">
        <f t="shared" si="3"/>
        <v>00:12</v>
      </c>
      <c r="AH13" s="198">
        <f t="shared" si="3"/>
        <v>-2.1</v>
      </c>
      <c r="AI13" s="198" t="str">
        <f t="shared" si="3"/>
        <v>-1:01</v>
      </c>
      <c r="AJ13" s="198">
        <f t="shared" si="3"/>
        <v>0.13</v>
      </c>
      <c r="AK13" s="198" t="str">
        <f t="shared" si="3"/>
        <v>00:12</v>
      </c>
      <c r="AL13" s="198">
        <f t="shared" si="3"/>
        <v>-0.78</v>
      </c>
      <c r="AM13" s="198" t="str">
        <f t="shared" si="3"/>
        <v>-0:04</v>
      </c>
    </row>
    <row r="14" spans="1:66" s="181" customFormat="1" x14ac:dyDescent="0.25">
      <c r="A14" s="222" t="s">
        <v>351</v>
      </c>
      <c r="B14" s="235" t="s">
        <v>347</v>
      </c>
      <c r="C14" s="235" t="s">
        <v>365</v>
      </c>
      <c r="D14" s="737"/>
      <c r="E14" s="221" t="s">
        <v>399</v>
      </c>
      <c r="F14" s="214">
        <v>0.23</v>
      </c>
      <c r="G14" s="215" t="s">
        <v>356</v>
      </c>
      <c r="H14" s="214">
        <v>-2.1</v>
      </c>
      <c r="I14" s="216" t="s">
        <v>355</v>
      </c>
      <c r="J14" s="214">
        <v>0.13</v>
      </c>
      <c r="K14" s="215" t="s">
        <v>356</v>
      </c>
      <c r="L14" s="214">
        <v>-0.78</v>
      </c>
      <c r="M14" s="216" t="s">
        <v>362</v>
      </c>
      <c r="S14" s="195"/>
      <c r="T14" s="195"/>
      <c r="U14" s="195"/>
      <c r="AA14" s="5"/>
      <c r="AC14" s="198" t="str">
        <f t="shared" si="4"/>
        <v>Brest</v>
      </c>
      <c r="AD14" s="198" t="str">
        <f t="shared" si="5"/>
        <v>Brest-Paimpol</v>
      </c>
      <c r="AF14" s="198">
        <f t="shared" si="3"/>
        <v>0.23</v>
      </c>
      <c r="AG14" s="198" t="str">
        <f t="shared" si="3"/>
        <v>00:12</v>
      </c>
      <c r="AH14" s="198">
        <f t="shared" si="3"/>
        <v>-2.1</v>
      </c>
      <c r="AI14" s="198" t="str">
        <f t="shared" si="3"/>
        <v>-0:01</v>
      </c>
      <c r="AJ14" s="198">
        <f t="shared" si="3"/>
        <v>0.13</v>
      </c>
      <c r="AK14" s="198" t="str">
        <f t="shared" si="3"/>
        <v>00:12</v>
      </c>
      <c r="AL14" s="198">
        <f t="shared" si="3"/>
        <v>-0.78</v>
      </c>
      <c r="AM14" s="198" t="str">
        <f t="shared" si="3"/>
        <v>-0:04</v>
      </c>
    </row>
    <row r="15" spans="1:66" s="172" customFormat="1" x14ac:dyDescent="0.25">
      <c r="A15" s="198"/>
      <c r="B15" s="240" t="s">
        <v>400</v>
      </c>
      <c r="C15" s="235" t="s">
        <v>398</v>
      </c>
      <c r="D15" s="735" t="s">
        <v>400</v>
      </c>
      <c r="E15" s="221" t="s">
        <v>365</v>
      </c>
      <c r="F15" s="214">
        <v>0.23</v>
      </c>
      <c r="G15" s="215" t="s">
        <v>356</v>
      </c>
      <c r="H15" s="214">
        <v>-2.1</v>
      </c>
      <c r="I15" s="216" t="s">
        <v>355</v>
      </c>
      <c r="J15" s="214">
        <v>0.13</v>
      </c>
      <c r="K15" s="215" t="s">
        <v>356</v>
      </c>
      <c r="L15" s="214">
        <v>-0.78</v>
      </c>
      <c r="M15" s="216" t="s">
        <v>362</v>
      </c>
      <c r="S15" s="195"/>
      <c r="T15" s="195"/>
      <c r="U15" s="195"/>
      <c r="AA15" s="5"/>
      <c r="AC15" s="198" t="str">
        <f t="shared" si="4"/>
        <v>StMalo</v>
      </c>
      <c r="AD15" s="198" t="str">
        <f t="shared" si="5"/>
        <v>StMalo-StQuay</v>
      </c>
      <c r="AF15" s="198">
        <f t="shared" si="3"/>
        <v>0.23</v>
      </c>
      <c r="AG15" s="198" t="str">
        <f t="shared" si="3"/>
        <v>00:12</v>
      </c>
      <c r="AH15" s="198">
        <f t="shared" si="3"/>
        <v>-2.1</v>
      </c>
      <c r="AI15" s="198" t="str">
        <f t="shared" si="3"/>
        <v>-0:01</v>
      </c>
      <c r="AJ15" s="198">
        <f t="shared" si="3"/>
        <v>0.13</v>
      </c>
      <c r="AK15" s="198" t="str">
        <f t="shared" si="3"/>
        <v>00:12</v>
      </c>
      <c r="AL15" s="198">
        <f t="shared" si="3"/>
        <v>-0.78</v>
      </c>
      <c r="AM15" s="198" t="str">
        <f t="shared" si="3"/>
        <v>-0:04</v>
      </c>
    </row>
    <row r="16" spans="1:66" s="181" customFormat="1" x14ac:dyDescent="0.25">
      <c r="A16" s="198"/>
      <c r="C16" s="235" t="s">
        <v>399</v>
      </c>
      <c r="D16" s="736"/>
      <c r="E16" s="221" t="s">
        <v>398</v>
      </c>
      <c r="F16" s="214">
        <v>0.23</v>
      </c>
      <c r="G16" s="215" t="s">
        <v>356</v>
      </c>
      <c r="H16" s="214">
        <v>-2.1</v>
      </c>
      <c r="I16" s="216" t="s">
        <v>355</v>
      </c>
      <c r="J16" s="214">
        <v>0.13</v>
      </c>
      <c r="K16" s="215" t="s">
        <v>356</v>
      </c>
      <c r="L16" s="214">
        <v>-0.78</v>
      </c>
      <c r="M16" s="216" t="s">
        <v>362</v>
      </c>
      <c r="S16" s="195"/>
      <c r="T16" s="195"/>
      <c r="U16" s="195"/>
      <c r="AA16" s="5"/>
      <c r="AC16" s="198" t="str">
        <f t="shared" si="4"/>
        <v>StMalo</v>
      </c>
      <c r="AD16" s="198" t="str">
        <f t="shared" si="5"/>
        <v>StMalo-Binic</v>
      </c>
      <c r="AF16" s="198">
        <f t="shared" si="3"/>
        <v>0.23</v>
      </c>
      <c r="AG16" s="198" t="str">
        <f t="shared" si="3"/>
        <v>00:12</v>
      </c>
      <c r="AH16" s="198">
        <f t="shared" si="3"/>
        <v>-2.1</v>
      </c>
      <c r="AI16" s="198" t="str">
        <f t="shared" si="3"/>
        <v>-0:01</v>
      </c>
      <c r="AJ16" s="198">
        <f t="shared" si="3"/>
        <v>0.13</v>
      </c>
      <c r="AK16" s="198" t="str">
        <f t="shared" si="3"/>
        <v>00:12</v>
      </c>
      <c r="AL16" s="198">
        <f t="shared" si="3"/>
        <v>-0.78</v>
      </c>
      <c r="AM16" s="198" t="str">
        <f t="shared" si="3"/>
        <v>-0:04</v>
      </c>
    </row>
    <row r="17" spans="1:53" s="172" customFormat="1" x14ac:dyDescent="0.25">
      <c r="A17" s="198"/>
      <c r="C17" s="235"/>
      <c r="D17" s="737"/>
      <c r="E17" s="221" t="s">
        <v>399</v>
      </c>
      <c r="F17" s="214">
        <v>0.23</v>
      </c>
      <c r="G17" s="215" t="s">
        <v>356</v>
      </c>
      <c r="H17" s="214">
        <v>-2.1</v>
      </c>
      <c r="I17" s="216" t="s">
        <v>355</v>
      </c>
      <c r="J17" s="214">
        <v>0.13</v>
      </c>
      <c r="K17" s="215" t="s">
        <v>356</v>
      </c>
      <c r="L17" s="214">
        <v>-0.78</v>
      </c>
      <c r="M17" s="216" t="s">
        <v>362</v>
      </c>
      <c r="S17" s="195"/>
      <c r="T17" s="195"/>
      <c r="U17" s="195"/>
      <c r="AA17" s="5"/>
      <c r="AC17" s="198" t="str">
        <f t="shared" si="4"/>
        <v>StMalo</v>
      </c>
      <c r="AD17" s="198" t="str">
        <f t="shared" si="5"/>
        <v>StMalo-Paimpol</v>
      </c>
      <c r="AF17" s="198">
        <f t="shared" si="3"/>
        <v>0.23</v>
      </c>
      <c r="AG17" s="198" t="str">
        <f t="shared" si="3"/>
        <v>00:12</v>
      </c>
      <c r="AH17" s="198">
        <f t="shared" si="3"/>
        <v>-2.1</v>
      </c>
      <c r="AI17" s="198" t="str">
        <f t="shared" si="3"/>
        <v>-0:01</v>
      </c>
      <c r="AJ17" s="198">
        <f t="shared" si="3"/>
        <v>0.13</v>
      </c>
      <c r="AK17" s="198" t="str">
        <f t="shared" si="3"/>
        <v>00:12</v>
      </c>
      <c r="AL17" s="198">
        <f t="shared" si="3"/>
        <v>-0.78</v>
      </c>
      <c r="AM17" s="198" t="str">
        <f t="shared" si="3"/>
        <v>-0:04</v>
      </c>
    </row>
    <row r="18" spans="1:53" s="181" customFormat="1" x14ac:dyDescent="0.25">
      <c r="A18" s="198"/>
      <c r="D18" s="221" t="s">
        <v>309</v>
      </c>
      <c r="E18" s="221" t="s">
        <v>309</v>
      </c>
      <c r="F18" s="214">
        <v>0</v>
      </c>
      <c r="G18" s="215" t="s">
        <v>456</v>
      </c>
      <c r="H18" s="214">
        <v>0</v>
      </c>
      <c r="I18" s="215" t="s">
        <v>456</v>
      </c>
      <c r="J18" s="214">
        <v>0</v>
      </c>
      <c r="K18" s="215" t="s">
        <v>456</v>
      </c>
      <c r="L18" s="214">
        <v>0</v>
      </c>
      <c r="M18" s="215" t="s">
        <v>456</v>
      </c>
      <c r="S18" s="195"/>
      <c r="T18" s="195"/>
      <c r="U18" s="195"/>
      <c r="AA18" s="5"/>
      <c r="AC18" s="218" t="str">
        <f t="shared" ref="AC18" si="6">IF(ISBLANK(D18),AC17,D18)</f>
        <v>x</v>
      </c>
      <c r="AD18" s="218" t="str">
        <f t="shared" ref="AD18" si="7">CONCATENATE(AC18,"-",E18)</f>
        <v>x-x</v>
      </c>
      <c r="AE18" s="218"/>
      <c r="AF18" s="218">
        <f t="shared" ref="AF18" si="8">F18</f>
        <v>0</v>
      </c>
      <c r="AG18" s="218" t="str">
        <f t="shared" ref="AG18" si="9">G18</f>
        <v>0:0</v>
      </c>
      <c r="AH18" s="218">
        <f t="shared" ref="AH18" si="10">H18</f>
        <v>0</v>
      </c>
      <c r="AI18" s="218" t="str">
        <f t="shared" ref="AI18" si="11">I18</f>
        <v>0:0</v>
      </c>
      <c r="AJ18" s="218">
        <f t="shared" ref="AJ18" si="12">J18</f>
        <v>0</v>
      </c>
      <c r="AK18" s="218" t="str">
        <f t="shared" ref="AK18" si="13">K18</f>
        <v>0:0</v>
      </c>
      <c r="AL18" s="218">
        <f t="shared" ref="AL18" si="14">L18</f>
        <v>0</v>
      </c>
      <c r="AM18" s="218" t="str">
        <f t="shared" ref="AM18" si="15">M18</f>
        <v>0:0</v>
      </c>
    </row>
    <row r="19" spans="1:53" s="172" customFormat="1" ht="15.75" thickBot="1" x14ac:dyDescent="0.3">
      <c r="A19" s="198"/>
      <c r="S19" s="195"/>
      <c r="T19" s="195"/>
      <c r="U19" s="195"/>
      <c r="AA19" s="5"/>
    </row>
    <row r="20" spans="1:53" s="181" customFormat="1" ht="20.25" thickTop="1" thickBot="1" x14ac:dyDescent="0.35">
      <c r="A20" s="198"/>
      <c r="C20" s="719" t="s">
        <v>364</v>
      </c>
      <c r="D20" s="719"/>
      <c r="E20" s="719"/>
      <c r="F20" s="719"/>
      <c r="G20" s="719"/>
      <c r="H20" s="720" t="s">
        <v>459</v>
      </c>
      <c r="I20" s="721"/>
      <c r="J20" s="721"/>
      <c r="K20" s="721"/>
      <c r="L20" s="195"/>
      <c r="M20" s="195"/>
      <c r="N20" s="172"/>
      <c r="Q20" s="198"/>
      <c r="AA20" s="5"/>
    </row>
    <row r="21" spans="1:53" s="172" customFormat="1" ht="17.25" thickTop="1" thickBot="1" x14ac:dyDescent="0.3">
      <c r="A21" s="198"/>
      <c r="C21" s="201" t="s">
        <v>401</v>
      </c>
      <c r="D21" s="201" t="s">
        <v>2</v>
      </c>
      <c r="E21" s="201" t="s">
        <v>12</v>
      </c>
      <c r="F21" s="201" t="s">
        <v>341</v>
      </c>
      <c r="G21" s="201" t="s">
        <v>446</v>
      </c>
      <c r="H21" s="253" t="s">
        <v>404</v>
      </c>
      <c r="I21" s="248" t="s">
        <v>415</v>
      </c>
      <c r="J21" s="248" t="s">
        <v>12</v>
      </c>
      <c r="K21" s="248" t="s">
        <v>342</v>
      </c>
      <c r="Q21" s="198"/>
      <c r="AA21" s="5"/>
      <c r="AB21" s="172" t="s">
        <v>405</v>
      </c>
      <c r="AC21" s="172" t="s">
        <v>2</v>
      </c>
      <c r="AD21" s="172" t="s">
        <v>12</v>
      </c>
      <c r="AE21" s="172" t="s">
        <v>406</v>
      </c>
      <c r="AF21" s="172" t="s">
        <v>407</v>
      </c>
      <c r="AG21" s="172" t="s">
        <v>408</v>
      </c>
      <c r="AH21" s="172" t="s">
        <v>409</v>
      </c>
      <c r="AI21" s="172" t="s">
        <v>410</v>
      </c>
      <c r="AJ21" s="172" t="s">
        <v>412</v>
      </c>
      <c r="AK21" s="172" t="s">
        <v>413</v>
      </c>
      <c r="AL21" s="198" t="s">
        <v>427</v>
      </c>
      <c r="AM21" s="172" t="s">
        <v>414</v>
      </c>
      <c r="AN21" s="172" t="s">
        <v>341</v>
      </c>
      <c r="AO21" s="172" t="s">
        <v>358</v>
      </c>
      <c r="AQ21" s="172" t="s">
        <v>421</v>
      </c>
      <c r="AR21" s="172" t="s">
        <v>422</v>
      </c>
      <c r="AS21" s="172" t="s">
        <v>423</v>
      </c>
      <c r="AT21" s="172" t="s">
        <v>424</v>
      </c>
      <c r="AU21" s="172" t="s">
        <v>12</v>
      </c>
      <c r="AW21" s="198" t="s">
        <v>421</v>
      </c>
      <c r="AX21" s="198" t="s">
        <v>422</v>
      </c>
      <c r="AY21" s="198" t="s">
        <v>423</v>
      </c>
      <c r="AZ21" s="198" t="s">
        <v>424</v>
      </c>
      <c r="BA21" s="198" t="s">
        <v>342</v>
      </c>
    </row>
    <row r="22" spans="1:53" s="181" customFormat="1" ht="17.25" thickTop="1" thickBot="1" x14ac:dyDescent="0.3">
      <c r="A22" s="198"/>
      <c r="B22" s="252" t="s">
        <v>402</v>
      </c>
      <c r="C22" s="200" t="s">
        <v>350</v>
      </c>
      <c r="D22" s="254" t="s">
        <v>416</v>
      </c>
      <c r="E22" s="255" t="s">
        <v>343</v>
      </c>
      <c r="F22" s="256">
        <v>90</v>
      </c>
      <c r="G22" s="256">
        <v>9.56</v>
      </c>
      <c r="H22" s="253" t="str">
        <f ca="1">IF(AM22,"Y","N")</f>
        <v>Y</v>
      </c>
      <c r="I22" s="249" t="str">
        <f ca="1">IF(AO22,"Y","N")</f>
        <v>Y</v>
      </c>
      <c r="J22" s="250">
        <f ca="1">AU22</f>
        <v>45646.416666666664</v>
      </c>
      <c r="K22" s="251">
        <f ca="1">BA22</f>
        <v>9.56</v>
      </c>
      <c r="Q22" s="198"/>
      <c r="AA22" s="5"/>
      <c r="AB22" s="181" t="b">
        <f>(C22=$A$13)</f>
        <v>1</v>
      </c>
      <c r="AC22" s="181">
        <f t="shared" ref="AC22:AC31" si="16">DATEVALUE(D22)</f>
        <v>45646</v>
      </c>
      <c r="AD22" s="181">
        <f t="shared" ref="AD22:AD31" si="17">TIMEVALUE(E22)</f>
        <v>0.41666666666666669</v>
      </c>
      <c r="AE22" s="225" t="b">
        <f>ISNUMBER(AC22)</f>
        <v>1</v>
      </c>
      <c r="AF22" s="225" t="b">
        <f>ISNUMBER(AD22)</f>
        <v>1</v>
      </c>
      <c r="AG22" s="225" t="b">
        <f t="shared" ref="AG22:AG31" si="18">IF(AB22,IF(AND(ISNUMBER(F22),F22&gt;20,F22&lt;120),TRUE,FALSE),TRUE)</f>
        <v>1</v>
      </c>
      <c r="AH22" s="225" t="b">
        <f>ISNUMBER(G22)</f>
        <v>1</v>
      </c>
      <c r="AI22" s="225" t="b">
        <f t="shared" ref="AI22:AI31" ca="1" si="19">IF(AE22, IF(AND(AC22&gt;$AI$7,AC22&lt;$AI$7+365),TRUE,FALSE),FALSE)</f>
        <v>1</v>
      </c>
      <c r="AJ22" s="225" t="b">
        <f t="shared" ref="AJ22:AJ31" si="20">IF(AF22,IF(AND(AD22&gt;=0,AD22&lt;=1),TRUE,FALSE),FALSE)</f>
        <v>1</v>
      </c>
      <c r="AK22" s="225" t="b">
        <f t="shared" ref="AK22:AK31" si="21">IF(AH22,IF(G22&gt;0,TRUE,FALSE),FALSE)</f>
        <v>1</v>
      </c>
      <c r="AL22" s="198">
        <f ca="1">IF(AND(AJ22,AI22),1,0)</f>
        <v>1</v>
      </c>
      <c r="AM22" s="225" t="b">
        <f ca="1">AND(AK22,AJ22,AI22,AG22,(AL22&gt;0.8),(AL22&lt;1.2))</f>
        <v>1</v>
      </c>
      <c r="AN22" s="181">
        <f ca="1">IF(AM22,IF(AND(AM22,AB22),F22,F23),-1)</f>
        <v>90</v>
      </c>
      <c r="AO22" s="181" t="b">
        <f ca="1">AND(AM22,AN22&gt;70)</f>
        <v>1</v>
      </c>
      <c r="AQ22" s="181">
        <f t="shared" ref="AQ22:AQ31" ca="1" si="22">IF(AND($AM22,$AO22,$AB22),$AG$10,0)</f>
        <v>0</v>
      </c>
      <c r="AR22" s="198">
        <f t="shared" ref="AR22:AR31" ca="1" si="23">IF(AND($AM22,$AO22,NOT($AB22)),$AI$10,0)</f>
        <v>0</v>
      </c>
      <c r="AS22" s="198">
        <f t="shared" ref="AS22:AS31" ca="1" si="24">IF(AND($AM22,NOT($AO22),$AB22),$AK$10,0)</f>
        <v>0</v>
      </c>
      <c r="AT22" s="198">
        <f t="shared" ref="AT22:AT31" ca="1" si="25">IF(AND($AM22,NOT($AO22),NOT($AB22)),$AM$10,0)</f>
        <v>0</v>
      </c>
      <c r="AU22" s="181">
        <f ca="1">IF(AM22,$AC22+$AD22+SUM(AQ22:AT22),"-")</f>
        <v>45646.416666666664</v>
      </c>
      <c r="AW22" s="198">
        <f t="shared" ref="AW22:AW31" ca="1" si="26">IF(AND($AM22,$AO22,$AB22),$AF$10,0)</f>
        <v>0</v>
      </c>
      <c r="AX22" s="198">
        <f t="shared" ref="AX22:AX31" ca="1" si="27">IF(AND($AM22,$AO22,NOT($AB22)),$AH$10,0)</f>
        <v>0</v>
      </c>
      <c r="AY22" s="198">
        <f t="shared" ref="AY22:AY31" ca="1" si="28">IF(AND($AM22,NOT($AO22),$AB22),$AJ$10,0)</f>
        <v>0</v>
      </c>
      <c r="AZ22" s="198">
        <f t="shared" ref="AZ22:AZ31" ca="1" si="29">IF(AND($AM22,NOT($AO22),NOT($AB22)),$AL$10,0)</f>
        <v>0</v>
      </c>
      <c r="BA22" s="198">
        <f t="shared" ref="BA22:BA31" ca="1" si="30">IF(AM22,G22+SUM(AW22:AZ22),"-")</f>
        <v>9.56</v>
      </c>
    </row>
    <row r="23" spans="1:53" s="181" customFormat="1" ht="16.5" thickTop="1" thickBot="1" x14ac:dyDescent="0.3">
      <c r="A23" s="198"/>
      <c r="C23" s="258" t="str">
        <f>IF(C22=$A$13,$A$14,$A$13)</f>
        <v>BM</v>
      </c>
      <c r="D23" s="254" t="s">
        <v>416</v>
      </c>
      <c r="E23" s="255" t="s">
        <v>344</v>
      </c>
      <c r="F23" s="256"/>
      <c r="G23" s="256">
        <v>5</v>
      </c>
      <c r="H23" s="253" t="str">
        <f t="shared" ref="H23:H31" ca="1" si="31">IF(AM23,"Y","N")</f>
        <v>Y</v>
      </c>
      <c r="I23" s="249" t="str">
        <f t="shared" ref="I23:I31" ca="1" si="32">IF(AO23,"Y","N")</f>
        <v>Y</v>
      </c>
      <c r="J23" s="250">
        <f t="shared" ref="J23:J31" ca="1" si="33">AU23</f>
        <v>45646.675000000003</v>
      </c>
      <c r="K23" s="251">
        <f t="shared" ref="K23:K31" ca="1" si="34">BA23</f>
        <v>5</v>
      </c>
      <c r="Q23" s="198"/>
      <c r="AA23" s="5"/>
      <c r="AB23" s="198" t="b">
        <f t="shared" ref="AB23:AB31" si="35">(C23=$A$13)</f>
        <v>0</v>
      </c>
      <c r="AC23" s="198">
        <f t="shared" si="16"/>
        <v>45646</v>
      </c>
      <c r="AD23" s="198">
        <f t="shared" si="17"/>
        <v>0.67499999999999993</v>
      </c>
      <c r="AE23" s="225" t="b">
        <f t="shared" ref="AE23:AF31" si="36">ISNUMBER(AC23)</f>
        <v>1</v>
      </c>
      <c r="AF23" s="225" t="b">
        <f t="shared" si="36"/>
        <v>1</v>
      </c>
      <c r="AG23" s="225" t="b">
        <f t="shared" si="18"/>
        <v>1</v>
      </c>
      <c r="AH23" s="225" t="b">
        <f t="shared" ref="AH23:AH31" si="37">ISNUMBER(G23)</f>
        <v>1</v>
      </c>
      <c r="AI23" s="225" t="b">
        <f t="shared" ca="1" si="19"/>
        <v>1</v>
      </c>
      <c r="AJ23" s="225" t="b">
        <f t="shared" si="20"/>
        <v>1</v>
      </c>
      <c r="AK23" s="225" t="b">
        <f t="shared" si="21"/>
        <v>1</v>
      </c>
      <c r="AL23" s="198">
        <f ca="1">IF(AND(AI23,AJ23),((AC23+AD23)-(AC22+AD22))*24/6,0)</f>
        <v>1.0333333333546761</v>
      </c>
      <c r="AM23" s="225" t="b">
        <f ca="1">AND(AK23,AJ23,AI23,AG23,(AL23&gt;0.6),(AL23&lt;1.4))</f>
        <v>1</v>
      </c>
      <c r="AN23" s="198">
        <f t="shared" ref="AN23:AN31" ca="1" si="38">IF(AM23,IF(AND(AM23,AB23),F23,AN22),-1)</f>
        <v>90</v>
      </c>
      <c r="AO23" s="198" t="b">
        <f t="shared" ref="AO23:AO31" ca="1" si="39">AND(AM23,AN23&gt;70)</f>
        <v>1</v>
      </c>
      <c r="AQ23" s="198">
        <f t="shared" ca="1" si="22"/>
        <v>0</v>
      </c>
      <c r="AR23" s="198">
        <f t="shared" ca="1" si="23"/>
        <v>0</v>
      </c>
      <c r="AS23" s="198">
        <f t="shared" ca="1" si="24"/>
        <v>0</v>
      </c>
      <c r="AT23" s="198">
        <f t="shared" ca="1" si="25"/>
        <v>0</v>
      </c>
      <c r="AU23" s="198">
        <f t="shared" ref="AU23:AU31" ca="1" si="40">IF(AM23,$AC23+$AD23+SUM(AQ23:AT23),"-")</f>
        <v>45646.675000000003</v>
      </c>
      <c r="AW23" s="198">
        <f t="shared" ca="1" si="26"/>
        <v>0</v>
      </c>
      <c r="AX23" s="198">
        <f t="shared" ca="1" si="27"/>
        <v>0</v>
      </c>
      <c r="AY23" s="198">
        <f t="shared" ca="1" si="28"/>
        <v>0</v>
      </c>
      <c r="AZ23" s="198">
        <f t="shared" ca="1" si="29"/>
        <v>0</v>
      </c>
      <c r="BA23" s="198">
        <f t="shared" ca="1" si="30"/>
        <v>5</v>
      </c>
    </row>
    <row r="24" spans="1:53" s="181" customFormat="1" ht="16.5" thickTop="1" thickBot="1" x14ac:dyDescent="0.3">
      <c r="A24" s="198"/>
      <c r="C24" s="258" t="str">
        <f t="shared" ref="C24:C31" si="41">IF(C23=$A$13,$A$14,$A$13)</f>
        <v>PM</v>
      </c>
      <c r="D24" s="254" t="s">
        <v>417</v>
      </c>
      <c r="E24" s="257" t="s">
        <v>428</v>
      </c>
      <c r="F24" s="256">
        <v>50</v>
      </c>
      <c r="G24" s="256">
        <v>10.199999999999999</v>
      </c>
      <c r="H24" s="253" t="str">
        <f t="shared" ca="1" si="31"/>
        <v>Y</v>
      </c>
      <c r="I24" s="249" t="str">
        <f t="shared" ca="1" si="32"/>
        <v>N</v>
      </c>
      <c r="J24" s="250">
        <f t="shared" ca="1" si="33"/>
        <v>45647.008333333331</v>
      </c>
      <c r="K24" s="251">
        <f t="shared" ca="1" si="34"/>
        <v>10.199999999999999</v>
      </c>
      <c r="Q24" s="198"/>
      <c r="AA24" s="5"/>
      <c r="AB24" s="198" t="b">
        <f t="shared" si="35"/>
        <v>1</v>
      </c>
      <c r="AC24" s="198">
        <f t="shared" si="16"/>
        <v>45647</v>
      </c>
      <c r="AD24" s="198">
        <f t="shared" si="17"/>
        <v>8.3333333333333332E-3</v>
      </c>
      <c r="AE24" s="225" t="b">
        <f t="shared" si="36"/>
        <v>1</v>
      </c>
      <c r="AF24" s="225" t="b">
        <f t="shared" si="36"/>
        <v>1</v>
      </c>
      <c r="AG24" s="225" t="b">
        <f t="shared" si="18"/>
        <v>1</v>
      </c>
      <c r="AH24" s="225" t="b">
        <f t="shared" si="37"/>
        <v>1</v>
      </c>
      <c r="AI24" s="225" t="b">
        <f t="shared" ca="1" si="19"/>
        <v>1</v>
      </c>
      <c r="AJ24" s="225" t="b">
        <f t="shared" si="20"/>
        <v>1</v>
      </c>
      <c r="AK24" s="225" t="b">
        <f t="shared" si="21"/>
        <v>1</v>
      </c>
      <c r="AL24" s="198">
        <f t="shared" ref="AL24:AL31" ca="1" si="42">IF(AND(AI24,AJ24),((AC24+AD24)-(AC23+AD23))*24/6,0)</f>
        <v>1.3333333333139308</v>
      </c>
      <c r="AM24" s="225" t="b">
        <f t="shared" ref="AM24:AM31" ca="1" si="43">AND(AK24,AJ24,AI24,AG24,(AL24&gt;0.6),(AL24&lt;1.4))</f>
        <v>1</v>
      </c>
      <c r="AN24" s="198">
        <f t="shared" ca="1" si="38"/>
        <v>50</v>
      </c>
      <c r="AO24" s="198" t="b">
        <f t="shared" ca="1" si="39"/>
        <v>0</v>
      </c>
      <c r="AQ24" s="198">
        <f t="shared" ca="1" si="22"/>
        <v>0</v>
      </c>
      <c r="AR24" s="198">
        <f t="shared" ca="1" si="23"/>
        <v>0</v>
      </c>
      <c r="AS24" s="198">
        <f t="shared" ca="1" si="24"/>
        <v>0</v>
      </c>
      <c r="AT24" s="198">
        <f t="shared" ca="1" si="25"/>
        <v>0</v>
      </c>
      <c r="AU24" s="198">
        <f t="shared" ca="1" si="40"/>
        <v>45647.008333333331</v>
      </c>
      <c r="AW24" s="198">
        <f t="shared" ca="1" si="26"/>
        <v>0</v>
      </c>
      <c r="AX24" s="198">
        <f t="shared" ca="1" si="27"/>
        <v>0</v>
      </c>
      <c r="AY24" s="198">
        <f t="shared" ca="1" si="28"/>
        <v>0</v>
      </c>
      <c r="AZ24" s="198">
        <f t="shared" ca="1" si="29"/>
        <v>0</v>
      </c>
      <c r="BA24" s="198">
        <f t="shared" ca="1" si="30"/>
        <v>10.199999999999999</v>
      </c>
    </row>
    <row r="25" spans="1:53" s="181" customFormat="1" ht="16.5" thickTop="1" thickBot="1" x14ac:dyDescent="0.3">
      <c r="A25" s="198"/>
      <c r="C25" s="258" t="str">
        <f t="shared" si="41"/>
        <v>BM</v>
      </c>
      <c r="D25" s="254" t="s">
        <v>417</v>
      </c>
      <c r="E25" s="257" t="s">
        <v>429</v>
      </c>
      <c r="F25" s="256"/>
      <c r="G25" s="256">
        <v>4.75</v>
      </c>
      <c r="H25" s="253" t="str">
        <f t="shared" ca="1" si="31"/>
        <v>Y</v>
      </c>
      <c r="I25" s="249" t="str">
        <f t="shared" ca="1" si="32"/>
        <v>N</v>
      </c>
      <c r="J25" s="250">
        <f t="shared" ca="1" si="33"/>
        <v>45647.258333333331</v>
      </c>
      <c r="K25" s="251">
        <f t="shared" ca="1" si="34"/>
        <v>4.75</v>
      </c>
      <c r="Q25" s="198"/>
      <c r="AA25" s="5"/>
      <c r="AB25" s="198" t="b">
        <f t="shared" si="35"/>
        <v>0</v>
      </c>
      <c r="AC25" s="198">
        <f t="shared" si="16"/>
        <v>45647</v>
      </c>
      <c r="AD25" s="198">
        <f t="shared" si="17"/>
        <v>0.25833333333333336</v>
      </c>
      <c r="AE25" s="225" t="b">
        <f t="shared" si="36"/>
        <v>1</v>
      </c>
      <c r="AF25" s="225" t="b">
        <f t="shared" si="36"/>
        <v>1</v>
      </c>
      <c r="AG25" s="225" t="b">
        <f t="shared" si="18"/>
        <v>1</v>
      </c>
      <c r="AH25" s="225" t="b">
        <f t="shared" si="37"/>
        <v>1</v>
      </c>
      <c r="AI25" s="225" t="b">
        <f t="shared" ca="1" si="19"/>
        <v>1</v>
      </c>
      <c r="AJ25" s="225" t="b">
        <f t="shared" si="20"/>
        <v>1</v>
      </c>
      <c r="AK25" s="225" t="b">
        <f t="shared" si="21"/>
        <v>1</v>
      </c>
      <c r="AL25" s="198">
        <f t="shared" ca="1" si="42"/>
        <v>1</v>
      </c>
      <c r="AM25" s="225" t="b">
        <f t="shared" ca="1" si="43"/>
        <v>1</v>
      </c>
      <c r="AN25" s="198">
        <f t="shared" ca="1" si="38"/>
        <v>50</v>
      </c>
      <c r="AO25" s="198" t="b">
        <f t="shared" ca="1" si="39"/>
        <v>0</v>
      </c>
      <c r="AQ25" s="198">
        <f t="shared" ca="1" si="22"/>
        <v>0</v>
      </c>
      <c r="AR25" s="198">
        <f t="shared" ca="1" si="23"/>
        <v>0</v>
      </c>
      <c r="AS25" s="198">
        <f t="shared" ca="1" si="24"/>
        <v>0</v>
      </c>
      <c r="AT25" s="198">
        <f t="shared" ca="1" si="25"/>
        <v>0</v>
      </c>
      <c r="AU25" s="198">
        <f t="shared" ca="1" si="40"/>
        <v>45647.258333333331</v>
      </c>
      <c r="AW25" s="198">
        <f t="shared" ca="1" si="26"/>
        <v>0</v>
      </c>
      <c r="AX25" s="198">
        <f t="shared" ca="1" si="27"/>
        <v>0</v>
      </c>
      <c r="AY25" s="198">
        <f t="shared" ca="1" si="28"/>
        <v>0</v>
      </c>
      <c r="AZ25" s="198">
        <f t="shared" ca="1" si="29"/>
        <v>0</v>
      </c>
      <c r="BA25" s="198">
        <f t="shared" ca="1" si="30"/>
        <v>4.75</v>
      </c>
    </row>
    <row r="26" spans="1:53" s="181" customFormat="1" ht="16.5" thickTop="1" thickBot="1" x14ac:dyDescent="0.3">
      <c r="A26" s="198"/>
      <c r="C26" s="258" t="str">
        <f t="shared" si="41"/>
        <v>PM</v>
      </c>
      <c r="D26" s="254" t="str">
        <f>D25</f>
        <v>2024/12/21</v>
      </c>
      <c r="E26" s="257" t="s">
        <v>460</v>
      </c>
      <c r="F26" s="256">
        <v>80</v>
      </c>
      <c r="G26" s="256">
        <v>9.7200000000000006</v>
      </c>
      <c r="H26" s="253" t="str">
        <f t="shared" ca="1" si="31"/>
        <v>Y</v>
      </c>
      <c r="I26" s="249" t="str">
        <f t="shared" ca="1" si="32"/>
        <v>Y</v>
      </c>
      <c r="J26" s="250">
        <f t="shared" ca="1" si="33"/>
        <v>45647.51666666667</v>
      </c>
      <c r="K26" s="251">
        <f t="shared" ca="1" si="34"/>
        <v>9.7200000000000006</v>
      </c>
      <c r="Q26" s="198"/>
      <c r="AA26" s="5"/>
      <c r="AB26" s="198" t="b">
        <f t="shared" si="35"/>
        <v>1</v>
      </c>
      <c r="AC26" s="198">
        <f t="shared" si="16"/>
        <v>45647</v>
      </c>
      <c r="AD26" s="198">
        <f t="shared" si="17"/>
        <v>0.51666666666666672</v>
      </c>
      <c r="AE26" s="225" t="b">
        <f t="shared" si="36"/>
        <v>1</v>
      </c>
      <c r="AF26" s="225" t="b">
        <f t="shared" si="36"/>
        <v>1</v>
      </c>
      <c r="AG26" s="225" t="b">
        <f t="shared" si="18"/>
        <v>1</v>
      </c>
      <c r="AH26" s="225" t="b">
        <f t="shared" si="37"/>
        <v>1</v>
      </c>
      <c r="AI26" s="225" t="b">
        <f t="shared" ca="1" si="19"/>
        <v>1</v>
      </c>
      <c r="AJ26" s="225" t="b">
        <f t="shared" si="20"/>
        <v>1</v>
      </c>
      <c r="AK26" s="225" t="b">
        <f t="shared" si="21"/>
        <v>1</v>
      </c>
      <c r="AL26" s="198">
        <f t="shared" ca="1" si="42"/>
        <v>1.0333333333546761</v>
      </c>
      <c r="AM26" s="225" t="b">
        <f t="shared" ca="1" si="43"/>
        <v>1</v>
      </c>
      <c r="AN26" s="198">
        <f t="shared" ca="1" si="38"/>
        <v>80</v>
      </c>
      <c r="AO26" s="198" t="b">
        <f t="shared" ca="1" si="39"/>
        <v>1</v>
      </c>
      <c r="AQ26" s="198">
        <f t="shared" ca="1" si="22"/>
        <v>0</v>
      </c>
      <c r="AR26" s="198">
        <f t="shared" ca="1" si="23"/>
        <v>0</v>
      </c>
      <c r="AS26" s="198">
        <f t="shared" ca="1" si="24"/>
        <v>0</v>
      </c>
      <c r="AT26" s="198">
        <f t="shared" ca="1" si="25"/>
        <v>0</v>
      </c>
      <c r="AU26" s="198">
        <f t="shared" ca="1" si="40"/>
        <v>45647.51666666667</v>
      </c>
      <c r="AW26" s="198">
        <f t="shared" ca="1" si="26"/>
        <v>0</v>
      </c>
      <c r="AX26" s="198">
        <f t="shared" ca="1" si="27"/>
        <v>0</v>
      </c>
      <c r="AY26" s="198">
        <f t="shared" ca="1" si="28"/>
        <v>0</v>
      </c>
      <c r="AZ26" s="198">
        <f t="shared" ca="1" si="29"/>
        <v>0</v>
      </c>
      <c r="BA26" s="198">
        <f t="shared" ca="1" si="30"/>
        <v>9.7200000000000006</v>
      </c>
    </row>
    <row r="27" spans="1:53" s="172" customFormat="1" ht="16.5" thickTop="1" thickBot="1" x14ac:dyDescent="0.3">
      <c r="A27" s="198"/>
      <c r="C27" s="258" t="str">
        <f t="shared" si="41"/>
        <v>BM</v>
      </c>
      <c r="D27" s="254"/>
      <c r="E27" s="257"/>
      <c r="F27" s="256"/>
      <c r="G27" s="256"/>
      <c r="H27" s="253" t="str">
        <f t="shared" si="31"/>
        <v>N</v>
      </c>
      <c r="I27" s="249" t="str">
        <f t="shared" si="32"/>
        <v>N</v>
      </c>
      <c r="J27" s="250" t="str">
        <f t="shared" si="33"/>
        <v>-</v>
      </c>
      <c r="K27" s="251" t="str">
        <f t="shared" si="34"/>
        <v>-</v>
      </c>
      <c r="M27" s="170"/>
      <c r="Q27" s="198"/>
      <c r="AA27" s="5"/>
      <c r="AB27" s="198" t="b">
        <f t="shared" si="35"/>
        <v>0</v>
      </c>
      <c r="AC27" s="198" t="e">
        <f t="shared" si="16"/>
        <v>#VALUE!</v>
      </c>
      <c r="AD27" s="198" t="e">
        <f t="shared" si="17"/>
        <v>#VALUE!</v>
      </c>
      <c r="AE27" s="225" t="b">
        <f t="shared" si="36"/>
        <v>0</v>
      </c>
      <c r="AF27" s="225" t="b">
        <f t="shared" si="36"/>
        <v>0</v>
      </c>
      <c r="AG27" s="225" t="b">
        <f t="shared" si="18"/>
        <v>1</v>
      </c>
      <c r="AH27" s="225" t="b">
        <f t="shared" si="37"/>
        <v>0</v>
      </c>
      <c r="AI27" s="225" t="b">
        <f t="shared" si="19"/>
        <v>0</v>
      </c>
      <c r="AJ27" s="225" t="b">
        <f t="shared" si="20"/>
        <v>0</v>
      </c>
      <c r="AK27" s="225" t="b">
        <f t="shared" si="21"/>
        <v>0</v>
      </c>
      <c r="AL27" s="198">
        <f t="shared" si="42"/>
        <v>0</v>
      </c>
      <c r="AM27" s="225" t="b">
        <f t="shared" si="43"/>
        <v>0</v>
      </c>
      <c r="AN27" s="198">
        <f t="shared" si="38"/>
        <v>-1</v>
      </c>
      <c r="AO27" s="198" t="b">
        <f t="shared" si="39"/>
        <v>0</v>
      </c>
      <c r="AQ27" s="198">
        <f t="shared" si="22"/>
        <v>0</v>
      </c>
      <c r="AR27" s="198">
        <f t="shared" si="23"/>
        <v>0</v>
      </c>
      <c r="AS27" s="198">
        <f t="shared" si="24"/>
        <v>0</v>
      </c>
      <c r="AT27" s="198">
        <f t="shared" si="25"/>
        <v>0</v>
      </c>
      <c r="AU27" s="198" t="str">
        <f t="shared" si="40"/>
        <v>-</v>
      </c>
      <c r="AW27" s="198">
        <f t="shared" si="26"/>
        <v>0</v>
      </c>
      <c r="AX27" s="198">
        <f t="shared" si="27"/>
        <v>0</v>
      </c>
      <c r="AY27" s="198">
        <f t="shared" si="28"/>
        <v>0</v>
      </c>
      <c r="AZ27" s="198">
        <f t="shared" si="29"/>
        <v>0</v>
      </c>
      <c r="BA27" s="198" t="str">
        <f t="shared" si="30"/>
        <v>-</v>
      </c>
    </row>
    <row r="28" spans="1:53" s="172" customFormat="1" ht="16.5" thickTop="1" thickBot="1" x14ac:dyDescent="0.3">
      <c r="A28" s="198"/>
      <c r="C28" s="258" t="str">
        <f t="shared" si="41"/>
        <v>PM</v>
      </c>
      <c r="D28" s="255"/>
      <c r="E28" s="257"/>
      <c r="F28" s="256"/>
      <c r="G28" s="256"/>
      <c r="H28" s="253" t="str">
        <f t="shared" si="31"/>
        <v>N</v>
      </c>
      <c r="I28" s="249" t="str">
        <f t="shared" si="32"/>
        <v>N</v>
      </c>
      <c r="J28" s="250" t="str">
        <f t="shared" si="33"/>
        <v>-</v>
      </c>
      <c r="K28" s="251" t="str">
        <f t="shared" si="34"/>
        <v>-</v>
      </c>
      <c r="P28" s="178"/>
      <c r="Q28" s="195"/>
      <c r="AA28" s="5"/>
      <c r="AB28" s="198" t="b">
        <f t="shared" si="35"/>
        <v>1</v>
      </c>
      <c r="AC28" s="198" t="e">
        <f t="shared" si="16"/>
        <v>#VALUE!</v>
      </c>
      <c r="AD28" s="198" t="e">
        <f t="shared" si="17"/>
        <v>#VALUE!</v>
      </c>
      <c r="AE28" s="225" t="b">
        <f t="shared" si="36"/>
        <v>0</v>
      </c>
      <c r="AF28" s="225" t="b">
        <f t="shared" si="36"/>
        <v>0</v>
      </c>
      <c r="AG28" s="225" t="b">
        <f t="shared" si="18"/>
        <v>0</v>
      </c>
      <c r="AH28" s="225" t="b">
        <f t="shared" si="37"/>
        <v>0</v>
      </c>
      <c r="AI28" s="225" t="b">
        <f t="shared" si="19"/>
        <v>0</v>
      </c>
      <c r="AJ28" s="225" t="b">
        <f t="shared" si="20"/>
        <v>0</v>
      </c>
      <c r="AK28" s="225" t="b">
        <f t="shared" si="21"/>
        <v>0</v>
      </c>
      <c r="AL28" s="198">
        <f t="shared" si="42"/>
        <v>0</v>
      </c>
      <c r="AM28" s="225" t="b">
        <f t="shared" si="43"/>
        <v>0</v>
      </c>
      <c r="AN28" s="198">
        <f t="shared" si="38"/>
        <v>-1</v>
      </c>
      <c r="AO28" s="198" t="b">
        <f t="shared" si="39"/>
        <v>0</v>
      </c>
      <c r="AQ28" s="198">
        <f t="shared" si="22"/>
        <v>0</v>
      </c>
      <c r="AR28" s="198">
        <f t="shared" si="23"/>
        <v>0</v>
      </c>
      <c r="AS28" s="198">
        <f t="shared" si="24"/>
        <v>0</v>
      </c>
      <c r="AT28" s="198">
        <f t="shared" si="25"/>
        <v>0</v>
      </c>
      <c r="AU28" s="198" t="str">
        <f t="shared" si="40"/>
        <v>-</v>
      </c>
      <c r="AW28" s="198">
        <f t="shared" si="26"/>
        <v>0</v>
      </c>
      <c r="AX28" s="198">
        <f t="shared" si="27"/>
        <v>0</v>
      </c>
      <c r="AY28" s="198">
        <f t="shared" si="28"/>
        <v>0</v>
      </c>
      <c r="AZ28" s="198">
        <f t="shared" si="29"/>
        <v>0</v>
      </c>
      <c r="BA28" s="198" t="str">
        <f t="shared" si="30"/>
        <v>-</v>
      </c>
    </row>
    <row r="29" spans="1:53" s="172" customFormat="1" ht="16.5" thickTop="1" thickBot="1" x14ac:dyDescent="0.3">
      <c r="A29" s="198"/>
      <c r="C29" s="258" t="str">
        <f t="shared" si="41"/>
        <v>BM</v>
      </c>
      <c r="D29" s="255"/>
      <c r="E29" s="257"/>
      <c r="F29" s="256"/>
      <c r="G29" s="256"/>
      <c r="H29" s="253" t="str">
        <f t="shared" si="31"/>
        <v>N</v>
      </c>
      <c r="I29" s="249" t="str">
        <f t="shared" si="32"/>
        <v>N</v>
      </c>
      <c r="J29" s="250" t="str">
        <f t="shared" si="33"/>
        <v>-</v>
      </c>
      <c r="K29" s="251" t="str">
        <f t="shared" si="34"/>
        <v>-</v>
      </c>
      <c r="P29" s="178"/>
      <c r="Q29" s="195"/>
      <c r="AA29" s="5"/>
      <c r="AB29" s="198" t="b">
        <f t="shared" si="35"/>
        <v>0</v>
      </c>
      <c r="AC29" s="198" t="e">
        <f t="shared" si="16"/>
        <v>#VALUE!</v>
      </c>
      <c r="AD29" s="198" t="e">
        <f t="shared" si="17"/>
        <v>#VALUE!</v>
      </c>
      <c r="AE29" s="225" t="b">
        <f t="shared" si="36"/>
        <v>0</v>
      </c>
      <c r="AF29" s="225" t="b">
        <f t="shared" si="36"/>
        <v>0</v>
      </c>
      <c r="AG29" s="225" t="b">
        <f t="shared" si="18"/>
        <v>1</v>
      </c>
      <c r="AH29" s="225" t="b">
        <f t="shared" si="37"/>
        <v>0</v>
      </c>
      <c r="AI29" s="225" t="b">
        <f t="shared" si="19"/>
        <v>0</v>
      </c>
      <c r="AJ29" s="225" t="b">
        <f t="shared" si="20"/>
        <v>0</v>
      </c>
      <c r="AK29" s="225" t="b">
        <f t="shared" si="21"/>
        <v>0</v>
      </c>
      <c r="AL29" s="198">
        <f t="shared" si="42"/>
        <v>0</v>
      </c>
      <c r="AM29" s="225" t="b">
        <f t="shared" si="43"/>
        <v>0</v>
      </c>
      <c r="AN29" s="198">
        <f t="shared" si="38"/>
        <v>-1</v>
      </c>
      <c r="AO29" s="198" t="b">
        <f t="shared" si="39"/>
        <v>0</v>
      </c>
      <c r="AQ29" s="198">
        <f t="shared" si="22"/>
        <v>0</v>
      </c>
      <c r="AR29" s="198">
        <f t="shared" si="23"/>
        <v>0</v>
      </c>
      <c r="AS29" s="198">
        <f t="shared" si="24"/>
        <v>0</v>
      </c>
      <c r="AT29" s="198">
        <f t="shared" si="25"/>
        <v>0</v>
      </c>
      <c r="AU29" s="198" t="str">
        <f t="shared" si="40"/>
        <v>-</v>
      </c>
      <c r="AW29" s="198">
        <f t="shared" si="26"/>
        <v>0</v>
      </c>
      <c r="AX29" s="198">
        <f t="shared" si="27"/>
        <v>0</v>
      </c>
      <c r="AY29" s="198">
        <f t="shared" si="28"/>
        <v>0</v>
      </c>
      <c r="AZ29" s="198">
        <f t="shared" si="29"/>
        <v>0</v>
      </c>
      <c r="BA29" s="198" t="str">
        <f t="shared" si="30"/>
        <v>-</v>
      </c>
    </row>
    <row r="30" spans="1:53" s="172" customFormat="1" ht="16.5" thickTop="1" thickBot="1" x14ac:dyDescent="0.3">
      <c r="A30" s="198"/>
      <c r="C30" s="258" t="str">
        <f t="shared" si="41"/>
        <v>PM</v>
      </c>
      <c r="D30" s="255"/>
      <c r="E30" s="257"/>
      <c r="F30" s="256"/>
      <c r="G30" s="256"/>
      <c r="H30" s="253" t="str">
        <f t="shared" si="31"/>
        <v>N</v>
      </c>
      <c r="I30" s="249" t="str">
        <f t="shared" si="32"/>
        <v>N</v>
      </c>
      <c r="J30" s="250" t="str">
        <f t="shared" si="33"/>
        <v>-</v>
      </c>
      <c r="K30" s="251" t="str">
        <f t="shared" si="34"/>
        <v>-</v>
      </c>
      <c r="P30" s="178"/>
      <c r="Q30" s="195"/>
      <c r="AA30" s="5"/>
      <c r="AB30" s="198" t="b">
        <f t="shared" si="35"/>
        <v>1</v>
      </c>
      <c r="AC30" s="198" t="e">
        <f t="shared" si="16"/>
        <v>#VALUE!</v>
      </c>
      <c r="AD30" s="198" t="e">
        <f t="shared" si="17"/>
        <v>#VALUE!</v>
      </c>
      <c r="AE30" s="225" t="b">
        <f t="shared" si="36"/>
        <v>0</v>
      </c>
      <c r="AF30" s="225" t="b">
        <f t="shared" si="36"/>
        <v>0</v>
      </c>
      <c r="AG30" s="225" t="b">
        <f t="shared" si="18"/>
        <v>0</v>
      </c>
      <c r="AH30" s="225" t="b">
        <f t="shared" si="37"/>
        <v>0</v>
      </c>
      <c r="AI30" s="225" t="b">
        <f t="shared" si="19"/>
        <v>0</v>
      </c>
      <c r="AJ30" s="225" t="b">
        <f t="shared" si="20"/>
        <v>0</v>
      </c>
      <c r="AK30" s="225" t="b">
        <f t="shared" si="21"/>
        <v>0</v>
      </c>
      <c r="AL30" s="198">
        <f t="shared" si="42"/>
        <v>0</v>
      </c>
      <c r="AM30" s="225" t="b">
        <f t="shared" si="43"/>
        <v>0</v>
      </c>
      <c r="AN30" s="198">
        <f t="shared" si="38"/>
        <v>-1</v>
      </c>
      <c r="AO30" s="198" t="b">
        <f t="shared" si="39"/>
        <v>0</v>
      </c>
      <c r="AQ30" s="198">
        <f t="shared" si="22"/>
        <v>0</v>
      </c>
      <c r="AR30" s="198">
        <f t="shared" si="23"/>
        <v>0</v>
      </c>
      <c r="AS30" s="198">
        <f t="shared" si="24"/>
        <v>0</v>
      </c>
      <c r="AT30" s="198">
        <f t="shared" si="25"/>
        <v>0</v>
      </c>
      <c r="AU30" s="198" t="str">
        <f t="shared" si="40"/>
        <v>-</v>
      </c>
      <c r="AW30" s="198">
        <f t="shared" si="26"/>
        <v>0</v>
      </c>
      <c r="AX30" s="198">
        <f t="shared" si="27"/>
        <v>0</v>
      </c>
      <c r="AY30" s="198">
        <f t="shared" si="28"/>
        <v>0</v>
      </c>
      <c r="AZ30" s="198">
        <f t="shared" si="29"/>
        <v>0</v>
      </c>
      <c r="BA30" s="198" t="str">
        <f t="shared" si="30"/>
        <v>-</v>
      </c>
    </row>
    <row r="31" spans="1:53" s="172" customFormat="1" ht="17.25" thickTop="1" thickBot="1" x14ac:dyDescent="0.3">
      <c r="A31" s="198"/>
      <c r="B31" s="252" t="s">
        <v>403</v>
      </c>
      <c r="C31" s="258" t="str">
        <f t="shared" si="41"/>
        <v>BM</v>
      </c>
      <c r="D31" s="255"/>
      <c r="E31" s="257"/>
      <c r="F31" s="256"/>
      <c r="G31" s="256"/>
      <c r="H31" s="253" t="str">
        <f t="shared" si="31"/>
        <v>N</v>
      </c>
      <c r="I31" s="249" t="str">
        <f t="shared" si="32"/>
        <v>N</v>
      </c>
      <c r="J31" s="250" t="str">
        <f t="shared" si="33"/>
        <v>-</v>
      </c>
      <c r="K31" s="251" t="str">
        <f t="shared" si="34"/>
        <v>-</v>
      </c>
      <c r="P31" s="178"/>
      <c r="Q31" s="195"/>
      <c r="AA31" s="5"/>
      <c r="AB31" s="198" t="b">
        <f t="shared" si="35"/>
        <v>0</v>
      </c>
      <c r="AC31" s="198" t="e">
        <f t="shared" si="16"/>
        <v>#VALUE!</v>
      </c>
      <c r="AD31" s="198" t="e">
        <f t="shared" si="17"/>
        <v>#VALUE!</v>
      </c>
      <c r="AE31" s="225" t="b">
        <f t="shared" si="36"/>
        <v>0</v>
      </c>
      <c r="AF31" s="225" t="b">
        <f t="shared" si="36"/>
        <v>0</v>
      </c>
      <c r="AG31" s="225" t="b">
        <f t="shared" si="18"/>
        <v>1</v>
      </c>
      <c r="AH31" s="225" t="b">
        <f t="shared" si="37"/>
        <v>0</v>
      </c>
      <c r="AI31" s="225" t="b">
        <f t="shared" si="19"/>
        <v>0</v>
      </c>
      <c r="AJ31" s="225" t="b">
        <f t="shared" si="20"/>
        <v>0</v>
      </c>
      <c r="AK31" s="225" t="b">
        <f t="shared" si="21"/>
        <v>0</v>
      </c>
      <c r="AL31" s="198">
        <f t="shared" si="42"/>
        <v>0</v>
      </c>
      <c r="AM31" s="225" t="b">
        <f t="shared" si="43"/>
        <v>0</v>
      </c>
      <c r="AN31" s="198">
        <f t="shared" si="38"/>
        <v>-1</v>
      </c>
      <c r="AO31" s="198" t="b">
        <f t="shared" si="39"/>
        <v>0</v>
      </c>
      <c r="AQ31" s="198">
        <f t="shared" si="22"/>
        <v>0</v>
      </c>
      <c r="AR31" s="198">
        <f t="shared" si="23"/>
        <v>0</v>
      </c>
      <c r="AS31" s="198">
        <f t="shared" si="24"/>
        <v>0</v>
      </c>
      <c r="AT31" s="198">
        <f t="shared" si="25"/>
        <v>0</v>
      </c>
      <c r="AU31" s="198" t="str">
        <f t="shared" si="40"/>
        <v>-</v>
      </c>
      <c r="AW31" s="198">
        <f t="shared" si="26"/>
        <v>0</v>
      </c>
      <c r="AX31" s="198">
        <f t="shared" si="27"/>
        <v>0</v>
      </c>
      <c r="AY31" s="198">
        <f t="shared" si="28"/>
        <v>0</v>
      </c>
      <c r="AZ31" s="198">
        <f t="shared" si="29"/>
        <v>0</v>
      </c>
      <c r="BA31" s="198" t="str">
        <f t="shared" si="30"/>
        <v>-</v>
      </c>
    </row>
    <row r="32" spans="1:53" s="172" customFormat="1" ht="15.75" thickTop="1" x14ac:dyDescent="0.25">
      <c r="A32" s="198"/>
      <c r="H32" s="242"/>
      <c r="I32" s="242"/>
      <c r="J32" s="242"/>
      <c r="K32" s="242"/>
      <c r="X32" s="178"/>
      <c r="Y32" s="449"/>
      <c r="Z32" s="449"/>
      <c r="AA32" s="449"/>
    </row>
    <row r="33" spans="1:83" s="172" customFormat="1" x14ac:dyDescent="0.25">
      <c r="A33" s="198"/>
      <c r="X33" s="178"/>
      <c r="Y33" s="449"/>
      <c r="Z33" s="449"/>
      <c r="AA33" s="449"/>
      <c r="AD33" s="170"/>
      <c r="AE33" s="170"/>
      <c r="AF33" s="170"/>
      <c r="AG33" s="170"/>
      <c r="AH33" s="170"/>
      <c r="AI33" s="170"/>
    </row>
    <row r="34" spans="1:83" x14ac:dyDescent="0.25">
      <c r="X34" s="178"/>
      <c r="Y34" s="449"/>
      <c r="Z34" s="449"/>
      <c r="AA34" s="449"/>
      <c r="AC34" s="224">
        <f ca="1">IF(AM22,J22,AD7)</f>
        <v>45646.416666666664</v>
      </c>
      <c r="AD34" s="170" t="s">
        <v>426</v>
      </c>
      <c r="AE34" s="198" t="s">
        <v>426</v>
      </c>
      <c r="AF34" s="198" t="s">
        <v>426</v>
      </c>
      <c r="AG34" s="198" t="s">
        <v>426</v>
      </c>
      <c r="AH34" s="198" t="s">
        <v>426</v>
      </c>
      <c r="AI34" s="224">
        <f ca="1">IF($AM$23,$J$23,AC34+6/24)</f>
        <v>45646.675000000003</v>
      </c>
      <c r="AJ34" s="198" t="s">
        <v>426</v>
      </c>
      <c r="AK34" s="198" t="s">
        <v>426</v>
      </c>
      <c r="AL34" s="198" t="s">
        <v>426</v>
      </c>
      <c r="AM34" s="198" t="s">
        <v>426</v>
      </c>
      <c r="AN34" s="198" t="s">
        <v>426</v>
      </c>
      <c r="AO34" s="224">
        <f ca="1">IF($AM$24,$J$24,AI34+6/24)</f>
        <v>45647.008333333331</v>
      </c>
      <c r="AP34" s="198" t="s">
        <v>426</v>
      </c>
      <c r="AQ34" s="198" t="s">
        <v>426</v>
      </c>
      <c r="AR34" s="198" t="s">
        <v>426</v>
      </c>
      <c r="AS34" s="198" t="s">
        <v>426</v>
      </c>
      <c r="AT34" s="198" t="s">
        <v>426</v>
      </c>
      <c r="AU34" s="224">
        <f ca="1">IF($AM$25,$J$25,AO34+6/24)</f>
        <v>45647.258333333331</v>
      </c>
      <c r="AV34" s="198" t="s">
        <v>426</v>
      </c>
      <c r="AW34" s="198" t="s">
        <v>426</v>
      </c>
      <c r="AX34" s="198" t="s">
        <v>426</v>
      </c>
      <c r="AY34" s="198" t="s">
        <v>426</v>
      </c>
      <c r="AZ34" s="198" t="s">
        <v>426</v>
      </c>
      <c r="BA34" s="224">
        <f ca="1">IF($AM$26,$J$26,AU34+6/24)</f>
        <v>45647.51666666667</v>
      </c>
      <c r="BB34" s="198" t="s">
        <v>426</v>
      </c>
      <c r="BC34" s="198" t="s">
        <v>426</v>
      </c>
      <c r="BD34" s="198" t="s">
        <v>426</v>
      </c>
      <c r="BE34" s="198" t="s">
        <v>426</v>
      </c>
      <c r="BF34" s="198" t="s">
        <v>426</v>
      </c>
      <c r="BG34" s="224">
        <f ca="1">IF($AM$27,$J$27,BA34+6/24)</f>
        <v>45647.76666666667</v>
      </c>
      <c r="BH34" s="198" t="s">
        <v>426</v>
      </c>
      <c r="BI34" s="198" t="s">
        <v>426</v>
      </c>
      <c r="BJ34" s="198" t="s">
        <v>426</v>
      </c>
      <c r="BK34" s="198" t="s">
        <v>426</v>
      </c>
      <c r="BL34" s="198" t="s">
        <v>426</v>
      </c>
      <c r="BM34" s="224">
        <f ca="1">IF($AM$28,$J$28,BG34+6/24)</f>
        <v>45648.01666666667</v>
      </c>
      <c r="BN34" s="198" t="s">
        <v>426</v>
      </c>
      <c r="BO34" s="198" t="s">
        <v>426</v>
      </c>
      <c r="BP34" s="198" t="s">
        <v>426</v>
      </c>
      <c r="BQ34" s="198" t="s">
        <v>426</v>
      </c>
      <c r="BR34" s="198" t="s">
        <v>426</v>
      </c>
      <c r="BS34" s="224">
        <f ca="1">IF($AM$29,$J$29,BM34+6/24)</f>
        <v>45648.26666666667</v>
      </c>
      <c r="BT34" s="198" t="s">
        <v>426</v>
      </c>
      <c r="BU34" s="198" t="s">
        <v>426</v>
      </c>
      <c r="BV34" s="198" t="s">
        <v>426</v>
      </c>
      <c r="BW34" s="198" t="s">
        <v>426</v>
      </c>
      <c r="BX34" s="198" t="s">
        <v>426</v>
      </c>
      <c r="BY34" s="224">
        <f ca="1">IF($AM$30,$J$30,BS34+6/24)</f>
        <v>45648.51666666667</v>
      </c>
      <c r="BZ34" s="198" t="s">
        <v>426</v>
      </c>
      <c r="CA34" s="198" t="s">
        <v>426</v>
      </c>
      <c r="CB34" s="198" t="s">
        <v>426</v>
      </c>
      <c r="CC34" s="198" t="s">
        <v>426</v>
      </c>
      <c r="CD34" s="198" t="s">
        <v>426</v>
      </c>
      <c r="CE34" s="224">
        <f ca="1">IF($AM$31,$J$31,BY34+6/24)</f>
        <v>45648.76666666667</v>
      </c>
    </row>
    <row r="35" spans="1:83" ht="18.75" x14ac:dyDescent="0.3">
      <c r="C35" s="727" t="s">
        <v>447</v>
      </c>
      <c r="D35" s="728"/>
      <c r="E35" s="728"/>
      <c r="F35" s="729"/>
      <c r="AB35" s="170" t="s">
        <v>425</v>
      </c>
      <c r="AC35" s="170">
        <f ca="1">IF(AM22,K22,0)</f>
        <v>9.56</v>
      </c>
      <c r="AD35" s="198">
        <v>1</v>
      </c>
      <c r="AE35" s="198">
        <v>2</v>
      </c>
      <c r="AF35" s="198">
        <v>3</v>
      </c>
      <c r="AG35" s="198">
        <v>4</v>
      </c>
      <c r="AH35" s="198">
        <v>5</v>
      </c>
      <c r="AI35" s="170">
        <f ca="1">IF($AM$23,$K$23,AC35)</f>
        <v>5</v>
      </c>
      <c r="AJ35" s="198">
        <v>1</v>
      </c>
      <c r="AK35" s="198">
        <v>2</v>
      </c>
      <c r="AL35" s="198">
        <v>3</v>
      </c>
      <c r="AM35" s="198">
        <v>4</v>
      </c>
      <c r="AN35" s="198">
        <v>5</v>
      </c>
      <c r="AO35" s="198">
        <f ca="1">IF($AM$24,$K$24,AI35)</f>
        <v>10.199999999999999</v>
      </c>
      <c r="AP35" s="198">
        <v>1</v>
      </c>
      <c r="AQ35" s="198">
        <v>2</v>
      </c>
      <c r="AR35" s="198">
        <v>3</v>
      </c>
      <c r="AS35" s="198">
        <v>4</v>
      </c>
      <c r="AT35" s="198">
        <v>5</v>
      </c>
      <c r="AU35" s="198">
        <f ca="1">IF($AM$25,$K$25,AO35)</f>
        <v>4.75</v>
      </c>
      <c r="AV35" s="198">
        <v>1</v>
      </c>
      <c r="AW35" s="198">
        <v>2</v>
      </c>
      <c r="AX35" s="198">
        <v>3</v>
      </c>
      <c r="AY35" s="198">
        <v>4</v>
      </c>
      <c r="AZ35" s="198">
        <v>5</v>
      </c>
      <c r="BA35" s="198">
        <f ca="1">IF($AM$26,$K$26,AU35)</f>
        <v>9.7200000000000006</v>
      </c>
      <c r="BB35" s="198">
        <v>1</v>
      </c>
      <c r="BC35" s="198">
        <v>2</v>
      </c>
      <c r="BD35" s="198">
        <v>3</v>
      </c>
      <c r="BE35" s="198">
        <v>4</v>
      </c>
      <c r="BF35" s="198">
        <v>5</v>
      </c>
      <c r="BG35" s="198">
        <f ca="1">IF($AM$27,$K$27,BA35)</f>
        <v>9.7200000000000006</v>
      </c>
      <c r="BH35" s="198">
        <v>1</v>
      </c>
      <c r="BI35" s="198">
        <v>2</v>
      </c>
      <c r="BJ35" s="198">
        <v>3</v>
      </c>
      <c r="BK35" s="198">
        <v>4</v>
      </c>
      <c r="BL35" s="198">
        <v>5</v>
      </c>
      <c r="BM35" s="198">
        <f ca="1">IF($AM$28,$K$28,BG35)</f>
        <v>9.7200000000000006</v>
      </c>
      <c r="BN35" s="198">
        <v>1</v>
      </c>
      <c r="BO35" s="198">
        <v>2</v>
      </c>
      <c r="BP35" s="198">
        <v>3</v>
      </c>
      <c r="BQ35" s="198">
        <v>4</v>
      </c>
      <c r="BR35" s="198">
        <v>5</v>
      </c>
      <c r="BS35" s="198">
        <f ca="1">IF($AM$29,$K$29,BM35)</f>
        <v>9.7200000000000006</v>
      </c>
      <c r="BT35" s="198">
        <v>1</v>
      </c>
      <c r="BU35" s="198">
        <v>2</v>
      </c>
      <c r="BV35" s="198">
        <v>3</v>
      </c>
      <c r="BW35" s="198">
        <v>4</v>
      </c>
      <c r="BX35" s="198">
        <v>5</v>
      </c>
      <c r="BY35" s="198">
        <f ca="1">IF($AM$30,$K$30,BS35)</f>
        <v>9.7200000000000006</v>
      </c>
      <c r="BZ35" s="198">
        <v>1</v>
      </c>
      <c r="CA35" s="198">
        <v>2</v>
      </c>
      <c r="CB35" s="198">
        <v>3</v>
      </c>
      <c r="CC35" s="198">
        <v>4</v>
      </c>
      <c r="CD35" s="198">
        <v>5</v>
      </c>
      <c r="CE35" s="198">
        <f ca="1">IF($AM$31,$K$31,BY35)</f>
        <v>9.7200000000000006</v>
      </c>
    </row>
    <row r="36" spans="1:83" x14ac:dyDescent="0.25">
      <c r="C36" s="170" t="s">
        <v>436</v>
      </c>
      <c r="D36" s="170">
        <v>5.01</v>
      </c>
      <c r="E36" s="170" t="s">
        <v>345</v>
      </c>
      <c r="AB36" s="170" t="s">
        <v>12</v>
      </c>
      <c r="AC36" s="224">
        <f ca="1">AC34</f>
        <v>45646.416666666664</v>
      </c>
      <c r="AD36" s="224">
        <f ca="1">AC36+(AI34-AC34)/6</f>
        <v>45646.459722222222</v>
      </c>
      <c r="AE36" s="224">
        <f ca="1">AD36+(AI34-AC34)/6</f>
        <v>45646.50277777778</v>
      </c>
      <c r="AF36" s="224">
        <f ca="1">AE36+(AI34-AC34)/6</f>
        <v>45646.545833333337</v>
      </c>
      <c r="AG36" s="224">
        <f ca="1">AF36+(AI34-AC34)/6</f>
        <v>45646.588888888895</v>
      </c>
      <c r="AH36" s="224">
        <f ca="1">AG36+(AI34-AC34)/6</f>
        <v>45646.631944444453</v>
      </c>
      <c r="AI36" s="224">
        <f ca="1">AI34</f>
        <v>45646.675000000003</v>
      </c>
      <c r="AJ36" s="224">
        <f ca="1">AI36+(AO34-AI34)/6</f>
        <v>45646.730555555558</v>
      </c>
      <c r="AK36" s="224">
        <f ca="1">AJ36+(AO34-AI34)/6</f>
        <v>45646.786111111112</v>
      </c>
      <c r="AL36" s="224">
        <f ca="1">AK36+(AO34-AI34)/6</f>
        <v>45646.841666666667</v>
      </c>
      <c r="AM36" s="224">
        <f ca="1">AL36+(AO34-AI34)/6</f>
        <v>45646.897222222222</v>
      </c>
      <c r="AN36" s="224">
        <f ca="1">AM36+(AO34-AI34)/6</f>
        <v>45646.952777777777</v>
      </c>
      <c r="AO36" s="224">
        <f ca="1">AO34</f>
        <v>45647.008333333331</v>
      </c>
      <c r="AP36" s="224">
        <f ca="1">AO36+(AU34-AO34)/6</f>
        <v>45647.049999999996</v>
      </c>
      <c r="AQ36" s="224">
        <f ca="1">AP36+(AU34-AO34)/6</f>
        <v>45647.09166666666</v>
      </c>
      <c r="AR36" s="224">
        <f ca="1">AQ36+(AU34-AO34)/6</f>
        <v>45647.133333333324</v>
      </c>
      <c r="AS36" s="224">
        <f ca="1">AR36+(AU34-AO34)/6</f>
        <v>45647.174999999988</v>
      </c>
      <c r="AT36" s="224">
        <f ca="1">AS36+(AU34-AO34)/6</f>
        <v>45647.216666666653</v>
      </c>
      <c r="AU36" s="224">
        <f ca="1">AU34</f>
        <v>45647.258333333331</v>
      </c>
      <c r="AV36" s="224">
        <f ca="1">AU36+(BA34-AU34)/6</f>
        <v>45647.301388888889</v>
      </c>
      <c r="AW36" s="224">
        <f ca="1">AV36+(BA34-AU34)/6</f>
        <v>45647.344444444447</v>
      </c>
      <c r="AX36" s="224">
        <f ca="1">AW36+(BA34-AU34)/6</f>
        <v>45647.387500000004</v>
      </c>
      <c r="AY36" s="224">
        <f ca="1">AX36+(BA34-AU34)/6</f>
        <v>45647.430555555562</v>
      </c>
      <c r="AZ36" s="224">
        <f ca="1">AY36+(BA34-AU34)/6</f>
        <v>45647.47361111112</v>
      </c>
      <c r="BA36" s="224">
        <f ca="1">BA34</f>
        <v>45647.51666666667</v>
      </c>
      <c r="BB36" s="224">
        <f ca="1">BA36+(BG34-BA34)/6</f>
        <v>45647.558333333334</v>
      </c>
      <c r="BC36" s="224">
        <f ca="1">BB36+(BG34-BA34)/6</f>
        <v>45647.6</v>
      </c>
      <c r="BD36" s="224">
        <f ca="1">BC36+(BG34-BA34)/6</f>
        <v>45647.641666666663</v>
      </c>
      <c r="BE36" s="224">
        <f ca="1">BD36+(BG34-BA34)/6</f>
        <v>45647.683333333327</v>
      </c>
      <c r="BF36" s="224">
        <f ca="1">BE36+(BG34-BA34)/6</f>
        <v>45647.724999999991</v>
      </c>
      <c r="BG36" s="224">
        <f ca="1">BG34</f>
        <v>45647.76666666667</v>
      </c>
      <c r="BH36" s="224">
        <f ca="1">BG36+(BM34-BG34)/6</f>
        <v>45647.808333333334</v>
      </c>
      <c r="BI36" s="224">
        <f ca="1">BH36+(BM34-BG34)/6</f>
        <v>45647.85</v>
      </c>
      <c r="BJ36" s="224">
        <f ca="1">BI36+(BM34-BG34)/6</f>
        <v>45647.891666666663</v>
      </c>
      <c r="BK36" s="224">
        <f ca="1">BJ36+(BM34-BG34)/6</f>
        <v>45647.933333333327</v>
      </c>
      <c r="BL36" s="224">
        <f ca="1">BK36+(BM34-BG34)/6</f>
        <v>45647.974999999991</v>
      </c>
      <c r="BM36" s="224">
        <f ca="1">BM34</f>
        <v>45648.01666666667</v>
      </c>
      <c r="BN36" s="224">
        <f ca="1">BM36+(BS34-BM34)/6</f>
        <v>45648.058333333334</v>
      </c>
      <c r="BO36" s="224">
        <f ca="1">BN36+(BS34-BM34)/6</f>
        <v>45648.1</v>
      </c>
      <c r="BP36" s="224">
        <f ca="1">BO36+(BS34-BM34)/6</f>
        <v>45648.141666666663</v>
      </c>
      <c r="BQ36" s="224">
        <f ca="1">BP36+(BS34-BM34)/6</f>
        <v>45648.183333333327</v>
      </c>
      <c r="BR36" s="224">
        <f ca="1">BQ36+(BS34-BM34)/6</f>
        <v>45648.224999999991</v>
      </c>
      <c r="BS36" s="224">
        <f ca="1">BS34</f>
        <v>45648.26666666667</v>
      </c>
      <c r="BT36" s="224">
        <f ca="1">BS36+(BY34-BS34)/6</f>
        <v>45648.308333333334</v>
      </c>
      <c r="BU36" s="224">
        <f ca="1">BT36+(BY34-BS34)/6</f>
        <v>45648.35</v>
      </c>
      <c r="BV36" s="224">
        <f ca="1">BU36+(BY34-BS34)/6</f>
        <v>45648.391666666663</v>
      </c>
      <c r="BW36" s="224">
        <f ca="1">BV36+(BY34-BS34)/6</f>
        <v>45648.433333333327</v>
      </c>
      <c r="BX36" s="224">
        <f ca="1">BW36+(BY34-BS34)/6</f>
        <v>45648.474999999991</v>
      </c>
      <c r="BY36" s="224">
        <f ca="1">BY34</f>
        <v>45648.51666666667</v>
      </c>
      <c r="BZ36" s="224">
        <f ca="1">BY36+(CE34-BY34)/6</f>
        <v>45648.558333333334</v>
      </c>
      <c r="CA36" s="224">
        <f ca="1">BZ36+(CE34-BY34)/6</f>
        <v>45648.6</v>
      </c>
      <c r="CB36" s="224">
        <f ca="1">CA36+(CE34-BY34)/6</f>
        <v>45648.641666666663</v>
      </c>
      <c r="CC36" s="224">
        <f ca="1">CB36+(CE34-BY34)/6</f>
        <v>45648.683333333327</v>
      </c>
      <c r="CD36" s="224">
        <f ca="1">CC36+(CE34-BY34)/6</f>
        <v>45648.724999999991</v>
      </c>
      <c r="CE36" s="224">
        <f ca="1">CE34</f>
        <v>45648.76666666667</v>
      </c>
    </row>
    <row r="37" spans="1:83" x14ac:dyDescent="0.25">
      <c r="C37" s="170" t="s">
        <v>448</v>
      </c>
      <c r="D37" s="226" t="s">
        <v>444</v>
      </c>
      <c r="AB37" s="170" t="s">
        <v>342</v>
      </c>
      <c r="AC37" s="170">
        <f ca="1">AC35</f>
        <v>9.56</v>
      </c>
      <c r="AD37" s="173">
        <f ca="1">AC37+(AI35-AC35)/12</f>
        <v>9.18</v>
      </c>
      <c r="AE37" s="173">
        <f ca="1">AC37+(AI35-AC35)*3/12</f>
        <v>8.42</v>
      </c>
      <c r="AF37" s="173">
        <f ca="1">AC37+(AI35-AC35)*6/12</f>
        <v>7.28</v>
      </c>
      <c r="AG37" s="173">
        <f ca="1">AC37+(AI35-AC35)*9/12</f>
        <v>6.1400000000000006</v>
      </c>
      <c r="AH37" s="173">
        <f ca="1">AC37+(AI35-AC35)*11/12</f>
        <v>5.38</v>
      </c>
      <c r="AI37" s="170">
        <f ca="1">AI35</f>
        <v>5</v>
      </c>
      <c r="AJ37" s="173">
        <f ca="1">AI37+(AO35-AI35)/12</f>
        <v>5.4333333333333336</v>
      </c>
      <c r="AK37" s="173">
        <f ca="1">AI37+(AO35-AI35)*3/12</f>
        <v>6.3</v>
      </c>
      <c r="AL37" s="173">
        <f ca="1">AI37+(AO35-AI35)*6/12</f>
        <v>7.6</v>
      </c>
      <c r="AM37" s="173">
        <f ca="1">AI37+(AO35-AI35)*9/12</f>
        <v>8.9</v>
      </c>
      <c r="AN37" s="173">
        <f ca="1">AI37+(AO35-AI35)*11/12</f>
        <v>9.7666666666666657</v>
      </c>
      <c r="AO37" s="198">
        <f ca="1">AO35</f>
        <v>10.199999999999999</v>
      </c>
      <c r="AP37" s="173">
        <f ca="1">AO37+(AU35-AO35)/12</f>
        <v>9.7458333333333336</v>
      </c>
      <c r="AQ37" s="173">
        <f ca="1">AO37+(AU35-AO35)*3/12</f>
        <v>8.8374999999999986</v>
      </c>
      <c r="AR37" s="173">
        <f ca="1">AO37+(AU35-AO35)*6/12</f>
        <v>7.4749999999999996</v>
      </c>
      <c r="AS37" s="173">
        <f ca="1">AO37+(AU35-AO35)*9/12</f>
        <v>6.1124999999999998</v>
      </c>
      <c r="AT37" s="173">
        <f ca="1">AO37+(AU35-AO35)*11/12</f>
        <v>5.2041666666666666</v>
      </c>
      <c r="AU37" s="198">
        <f ca="1">AU35</f>
        <v>4.75</v>
      </c>
      <c r="AV37" s="173">
        <f ca="1">AU37+(BA35-AU35)/12</f>
        <v>5.1641666666666666</v>
      </c>
      <c r="AW37" s="173">
        <f ca="1">AU37+(BA35-AU35)*3/12</f>
        <v>5.9924999999999997</v>
      </c>
      <c r="AX37" s="173">
        <f ca="1">AU37+(BA35-AU35)*6/12</f>
        <v>7.2350000000000003</v>
      </c>
      <c r="AY37" s="173">
        <f ca="1">AU37+(BA35-AU35)*9/12</f>
        <v>8.4775000000000009</v>
      </c>
      <c r="AZ37" s="173">
        <f ca="1">AU37+(BA35-AU35)*11/12</f>
        <v>9.3058333333333341</v>
      </c>
      <c r="BA37" s="198">
        <f ca="1">BA35</f>
        <v>9.7200000000000006</v>
      </c>
      <c r="BB37" s="173">
        <f ca="1">BA37+(BG35-BA35)/12</f>
        <v>9.7200000000000006</v>
      </c>
      <c r="BC37" s="173">
        <f ca="1">BA37+(BG35-BA35)*3/12</f>
        <v>9.7200000000000006</v>
      </c>
      <c r="BD37" s="173">
        <f ca="1">BA37+(BG35-BA35)*6/12</f>
        <v>9.7200000000000006</v>
      </c>
      <c r="BE37" s="173">
        <f ca="1">BA37+(BG35-BA35)*9/12</f>
        <v>9.7200000000000006</v>
      </c>
      <c r="BF37" s="173">
        <f ca="1">BA37+(BG35-BA35)*11/12</f>
        <v>9.7200000000000006</v>
      </c>
      <c r="BG37" s="198">
        <f ca="1">BG35</f>
        <v>9.7200000000000006</v>
      </c>
      <c r="BH37" s="173">
        <f ca="1">BG37+(BM35-BG35)/12</f>
        <v>9.7200000000000006</v>
      </c>
      <c r="BI37" s="173">
        <f ca="1">BG37+(BM35-BG35)*3/12</f>
        <v>9.7200000000000006</v>
      </c>
      <c r="BJ37" s="173">
        <f ca="1">BG37+(BM35-BG35)*6/12</f>
        <v>9.7200000000000006</v>
      </c>
      <c r="BK37" s="173">
        <f ca="1">BG37+(BM35-BG35)*9/12</f>
        <v>9.7200000000000006</v>
      </c>
      <c r="BL37" s="173">
        <f ca="1">BG37+(BM35-BG35)*11/12</f>
        <v>9.7200000000000006</v>
      </c>
      <c r="BM37" s="198">
        <f ca="1">BM35</f>
        <v>9.7200000000000006</v>
      </c>
      <c r="BN37" s="173">
        <f ca="1">BM37+(BS35-BM35)/12</f>
        <v>9.7200000000000006</v>
      </c>
      <c r="BO37" s="173">
        <f ca="1">BM37+(BS35-BM35)*3/12</f>
        <v>9.7200000000000006</v>
      </c>
      <c r="BP37" s="173">
        <f ca="1">BM37+(BS35-BM35)*6/12</f>
        <v>9.7200000000000006</v>
      </c>
      <c r="BQ37" s="173">
        <f ca="1">BM37+(BS35-BM35)*9/12</f>
        <v>9.7200000000000006</v>
      </c>
      <c r="BR37" s="173">
        <f ca="1">BM37+(BS35-BM35)*11/12</f>
        <v>9.7200000000000006</v>
      </c>
      <c r="BS37" s="198">
        <f ca="1">BS35</f>
        <v>9.7200000000000006</v>
      </c>
      <c r="BT37" s="173">
        <f ca="1">BS37+(BY35-BS35)/12</f>
        <v>9.7200000000000006</v>
      </c>
      <c r="BU37" s="173">
        <f ca="1">BS37+(BY35-BS35)*3/12</f>
        <v>9.7200000000000006</v>
      </c>
      <c r="BV37" s="173">
        <f ca="1">BS37+(BY35-BS35)*6/12</f>
        <v>9.7200000000000006</v>
      </c>
      <c r="BW37" s="173">
        <f ca="1">BS37+(BY35-BS35)*9/12</f>
        <v>9.7200000000000006</v>
      </c>
      <c r="BX37" s="173">
        <f ca="1">BS37+(BY35-BS35)*11/12</f>
        <v>9.7200000000000006</v>
      </c>
      <c r="BY37" s="198">
        <f ca="1">BY35</f>
        <v>9.7200000000000006</v>
      </c>
      <c r="BZ37" s="173">
        <f ca="1">BY37+(CE35-BY35)/12</f>
        <v>9.7200000000000006</v>
      </c>
      <c r="CA37" s="173">
        <f ca="1">BY37+(CE35-BY35)*3/12</f>
        <v>9.7200000000000006</v>
      </c>
      <c r="CB37" s="173">
        <f ca="1">BY37+(CE35-BY35)*6/12</f>
        <v>9.7200000000000006</v>
      </c>
      <c r="CC37" s="173">
        <f ca="1">BY37+(CE35-BY35)*9/12</f>
        <v>9.7200000000000006</v>
      </c>
      <c r="CD37" s="173">
        <f ca="1">BY37+(CE35-BY35)*11/12</f>
        <v>9.7200000000000006</v>
      </c>
      <c r="CE37" s="198">
        <f ca="1">CE35</f>
        <v>9.7200000000000006</v>
      </c>
    </row>
    <row r="38" spans="1:83" ht="15.75" x14ac:dyDescent="0.25">
      <c r="D38" s="730" t="s">
        <v>449</v>
      </c>
      <c r="E38" s="730"/>
      <c r="AD38" s="198"/>
      <c r="AE38" s="198"/>
      <c r="AF38" s="198"/>
      <c r="AG38" s="198"/>
      <c r="AH38" s="198"/>
      <c r="AI38" s="198"/>
      <c r="AJ38" s="198"/>
      <c r="AK38" s="198"/>
      <c r="AL38" s="198"/>
      <c r="AM38" s="198"/>
      <c r="AN38" s="198"/>
      <c r="AO38" s="198"/>
      <c r="AP38" s="198"/>
      <c r="AQ38" s="198"/>
      <c r="AR38" s="198"/>
      <c r="AS38" s="198"/>
      <c r="AT38" s="198"/>
      <c r="AU38" s="198"/>
      <c r="AV38" s="198"/>
      <c r="AW38" s="198"/>
      <c r="AX38" s="198"/>
      <c r="AY38" s="198"/>
      <c r="AZ38" s="198"/>
      <c r="BA38" s="198"/>
      <c r="BB38" s="198"/>
      <c r="BC38" s="198"/>
      <c r="BD38" s="198"/>
      <c r="BE38" s="198"/>
      <c r="BF38" s="198"/>
      <c r="BG38" s="198"/>
      <c r="BH38" s="198"/>
      <c r="BI38" s="198"/>
      <c r="BJ38" s="198"/>
      <c r="BK38" s="198"/>
      <c r="BL38" s="198"/>
      <c r="BM38" s="198"/>
      <c r="BN38" s="198"/>
      <c r="BO38" s="198"/>
      <c r="BP38" s="198"/>
      <c r="BQ38" s="198"/>
      <c r="BR38" s="198"/>
      <c r="BS38" s="198"/>
      <c r="BT38" s="198"/>
      <c r="BU38" s="198"/>
      <c r="BV38" s="198"/>
      <c r="BW38" s="198"/>
      <c r="BX38" s="198"/>
      <c r="BY38" s="198"/>
      <c r="BZ38" s="198"/>
      <c r="CA38" s="198"/>
      <c r="CB38" s="198"/>
      <c r="CC38" s="198"/>
      <c r="CD38" s="198"/>
      <c r="CE38" s="198"/>
    </row>
    <row r="39" spans="1:83" x14ac:dyDescent="0.25">
      <c r="D39" s="232" t="s">
        <v>12</v>
      </c>
      <c r="E39" s="247" t="s">
        <v>342</v>
      </c>
      <c r="F39" s="734" t="s">
        <v>450</v>
      </c>
      <c r="G39" s="725" t="s">
        <v>451</v>
      </c>
      <c r="H39" s="726"/>
      <c r="AB39" s="198" t="s">
        <v>12</v>
      </c>
      <c r="AC39" s="224">
        <f ca="1">AC36</f>
        <v>45646.416666666664</v>
      </c>
      <c r="AD39" s="224">
        <f ca="1">IF(AND(ISNUMBER(AJ52),($D$36-E42)*($D$36-E40)&lt;0),AJ46,AC39+$AD$41)</f>
        <v>45646.67386695907</v>
      </c>
      <c r="AE39" s="224">
        <f ca="1">IF(AB48,IF(AND(ISNUMBER(AJ48),($D$36-E44)*($D$36-E42)&lt;0),AJ48,AD39+$AD$41),AD39+$AD$41)</f>
        <v>45646.676282051281</v>
      </c>
      <c r="AF39" s="224">
        <f ca="1">IF(AB50,IF(AND(ISNUMBER(AJ50),($D$36-E46)*($D$36-E44)&lt;0),AJ50,AE39+$AD$41),AE39+$AD$41)</f>
        <v>45647.234480122323</v>
      </c>
      <c r="AG39" s="224">
        <f ca="1">IF(AB52,IF(AND(ISNUMBER(AJ52),($D$36-E46)*($D$36-E48)&lt;0),AJ52,AF39+$AD$41),AF39+$AD$41)</f>
        <v>45647.285362173039</v>
      </c>
      <c r="AH39" s="224">
        <f ca="1">IF(AB54,IF(AND(ISNUMBER(AJ54),($D$36-E48)*($D$36-E50)&lt;0),AJ54,AG39+$AD$41),AG39+$AD$41)</f>
        <v>45647.52036217304</v>
      </c>
      <c r="AI39" s="224">
        <f ca="1">IF(AB56,IF(AND(ISNUMBER(AJ56),($D$36-E50)*($D$36-E52)&lt;0),AJ56,AH39+$AD$41),AH39+$AD$41)</f>
        <v>45647.75536217304</v>
      </c>
      <c r="AJ39" s="224">
        <f ca="1">IF(AB58,IF(AND(ISNUMBER(AJ58),($D$36-E52)*($D$36-E54)&lt;0),AJ58,AI39+$AD$41),AI39+$AD$41)</f>
        <v>45647.990362173041</v>
      </c>
      <c r="AK39" s="224">
        <f ca="1">IF(AB62,IF(AND(ISNUMBER(AJ60),($D$36-E54)*($D$36-E56)&lt;0),AJ60,AJ39+$AD$41),AJ39+$AD$41)</f>
        <v>45648.225362173042</v>
      </c>
      <c r="AL39" s="224">
        <f ca="1">IF(AB62,IF(AND(ISNUMBER(AJ62),($D$36-E56)*($D$36-E58)&lt;0),AJ62,AK39+$AD$41),AK39+$AD$41)</f>
        <v>45648.460362173042</v>
      </c>
      <c r="AM39" s="224">
        <f ca="1">CE36</f>
        <v>45648.76666666667</v>
      </c>
    </row>
    <row r="40" spans="1:83" x14ac:dyDescent="0.25">
      <c r="D40" s="231">
        <f ca="1">J22</f>
        <v>45646.416666666664</v>
      </c>
      <c r="E40" s="234">
        <f ca="1">K22</f>
        <v>9.56</v>
      </c>
      <c r="F40" s="734"/>
      <c r="G40" s="194" t="s">
        <v>452</v>
      </c>
      <c r="H40" s="194" t="s">
        <v>2</v>
      </c>
      <c r="AB40" s="198" t="str">
        <f>CONCATENATE("Par Hauteur (",D36,"m)")</f>
        <v>Par Hauteur (5.01m)</v>
      </c>
      <c r="AC40" s="170">
        <f t="shared" ref="AC40:AM40" si="44">$D$36</f>
        <v>5.01</v>
      </c>
      <c r="AD40" s="198">
        <f t="shared" si="44"/>
        <v>5.01</v>
      </c>
      <c r="AE40" s="198">
        <f t="shared" si="44"/>
        <v>5.01</v>
      </c>
      <c r="AF40" s="198">
        <f t="shared" si="44"/>
        <v>5.01</v>
      </c>
      <c r="AG40" s="198">
        <f t="shared" si="44"/>
        <v>5.01</v>
      </c>
      <c r="AH40" s="198">
        <f t="shared" si="44"/>
        <v>5.01</v>
      </c>
      <c r="AI40" s="198">
        <f t="shared" si="44"/>
        <v>5.01</v>
      </c>
      <c r="AJ40" s="198">
        <f t="shared" si="44"/>
        <v>5.01</v>
      </c>
      <c r="AK40" s="198">
        <f t="shared" si="44"/>
        <v>5.01</v>
      </c>
      <c r="AL40" s="198">
        <f t="shared" si="44"/>
        <v>5.01</v>
      </c>
      <c r="AM40" s="198">
        <f t="shared" si="44"/>
        <v>5.01</v>
      </c>
    </row>
    <row r="41" spans="1:83" x14ac:dyDescent="0.25">
      <c r="D41" s="731">
        <f ca="1">AJ46</f>
        <v>45646.67386695907</v>
      </c>
      <c r="E41" s="732"/>
      <c r="F41" s="733"/>
      <c r="G41" s="236" t="str">
        <f ca="1">IF(AS65,AJ65,"-")</f>
        <v>-</v>
      </c>
      <c r="H41" s="237" t="str">
        <f ca="1">IF(AS65,AL65,"Impossible")</f>
        <v>Impossible</v>
      </c>
      <c r="AC41" s="170" t="s">
        <v>454</v>
      </c>
      <c r="AD41" s="170">
        <f ca="1">(AM39-AC39)/10</f>
        <v>0.23500000000058208</v>
      </c>
    </row>
    <row r="42" spans="1:83" x14ac:dyDescent="0.25">
      <c r="D42" s="231">
        <f ca="1">J23</f>
        <v>45646.675000000003</v>
      </c>
      <c r="E42" s="217">
        <f ca="1">K23</f>
        <v>5</v>
      </c>
      <c r="F42" s="233"/>
      <c r="H42" s="224"/>
      <c r="AB42" s="198" t="str">
        <f>CONCATENATE("Par Heure (",D37,")")</f>
        <v>Par Heure (08:00)</v>
      </c>
      <c r="AC42" s="224">
        <f ca="1">AY65</f>
        <v>45647.333333333336</v>
      </c>
      <c r="AD42" s="224">
        <f ca="1">AY66</f>
        <v>45647.333333333336</v>
      </c>
      <c r="AE42" s="224">
        <f ca="1">AY67</f>
        <v>45647.333333333336</v>
      </c>
      <c r="AF42" s="224">
        <f ca="1">AY68</f>
        <v>45647.333333333336</v>
      </c>
    </row>
    <row r="43" spans="1:83" x14ac:dyDescent="0.25">
      <c r="D43" s="722">
        <f ca="1">AJ48</f>
        <v>45646.676282051281</v>
      </c>
      <c r="E43" s="723"/>
      <c r="F43" s="724"/>
      <c r="G43" s="236" t="str">
        <f ca="1">IF(AS66,AJ66,"-")</f>
        <v>-</v>
      </c>
      <c r="H43" s="237" t="str">
        <f ca="1">IF(AS66,AL66,"Impossible")</f>
        <v>Impossible</v>
      </c>
      <c r="P43" s="170"/>
      <c r="Q43" s="170"/>
      <c r="AB43" s="198" t="s">
        <v>342</v>
      </c>
      <c r="AC43" s="170">
        <f ca="1">AW65</f>
        <v>5.7787365591939714</v>
      </c>
      <c r="AD43" s="170">
        <f ca="1">AW66</f>
        <v>5.7787365591939714</v>
      </c>
      <c r="AE43" s="170">
        <f ca="1">AW67</f>
        <v>5.7787365591939714</v>
      </c>
      <c r="AF43" s="170">
        <f ca="1">AW68</f>
        <v>5.7787365591939714</v>
      </c>
    </row>
    <row r="44" spans="1:83" x14ac:dyDescent="0.25">
      <c r="D44" s="231">
        <f ca="1">J24</f>
        <v>45647.008333333331</v>
      </c>
      <c r="E44" s="217">
        <f ca="1">K24</f>
        <v>10.199999999999999</v>
      </c>
      <c r="F44" s="233"/>
      <c r="H44" s="224"/>
      <c r="P44" s="170"/>
      <c r="Q44" s="170"/>
    </row>
    <row r="45" spans="1:83" x14ac:dyDescent="0.25">
      <c r="D45" s="722">
        <f ca="1">AJ50</f>
        <v>45647.234480122323</v>
      </c>
      <c r="E45" s="723"/>
      <c r="F45" s="724"/>
      <c r="G45" s="236" t="str">
        <f ca="1">IF(AS67,AJ67,"-")</f>
        <v>-</v>
      </c>
      <c r="H45" s="237" t="str">
        <f ca="1">IF(AS67,AL67,"Impossible")</f>
        <v>Impossible</v>
      </c>
      <c r="P45" s="170"/>
      <c r="Q45" s="170"/>
      <c r="AB45" s="227" t="s">
        <v>453</v>
      </c>
      <c r="AC45" s="227" t="s">
        <v>430</v>
      </c>
      <c r="AD45" s="170" t="s">
        <v>431</v>
      </c>
      <c r="AE45" s="170" t="s">
        <v>434</v>
      </c>
      <c r="AF45" s="170" t="s">
        <v>432</v>
      </c>
      <c r="AG45" s="170" t="s">
        <v>433</v>
      </c>
      <c r="AH45" s="170" t="s">
        <v>435</v>
      </c>
      <c r="AI45" s="170" t="s">
        <v>437</v>
      </c>
      <c r="AJ45" s="170" t="s">
        <v>12</v>
      </c>
    </row>
    <row r="46" spans="1:83" s="198" customFormat="1" x14ac:dyDescent="0.25">
      <c r="D46" s="231">
        <f ca="1">J25</f>
        <v>45647.258333333331</v>
      </c>
      <c r="E46" s="217">
        <f ca="1">K25</f>
        <v>4.75</v>
      </c>
      <c r="F46" s="233"/>
      <c r="G46" s="170"/>
      <c r="H46" s="224"/>
      <c r="AA46" s="5"/>
      <c r="AB46" s="198" t="b">
        <f ca="1">AND((ISNUMBER(E40)),(ISNUMBER(E42)))</f>
        <v>1</v>
      </c>
      <c r="AC46" s="227">
        <f ca="1">IF(AB46,E42-E40,"impossible")</f>
        <v>-4.5600000000000005</v>
      </c>
      <c r="AD46" s="227">
        <f ca="1">IF(AB46,(D42-D40)*24/6,"Impossible")</f>
        <v>1.0333333333546761</v>
      </c>
      <c r="AE46" s="227">
        <f ca="1">AC46/12</f>
        <v>-0.38000000000000006</v>
      </c>
      <c r="AF46" s="227">
        <f ca="1">$D$36-E40</f>
        <v>-4.5500000000000007</v>
      </c>
      <c r="AG46" s="227">
        <f ca="1">AF46/AE46</f>
        <v>11.973684210526315</v>
      </c>
      <c r="AH46" s="227">
        <f ca="1">IF(AG46&lt;1,AG46,IF(AG46&lt;3,1+(AG46-1)/2,IF(AG46&lt;6,2+(AG46-3)/3,IF(AG46&lt;9,3+(AG46-6)/3,IF(AG46&lt;11,4+(AG46-9)/2,5+(AG46-11))))))</f>
        <v>5.973684210526315</v>
      </c>
      <c r="AI46" s="228">
        <f ca="1">D40</f>
        <v>45646.416666666664</v>
      </c>
      <c r="AJ46" s="227">
        <f ca="1">IF(OR(AG46&gt;12,AG46&lt;0),"Impossible",D40+(AD46/24)*AH46)</f>
        <v>45646.67386695907</v>
      </c>
    </row>
    <row r="47" spans="1:83" x14ac:dyDescent="0.25">
      <c r="D47" s="722">
        <f ca="1">AJ52</f>
        <v>45647.285362173039</v>
      </c>
      <c r="E47" s="723"/>
      <c r="F47" s="724"/>
      <c r="G47" s="236">
        <f ca="1">IF(AS68,AJ68,"-")</f>
        <v>5.7787365591939714</v>
      </c>
      <c r="H47" s="237">
        <f ca="1">IF(AS68,AL68,"Impossible")</f>
        <v>45647.333333333336</v>
      </c>
      <c r="P47" s="170"/>
      <c r="Q47" s="170"/>
    </row>
    <row r="48" spans="1:83" s="198" customFormat="1" x14ac:dyDescent="0.25">
      <c r="D48" s="231">
        <f ca="1">J26</f>
        <v>45647.51666666667</v>
      </c>
      <c r="E48" s="217">
        <f ca="1">K26</f>
        <v>9.7200000000000006</v>
      </c>
      <c r="F48" s="233"/>
      <c r="G48" s="170"/>
      <c r="H48" s="224"/>
      <c r="AA48" s="5"/>
      <c r="AB48" s="198" t="b">
        <f ca="1">AND((ISNUMBER(E42)),(ISNUMBER(E44)))</f>
        <v>1</v>
      </c>
      <c r="AC48" s="227">
        <f ca="1">IF(AB48,E44-E42,"impossible")</f>
        <v>5.1999999999999993</v>
      </c>
      <c r="AD48" s="227">
        <f ca="1">IF(AB48,(D44-D42)*24/6,"Impossible")</f>
        <v>1.3333333333139308</v>
      </c>
      <c r="AE48" s="227">
        <f ca="1">AC48/12</f>
        <v>0.43333333333333329</v>
      </c>
      <c r="AF48" s="227">
        <f ca="1">$D$36-E42</f>
        <v>9.9999999999997868E-3</v>
      </c>
      <c r="AG48" s="227">
        <f ca="1">AF48/AE48</f>
        <v>2.3076923076922586E-2</v>
      </c>
      <c r="AH48" s="227">
        <f ca="1">IF(AG48&lt;1,AG48,IF(AG48&lt;3,1+(AG48-1)/2,IF(AG48&lt;6,2+(AG48-3)/3,IF(AG48&lt;9,3+(AG48-6)/3,IF(AG48&lt;11,4+(AG48-9)/2,5+(AG48-11))))))</f>
        <v>2.3076923076922586E-2</v>
      </c>
      <c r="AI48" s="228">
        <f ca="1">D42</f>
        <v>45646.675000000003</v>
      </c>
      <c r="AJ48" s="227">
        <f ca="1">IF(OR(AG48&gt;12,AG48&lt;0),"Impossible",D42+(AD48/24)*AH48)</f>
        <v>45646.676282051281</v>
      </c>
    </row>
    <row r="49" spans="4:51" x14ac:dyDescent="0.25">
      <c r="D49" s="722" t="e">
        <f ca="1">AJ54</f>
        <v>#VALUE!</v>
      </c>
      <c r="E49" s="723"/>
      <c r="F49" s="724"/>
      <c r="G49" s="236" t="str">
        <f ca="1">IF(AS69,AJ69,"-")</f>
        <v>-</v>
      </c>
      <c r="H49" s="237" t="str">
        <f ca="1">IF(AS69,AL69,"Impossible")</f>
        <v>Impossible</v>
      </c>
      <c r="P49" s="170"/>
      <c r="Q49" s="170"/>
    </row>
    <row r="50" spans="4:51" s="198" customFormat="1" x14ac:dyDescent="0.25">
      <c r="D50" s="231" t="str">
        <f>J27</f>
        <v>-</v>
      </c>
      <c r="E50" s="217" t="str">
        <f>K27</f>
        <v>-</v>
      </c>
      <c r="F50" s="233"/>
      <c r="G50" s="170"/>
      <c r="H50" s="224"/>
      <c r="AA50" s="5"/>
      <c r="AB50" s="198" t="b">
        <f ca="1">AND((ISNUMBER(E44)),(ISNUMBER(E46)))</f>
        <v>1</v>
      </c>
      <c r="AC50" s="227">
        <f ca="1">IF(AB50,E46-E44,"impossible")</f>
        <v>-5.4499999999999993</v>
      </c>
      <c r="AD50" s="227">
        <f ca="1">IF(AB50,(D46-D44)*24/6,"Impossible")</f>
        <v>1</v>
      </c>
      <c r="AE50" s="227">
        <f ca="1">AC50/12</f>
        <v>-0.45416666666666661</v>
      </c>
      <c r="AF50" s="227">
        <f ca="1">$D$36-E44</f>
        <v>-5.1899999999999995</v>
      </c>
      <c r="AG50" s="227">
        <f ca="1">AF50/AE50</f>
        <v>11.427522935779816</v>
      </c>
      <c r="AH50" s="227">
        <f ca="1">IF(AG50&lt;1,AG50,IF(AG50&lt;3,1+(AG50-1)/2,IF(AG50&lt;6,2+(AG50-3)/3,IF(AG50&lt;9,3+(AG50-6)/3,IF(AG50&lt;11,4+(AG50-9)/2,5+(AG50-11))))))</f>
        <v>5.427522935779816</v>
      </c>
      <c r="AI50" s="228">
        <f ca="1">D44</f>
        <v>45647.008333333331</v>
      </c>
      <c r="AJ50" s="227">
        <f ca="1">IF(OR(AG50&gt;12,AG50&lt;0),"Impossible",D44+(AD50/24)*AH50)</f>
        <v>45647.234480122323</v>
      </c>
    </row>
    <row r="51" spans="4:51" x14ac:dyDescent="0.25">
      <c r="D51" s="722" t="e">
        <f>AJ56</f>
        <v>#VALUE!</v>
      </c>
      <c r="E51" s="723"/>
      <c r="F51" s="724"/>
      <c r="G51" s="236" t="e">
        <f>IF(AS70,AJ70,"-")</f>
        <v>#VALUE!</v>
      </c>
      <c r="H51" s="237" t="e">
        <f>IF(AS70,AL70,"Impossible")</f>
        <v>#VALUE!</v>
      </c>
      <c r="N51" s="198"/>
      <c r="O51" s="198"/>
      <c r="P51" s="198"/>
      <c r="Q51" s="198"/>
      <c r="R51" s="198"/>
      <c r="S51" s="198"/>
      <c r="T51" s="198"/>
      <c r="U51" s="198"/>
      <c r="V51" s="198"/>
      <c r="W51" s="198"/>
      <c r="X51" s="198"/>
      <c r="Y51" s="198"/>
      <c r="Z51" s="198"/>
    </row>
    <row r="52" spans="4:51" s="198" customFormat="1" x14ac:dyDescent="0.25">
      <c r="D52" s="231" t="str">
        <f>J28</f>
        <v>-</v>
      </c>
      <c r="E52" s="217" t="str">
        <f>K28</f>
        <v>-</v>
      </c>
      <c r="F52" s="233"/>
      <c r="G52" s="170"/>
      <c r="H52" s="224"/>
      <c r="AA52" s="5"/>
      <c r="AB52" s="198" t="b">
        <f ca="1">AND((ISNUMBER(E46)),(ISNUMBER(E48)))</f>
        <v>1</v>
      </c>
      <c r="AC52" s="227">
        <f ca="1">IF(AB52,E48-E46,"impossible")</f>
        <v>4.9700000000000006</v>
      </c>
      <c r="AD52" s="227">
        <f ca="1">IF(AB52,(D48-D46)*24/6,"Impossible")</f>
        <v>1.0333333333546761</v>
      </c>
      <c r="AE52" s="227">
        <f ca="1">AC52/12</f>
        <v>0.41416666666666674</v>
      </c>
      <c r="AF52" s="227">
        <f ca="1">$D$36-E46</f>
        <v>0.25999999999999979</v>
      </c>
      <c r="AG52" s="227">
        <f ca="1">AF52/AE52</f>
        <v>0.62776659959758485</v>
      </c>
      <c r="AH52" s="227">
        <f ca="1">IF(AG52&lt;1,AG52,IF(AG52&lt;3,1+(AG52-1)/2,IF(AG52&lt;6,2+(AG52-3)/3,IF(AG52&lt;9,3+(AG52-6)/3,IF(AG52&lt;11,4+(AG52-9)/2,5+(AG52-11))))))</f>
        <v>0.62776659959758485</v>
      </c>
      <c r="AI52" s="228">
        <f ca="1">D46</f>
        <v>45647.258333333331</v>
      </c>
      <c r="AJ52" s="227">
        <f ca="1">IF(OR(AG52&gt;12,AG52&lt;0),"Impossible",D46+(AD52/24)*AH52)</f>
        <v>45647.285362173039</v>
      </c>
    </row>
    <row r="53" spans="4:51" x14ac:dyDescent="0.25">
      <c r="D53" s="722" t="e">
        <f>AJ58</f>
        <v>#VALUE!</v>
      </c>
      <c r="E53" s="723"/>
      <c r="F53" s="724"/>
      <c r="G53" s="236" t="e">
        <f>IF(AS71,AJ71,"-")</f>
        <v>#VALUE!</v>
      </c>
      <c r="H53" s="237" t="e">
        <f>IF(AS71,AL71,"Impossible")</f>
        <v>#VALUE!</v>
      </c>
      <c r="N53" s="198"/>
      <c r="O53" s="198"/>
      <c r="P53" s="197"/>
      <c r="Q53" s="198"/>
      <c r="R53" s="198"/>
      <c r="S53" s="198"/>
      <c r="T53" s="198"/>
      <c r="U53" s="198"/>
      <c r="V53" s="198"/>
      <c r="W53" s="198"/>
      <c r="X53" s="198"/>
      <c r="Y53" s="198"/>
      <c r="Z53" s="198"/>
    </row>
    <row r="54" spans="4:51" s="198" customFormat="1" x14ac:dyDescent="0.25">
      <c r="D54" s="231" t="str">
        <f>J29</f>
        <v>-</v>
      </c>
      <c r="E54" s="217" t="str">
        <f>K29</f>
        <v>-</v>
      </c>
      <c r="F54" s="233"/>
      <c r="G54" s="170"/>
      <c r="H54" s="224"/>
      <c r="O54" s="195"/>
      <c r="P54" s="195"/>
      <c r="Q54" s="195"/>
      <c r="R54" s="195"/>
      <c r="S54" s="195"/>
      <c r="T54" s="195"/>
      <c r="U54" s="195"/>
      <c r="V54" s="195"/>
      <c r="W54" s="195"/>
      <c r="X54" s="195"/>
      <c r="Y54" s="195"/>
      <c r="AA54" s="5"/>
      <c r="AB54" s="198" t="b">
        <f ca="1">AND((ISNUMBER(E48)),(ISNUMBER(E50)))</f>
        <v>0</v>
      </c>
      <c r="AC54" s="227" t="str">
        <f ca="1">IF(AB54,E50-E48,"impossible")</f>
        <v>impossible</v>
      </c>
      <c r="AD54" s="227" t="str">
        <f ca="1">IF(AB54,(D50-D48)*24/6,"Impossible")</f>
        <v>Impossible</v>
      </c>
      <c r="AE54" s="227" t="e">
        <f ca="1">AC54/12</f>
        <v>#VALUE!</v>
      </c>
      <c r="AF54" s="227">
        <f ca="1">$D$36-E48</f>
        <v>-4.7100000000000009</v>
      </c>
      <c r="AG54" s="227" t="e">
        <f ca="1">AF54/AE54</f>
        <v>#VALUE!</v>
      </c>
      <c r="AH54" s="227" t="e">
        <f ca="1">IF(AG54&lt;1,AG54,IF(AG54&lt;3,1+(AG54-1)/2,IF(AG54&lt;6,2+(AG54-3)/3,IF(AG54&lt;9,3+(AG54-6)/3,IF(AG54&lt;11,4+(AG54-9)/2,5+(AG54-11))))))</f>
        <v>#VALUE!</v>
      </c>
      <c r="AI54" s="228">
        <f ca="1">D48</f>
        <v>45647.51666666667</v>
      </c>
      <c r="AJ54" s="227" t="e">
        <f ca="1">IF(OR(AG54&gt;12,AG54&lt;0),"Impossible",D48+(AD54/24)*AH54)</f>
        <v>#VALUE!</v>
      </c>
    </row>
    <row r="55" spans="4:51" x14ac:dyDescent="0.25">
      <c r="D55" s="722" t="str">
        <f>AJ60</f>
        <v>impossible</v>
      </c>
      <c r="E55" s="723"/>
      <c r="F55" s="724"/>
      <c r="G55" s="236" t="e">
        <f>IF(AS72,AJ72,"-")</f>
        <v>#VALUE!</v>
      </c>
      <c r="H55" s="237" t="e">
        <f>IF(AS72,AL72,"Impossible")</f>
        <v>#VALUE!</v>
      </c>
      <c r="N55" s="198"/>
      <c r="O55" s="195"/>
      <c r="P55" s="212"/>
      <c r="Q55" s="212"/>
      <c r="R55" s="195"/>
      <c r="S55" s="195"/>
      <c r="T55" s="195"/>
      <c r="U55" s="212"/>
      <c r="V55" s="212"/>
      <c r="W55" s="213"/>
      <c r="X55" s="195"/>
      <c r="Y55" s="195"/>
      <c r="Z55" s="198"/>
    </row>
    <row r="56" spans="4:51" s="198" customFormat="1" x14ac:dyDescent="0.25">
      <c r="D56" s="231" t="str">
        <f>J30</f>
        <v>-</v>
      </c>
      <c r="E56" s="217" t="str">
        <f>K30</f>
        <v>-</v>
      </c>
      <c r="F56" s="233"/>
      <c r="G56" s="170"/>
      <c r="H56" s="224"/>
      <c r="O56" s="195"/>
      <c r="P56" s="195"/>
      <c r="Q56" s="195"/>
      <c r="R56" s="195"/>
      <c r="S56" s="195"/>
      <c r="T56" s="195"/>
      <c r="U56" s="195"/>
      <c r="V56" s="195"/>
      <c r="W56" s="213"/>
      <c r="X56" s="195"/>
      <c r="Y56" s="195"/>
      <c r="AA56" s="5"/>
      <c r="AB56" s="198" t="b">
        <f>AND((ISNUMBER(E50)),(ISNUMBER(E52)))</f>
        <v>0</v>
      </c>
      <c r="AC56" s="227" t="str">
        <f>IF(AB56,E52-E50,"impossible")</f>
        <v>impossible</v>
      </c>
      <c r="AD56" s="227" t="str">
        <f>IF(AB56,(D52-D50)*24/6,"Impossible")</f>
        <v>Impossible</v>
      </c>
      <c r="AE56" s="227" t="e">
        <f>AC56/12</f>
        <v>#VALUE!</v>
      </c>
      <c r="AF56" s="227" t="e">
        <f>$D$36-E50</f>
        <v>#VALUE!</v>
      </c>
      <c r="AG56" s="227" t="e">
        <f>AF56/AE56</f>
        <v>#VALUE!</v>
      </c>
      <c r="AH56" s="227" t="e">
        <f>IF(AG56&lt;1,AG56,IF(AG56&lt;3,1+(AG56-1)/2,IF(AG56&lt;6,2+(AG56-3)/3,IF(AG56&lt;9,3+(AG56-6)/3,IF(AG56&lt;11,4+(AG56-9)/2,5+(AG56-11))))))</f>
        <v>#VALUE!</v>
      </c>
      <c r="AI56" s="228" t="str">
        <f>D50</f>
        <v>-</v>
      </c>
      <c r="AJ56" s="227" t="e">
        <f>IF(OR(AG56&gt;12,AG56&lt;0),"Impossible",D50+(AD56/24)*AH56)</f>
        <v>#VALUE!</v>
      </c>
    </row>
    <row r="57" spans="4:51" x14ac:dyDescent="0.25">
      <c r="D57" s="722" t="str">
        <f>AJ62</f>
        <v>impossible</v>
      </c>
      <c r="E57" s="723"/>
      <c r="F57" s="724"/>
      <c r="G57" s="236" t="str">
        <f>IF(AS63,AJ73,"-")</f>
        <v>-</v>
      </c>
      <c r="H57" s="237" t="str">
        <f>IF(AS63,AL63,"Impossible")</f>
        <v>Impossible</v>
      </c>
      <c r="N57" s="198"/>
      <c r="O57" s="195"/>
      <c r="P57" s="195"/>
      <c r="Q57" s="195"/>
      <c r="R57" s="212"/>
      <c r="S57" s="212"/>
      <c r="T57" s="195"/>
      <c r="U57" s="212"/>
      <c r="V57" s="212"/>
      <c r="W57" s="195"/>
      <c r="X57" s="195"/>
      <c r="Y57" s="195"/>
      <c r="Z57" s="198"/>
    </row>
    <row r="58" spans="4:51" s="198" customFormat="1" x14ac:dyDescent="0.25">
      <c r="D58" s="231" t="str">
        <f>J31</f>
        <v>-</v>
      </c>
      <c r="E58" s="217" t="str">
        <f>K31</f>
        <v>-</v>
      </c>
      <c r="O58" s="195"/>
      <c r="P58" s="195"/>
      <c r="Q58" s="195"/>
      <c r="R58" s="195"/>
      <c r="S58" s="195"/>
      <c r="T58" s="195"/>
      <c r="U58" s="195"/>
      <c r="V58" s="195"/>
      <c r="W58" s="195"/>
      <c r="X58" s="195"/>
      <c r="Y58" s="195"/>
      <c r="AA58" s="5"/>
      <c r="AB58" s="198" t="b">
        <f>AND((ISNUMBER(E52)),(ISNUMBER(E54)))</f>
        <v>0</v>
      </c>
      <c r="AC58" s="227" t="str">
        <f>IF(AB58,E54-E52,"impossible")</f>
        <v>impossible</v>
      </c>
      <c r="AD58" s="227" t="str">
        <f>IF(AB58,(D54-D52)*24/6,"Impossible")</f>
        <v>Impossible</v>
      </c>
      <c r="AE58" s="227" t="e">
        <f>AC58/12</f>
        <v>#VALUE!</v>
      </c>
      <c r="AF58" s="227" t="e">
        <f>$D$36-E52</f>
        <v>#VALUE!</v>
      </c>
      <c r="AG58" s="227" t="e">
        <f>AF58/AE58</f>
        <v>#VALUE!</v>
      </c>
      <c r="AH58" s="227" t="e">
        <f>IF(AG58&lt;1,AG58,IF(AG58&lt;3,1+(AG58-1)/2,IF(AG58&lt;6,2+(AG58-3)/3,IF(AG58&lt;9,3+(AG58-6)/3,IF(AG58&lt;11,4+(AG58-9)/2,5+(AG58-11))))))</f>
        <v>#VALUE!</v>
      </c>
      <c r="AI58" s="228" t="str">
        <f>D52</f>
        <v>-</v>
      </c>
      <c r="AJ58" s="227" t="e">
        <f>IF(OR(AG58&gt;12,AG58&lt;0),"Impossible",D52+(AD58/24)*AH58)</f>
        <v>#VALUE!</v>
      </c>
    </row>
    <row r="59" spans="4:51" x14ac:dyDescent="0.25">
      <c r="N59" s="198"/>
      <c r="O59" s="195"/>
      <c r="P59" s="195"/>
      <c r="Q59" s="195"/>
      <c r="R59" s="212"/>
      <c r="S59" s="212"/>
      <c r="T59" s="195"/>
      <c r="U59" s="212"/>
      <c r="V59" s="212"/>
      <c r="W59" s="195"/>
      <c r="X59" s="195"/>
      <c r="Y59" s="195"/>
      <c r="Z59" s="198"/>
    </row>
    <row r="60" spans="4:51" s="198" customFormat="1" x14ac:dyDescent="0.25">
      <c r="O60" s="195"/>
      <c r="P60" s="195"/>
      <c r="Q60" s="195"/>
      <c r="R60" s="195"/>
      <c r="S60" s="195"/>
      <c r="T60" s="195"/>
      <c r="U60" s="195"/>
      <c r="V60" s="195"/>
      <c r="W60" s="195"/>
      <c r="X60" s="195"/>
      <c r="Y60" s="195"/>
      <c r="AA60" s="5"/>
      <c r="AB60" s="198" t="b">
        <f>AND((ISNUMBER(E54)),(ISNUMBER(E56)))</f>
        <v>0</v>
      </c>
      <c r="AC60" s="227" t="str">
        <f>IF(AB60,E56-E54,"impossible")</f>
        <v>impossible</v>
      </c>
      <c r="AD60" s="227" t="str">
        <f>IF(AB60,(D56-D54)*24/6,"Impossible")</f>
        <v>Impossible</v>
      </c>
      <c r="AE60" s="227" t="e">
        <f>AC60/12</f>
        <v>#VALUE!</v>
      </c>
      <c r="AF60" s="227" t="e">
        <f>$D$36-E54</f>
        <v>#VALUE!</v>
      </c>
      <c r="AG60" s="227" t="e">
        <f>AF60/AE60</f>
        <v>#VALUE!</v>
      </c>
      <c r="AH60" s="227" t="e">
        <f>IF(AG60&lt;1,AG60,IF(AG60&lt;3,1+(AG60-1)/2,IF(AG60&lt;6,2+(AG60-3)/3,IF(AG60&lt;9,3+(AG60-6)/3,IF(AG60&lt;11,4+(AG60-9)/2,5+(AG60-11))))))</f>
        <v>#VALUE!</v>
      </c>
      <c r="AI60" s="228" t="str">
        <f>D54</f>
        <v>-</v>
      </c>
      <c r="AJ60" s="227" t="str">
        <f>IF(AB60,IF(OR(AG60&gt;12,AG60&lt;0),"Impossible",D54+(AD60/24)*AH60),"impossible")</f>
        <v>impossible</v>
      </c>
    </row>
    <row r="61" spans="4:51" x14ac:dyDescent="0.25">
      <c r="N61" s="198"/>
      <c r="O61" s="195"/>
      <c r="P61" s="195"/>
      <c r="Q61" s="195"/>
      <c r="R61" s="212"/>
      <c r="S61" s="212"/>
      <c r="T61" s="195"/>
      <c r="U61" s="212"/>
      <c r="V61" s="212"/>
      <c r="W61" s="195"/>
      <c r="X61" s="195"/>
      <c r="Y61" s="195"/>
      <c r="Z61" s="198"/>
    </row>
    <row r="62" spans="4:51" s="198" customFormat="1" x14ac:dyDescent="0.25">
      <c r="O62" s="195"/>
      <c r="P62" s="195"/>
      <c r="Q62" s="195"/>
      <c r="R62" s="195"/>
      <c r="S62" s="195"/>
      <c r="T62" s="195"/>
      <c r="U62" s="195"/>
      <c r="V62" s="195"/>
      <c r="W62" s="195"/>
      <c r="X62" s="195"/>
      <c r="Y62" s="195"/>
      <c r="AA62" s="5"/>
      <c r="AB62" s="198" t="b">
        <f>AND((ISNUMBER(E56)),(ISNUMBER(E58)))</f>
        <v>0</v>
      </c>
      <c r="AC62" s="227" t="str">
        <f>IF(AB62,E58-E56,"impossible")</f>
        <v>impossible</v>
      </c>
      <c r="AD62" s="227" t="str">
        <f>IF(AB62,(D58-D56)*24/6,"Impossible")</f>
        <v>Impossible</v>
      </c>
      <c r="AE62" s="227" t="e">
        <f>AC62/12</f>
        <v>#VALUE!</v>
      </c>
      <c r="AF62" s="227" t="e">
        <f>$D$36-E56</f>
        <v>#VALUE!</v>
      </c>
      <c r="AG62" s="227" t="e">
        <f>AF62/AE62</f>
        <v>#VALUE!</v>
      </c>
      <c r="AH62" s="227" t="e">
        <f>IF(AG62&lt;1,AG62,IF(AG62&lt;3,1+(AG62-1)/2,IF(AG62&lt;6,2+(AG62-3)/3,IF(AG62&lt;9,3+(AG62-6)/3,IF(AG62&lt;11,4+(AG62-9)/2,5+(AG62-11))))))</f>
        <v>#VALUE!</v>
      </c>
      <c r="AI62" s="228" t="str">
        <f>D56</f>
        <v>-</v>
      </c>
      <c r="AJ62" s="227" t="str">
        <f>IF(AB62,IF(OR(AG62&gt;12,AG62&lt;0),"Impossible",D56+(AD62/24)*AH62),"impossible")</f>
        <v>impossible</v>
      </c>
    </row>
    <row r="63" spans="4:51" x14ac:dyDescent="0.25">
      <c r="N63" s="198"/>
      <c r="O63" s="195"/>
      <c r="P63" s="212"/>
      <c r="Q63" s="212"/>
      <c r="R63" s="212"/>
      <c r="S63" s="212"/>
      <c r="T63" s="195"/>
      <c r="U63" s="212"/>
      <c r="V63" s="212"/>
      <c r="W63" s="195"/>
      <c r="X63" s="195"/>
      <c r="Y63" s="195"/>
      <c r="Z63" s="198"/>
    </row>
    <row r="64" spans="4:51" x14ac:dyDescent="0.25">
      <c r="N64" s="198"/>
      <c r="O64" s="195"/>
      <c r="P64" s="212"/>
      <c r="Q64" s="212"/>
      <c r="R64" s="212"/>
      <c r="S64" s="212"/>
      <c r="T64" s="195"/>
      <c r="U64" s="212"/>
      <c r="V64" s="212"/>
      <c r="W64" s="195"/>
      <c r="X64" s="195"/>
      <c r="Y64" s="195"/>
      <c r="Z64" s="198"/>
      <c r="AC64" s="229" t="s">
        <v>430</v>
      </c>
      <c r="AD64" s="229" t="s">
        <v>431</v>
      </c>
      <c r="AE64" s="229" t="s">
        <v>434</v>
      </c>
      <c r="AF64" s="229" t="s">
        <v>445</v>
      </c>
      <c r="AG64" s="229" t="s">
        <v>433</v>
      </c>
      <c r="AH64" s="229" t="s">
        <v>435</v>
      </c>
      <c r="AI64" s="229" t="s">
        <v>437</v>
      </c>
      <c r="AJ64" s="229" t="s">
        <v>12</v>
      </c>
      <c r="AK64" s="229" t="s">
        <v>438</v>
      </c>
      <c r="AL64" s="170" t="s">
        <v>439</v>
      </c>
      <c r="AM64" s="198"/>
      <c r="AN64" s="198" t="s">
        <v>418</v>
      </c>
      <c r="AO64" s="198" t="s">
        <v>182</v>
      </c>
      <c r="AP64" s="198" t="s">
        <v>419</v>
      </c>
      <c r="AQ64" s="198" t="s">
        <v>118</v>
      </c>
      <c r="AR64" s="198" t="s">
        <v>419</v>
      </c>
      <c r="AS64" s="170" t="s">
        <v>440</v>
      </c>
      <c r="AT64" s="170" t="s">
        <v>441</v>
      </c>
      <c r="AU64" s="170" t="s">
        <v>442</v>
      </c>
      <c r="AV64" s="170" t="s">
        <v>443</v>
      </c>
      <c r="AW64" s="170" t="s">
        <v>419</v>
      </c>
      <c r="AX64" s="170" t="s">
        <v>12</v>
      </c>
      <c r="AY64" s="198" t="s">
        <v>12</v>
      </c>
    </row>
    <row r="65" spans="14:51" x14ac:dyDescent="0.25">
      <c r="N65" s="198"/>
      <c r="O65" s="195"/>
      <c r="P65" s="212"/>
      <c r="Q65" s="212"/>
      <c r="R65" s="212"/>
      <c r="S65" s="212"/>
      <c r="T65" s="195"/>
      <c r="U65" s="212"/>
      <c r="V65" s="212"/>
      <c r="W65" s="195"/>
      <c r="X65" s="195"/>
      <c r="Y65" s="195"/>
      <c r="Z65" s="198"/>
      <c r="AC65" s="170">
        <f ca="1">AC46</f>
        <v>-4.5600000000000005</v>
      </c>
      <c r="AD65" s="229">
        <f ca="1">AD46</f>
        <v>1.0333333333546761</v>
      </c>
      <c r="AE65" s="229">
        <f ca="1">AE46</f>
        <v>-0.38000000000000006</v>
      </c>
      <c r="AF65" s="230">
        <f ca="1">24*(AL65-D40)/AD65</f>
        <v>-1.9354838708151059</v>
      </c>
      <c r="AG65" s="229">
        <f t="shared" ref="AG65:AG73" ca="1" si="45">IF(AF65&lt;1,AF65,IF(AF65&lt;2,1+(AF65-1)*2,IF(AF65&lt;3,3+(AF65-2)*3,IF(AF65&lt;4,6+(AF65-3)*3,IF(AF65&lt;5,9+(AF65-4)*2,11+(AF65-5))))))</f>
        <v>-1.9354838708151059</v>
      </c>
      <c r="AH65" s="229">
        <f t="shared" ref="AH65:AH73" ca="1" si="46">AG65*AE65</f>
        <v>0.73548387090974032</v>
      </c>
      <c r="AI65" s="229"/>
      <c r="AJ65" s="229">
        <f ca="1">E40+AH65</f>
        <v>10.295483870909742</v>
      </c>
      <c r="AK65" s="229" t="str">
        <f ca="1">CONCATENATE(YEAR(D40),"/",MONTH(D40),"/",DAY(D40))</f>
        <v>2024/12/20</v>
      </c>
      <c r="AL65" s="229">
        <f t="shared" ref="AL65:AL72" ca="1" si="47">DATEVALUE(AK65)+AR65</f>
        <v>45646.333333333336</v>
      </c>
      <c r="AM65" s="229" t="str">
        <f t="shared" ref="AM65:AM72" si="48">$D$37</f>
        <v>08:00</v>
      </c>
      <c r="AN65" s="229" t="b">
        <f t="shared" ref="AN65:AN72" si="49">ISNUMBER(SEARCH("-",AM65,1))</f>
        <v>0</v>
      </c>
      <c r="AO65" s="229">
        <f t="shared" ref="AO65:AO72" si="50">IF(AN65,-1,1)</f>
        <v>1</v>
      </c>
      <c r="AP65" s="229">
        <f t="shared" ref="AP65:AP72" si="51">ABS(VALUE(LEFT($AM65,SEARCH(":",$AM65,1)-1)))</f>
        <v>8</v>
      </c>
      <c r="AQ65" s="229">
        <f t="shared" ref="AQ65:AQ72" si="52">ABS(VALUE(RIGHT($AM65,LEN($AM65)-SEARCH(":",$AM65,1))))</f>
        <v>0</v>
      </c>
      <c r="AR65" s="229">
        <f t="shared" ref="AR65:AR72" si="53">(AP65+AQ65/60)/24</f>
        <v>0.33333333333333331</v>
      </c>
      <c r="AS65" s="229" t="b">
        <f ca="1">AND(AL65&gt;AI46,AL65&lt;AI48)</f>
        <v>0</v>
      </c>
      <c r="AT65" s="229">
        <f t="shared" ref="AT65:AT72" ca="1" si="54">IF(AS65,1,0)</f>
        <v>0</v>
      </c>
      <c r="AU65" s="170">
        <f ca="1">MATCH(1,AT65:AT72,0)</f>
        <v>4</v>
      </c>
      <c r="AV65" s="198" t="b">
        <f ca="1">ISNUMBER(AU65)</f>
        <v>1</v>
      </c>
      <c r="AW65" s="198">
        <f ca="1">IF(AV65,INDEX($AJ$65:$AJ$73,AU65),0)</f>
        <v>5.7787365591939714</v>
      </c>
      <c r="AX65" s="198">
        <f ca="1">IF($AV65,INDEX($AL$65:$AL$74,$AU65),0)</f>
        <v>45647.333333333336</v>
      </c>
      <c r="AY65" s="224">
        <f ca="1">AX65</f>
        <v>45647.333333333336</v>
      </c>
    </row>
    <row r="66" spans="14:51" x14ac:dyDescent="0.25">
      <c r="N66" s="198"/>
      <c r="O66" s="195"/>
      <c r="P66" s="212"/>
      <c r="Q66" s="212"/>
      <c r="R66" s="212"/>
      <c r="S66" s="212"/>
      <c r="T66" s="195"/>
      <c r="U66" s="212"/>
      <c r="V66" s="212"/>
      <c r="W66" s="195"/>
      <c r="X66" s="195"/>
      <c r="Y66" s="195"/>
      <c r="Z66" s="198"/>
      <c r="AC66" s="170">
        <f ca="1">AC48</f>
        <v>5.1999999999999993</v>
      </c>
      <c r="AD66" s="229">
        <f ca="1">AD48</f>
        <v>1.3333333333139308</v>
      </c>
      <c r="AE66" s="229">
        <f ca="1">AE48</f>
        <v>0.43333333333333329</v>
      </c>
      <c r="AF66" s="230">
        <f ca="1">24*(AL66-D42)/AD66</f>
        <v>-6.1500000000982258</v>
      </c>
      <c r="AG66" s="229">
        <f t="shared" ca="1" si="45"/>
        <v>-6.1500000000982258</v>
      </c>
      <c r="AH66" s="229">
        <f t="shared" ca="1" si="46"/>
        <v>-2.6650000000425642</v>
      </c>
      <c r="AI66" s="229"/>
      <c r="AJ66" s="229">
        <f ca="1">E42+AH66</f>
        <v>2.3349999999574358</v>
      </c>
      <c r="AK66" s="229" t="str">
        <f ca="1">CONCATENATE(YEAR(D42),"/",MONTH(D42),"/",DAY(D42))</f>
        <v>2024/12/20</v>
      </c>
      <c r="AL66" s="229">
        <f t="shared" ca="1" si="47"/>
        <v>45646.333333333336</v>
      </c>
      <c r="AM66" s="229" t="str">
        <f t="shared" si="48"/>
        <v>08:00</v>
      </c>
      <c r="AN66" s="229" t="b">
        <f t="shared" si="49"/>
        <v>0</v>
      </c>
      <c r="AO66" s="229">
        <f t="shared" si="50"/>
        <v>1</v>
      </c>
      <c r="AP66" s="229">
        <f t="shared" si="51"/>
        <v>8</v>
      </c>
      <c r="AQ66" s="229">
        <f t="shared" si="52"/>
        <v>0</v>
      </c>
      <c r="AR66" s="229">
        <f t="shared" si="53"/>
        <v>0.33333333333333331</v>
      </c>
      <c r="AS66" s="229" t="b">
        <f ca="1">AND(AL66&gt;AI48,AL66&lt;AI50)</f>
        <v>0</v>
      </c>
      <c r="AT66" s="229">
        <f t="shared" ca="1" si="54"/>
        <v>0</v>
      </c>
      <c r="AU66" s="198" t="e">
        <f ca="1">AU65+MATCH(1,INDEX(AT:AT,65+AU65):AT73,0)</f>
        <v>#N/A</v>
      </c>
      <c r="AV66" s="198" t="b">
        <f ca="1">ISNUMBER(AU66)</f>
        <v>0</v>
      </c>
      <c r="AW66" s="198">
        <f ca="1">IF(AV66,INDEX($AJ$65:$AJ$73,AU66),AW65)</f>
        <v>5.7787365591939714</v>
      </c>
      <c r="AX66" s="198">
        <f ca="1">IF($AV66,INDEX($AL$65:$AL$74,$AU66),AX65)</f>
        <v>45647.333333333336</v>
      </c>
      <c r="AY66" s="224">
        <f ca="1">AX66</f>
        <v>45647.333333333336</v>
      </c>
    </row>
    <row r="67" spans="14:51" x14ac:dyDescent="0.25">
      <c r="N67" s="198"/>
      <c r="O67" s="195"/>
      <c r="P67" s="212"/>
      <c r="Q67" s="212"/>
      <c r="R67" s="212"/>
      <c r="S67" s="212"/>
      <c r="T67" s="195"/>
      <c r="U67" s="212"/>
      <c r="V67" s="212"/>
      <c r="W67" s="195"/>
      <c r="X67" s="195"/>
      <c r="Y67" s="195"/>
      <c r="Z67" s="198"/>
      <c r="AC67" s="170">
        <f ca="1">AC50</f>
        <v>-5.4499999999999993</v>
      </c>
      <c r="AD67" s="229">
        <f ca="1">AD50</f>
        <v>1</v>
      </c>
      <c r="AE67" s="229">
        <f ca="1">AE50</f>
        <v>-0.45416666666666661</v>
      </c>
      <c r="AF67" s="230">
        <f ca="1">24*(AL67-D44)/AD67</f>
        <v>7.8000000001047738</v>
      </c>
      <c r="AG67" s="229">
        <f t="shared" ca="1" si="45"/>
        <v>13.800000000104774</v>
      </c>
      <c r="AH67" s="229">
        <f t="shared" ca="1" si="46"/>
        <v>-6.2675000000475842</v>
      </c>
      <c r="AI67" s="229"/>
      <c r="AJ67" s="229">
        <f ca="1">E44+AH67</f>
        <v>3.9324999999524151</v>
      </c>
      <c r="AK67" s="229" t="str">
        <f ca="1">CONCATENATE(YEAR(D44),"/",MONTH(D44),"/",DAY(D44))</f>
        <v>2024/12/21</v>
      </c>
      <c r="AL67" s="229">
        <f t="shared" ca="1" si="47"/>
        <v>45647.333333333336</v>
      </c>
      <c r="AM67" s="229" t="str">
        <f t="shared" si="48"/>
        <v>08:00</v>
      </c>
      <c r="AN67" s="229" t="b">
        <f t="shared" si="49"/>
        <v>0</v>
      </c>
      <c r="AO67" s="229">
        <f t="shared" si="50"/>
        <v>1</v>
      </c>
      <c r="AP67" s="229">
        <f t="shared" si="51"/>
        <v>8</v>
      </c>
      <c r="AQ67" s="229">
        <f t="shared" si="52"/>
        <v>0</v>
      </c>
      <c r="AR67" s="229">
        <f t="shared" si="53"/>
        <v>0.33333333333333331</v>
      </c>
      <c r="AS67" s="229" t="b">
        <f ca="1">AND(AL67&gt;AI50,AL67&lt;AI52)</f>
        <v>0</v>
      </c>
      <c r="AT67" s="229">
        <f t="shared" ca="1" si="54"/>
        <v>0</v>
      </c>
      <c r="AU67" s="198" t="e">
        <f ca="1">AU66+MATCH(1,INDEX(AT:AT,65+AU66):AT74,0)</f>
        <v>#N/A</v>
      </c>
      <c r="AV67" s="198" t="b">
        <f ca="1">ISNUMBER(AU67)</f>
        <v>0</v>
      </c>
      <c r="AW67" s="198">
        <f ca="1">IF(AV67,INDEX($AJ$65:$AJ$73,AU67),AW66)</f>
        <v>5.7787365591939714</v>
      </c>
      <c r="AX67" s="198">
        <f ca="1">IF($AV67,INDEX($AL$46:$AL$63,$AU67),$AX66)</f>
        <v>45647.333333333336</v>
      </c>
      <c r="AY67" s="224">
        <f ca="1">AX67</f>
        <v>45647.333333333336</v>
      </c>
    </row>
    <row r="68" spans="14:51" x14ac:dyDescent="0.25">
      <c r="N68" s="198"/>
      <c r="O68" s="195"/>
      <c r="P68" s="212"/>
      <c r="Q68" s="212"/>
      <c r="R68" s="212"/>
      <c r="S68" s="212"/>
      <c r="T68" s="195"/>
      <c r="U68" s="212"/>
      <c r="V68" s="212"/>
      <c r="W68" s="195"/>
      <c r="X68" s="195"/>
      <c r="Y68" s="195"/>
      <c r="Z68" s="198"/>
      <c r="AC68" s="170">
        <f ca="1">AC52</f>
        <v>4.9700000000000006</v>
      </c>
      <c r="AD68" s="229">
        <f ca="1">AD52</f>
        <v>1.0333333333546761</v>
      </c>
      <c r="AE68" s="229">
        <f ca="1">AE52</f>
        <v>0.41416666666666674</v>
      </c>
      <c r="AF68" s="230">
        <f ca="1">24*(AL68-D46)/AD68</f>
        <v>1.7419354839363832</v>
      </c>
      <c r="AG68" s="229">
        <f t="shared" ca="1" si="45"/>
        <v>2.4838709678727664</v>
      </c>
      <c r="AH68" s="229">
        <f t="shared" ca="1" si="46"/>
        <v>1.028736559193971</v>
      </c>
      <c r="AI68" s="229"/>
      <c r="AJ68" s="229">
        <f ca="1">E46+AH68</f>
        <v>5.7787365591939714</v>
      </c>
      <c r="AK68" s="229" t="str">
        <f ca="1">CONCATENATE(YEAR(D46),"/",MONTH(D46),"/",DAY(D46))</f>
        <v>2024/12/21</v>
      </c>
      <c r="AL68" s="229">
        <f t="shared" ca="1" si="47"/>
        <v>45647.333333333336</v>
      </c>
      <c r="AM68" s="229" t="str">
        <f t="shared" si="48"/>
        <v>08:00</v>
      </c>
      <c r="AN68" s="229" t="b">
        <f t="shared" si="49"/>
        <v>0</v>
      </c>
      <c r="AO68" s="229">
        <f t="shared" si="50"/>
        <v>1</v>
      </c>
      <c r="AP68" s="229">
        <f t="shared" si="51"/>
        <v>8</v>
      </c>
      <c r="AQ68" s="229">
        <f t="shared" si="52"/>
        <v>0</v>
      </c>
      <c r="AR68" s="229">
        <f t="shared" si="53"/>
        <v>0.33333333333333331</v>
      </c>
      <c r="AS68" s="229" t="b">
        <f ca="1">AND(AL68&gt;AI52,AL68&lt;AI54)</f>
        <v>1</v>
      </c>
      <c r="AT68" s="229">
        <f t="shared" ca="1" si="54"/>
        <v>1</v>
      </c>
      <c r="AU68" s="198" t="e">
        <f ca="1">AU67+MATCH(1,INDEX(AT:AT,65+AU67):AT75,0)</f>
        <v>#N/A</v>
      </c>
      <c r="AV68" s="170" t="b">
        <f ca="1">ISNUMBER(AU68)</f>
        <v>0</v>
      </c>
      <c r="AW68" s="198">
        <f ca="1">IF(AV68,INDEX($AJ$65:$AJ$73,AU68),AW67)</f>
        <v>5.7787365591939714</v>
      </c>
      <c r="AX68" s="198">
        <f ca="1">IF($AV68,INDEX($AL$46:$AL$63,$AU68),$AX67)</f>
        <v>45647.333333333336</v>
      </c>
      <c r="AY68" s="224">
        <f ca="1">AX68</f>
        <v>45647.333333333336</v>
      </c>
    </row>
    <row r="69" spans="14:51" x14ac:dyDescent="0.25">
      <c r="N69" s="198"/>
      <c r="O69" s="195"/>
      <c r="P69" s="212"/>
      <c r="Q69" s="212"/>
      <c r="R69" s="212"/>
      <c r="S69" s="212"/>
      <c r="T69" s="195"/>
      <c r="U69" s="212"/>
      <c r="V69" s="212"/>
      <c r="W69" s="195"/>
      <c r="X69" s="195"/>
      <c r="Y69" s="195"/>
      <c r="Z69" s="198"/>
      <c r="AC69" s="170" t="str">
        <f ca="1">AC54</f>
        <v>impossible</v>
      </c>
      <c r="AD69" s="229" t="str">
        <f ca="1">AD54</f>
        <v>Impossible</v>
      </c>
      <c r="AE69" s="229" t="e">
        <f ca="1">AE54</f>
        <v>#VALUE!</v>
      </c>
      <c r="AF69" s="230" t="e">
        <f ca="1">24*(AL69-D48)/AD69</f>
        <v>#VALUE!</v>
      </c>
      <c r="AG69" s="229" t="e">
        <f t="shared" ca="1" si="45"/>
        <v>#VALUE!</v>
      </c>
      <c r="AH69" s="229" t="e">
        <f t="shared" ca="1" si="46"/>
        <v>#VALUE!</v>
      </c>
      <c r="AI69" s="229"/>
      <c r="AJ69" s="229" t="e">
        <f ca="1">E48+AH69</f>
        <v>#VALUE!</v>
      </c>
      <c r="AK69" s="229" t="str">
        <f ca="1">CONCATENATE(YEAR(D48),"/",MONTH(D48),"/",DAY(D48))</f>
        <v>2024/12/21</v>
      </c>
      <c r="AL69" s="229">
        <f t="shared" ca="1" si="47"/>
        <v>45647.333333333336</v>
      </c>
      <c r="AM69" s="229" t="str">
        <f t="shared" si="48"/>
        <v>08:00</v>
      </c>
      <c r="AN69" s="229" t="b">
        <f t="shared" si="49"/>
        <v>0</v>
      </c>
      <c r="AO69" s="229">
        <f t="shared" si="50"/>
        <v>1</v>
      </c>
      <c r="AP69" s="229">
        <f t="shared" si="51"/>
        <v>8</v>
      </c>
      <c r="AQ69" s="229">
        <f t="shared" si="52"/>
        <v>0</v>
      </c>
      <c r="AR69" s="229">
        <f t="shared" si="53"/>
        <v>0.33333333333333331</v>
      </c>
      <c r="AS69" s="229" t="b">
        <f ca="1">AND(AL69&gt;AI54,AL69&lt;AI56)</f>
        <v>0</v>
      </c>
      <c r="AT69" s="229">
        <f t="shared" ca="1" si="54"/>
        <v>0</v>
      </c>
    </row>
    <row r="70" spans="14:51" x14ac:dyDescent="0.25">
      <c r="N70" s="198"/>
      <c r="O70" s="195"/>
      <c r="P70" s="212"/>
      <c r="Q70" s="212"/>
      <c r="R70" s="212"/>
      <c r="S70" s="212"/>
      <c r="T70" s="195"/>
      <c r="U70" s="212"/>
      <c r="V70" s="212"/>
      <c r="W70" s="195"/>
      <c r="X70" s="195"/>
      <c r="Y70" s="195"/>
      <c r="Z70" s="198"/>
      <c r="AC70" s="170" t="str">
        <f>AC56</f>
        <v>impossible</v>
      </c>
      <c r="AD70" s="229" t="str">
        <f>AD56</f>
        <v>Impossible</v>
      </c>
      <c r="AE70" s="229" t="e">
        <f>AE56</f>
        <v>#VALUE!</v>
      </c>
      <c r="AF70" s="230" t="e">
        <f>24*(AL70-D50)/AD70</f>
        <v>#VALUE!</v>
      </c>
      <c r="AG70" s="229" t="e">
        <f t="shared" si="45"/>
        <v>#VALUE!</v>
      </c>
      <c r="AH70" s="229" t="e">
        <f t="shared" si="46"/>
        <v>#VALUE!</v>
      </c>
      <c r="AI70" s="229"/>
      <c r="AJ70" s="229" t="e">
        <f>E50+AH70</f>
        <v>#VALUE!</v>
      </c>
      <c r="AK70" s="229" t="e">
        <f>CONCATENATE(YEAR(D50),"/",MONTH(D50),"/",DAY(D50))</f>
        <v>#VALUE!</v>
      </c>
      <c r="AL70" s="229" t="e">
        <f t="shared" si="47"/>
        <v>#VALUE!</v>
      </c>
      <c r="AM70" s="229" t="str">
        <f t="shared" si="48"/>
        <v>08:00</v>
      </c>
      <c r="AN70" s="229" t="b">
        <f t="shared" si="49"/>
        <v>0</v>
      </c>
      <c r="AO70" s="229">
        <f t="shared" si="50"/>
        <v>1</v>
      </c>
      <c r="AP70" s="229">
        <f t="shared" si="51"/>
        <v>8</v>
      </c>
      <c r="AQ70" s="229">
        <f t="shared" si="52"/>
        <v>0</v>
      </c>
      <c r="AR70" s="229">
        <f t="shared" si="53"/>
        <v>0.33333333333333331</v>
      </c>
      <c r="AS70" s="229" t="e">
        <f>AND(AL70&gt;AI56,AL70&lt;AI58)</f>
        <v>#VALUE!</v>
      </c>
      <c r="AT70" s="229" t="e">
        <f t="shared" si="54"/>
        <v>#VALUE!</v>
      </c>
    </row>
    <row r="71" spans="14:51" x14ac:dyDescent="0.25">
      <c r="N71" s="198"/>
      <c r="O71" s="195"/>
      <c r="P71" s="212"/>
      <c r="Q71" s="212"/>
      <c r="R71" s="212"/>
      <c r="S71" s="212"/>
      <c r="T71" s="195"/>
      <c r="U71" s="212"/>
      <c r="V71" s="212"/>
      <c r="W71" s="195"/>
      <c r="X71" s="195"/>
      <c r="Y71" s="195"/>
      <c r="Z71" s="198"/>
      <c r="AC71" s="170" t="str">
        <f>AC58</f>
        <v>impossible</v>
      </c>
      <c r="AD71" s="229" t="str">
        <f>AD58</f>
        <v>Impossible</v>
      </c>
      <c r="AE71" s="229" t="e">
        <f>AE58</f>
        <v>#VALUE!</v>
      </c>
      <c r="AF71" s="230" t="e">
        <f>24*(AL71-D52)/AD71</f>
        <v>#VALUE!</v>
      </c>
      <c r="AG71" s="229" t="e">
        <f t="shared" si="45"/>
        <v>#VALUE!</v>
      </c>
      <c r="AH71" s="229" t="e">
        <f t="shared" si="46"/>
        <v>#VALUE!</v>
      </c>
      <c r="AI71" s="229"/>
      <c r="AJ71" s="229" t="e">
        <f>E52+AH71</f>
        <v>#VALUE!</v>
      </c>
      <c r="AK71" s="229" t="e">
        <f>CONCATENATE(YEAR(D52),"/",MONTH(D52),"/",DAY(D52))</f>
        <v>#VALUE!</v>
      </c>
      <c r="AL71" s="229" t="e">
        <f t="shared" si="47"/>
        <v>#VALUE!</v>
      </c>
      <c r="AM71" s="229" t="str">
        <f t="shared" si="48"/>
        <v>08:00</v>
      </c>
      <c r="AN71" s="229" t="b">
        <f t="shared" si="49"/>
        <v>0</v>
      </c>
      <c r="AO71" s="229">
        <f t="shared" si="50"/>
        <v>1</v>
      </c>
      <c r="AP71" s="229">
        <f t="shared" si="51"/>
        <v>8</v>
      </c>
      <c r="AQ71" s="229">
        <f t="shared" si="52"/>
        <v>0</v>
      </c>
      <c r="AR71" s="229">
        <f t="shared" si="53"/>
        <v>0.33333333333333331</v>
      </c>
      <c r="AS71" s="229" t="e">
        <f>AND(AL71&gt;AI58,AL71&lt;AI60)</f>
        <v>#VALUE!</v>
      </c>
      <c r="AT71" s="229" t="e">
        <f t="shared" si="54"/>
        <v>#VALUE!</v>
      </c>
    </row>
    <row r="72" spans="14:51" x14ac:dyDescent="0.25">
      <c r="N72" s="198"/>
      <c r="O72" s="195"/>
      <c r="P72" s="212"/>
      <c r="Q72" s="212"/>
      <c r="R72" s="212"/>
      <c r="S72" s="212"/>
      <c r="T72" s="195"/>
      <c r="U72" s="212"/>
      <c r="V72" s="212"/>
      <c r="W72" s="195"/>
      <c r="X72" s="195"/>
      <c r="Y72" s="195"/>
      <c r="Z72" s="198"/>
      <c r="AC72" s="170" t="str">
        <f>AC60</f>
        <v>impossible</v>
      </c>
      <c r="AD72" s="229" t="str">
        <f>AD60</f>
        <v>Impossible</v>
      </c>
      <c r="AE72" s="229" t="e">
        <f>AE60</f>
        <v>#VALUE!</v>
      </c>
      <c r="AF72" s="230" t="e">
        <f>24*(AL72-D54)/AD72</f>
        <v>#VALUE!</v>
      </c>
      <c r="AG72" s="229" t="e">
        <f t="shared" si="45"/>
        <v>#VALUE!</v>
      </c>
      <c r="AH72" s="229" t="e">
        <f t="shared" si="46"/>
        <v>#VALUE!</v>
      </c>
      <c r="AI72" s="229"/>
      <c r="AJ72" s="229" t="e">
        <f>E54+AH72</f>
        <v>#VALUE!</v>
      </c>
      <c r="AK72" s="229" t="e">
        <f>CONCATENATE(YEAR(D54),"/",MONTH(D54),"/",DAY(D54))</f>
        <v>#VALUE!</v>
      </c>
      <c r="AL72" s="229" t="e">
        <f t="shared" si="47"/>
        <v>#VALUE!</v>
      </c>
      <c r="AM72" s="229" t="str">
        <f t="shared" si="48"/>
        <v>08:00</v>
      </c>
      <c r="AN72" s="229" t="b">
        <f t="shared" si="49"/>
        <v>0</v>
      </c>
      <c r="AO72" s="229">
        <f t="shared" si="50"/>
        <v>1</v>
      </c>
      <c r="AP72" s="229">
        <f t="shared" si="51"/>
        <v>8</v>
      </c>
      <c r="AQ72" s="229">
        <f t="shared" si="52"/>
        <v>0</v>
      </c>
      <c r="AR72" s="229">
        <f t="shared" si="53"/>
        <v>0.33333333333333331</v>
      </c>
      <c r="AS72" s="229" t="e">
        <f>AND(AL72&gt;AI60,AL72&lt;AI62)</f>
        <v>#VALUE!</v>
      </c>
      <c r="AT72" s="229" t="e">
        <f t="shared" si="54"/>
        <v>#VALUE!</v>
      </c>
    </row>
    <row r="73" spans="14:51" x14ac:dyDescent="0.25">
      <c r="N73" s="198"/>
      <c r="O73" s="195"/>
      <c r="P73" s="212"/>
      <c r="Q73" s="212"/>
      <c r="R73" s="212"/>
      <c r="S73" s="212"/>
      <c r="T73" s="195"/>
      <c r="U73" s="212"/>
      <c r="V73" s="212"/>
      <c r="W73" s="195"/>
      <c r="X73" s="195"/>
      <c r="Y73" s="195"/>
      <c r="Z73" s="198"/>
      <c r="AC73" s="170" t="str">
        <f>AC62</f>
        <v>impossible</v>
      </c>
      <c r="AD73" s="229" t="str">
        <f>AD62</f>
        <v>Impossible</v>
      </c>
      <c r="AE73" s="229" t="e">
        <f>AE62</f>
        <v>#VALUE!</v>
      </c>
      <c r="AF73" s="230" t="e">
        <f>24*(AL63-D56)/AD73</f>
        <v>#VALUE!</v>
      </c>
      <c r="AG73" s="229" t="e">
        <f t="shared" si="45"/>
        <v>#VALUE!</v>
      </c>
      <c r="AH73" s="229" t="e">
        <f t="shared" si="46"/>
        <v>#VALUE!</v>
      </c>
      <c r="AI73" s="229"/>
      <c r="AJ73" s="229" t="e">
        <f>E56+AH73</f>
        <v>#VALUE!</v>
      </c>
    </row>
    <row r="74" spans="14:51" x14ac:dyDescent="0.25">
      <c r="N74" s="198"/>
      <c r="O74" s="195"/>
      <c r="P74" s="212"/>
      <c r="Q74" s="212"/>
      <c r="R74" s="212"/>
      <c r="S74" s="212"/>
      <c r="T74" s="195"/>
      <c r="U74" s="212"/>
      <c r="V74" s="212"/>
      <c r="W74" s="195"/>
      <c r="X74" s="195"/>
      <c r="Y74" s="195"/>
      <c r="Z74" s="198"/>
    </row>
    <row r="75" spans="14:51" x14ac:dyDescent="0.25">
      <c r="N75" s="198"/>
      <c r="O75" s="195"/>
      <c r="P75" s="212"/>
      <c r="Q75" s="212"/>
      <c r="R75" s="212"/>
      <c r="S75" s="212"/>
      <c r="T75" s="195"/>
      <c r="U75" s="212"/>
      <c r="V75" s="212"/>
      <c r="W75" s="195"/>
      <c r="X75" s="195"/>
      <c r="Y75" s="195"/>
      <c r="Z75" s="198"/>
    </row>
    <row r="76" spans="14:51" x14ac:dyDescent="0.25">
      <c r="N76" s="198"/>
      <c r="O76" s="195"/>
      <c r="P76" s="212"/>
      <c r="Q76" s="212"/>
      <c r="R76" s="212"/>
      <c r="S76" s="212"/>
      <c r="T76" s="195"/>
      <c r="U76" s="212"/>
      <c r="V76" s="212"/>
      <c r="W76" s="195"/>
      <c r="X76" s="195"/>
      <c r="Y76" s="195"/>
      <c r="Z76" s="198"/>
    </row>
    <row r="77" spans="14:51" x14ac:dyDescent="0.25">
      <c r="N77" s="198"/>
      <c r="O77" s="195"/>
      <c r="P77" s="212"/>
      <c r="Q77" s="212"/>
      <c r="R77" s="212"/>
      <c r="S77" s="212"/>
      <c r="T77" s="195"/>
      <c r="U77" s="212"/>
      <c r="V77" s="212"/>
      <c r="W77" s="195"/>
      <c r="X77" s="195"/>
      <c r="Y77" s="195"/>
      <c r="Z77" s="198"/>
    </row>
    <row r="78" spans="14:51" x14ac:dyDescent="0.25">
      <c r="N78" s="198"/>
      <c r="O78" s="195"/>
      <c r="P78" s="195"/>
      <c r="Q78" s="195"/>
      <c r="R78" s="195"/>
      <c r="S78" s="195"/>
      <c r="T78" s="195"/>
      <c r="U78" s="195"/>
      <c r="V78" s="195"/>
      <c r="W78" s="195"/>
      <c r="X78" s="195"/>
      <c r="Y78" s="195"/>
      <c r="Z78" s="198"/>
    </row>
  </sheetData>
  <dataConsolidate/>
  <mergeCells count="31">
    <mergeCell ref="D15:D17"/>
    <mergeCell ref="F8:M8"/>
    <mergeCell ref="F9:I9"/>
    <mergeCell ref="J9:M9"/>
    <mergeCell ref="C1:F4"/>
    <mergeCell ref="G1:Y2"/>
    <mergeCell ref="G3:I4"/>
    <mergeCell ref="J3:L4"/>
    <mergeCell ref="F10:G10"/>
    <mergeCell ref="H10:I10"/>
    <mergeCell ref="J10:K10"/>
    <mergeCell ref="L10:M10"/>
    <mergeCell ref="D12:D14"/>
    <mergeCell ref="Y32:AA32"/>
    <mergeCell ref="Y33:AA33"/>
    <mergeCell ref="Y34:AA34"/>
    <mergeCell ref="G39:H39"/>
    <mergeCell ref="C35:F35"/>
    <mergeCell ref="D38:E38"/>
    <mergeCell ref="F39:F40"/>
    <mergeCell ref="C20:G20"/>
    <mergeCell ref="H20:K20"/>
    <mergeCell ref="D55:F55"/>
    <mergeCell ref="D57:F57"/>
    <mergeCell ref="D47:F47"/>
    <mergeCell ref="D49:F49"/>
    <mergeCell ref="D51:F51"/>
    <mergeCell ref="D53:F53"/>
    <mergeCell ref="D45:F45"/>
    <mergeCell ref="D41:F41"/>
    <mergeCell ref="D43:F43"/>
  </mergeCells>
  <conditionalFormatting sqref="H22:H31">
    <cfRule type="cellIs" dxfId="3" priority="6" operator="equal">
      <formula>"Y"</formula>
    </cfRule>
  </conditionalFormatting>
  <conditionalFormatting sqref="AE22:AK31">
    <cfRule type="cellIs" dxfId="2" priority="4" operator="equal">
      <formula>FALSE</formula>
    </cfRule>
  </conditionalFormatting>
  <conditionalFormatting sqref="AM22:AM31">
    <cfRule type="cellIs" dxfId="1" priority="3" operator="equal">
      <formula>FALSE</formula>
    </cfRule>
  </conditionalFormatting>
  <conditionalFormatting sqref="I22:I31">
    <cfRule type="cellIs" dxfId="0" priority="1" operator="equal">
      <formula>"Y"</formula>
    </cfRule>
  </conditionalFormatting>
  <dataValidations count="3">
    <dataValidation type="list" allowBlank="1" showInputMessage="1" showErrorMessage="1" sqref="D9" xr:uid="{00000000-0002-0000-0500-000000000000}">
      <formula1>$C$13:$C$18</formula1>
    </dataValidation>
    <dataValidation type="list" allowBlank="1" showInputMessage="1" showErrorMessage="1" sqref="C22" xr:uid="{00000000-0002-0000-0500-000002000000}">
      <formula1>$A$13:$A$14</formula1>
    </dataValidation>
    <dataValidation type="list" allowBlank="1" showInputMessage="1" showErrorMessage="1" sqref="D8" xr:uid="{00000000-0002-0000-0500-000001000000}">
      <formula1>$B$13:$B$16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3:T31"/>
  <sheetViews>
    <sheetView zoomScale="85" zoomScaleNormal="85" workbookViewId="0">
      <selection activeCell="E30" sqref="E30"/>
    </sheetView>
  </sheetViews>
  <sheetFormatPr defaultColWidth="7.28515625" defaultRowHeight="15" x14ac:dyDescent="0.25"/>
  <cols>
    <col min="2" max="2" width="7.28515625" style="183"/>
    <col min="3" max="3" width="12.7109375" style="184" customWidth="1"/>
    <col min="4" max="4" width="15" style="185" customWidth="1"/>
    <col min="5" max="6" width="7.28515625" style="186"/>
    <col min="11" max="11" width="12.140625" style="192" customWidth="1"/>
    <col min="12" max="13" width="12.7109375" style="192" customWidth="1"/>
    <col min="14" max="14" width="15" style="192" customWidth="1"/>
    <col min="15" max="20" width="12.7109375" style="192" customWidth="1"/>
  </cols>
  <sheetData>
    <row r="3" spans="2:20" x14ac:dyDescent="0.25">
      <c r="K3" s="3" t="s">
        <v>359</v>
      </c>
      <c r="L3" s="3" t="s">
        <v>366</v>
      </c>
      <c r="M3" s="3" t="s">
        <v>357</v>
      </c>
      <c r="N3" s="191" t="s">
        <v>369</v>
      </c>
      <c r="P3" s="3" t="s">
        <v>360</v>
      </c>
      <c r="Q3" s="3" t="s">
        <v>358</v>
      </c>
      <c r="R3" s="3" t="s">
        <v>361</v>
      </c>
      <c r="S3" s="3" t="s">
        <v>363</v>
      </c>
      <c r="T3" s="3" t="s">
        <v>341</v>
      </c>
    </row>
    <row r="4" spans="2:20" x14ac:dyDescent="0.25">
      <c r="B4" s="739" t="s">
        <v>367</v>
      </c>
      <c r="C4" s="187" t="str">
        <f>Maree!D22</f>
        <v>2024/12/20</v>
      </c>
      <c r="D4" s="188" t="str">
        <f>Maree!E22</f>
        <v>10:00</v>
      </c>
      <c r="E4" s="189">
        <f>Maree!F22</f>
        <v>90</v>
      </c>
      <c r="F4" s="189">
        <f>Maree!G22</f>
        <v>9.56</v>
      </c>
      <c r="K4" s="190" t="b">
        <f t="shared" ref="K4:K16" si="0">AND(NOT(ISBLANK(E4)),ISNUMBER(E4), (E4&gt; 0))</f>
        <v>1</v>
      </c>
      <c r="L4" s="190" t="b">
        <f t="shared" ref="L4:L16" si="1">AND(NOT(ISBLANK(F4)),ISNUMBER(F4), (F4&gt; 0))</f>
        <v>1</v>
      </c>
      <c r="M4" s="190" t="b">
        <f>AND($L5,$L4,$K4,$F4&gt;$F5)</f>
        <v>1</v>
      </c>
      <c r="N4" s="190" t="b">
        <f>AND(NOT(ISBLANK(#REF!)),ISNUMBER(#REF!))</f>
        <v>0</v>
      </c>
      <c r="O4" s="193"/>
      <c r="P4" s="190" t="b">
        <f>IF(AND(M4,K4), TRUE, FALSE)</f>
        <v>1</v>
      </c>
      <c r="Q4" s="190" t="e">
        <f>IF(AND(M4,K4), IF(#REF!&gt;70,TRUE, FALSE), FALSE)</f>
        <v>#REF!</v>
      </c>
      <c r="R4" s="190" t="b">
        <f>IF(P4,FALSE,IF(P5,TRUE, FALSE))</f>
        <v>0</v>
      </c>
      <c r="S4" s="190" t="b">
        <f>OR(R4,P4)</f>
        <v>1</v>
      </c>
      <c r="T4" s="190" t="e">
        <f>IF(P4,#REF!,IF(R4,#REF!,-1))</f>
        <v>#REF!</v>
      </c>
    </row>
    <row r="5" spans="2:20" x14ac:dyDescent="0.25">
      <c r="B5" s="739"/>
      <c r="C5" s="187" t="str">
        <f>Maree!D23</f>
        <v>2024/12/20</v>
      </c>
      <c r="D5" s="188" t="str">
        <f>Maree!E23</f>
        <v>16:12</v>
      </c>
      <c r="E5" s="189">
        <f>Maree!F23</f>
        <v>0</v>
      </c>
      <c r="F5" s="189">
        <f>Maree!G23</f>
        <v>5</v>
      </c>
      <c r="K5" s="190" t="b">
        <f t="shared" ref="K5" si="2">AND(NOT(ISBLANK(E5)),ISNUMBER(E5), (E5&gt; 0))</f>
        <v>0</v>
      </c>
      <c r="L5" s="190" t="b">
        <f t="shared" ref="L5" si="3">AND(NOT(ISBLANK(F5)),ISNUMBER(F5), (F5&gt; 0))</f>
        <v>1</v>
      </c>
      <c r="M5" s="190" t="b">
        <f>AND($L6,$L5,$K5,$F5&gt;$F6)</f>
        <v>0</v>
      </c>
      <c r="N5" s="190" t="b">
        <f>AND(NOT(ISBLANK(#REF!)),ISNUMBER(#REF!))</f>
        <v>0</v>
      </c>
      <c r="O5" s="193"/>
      <c r="P5" s="193"/>
      <c r="Q5" s="193"/>
      <c r="R5" s="193"/>
      <c r="S5" s="193"/>
      <c r="T5" s="193"/>
    </row>
    <row r="6" spans="2:20" s="174" customFormat="1" x14ac:dyDescent="0.25">
      <c r="B6" s="740" t="s">
        <v>368</v>
      </c>
      <c r="C6" s="177" t="str">
        <f>Maree!D22</f>
        <v>2024/12/20</v>
      </c>
      <c r="D6" s="177" t="str">
        <f>Maree!E22</f>
        <v>10:00</v>
      </c>
      <c r="E6" s="177">
        <f>Maree!F22</f>
        <v>90</v>
      </c>
      <c r="F6" s="177">
        <f>Maree!G22</f>
        <v>9.56</v>
      </c>
      <c r="H6" s="176"/>
      <c r="K6" s="3" t="b">
        <f t="shared" si="0"/>
        <v>1</v>
      </c>
      <c r="L6" s="3" t="b">
        <f t="shared" si="1"/>
        <v>1</v>
      </c>
      <c r="M6" s="3" t="b">
        <f t="shared" ref="M6:M16" si="4">AND(L7,L6,E6,F6&gt;F7)</f>
        <v>1</v>
      </c>
      <c r="N6" s="3" t="b">
        <f>AND(NOT(ISBLANK(#REF!)),ISNUMBER(#REF!))</f>
        <v>0</v>
      </c>
      <c r="O6" s="192"/>
      <c r="P6" s="3" t="b">
        <f>IF(AND(M6,K6), TRUE, FALSE)</f>
        <v>1</v>
      </c>
      <c r="Q6" s="3" t="e">
        <f>IF(AND(M6,K6), IF(#REF!&gt;70,TRUE, FALSE), FALSE)</f>
        <v>#REF!</v>
      </c>
      <c r="R6" s="3" t="b">
        <f>IF(P6,FALSE,IF(P7,TRUE, FALSE))</f>
        <v>0</v>
      </c>
      <c r="S6" s="3" t="b">
        <f>OR(R6,P6)</f>
        <v>1</v>
      </c>
      <c r="T6" s="3" t="e">
        <f>IF(P6,#REF!,IF(R6,#REF!,-1))</f>
        <v>#REF!</v>
      </c>
    </row>
    <row r="7" spans="2:20" s="174" customFormat="1" x14ac:dyDescent="0.25">
      <c r="B7" s="740"/>
      <c r="C7" s="177" t="str">
        <f>Maree!D23</f>
        <v>2024/12/20</v>
      </c>
      <c r="D7" s="177" t="str">
        <f>Maree!E23</f>
        <v>16:12</v>
      </c>
      <c r="E7" s="177">
        <f>Maree!F23</f>
        <v>0</v>
      </c>
      <c r="F7" s="177">
        <f>Maree!G23</f>
        <v>5</v>
      </c>
      <c r="K7" s="3" t="b">
        <f t="shared" si="0"/>
        <v>0</v>
      </c>
      <c r="L7" s="3" t="b">
        <f t="shared" si="1"/>
        <v>1</v>
      </c>
      <c r="M7" s="3" t="b">
        <f t="shared" si="4"/>
        <v>0</v>
      </c>
      <c r="N7" s="192"/>
      <c r="O7" s="192"/>
      <c r="P7" s="192"/>
      <c r="Q7" s="192"/>
      <c r="R7" s="192"/>
      <c r="S7" s="192"/>
      <c r="T7" s="192"/>
    </row>
    <row r="8" spans="2:20" s="174" customFormat="1" x14ac:dyDescent="0.25">
      <c r="B8" s="740"/>
      <c r="C8" s="177" t="str">
        <f>Maree!D24</f>
        <v>2024/12/21</v>
      </c>
      <c r="D8" s="177" t="str">
        <f>Maree!E24</f>
        <v>00:12:00</v>
      </c>
      <c r="E8" s="177">
        <f>Maree!F24</f>
        <v>50</v>
      </c>
      <c r="F8" s="177">
        <f>Maree!G24</f>
        <v>10.199999999999999</v>
      </c>
      <c r="K8" s="3" t="b">
        <f t="shared" si="0"/>
        <v>1</v>
      </c>
      <c r="L8" s="3" t="b">
        <f t="shared" si="1"/>
        <v>1</v>
      </c>
      <c r="M8" s="3" t="b">
        <f t="shared" si="4"/>
        <v>1</v>
      </c>
      <c r="N8" s="192"/>
      <c r="O8" s="192"/>
      <c r="P8" s="192"/>
      <c r="Q8" s="192"/>
      <c r="R8" s="192"/>
      <c r="S8" s="192"/>
      <c r="T8" s="192"/>
    </row>
    <row r="9" spans="2:20" s="174" customFormat="1" x14ac:dyDescent="0.25">
      <c r="B9" s="740"/>
      <c r="C9" s="177" t="str">
        <f>Maree!D25</f>
        <v>2024/12/21</v>
      </c>
      <c r="D9" s="177" t="str">
        <f>Maree!E25</f>
        <v>06:12</v>
      </c>
      <c r="E9" s="177">
        <f>Maree!F25</f>
        <v>0</v>
      </c>
      <c r="F9" s="177">
        <f>Maree!G25</f>
        <v>4.75</v>
      </c>
      <c r="K9" s="3" t="b">
        <f t="shared" si="0"/>
        <v>0</v>
      </c>
      <c r="L9" s="3" t="b">
        <f t="shared" si="1"/>
        <v>1</v>
      </c>
      <c r="M9" s="3" t="b">
        <f t="shared" si="4"/>
        <v>0</v>
      </c>
      <c r="N9" s="192"/>
      <c r="O9" s="192"/>
      <c r="P9" s="192"/>
      <c r="Q9" s="192"/>
      <c r="R9" s="192"/>
      <c r="S9" s="192"/>
      <c r="T9" s="192"/>
    </row>
    <row r="10" spans="2:20" s="174" customFormat="1" x14ac:dyDescent="0.25">
      <c r="B10" s="740"/>
      <c r="C10" s="177" t="str">
        <f>Maree!D26</f>
        <v>2024/12/21</v>
      </c>
      <c r="D10" s="177" t="str">
        <f>Maree!E26</f>
        <v>12:24</v>
      </c>
      <c r="E10" s="177">
        <f>Maree!F26</f>
        <v>80</v>
      </c>
      <c r="F10" s="177">
        <f>Maree!G26</f>
        <v>9.7200000000000006</v>
      </c>
      <c r="K10" s="3" t="b">
        <f t="shared" si="0"/>
        <v>1</v>
      </c>
      <c r="L10" s="3" t="b">
        <f t="shared" si="1"/>
        <v>1</v>
      </c>
      <c r="M10" s="3" t="b">
        <f t="shared" si="4"/>
        <v>0</v>
      </c>
      <c r="N10" s="192"/>
      <c r="O10" s="192"/>
      <c r="P10" s="192"/>
      <c r="Q10" s="192"/>
      <c r="R10" s="192"/>
      <c r="S10" s="192"/>
      <c r="T10" s="192"/>
    </row>
    <row r="11" spans="2:20" s="174" customFormat="1" x14ac:dyDescent="0.25">
      <c r="B11" s="740"/>
      <c r="C11" s="177">
        <f>Maree!D27</f>
        <v>0</v>
      </c>
      <c r="D11" s="177">
        <f>Maree!E27</f>
        <v>0</v>
      </c>
      <c r="E11" s="177">
        <f>Maree!F27</f>
        <v>0</v>
      </c>
      <c r="F11" s="177">
        <f>Maree!G27</f>
        <v>0</v>
      </c>
      <c r="K11" s="3" t="b">
        <f t="shared" si="0"/>
        <v>0</v>
      </c>
      <c r="L11" s="3" t="b">
        <f t="shared" si="1"/>
        <v>0</v>
      </c>
      <c r="M11" s="3" t="b">
        <f t="shared" si="4"/>
        <v>0</v>
      </c>
      <c r="N11" s="192"/>
      <c r="O11" s="192"/>
      <c r="P11" s="192"/>
      <c r="Q11" s="192"/>
      <c r="R11" s="192"/>
      <c r="S11" s="192"/>
      <c r="T11" s="192"/>
    </row>
    <row r="12" spans="2:20" s="174" customFormat="1" x14ac:dyDescent="0.25">
      <c r="B12" s="740"/>
      <c r="C12" s="177">
        <f>Maree!D28</f>
        <v>0</v>
      </c>
      <c r="D12" s="177">
        <f>Maree!E28</f>
        <v>0</v>
      </c>
      <c r="E12" s="177">
        <f>Maree!F28</f>
        <v>0</v>
      </c>
      <c r="F12" s="177">
        <f>Maree!G28</f>
        <v>0</v>
      </c>
      <c r="K12" s="3" t="b">
        <f t="shared" si="0"/>
        <v>0</v>
      </c>
      <c r="L12" s="3" t="b">
        <f t="shared" si="1"/>
        <v>0</v>
      </c>
      <c r="M12" s="3" t="b">
        <f t="shared" si="4"/>
        <v>0</v>
      </c>
      <c r="N12" s="192"/>
      <c r="O12" s="192"/>
      <c r="P12" s="192"/>
      <c r="Q12" s="192"/>
      <c r="R12" s="192"/>
      <c r="S12" s="192"/>
      <c r="T12" s="192"/>
    </row>
    <row r="13" spans="2:20" s="174" customFormat="1" x14ac:dyDescent="0.25">
      <c r="B13" s="740"/>
      <c r="C13" s="177">
        <f>Maree!D29</f>
        <v>0</v>
      </c>
      <c r="D13" s="177">
        <f>Maree!E29</f>
        <v>0</v>
      </c>
      <c r="E13" s="177">
        <f>Maree!F29</f>
        <v>0</v>
      </c>
      <c r="F13" s="177">
        <f>Maree!G29</f>
        <v>0</v>
      </c>
      <c r="K13" s="3" t="b">
        <f t="shared" si="0"/>
        <v>0</v>
      </c>
      <c r="L13" s="3" t="b">
        <f t="shared" si="1"/>
        <v>0</v>
      </c>
      <c r="M13" s="3" t="b">
        <f t="shared" si="4"/>
        <v>0</v>
      </c>
      <c r="N13" s="192"/>
      <c r="O13" s="192"/>
      <c r="P13" s="192"/>
      <c r="Q13" s="192"/>
      <c r="R13" s="192"/>
      <c r="S13" s="192"/>
      <c r="T13" s="192"/>
    </row>
    <row r="14" spans="2:20" s="174" customFormat="1" x14ac:dyDescent="0.25">
      <c r="B14" s="740"/>
      <c r="C14" s="177">
        <f>Maree!D30</f>
        <v>0</v>
      </c>
      <c r="D14" s="177">
        <f>Maree!E30</f>
        <v>0</v>
      </c>
      <c r="E14" s="177">
        <f>Maree!F30</f>
        <v>0</v>
      </c>
      <c r="F14" s="177">
        <f>Maree!G30</f>
        <v>0</v>
      </c>
      <c r="K14" s="3" t="b">
        <f t="shared" si="0"/>
        <v>0</v>
      </c>
      <c r="L14" s="3" t="b">
        <f t="shared" si="1"/>
        <v>0</v>
      </c>
      <c r="M14" s="3" t="b">
        <f t="shared" si="4"/>
        <v>0</v>
      </c>
      <c r="N14" s="192"/>
      <c r="O14" s="192"/>
      <c r="P14" s="192"/>
      <c r="Q14" s="192"/>
      <c r="R14" s="192"/>
      <c r="S14" s="192"/>
      <c r="T14" s="192"/>
    </row>
    <row r="15" spans="2:20" s="174" customFormat="1" x14ac:dyDescent="0.25">
      <c r="B15" s="740"/>
      <c r="C15" s="177">
        <f>Maree!D31</f>
        <v>0</v>
      </c>
      <c r="D15" s="177">
        <f>Maree!E31</f>
        <v>0</v>
      </c>
      <c r="E15" s="177">
        <f>Maree!F31</f>
        <v>0</v>
      </c>
      <c r="F15" s="177">
        <f>Maree!G31</f>
        <v>0</v>
      </c>
      <c r="K15" s="3" t="b">
        <f t="shared" si="0"/>
        <v>0</v>
      </c>
      <c r="L15" s="3" t="b">
        <f t="shared" si="1"/>
        <v>0</v>
      </c>
      <c r="M15" s="3" t="b">
        <f t="shared" si="4"/>
        <v>0</v>
      </c>
      <c r="N15" s="192"/>
      <c r="O15" s="192"/>
      <c r="P15" s="192"/>
      <c r="Q15" s="192"/>
      <c r="R15" s="192"/>
      <c r="S15" s="192"/>
      <c r="T15" s="192"/>
    </row>
    <row r="16" spans="2:20" s="174" customFormat="1" x14ac:dyDescent="0.25">
      <c r="B16" s="740"/>
      <c r="C16" s="177"/>
      <c r="D16" s="177"/>
      <c r="E16" s="177"/>
      <c r="F16" s="177"/>
      <c r="K16" s="3" t="b">
        <f t="shared" si="0"/>
        <v>0</v>
      </c>
      <c r="L16" s="3" t="b">
        <f t="shared" si="1"/>
        <v>0</v>
      </c>
      <c r="M16" s="3" t="b">
        <f t="shared" si="4"/>
        <v>0</v>
      </c>
      <c r="N16" s="192"/>
      <c r="O16" s="192"/>
      <c r="P16" s="192"/>
      <c r="Q16" s="192"/>
      <c r="R16" s="192"/>
      <c r="S16" s="192"/>
      <c r="T16" s="192"/>
    </row>
    <row r="17" spans="2:10" x14ac:dyDescent="0.25">
      <c r="B17" s="740"/>
      <c r="C17" s="177"/>
      <c r="D17" s="177"/>
      <c r="E17" s="177"/>
      <c r="F17" s="177"/>
    </row>
    <row r="18" spans="2:10" x14ac:dyDescent="0.25">
      <c r="B18" s="740"/>
      <c r="C18" s="177"/>
      <c r="D18" s="177"/>
      <c r="E18" s="177"/>
      <c r="F18" s="177"/>
    </row>
    <row r="30" spans="2:10" x14ac:dyDescent="0.25">
      <c r="E30" s="186">
        <f>18+46/60</f>
        <v>18.766666666666666</v>
      </c>
    </row>
    <row r="31" spans="2:10" x14ac:dyDescent="0.25">
      <c r="E31" s="186">
        <f>50/60</f>
        <v>0.83333333333333337</v>
      </c>
      <c r="F31" s="186">
        <f>E30-E31</f>
        <v>17.933333333333334</v>
      </c>
      <c r="G31">
        <f>F31/2</f>
        <v>8.9666666666666668</v>
      </c>
      <c r="H31">
        <f>INT(G31)</f>
        <v>8</v>
      </c>
      <c r="I31">
        <f>G31-H31</f>
        <v>0.96666666666666679</v>
      </c>
      <c r="J31">
        <f>I31*60</f>
        <v>58.000000000000007</v>
      </c>
    </row>
  </sheetData>
  <mergeCells count="2">
    <mergeCell ref="B4:B5"/>
    <mergeCell ref="B6:B18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AP92"/>
  <sheetViews>
    <sheetView zoomScale="85" zoomScaleNormal="85" workbookViewId="0">
      <selection activeCell="K19" sqref="K19:AL20"/>
    </sheetView>
  </sheetViews>
  <sheetFormatPr defaultRowHeight="15" x14ac:dyDescent="0.25"/>
  <cols>
    <col min="1" max="5" width="9.140625" style="2"/>
    <col min="6" max="7" width="14.85546875" style="2" customWidth="1"/>
    <col min="8" max="8" width="19.42578125" style="2" customWidth="1"/>
    <col min="9" max="10" width="9.85546875" style="2" bestFit="1" customWidth="1"/>
    <col min="11" max="11" width="9.140625" style="14"/>
    <col min="13" max="16" width="13.85546875" style="2" customWidth="1"/>
    <col min="17" max="17" width="19.140625" style="2" customWidth="1"/>
    <col min="18" max="18" width="9.5703125" style="2" bestFit="1" customWidth="1"/>
    <col min="19" max="20" width="16.7109375" style="2" customWidth="1"/>
    <col min="21" max="22" width="18.7109375" style="2" customWidth="1"/>
    <col min="23" max="23" width="19.140625" style="2" customWidth="1"/>
    <col min="24" max="24" width="15.42578125" style="2" customWidth="1"/>
    <col min="25" max="25" width="14.85546875" style="2" customWidth="1"/>
    <col min="26" max="26" width="16.5703125" style="2" customWidth="1"/>
    <col min="27" max="27" width="14.7109375" style="2" customWidth="1"/>
    <col min="28" max="28" width="9.140625" style="2"/>
    <col min="29" max="30" width="16.7109375" style="2" customWidth="1"/>
    <col min="31" max="32" width="19.28515625" style="2" customWidth="1"/>
    <col min="33" max="16384" width="9.140625" style="2"/>
  </cols>
  <sheetData>
    <row r="2" spans="3:34" x14ac:dyDescent="0.25">
      <c r="C2" s="755" t="s">
        <v>0</v>
      </c>
      <c r="D2" s="755"/>
      <c r="E2" s="755"/>
      <c r="F2" s="755"/>
      <c r="G2" s="755"/>
      <c r="H2" s="755"/>
      <c r="K2" s="15"/>
      <c r="L2" s="2"/>
    </row>
    <row r="3" spans="3:34" x14ac:dyDescent="0.25">
      <c r="C3" s="756" t="s">
        <v>16</v>
      </c>
      <c r="D3" s="756"/>
      <c r="E3" s="756"/>
      <c r="F3" s="757" t="s">
        <v>15</v>
      </c>
      <c r="G3" s="757"/>
      <c r="H3" s="757"/>
      <c r="L3" s="7"/>
      <c r="M3" s="3" t="s">
        <v>132</v>
      </c>
      <c r="N3" s="3" t="s">
        <v>12</v>
      </c>
      <c r="O3" s="3" t="s">
        <v>133</v>
      </c>
      <c r="P3" s="3" t="s">
        <v>129</v>
      </c>
      <c r="Q3" s="3" t="s">
        <v>132</v>
      </c>
      <c r="R3" s="3" t="s">
        <v>137</v>
      </c>
      <c r="S3" s="3" t="s">
        <v>138</v>
      </c>
      <c r="T3" s="3" t="s">
        <v>129</v>
      </c>
      <c r="U3" s="3" t="s">
        <v>112</v>
      </c>
      <c r="V3" s="3" t="s">
        <v>117</v>
      </c>
      <c r="W3" s="3" t="s">
        <v>144</v>
      </c>
      <c r="X3" s="3" t="s">
        <v>131</v>
      </c>
      <c r="Y3" s="3" t="s">
        <v>152</v>
      </c>
      <c r="Z3" s="3" t="s">
        <v>150</v>
      </c>
      <c r="AA3" s="3" t="s">
        <v>112</v>
      </c>
      <c r="AB3" s="3" t="s">
        <v>151</v>
      </c>
      <c r="AC3"/>
    </row>
    <row r="4" spans="3:34" x14ac:dyDescent="0.25">
      <c r="C4" s="747" t="s">
        <v>134</v>
      </c>
      <c r="D4" s="748"/>
      <c r="E4" s="749"/>
      <c r="F4" s="744" t="str">
        <f t="shared" ref="F4:F12" si="0">AB4</f>
        <v>10:00:00.00 [10:00.00] - (10.0000)</v>
      </c>
      <c r="G4" s="745"/>
      <c r="H4" s="746"/>
      <c r="J4" s="8" t="str">
        <f t="shared" ref="J4:J12" si="1">C4</f>
        <v>10</v>
      </c>
      <c r="K4" s="15" t="str">
        <f>AB4</f>
        <v>10:00:00.00 [10:00.00] - (10.0000)</v>
      </c>
      <c r="L4" s="9">
        <f t="shared" ref="L4:L12" si="2">W4</f>
        <v>10</v>
      </c>
      <c r="M4" s="13" t="b">
        <f t="shared" ref="M4:M12" si="3">ISNUMBER(SEARCH(":",J4,1))</f>
        <v>0</v>
      </c>
      <c r="N4" s="12">
        <f t="shared" ref="N4:N12" si="4">IF(M4, VALUE(LEFT(J4,SEARCH(":",J4,1)-1)),VALUE(J4))</f>
        <v>10</v>
      </c>
      <c r="O4" s="12" t="str">
        <f t="shared" ref="O4:O12" si="5">IF(M4, RIGHT(J4,LEN(J4)-SEARCH(":",J4,1)),"")</f>
        <v/>
      </c>
      <c r="P4" s="13" t="b">
        <f>(LEN(O4)&gt;0)</f>
        <v>0</v>
      </c>
      <c r="Q4" s="13" t="b">
        <f>ISNUMBER(SEARCH(":",O4,1))</f>
        <v>0</v>
      </c>
      <c r="R4" s="12">
        <f>IF(NOT(P4),0,IF(Q4, VALUE(LEFT(O4,SEARCH(":",O4,1)-1)),VALUE(O4)))</f>
        <v>0</v>
      </c>
      <c r="S4" s="12" t="str">
        <f>IF(Q4, RIGHT(O4,LEN(O4)-SEARCH(":",O4,1)),"")</f>
        <v/>
      </c>
      <c r="T4" s="13" t="b">
        <f>(LEN(S4)&gt;0)</f>
        <v>0</v>
      </c>
      <c r="U4" s="12">
        <f>IF(T4,VALUE(S4),0)</f>
        <v>0</v>
      </c>
      <c r="V4" s="6">
        <f>N4*3600+R4*60+U4</f>
        <v>36000</v>
      </c>
      <c r="W4" s="6">
        <f>V4/3600</f>
        <v>10</v>
      </c>
      <c r="X4" s="6">
        <f>(V4-3600*INT(W4))/60</f>
        <v>0</v>
      </c>
      <c r="Y4" s="12">
        <f>_xlfn.FLOOR.MATH(W4)</f>
        <v>10</v>
      </c>
      <c r="Z4" s="12">
        <f>_xlfn.FLOOR.MATH(X4)</f>
        <v>0</v>
      </c>
      <c r="AA4" s="12">
        <f t="shared" ref="AA4:AA11" si="6">_xlfn.FLOOR.MATH(V4-Y4*3600-Z4*60)</f>
        <v>0</v>
      </c>
      <c r="AB4" s="7" t="str">
        <f>CONCATENATE(TEXT(Y4,"00"),":",TEXT(Z4,"00"),":",TEXT(AA4,"00.00"), " [", CONCATENATE(TEXT(Y4,"00"),":",TEXT(X4,"00.00")),"]", " - (", TEXT(W4,"00.0000"),")")</f>
        <v>10:00:00.00 [10:00.00] - (10.0000)</v>
      </c>
    </row>
    <row r="5" spans="3:34" x14ac:dyDescent="0.25">
      <c r="C5" s="747" t="s">
        <v>136</v>
      </c>
      <c r="D5" s="748"/>
      <c r="E5" s="749"/>
      <c r="F5" s="744" t="str">
        <f t="shared" si="0"/>
        <v>10:59:24.00 [10:59.40] - (10.9900)</v>
      </c>
      <c r="G5" s="745"/>
      <c r="H5" s="746"/>
      <c r="J5" s="8" t="str">
        <f t="shared" si="1"/>
        <v>10.99</v>
      </c>
      <c r="K5" s="15" t="str">
        <f t="shared" ref="K5:K12" si="7">AB5</f>
        <v>10:59:24.00 [10:59.40] - (10.9900)</v>
      </c>
      <c r="L5" s="9">
        <f t="shared" si="2"/>
        <v>10.99</v>
      </c>
      <c r="M5" s="13" t="b">
        <f t="shared" si="3"/>
        <v>0</v>
      </c>
      <c r="N5" s="12">
        <f t="shared" si="4"/>
        <v>10.99</v>
      </c>
      <c r="O5" s="12" t="str">
        <f t="shared" si="5"/>
        <v/>
      </c>
      <c r="P5" s="13" t="b">
        <f t="shared" ref="P5:P12" si="8">(LEN(O5)&gt;0)</f>
        <v>0</v>
      </c>
      <c r="Q5" s="13" t="b">
        <f t="shared" ref="Q5:Q11" si="9">ISNUMBER(SEARCH(":",O5,1))</f>
        <v>0</v>
      </c>
      <c r="R5" s="12">
        <f t="shared" ref="R5:R11" si="10">IF(NOT(P5),0,IF(Q5, VALUE(LEFT(O5,SEARCH(":",O5,1)-1)),VALUE(O5)))</f>
        <v>0</v>
      </c>
      <c r="S5" s="12" t="str">
        <f t="shared" ref="S5:S11" si="11">IF(Q5, RIGHT(O5,LEN(O5)-SEARCH(":",O5,1)),"")</f>
        <v/>
      </c>
      <c r="T5" s="13" t="b">
        <f t="shared" ref="T5:T12" si="12">(LEN(S5)&gt;0)</f>
        <v>0</v>
      </c>
      <c r="U5" s="12">
        <f t="shared" ref="U5:U11" si="13">IF(T5,VALUE(S5),0)</f>
        <v>0</v>
      </c>
      <c r="V5" s="6">
        <f t="shared" ref="V5:V12" si="14">N5*3600+R5*60+U5</f>
        <v>39564</v>
      </c>
      <c r="W5" s="6">
        <f t="shared" ref="W5:W12" si="15">V5/3600</f>
        <v>10.99</v>
      </c>
      <c r="X5" s="6">
        <f>(V5-3600*INT(W5))/60</f>
        <v>59.4</v>
      </c>
      <c r="Y5" s="12">
        <f t="shared" ref="Y5:Y12" si="16">INT(W5)</f>
        <v>10</v>
      </c>
      <c r="Z5" s="12">
        <f t="shared" ref="Z5:Z12" si="17">INT((W5-Y5)*60)</f>
        <v>59</v>
      </c>
      <c r="AA5" s="12">
        <f t="shared" si="6"/>
        <v>24</v>
      </c>
      <c r="AB5" s="7" t="str">
        <f t="shared" ref="AB5:AB12" si="18">CONCATENATE(TEXT(Y5,"00"),":",TEXT(Z5,"00"),":",TEXT(AA5,"00.00"), " [", CONCATENATE(TEXT(Y5,"00"),":",TEXT(X5,"00.00")),"]", " - (", TEXT(W5,"00.0000"),")")</f>
        <v>10:59:24.00 [10:59.40] - (10.9900)</v>
      </c>
    </row>
    <row r="6" spans="3:34" x14ac:dyDescent="0.25">
      <c r="C6" s="747" t="s">
        <v>135</v>
      </c>
      <c r="D6" s="748"/>
      <c r="E6" s="749"/>
      <c r="F6" s="744" t="str">
        <f t="shared" si="0"/>
        <v>10:20:00.00 [10:20.00] - (10.3333)</v>
      </c>
      <c r="G6" s="745"/>
      <c r="H6" s="746"/>
      <c r="J6" s="8" t="str">
        <f t="shared" si="1"/>
        <v>10:20</v>
      </c>
      <c r="K6" s="15" t="str">
        <f t="shared" si="7"/>
        <v>10:20:00.00 [10:20.00] - (10.3333)</v>
      </c>
      <c r="L6" s="9">
        <f t="shared" si="2"/>
        <v>10.333333333333334</v>
      </c>
      <c r="M6" s="13" t="b">
        <f t="shared" si="3"/>
        <v>1</v>
      </c>
      <c r="N6" s="12">
        <f t="shared" si="4"/>
        <v>10</v>
      </c>
      <c r="O6" s="12" t="str">
        <f t="shared" si="5"/>
        <v>20</v>
      </c>
      <c r="P6" s="13" t="b">
        <f t="shared" si="8"/>
        <v>1</v>
      </c>
      <c r="Q6" s="13" t="b">
        <f t="shared" si="9"/>
        <v>0</v>
      </c>
      <c r="R6" s="12">
        <f t="shared" si="10"/>
        <v>20</v>
      </c>
      <c r="S6" s="12" t="str">
        <f t="shared" si="11"/>
        <v/>
      </c>
      <c r="T6" s="13" t="b">
        <f t="shared" si="12"/>
        <v>0</v>
      </c>
      <c r="U6" s="12">
        <f t="shared" si="13"/>
        <v>0</v>
      </c>
      <c r="V6" s="6">
        <f t="shared" si="14"/>
        <v>37200</v>
      </c>
      <c r="W6" s="6">
        <f t="shared" si="15"/>
        <v>10.333333333333334</v>
      </c>
      <c r="X6" s="6">
        <f t="shared" ref="X6:X12" si="19">(V6-3600*INT(W6))/60</f>
        <v>20</v>
      </c>
      <c r="Y6" s="12">
        <f t="shared" si="16"/>
        <v>10</v>
      </c>
      <c r="Z6" s="12">
        <f t="shared" si="17"/>
        <v>20</v>
      </c>
      <c r="AA6" s="12">
        <f t="shared" si="6"/>
        <v>0</v>
      </c>
      <c r="AB6" s="7" t="str">
        <f t="shared" si="18"/>
        <v>10:20:00.00 [10:20.00] - (10.3333)</v>
      </c>
    </row>
    <row r="7" spans="3:34" x14ac:dyDescent="0.25">
      <c r="C7" s="747" t="s">
        <v>139</v>
      </c>
      <c r="D7" s="748"/>
      <c r="E7" s="749"/>
      <c r="F7" s="744" t="str">
        <f t="shared" si="0"/>
        <v>10:20:59.00 [10:20.99] - (10.3498)</v>
      </c>
      <c r="G7" s="745"/>
      <c r="H7" s="746"/>
      <c r="J7" s="8" t="str">
        <f t="shared" si="1"/>
        <v>10:20.99</v>
      </c>
      <c r="K7" s="15" t="str">
        <f t="shared" si="7"/>
        <v>10:20:59.00 [10:20.99] - (10.3498)</v>
      </c>
      <c r="L7" s="9">
        <f t="shared" si="2"/>
        <v>10.349833333333335</v>
      </c>
      <c r="M7" s="13" t="b">
        <f t="shared" si="3"/>
        <v>1</v>
      </c>
      <c r="N7" s="12">
        <f t="shared" si="4"/>
        <v>10</v>
      </c>
      <c r="O7" s="12" t="str">
        <f t="shared" si="5"/>
        <v>20.99</v>
      </c>
      <c r="P7" s="13" t="b">
        <f t="shared" si="8"/>
        <v>1</v>
      </c>
      <c r="Q7" s="13" t="b">
        <f t="shared" si="9"/>
        <v>0</v>
      </c>
      <c r="R7" s="12">
        <f t="shared" si="10"/>
        <v>20.99</v>
      </c>
      <c r="S7" s="12" t="str">
        <f t="shared" si="11"/>
        <v/>
      </c>
      <c r="T7" s="13" t="b">
        <f t="shared" si="12"/>
        <v>0</v>
      </c>
      <c r="U7" s="12">
        <f t="shared" si="13"/>
        <v>0</v>
      </c>
      <c r="V7" s="6">
        <f t="shared" si="14"/>
        <v>37259.4</v>
      </c>
      <c r="W7" s="6">
        <f t="shared" si="15"/>
        <v>10.349833333333335</v>
      </c>
      <c r="X7" s="6">
        <f t="shared" si="19"/>
        <v>20.990000000000023</v>
      </c>
      <c r="Y7" s="12">
        <f t="shared" si="16"/>
        <v>10</v>
      </c>
      <c r="Z7" s="12">
        <f t="shared" si="17"/>
        <v>20</v>
      </c>
      <c r="AA7" s="12">
        <f t="shared" si="6"/>
        <v>59</v>
      </c>
      <c r="AB7" s="7" t="str">
        <f t="shared" si="18"/>
        <v>10:20:59.00 [10:20.99] - (10.3498)</v>
      </c>
    </row>
    <row r="8" spans="3:34" x14ac:dyDescent="0.25">
      <c r="C8" s="747" t="s">
        <v>140</v>
      </c>
      <c r="D8" s="748"/>
      <c r="E8" s="749"/>
      <c r="F8" s="744" t="str">
        <f t="shared" si="0"/>
        <v>10:20:20.00 [10:20.33] - (10.3389)</v>
      </c>
      <c r="G8" s="745"/>
      <c r="H8" s="746"/>
      <c r="J8" s="8" t="str">
        <f t="shared" si="1"/>
        <v>10:20:20</v>
      </c>
      <c r="K8" s="15" t="str">
        <f t="shared" si="7"/>
        <v>10:20:20.00 [10:20.33] - (10.3389)</v>
      </c>
      <c r="L8" s="9">
        <f t="shared" si="2"/>
        <v>10.338888888888889</v>
      </c>
      <c r="M8" s="13" t="b">
        <f t="shared" si="3"/>
        <v>1</v>
      </c>
      <c r="N8" s="12">
        <f t="shared" si="4"/>
        <v>10</v>
      </c>
      <c r="O8" s="12" t="str">
        <f t="shared" si="5"/>
        <v>20:20</v>
      </c>
      <c r="P8" s="13" t="b">
        <f t="shared" si="8"/>
        <v>1</v>
      </c>
      <c r="Q8" s="13" t="b">
        <f t="shared" si="9"/>
        <v>1</v>
      </c>
      <c r="R8" s="12">
        <f t="shared" si="10"/>
        <v>20</v>
      </c>
      <c r="S8" s="12" t="str">
        <f t="shared" si="11"/>
        <v>20</v>
      </c>
      <c r="T8" s="13" t="b">
        <f t="shared" si="12"/>
        <v>1</v>
      </c>
      <c r="U8" s="12">
        <f t="shared" si="13"/>
        <v>20</v>
      </c>
      <c r="V8" s="6">
        <f t="shared" si="14"/>
        <v>37220</v>
      </c>
      <c r="W8" s="6">
        <f t="shared" si="15"/>
        <v>10.338888888888889</v>
      </c>
      <c r="X8" s="6">
        <f t="shared" si="19"/>
        <v>20.333333333333332</v>
      </c>
      <c r="Y8" s="12">
        <f t="shared" si="16"/>
        <v>10</v>
      </c>
      <c r="Z8" s="12">
        <f t="shared" si="17"/>
        <v>20</v>
      </c>
      <c r="AA8" s="12">
        <f t="shared" si="6"/>
        <v>20</v>
      </c>
      <c r="AB8" s="7" t="str">
        <f t="shared" si="18"/>
        <v>10:20:20.00 [10:20.33] - (10.3389)</v>
      </c>
    </row>
    <row r="9" spans="3:34" x14ac:dyDescent="0.25">
      <c r="C9" s="747" t="s">
        <v>141</v>
      </c>
      <c r="D9" s="748"/>
      <c r="E9" s="749"/>
      <c r="F9" s="744" t="str">
        <f t="shared" si="0"/>
        <v>10:20:20.00 [10:20.35] - (10.3392)</v>
      </c>
      <c r="G9" s="745"/>
      <c r="H9" s="746"/>
      <c r="J9" s="8" t="str">
        <f t="shared" si="1"/>
        <v>10:20:20.9999</v>
      </c>
      <c r="K9" s="15" t="str">
        <f t="shared" si="7"/>
        <v>10:20:20.00 [10:20.35] - (10.3392)</v>
      </c>
      <c r="L9" s="9">
        <f t="shared" si="2"/>
        <v>10.339166638888889</v>
      </c>
      <c r="M9" s="13" t="b">
        <f t="shared" si="3"/>
        <v>1</v>
      </c>
      <c r="N9" s="12">
        <f t="shared" si="4"/>
        <v>10</v>
      </c>
      <c r="O9" s="12" t="str">
        <f t="shared" si="5"/>
        <v>20:20.9999</v>
      </c>
      <c r="P9" s="13" t="b">
        <f t="shared" si="8"/>
        <v>1</v>
      </c>
      <c r="Q9" s="13" t="b">
        <f t="shared" si="9"/>
        <v>1</v>
      </c>
      <c r="R9" s="12">
        <f t="shared" si="10"/>
        <v>20</v>
      </c>
      <c r="S9" s="12" t="str">
        <f t="shared" si="11"/>
        <v>20.9999</v>
      </c>
      <c r="T9" s="13" t="b">
        <f t="shared" si="12"/>
        <v>1</v>
      </c>
      <c r="U9" s="12">
        <f t="shared" si="13"/>
        <v>20.9999</v>
      </c>
      <c r="V9" s="6">
        <f t="shared" si="14"/>
        <v>37220.999900000003</v>
      </c>
      <c r="W9" s="6">
        <f t="shared" si="15"/>
        <v>10.339166638888889</v>
      </c>
      <c r="X9" s="6">
        <f t="shared" si="19"/>
        <v>20.349998333333374</v>
      </c>
      <c r="Y9" s="12">
        <f t="shared" si="16"/>
        <v>10</v>
      </c>
      <c r="Z9" s="12">
        <f t="shared" si="17"/>
        <v>20</v>
      </c>
      <c r="AA9" s="12">
        <f t="shared" si="6"/>
        <v>20</v>
      </c>
      <c r="AB9" s="7" t="str">
        <f t="shared" si="18"/>
        <v>10:20:20.00 [10:20.35] - (10.3392)</v>
      </c>
    </row>
    <row r="10" spans="3:34" x14ac:dyDescent="0.25">
      <c r="C10" s="747" t="s">
        <v>134</v>
      </c>
      <c r="D10" s="748"/>
      <c r="E10" s="749"/>
      <c r="F10" s="744" t="str">
        <f t="shared" si="0"/>
        <v>10:00:00.00 [10:00.00] - (10.0000)</v>
      </c>
      <c r="G10" s="745"/>
      <c r="H10" s="746"/>
      <c r="J10" s="8" t="str">
        <f t="shared" si="1"/>
        <v>10</v>
      </c>
      <c r="K10" s="15" t="str">
        <f t="shared" si="7"/>
        <v>10:00:00.00 [10:00.00] - (10.0000)</v>
      </c>
      <c r="L10" s="9">
        <f t="shared" si="2"/>
        <v>10</v>
      </c>
      <c r="M10" s="13" t="b">
        <f t="shared" si="3"/>
        <v>0</v>
      </c>
      <c r="N10" s="12">
        <f t="shared" si="4"/>
        <v>10</v>
      </c>
      <c r="O10" s="12" t="str">
        <f t="shared" si="5"/>
        <v/>
      </c>
      <c r="P10" s="13" t="b">
        <f t="shared" si="8"/>
        <v>0</v>
      </c>
      <c r="Q10" s="13" t="b">
        <f t="shared" si="9"/>
        <v>0</v>
      </c>
      <c r="R10" s="12">
        <f t="shared" si="10"/>
        <v>0</v>
      </c>
      <c r="S10" s="12" t="str">
        <f t="shared" si="11"/>
        <v/>
      </c>
      <c r="T10" s="13" t="b">
        <f t="shared" si="12"/>
        <v>0</v>
      </c>
      <c r="U10" s="12">
        <f t="shared" si="13"/>
        <v>0</v>
      </c>
      <c r="V10" s="6">
        <f t="shared" si="14"/>
        <v>36000</v>
      </c>
      <c r="W10" s="6">
        <f t="shared" si="15"/>
        <v>10</v>
      </c>
      <c r="X10" s="6">
        <f t="shared" si="19"/>
        <v>0</v>
      </c>
      <c r="Y10" s="12">
        <f t="shared" si="16"/>
        <v>10</v>
      </c>
      <c r="Z10" s="12">
        <f t="shared" si="17"/>
        <v>0</v>
      </c>
      <c r="AA10" s="12">
        <f t="shared" si="6"/>
        <v>0</v>
      </c>
      <c r="AB10" s="7" t="str">
        <f t="shared" si="18"/>
        <v>10:00:00.00 [10:00.00] - (10.0000)</v>
      </c>
    </row>
    <row r="11" spans="3:34" x14ac:dyDescent="0.25">
      <c r="C11" s="747" t="s">
        <v>135</v>
      </c>
      <c r="D11" s="748"/>
      <c r="E11" s="749"/>
      <c r="F11" s="744" t="str">
        <f t="shared" si="0"/>
        <v>10:20:00.00 [10:20.00] - (10.3333)</v>
      </c>
      <c r="G11" s="745"/>
      <c r="H11" s="746"/>
      <c r="J11" s="8" t="str">
        <f t="shared" si="1"/>
        <v>10:20</v>
      </c>
      <c r="K11" s="15" t="str">
        <f t="shared" si="7"/>
        <v>10:20:00.00 [10:20.00] - (10.3333)</v>
      </c>
      <c r="L11" s="9">
        <f t="shared" si="2"/>
        <v>10.333333333333334</v>
      </c>
      <c r="M11" s="13" t="b">
        <f t="shared" si="3"/>
        <v>1</v>
      </c>
      <c r="N11" s="12">
        <f t="shared" si="4"/>
        <v>10</v>
      </c>
      <c r="O11" s="12" t="str">
        <f t="shared" si="5"/>
        <v>20</v>
      </c>
      <c r="P11" s="13" t="b">
        <f t="shared" si="8"/>
        <v>1</v>
      </c>
      <c r="Q11" s="13" t="b">
        <f t="shared" si="9"/>
        <v>0</v>
      </c>
      <c r="R11" s="12">
        <f t="shared" si="10"/>
        <v>20</v>
      </c>
      <c r="S11" s="12" t="str">
        <f t="shared" si="11"/>
        <v/>
      </c>
      <c r="T11" s="13" t="b">
        <f t="shared" si="12"/>
        <v>0</v>
      </c>
      <c r="U11" s="12">
        <f t="shared" si="13"/>
        <v>0</v>
      </c>
      <c r="V11" s="6">
        <f t="shared" si="14"/>
        <v>37200</v>
      </c>
      <c r="W11" s="6">
        <f t="shared" si="15"/>
        <v>10.333333333333334</v>
      </c>
      <c r="X11" s="6">
        <f t="shared" si="19"/>
        <v>20</v>
      </c>
      <c r="Y11" s="12">
        <f t="shared" si="16"/>
        <v>10</v>
      </c>
      <c r="Z11" s="12">
        <f t="shared" si="17"/>
        <v>20</v>
      </c>
      <c r="AA11" s="12">
        <f t="shared" si="6"/>
        <v>0</v>
      </c>
      <c r="AB11" s="7" t="str">
        <f t="shared" si="18"/>
        <v>10:20:00.00 [10:20.00] - (10.3333)</v>
      </c>
    </row>
    <row r="12" spans="3:34" x14ac:dyDescent="0.25">
      <c r="C12" s="747" t="s">
        <v>145</v>
      </c>
      <c r="D12" s="748"/>
      <c r="E12" s="749"/>
      <c r="F12" s="744" t="str">
        <f t="shared" si="0"/>
        <v>10:20:35.40 [10:20.59] - (10.3432)</v>
      </c>
      <c r="G12" s="745"/>
      <c r="H12" s="746"/>
      <c r="J12" s="8" t="str">
        <f t="shared" si="1"/>
        <v>10:20.59</v>
      </c>
      <c r="K12" s="15" t="str">
        <f t="shared" si="7"/>
        <v>10:20:35.40 [10:20.59] - (10.3432)</v>
      </c>
      <c r="L12" s="9">
        <f t="shared" si="2"/>
        <v>10.343166666666667</v>
      </c>
      <c r="M12" s="13" t="b">
        <f t="shared" si="3"/>
        <v>1</v>
      </c>
      <c r="N12" s="12">
        <f t="shared" si="4"/>
        <v>10</v>
      </c>
      <c r="O12" s="12" t="str">
        <f t="shared" si="5"/>
        <v>20.59</v>
      </c>
      <c r="P12" s="13" t="b">
        <f t="shared" si="8"/>
        <v>1</v>
      </c>
      <c r="Q12" s="13" t="b">
        <f t="shared" ref="Q12" si="20">ISNUMBER(SEARCH(":",O12,1))</f>
        <v>0</v>
      </c>
      <c r="R12" s="12">
        <f t="shared" ref="R12" si="21">IF(NOT(P12),0,IF(Q12, VALUE(LEFT(O12,SEARCH(":",O12,1)-1)),VALUE(O12)))</f>
        <v>20.59</v>
      </c>
      <c r="S12" s="12" t="str">
        <f t="shared" ref="S12" si="22">IF(Q12, RIGHT(O12,LEN(O12)-SEARCH(":",O12,1)),"")</f>
        <v/>
      </c>
      <c r="T12" s="13" t="b">
        <f t="shared" si="12"/>
        <v>0</v>
      </c>
      <c r="U12" s="12">
        <f t="shared" ref="U12" si="23">IF(T12,VALUE(S12),0)</f>
        <v>0</v>
      </c>
      <c r="V12" s="6">
        <f t="shared" si="14"/>
        <v>37235.4</v>
      </c>
      <c r="W12" s="6">
        <f t="shared" si="15"/>
        <v>10.343166666666667</v>
      </c>
      <c r="X12" s="6">
        <f t="shared" si="19"/>
        <v>20.590000000000025</v>
      </c>
      <c r="Y12" s="12">
        <f t="shared" si="16"/>
        <v>10</v>
      </c>
      <c r="Z12" s="12">
        <f t="shared" si="17"/>
        <v>20</v>
      </c>
      <c r="AA12" s="12">
        <f>(V12-Y12*3600-Z12*60)</f>
        <v>35.400000000001455</v>
      </c>
      <c r="AB12" s="7" t="str">
        <f t="shared" si="18"/>
        <v>10:20:35.40 [10:20.59] - (10.3432)</v>
      </c>
    </row>
    <row r="13" spans="3:34" x14ac:dyDescent="0.25">
      <c r="C13"/>
      <c r="D13"/>
      <c r="E13"/>
      <c r="F13"/>
      <c r="G13"/>
      <c r="H13"/>
    </row>
    <row r="14" spans="3:34" x14ac:dyDescent="0.25">
      <c r="C14"/>
      <c r="D14"/>
      <c r="E14"/>
      <c r="F14"/>
      <c r="G14"/>
      <c r="H14"/>
    </row>
    <row r="15" spans="3:34" ht="15.75" thickBot="1" x14ac:dyDescent="0.3">
      <c r="C15"/>
      <c r="D15"/>
      <c r="E15"/>
      <c r="F15"/>
      <c r="G15"/>
      <c r="H15"/>
      <c r="M15" s="88"/>
    </row>
    <row r="16" spans="3:34" ht="16.5" customHeight="1" thickTop="1" thickBot="1" x14ac:dyDescent="0.3">
      <c r="M16" s="758" t="s">
        <v>302</v>
      </c>
      <c r="N16" s="758" t="s">
        <v>302</v>
      </c>
      <c r="O16" s="760" t="s">
        <v>303</v>
      </c>
      <c r="P16" s="758" t="s">
        <v>107</v>
      </c>
      <c r="Q16" s="758" t="s">
        <v>105</v>
      </c>
      <c r="R16" s="758" t="s">
        <v>106</v>
      </c>
      <c r="S16" s="758" t="s">
        <v>108</v>
      </c>
      <c r="T16" s="758" t="s">
        <v>103</v>
      </c>
      <c r="U16" s="759" t="s">
        <v>104</v>
      </c>
      <c r="V16" s="759" t="s">
        <v>101</v>
      </c>
      <c r="W16" s="759" t="s">
        <v>110</v>
      </c>
      <c r="X16" s="758" t="s">
        <v>109</v>
      </c>
      <c r="Y16" s="11" t="s">
        <v>118</v>
      </c>
      <c r="Z16" s="11" t="s">
        <v>101</v>
      </c>
      <c r="AA16" s="11" t="s">
        <v>110</v>
      </c>
      <c r="AB16" s="10" t="s">
        <v>111</v>
      </c>
      <c r="AC16" s="10" t="s">
        <v>117</v>
      </c>
      <c r="AD16" s="10" t="s">
        <v>112</v>
      </c>
      <c r="AE16" s="11" t="s">
        <v>148</v>
      </c>
      <c r="AF16" s="11" t="s">
        <v>142</v>
      </c>
      <c r="AG16" s="11"/>
      <c r="AH16" s="11" t="s">
        <v>119</v>
      </c>
    </row>
    <row r="17" spans="3:38" ht="16.5" thickTop="1" thickBot="1" x14ac:dyDescent="0.3">
      <c r="M17" s="759"/>
      <c r="N17" s="759"/>
      <c r="O17" s="761"/>
      <c r="P17" s="759"/>
      <c r="Q17" s="759"/>
      <c r="R17" s="759"/>
      <c r="S17" s="759"/>
      <c r="T17" s="759"/>
      <c r="U17" s="759"/>
      <c r="V17" s="759"/>
      <c r="W17" s="759"/>
      <c r="X17" s="759"/>
      <c r="Y17" s="11"/>
      <c r="Z17" s="11"/>
      <c r="AA17" s="11"/>
      <c r="AB17" s="11"/>
      <c r="AC17" s="10"/>
      <c r="AD17" s="11"/>
      <c r="AE17" s="11"/>
      <c r="AF17" s="11"/>
      <c r="AG17" s="11"/>
      <c r="AH17" s="11"/>
    </row>
    <row r="18" spans="3:38" ht="16.5" thickTop="1" thickBot="1" x14ac:dyDescent="0.3">
      <c r="C18" s="755" t="s">
        <v>0</v>
      </c>
      <c r="D18" s="755"/>
      <c r="E18" s="755"/>
      <c r="F18" s="755"/>
      <c r="G18" s="755"/>
      <c r="H18" s="755"/>
      <c r="M18" s="759"/>
      <c r="N18" s="759"/>
      <c r="O18" s="762"/>
      <c r="P18" s="759"/>
      <c r="Q18" s="759"/>
      <c r="R18" s="759"/>
      <c r="S18" s="759"/>
      <c r="T18" s="759"/>
      <c r="U18" s="759"/>
      <c r="V18" s="759"/>
      <c r="W18" s="759"/>
      <c r="X18" s="759"/>
      <c r="Y18" s="11"/>
      <c r="Z18" s="11"/>
      <c r="AA18" s="11"/>
      <c r="AB18" s="11"/>
      <c r="AC18" s="10"/>
      <c r="AD18" s="11"/>
      <c r="AE18" s="11"/>
      <c r="AF18" s="11"/>
      <c r="AG18" s="11"/>
      <c r="AH18" s="11"/>
    </row>
    <row r="19" spans="3:38" ht="15.75" thickTop="1" x14ac:dyDescent="0.25">
      <c r="C19" s="756" t="s">
        <v>16</v>
      </c>
      <c r="D19" s="756"/>
      <c r="E19" s="756"/>
      <c r="F19" s="757" t="s">
        <v>15</v>
      </c>
      <c r="G19" s="757"/>
      <c r="H19" s="757"/>
      <c r="L19" s="7"/>
      <c r="M19" s="3" t="s">
        <v>57</v>
      </c>
      <c r="N19" s="3" t="s">
        <v>57</v>
      </c>
      <c r="O19" s="3" t="s">
        <v>304</v>
      </c>
      <c r="P19" s="3" t="s">
        <v>120</v>
      </c>
      <c r="Q19" s="3" t="s">
        <v>121</v>
      </c>
      <c r="R19" s="3" t="s">
        <v>122</v>
      </c>
      <c r="S19" s="3" t="s">
        <v>123</v>
      </c>
      <c r="T19" s="3" t="s">
        <v>124</v>
      </c>
      <c r="U19" s="3" t="s">
        <v>125</v>
      </c>
      <c r="V19" s="3" t="s">
        <v>101</v>
      </c>
      <c r="W19" s="3" t="s">
        <v>129</v>
      </c>
      <c r="X19" s="3" t="s">
        <v>128</v>
      </c>
      <c r="Y19" s="3" t="s">
        <v>126</v>
      </c>
      <c r="Z19" s="3" t="s">
        <v>127</v>
      </c>
      <c r="AA19" s="3" t="s">
        <v>129</v>
      </c>
      <c r="AB19" s="3" t="s">
        <v>128</v>
      </c>
      <c r="AC19" s="3" t="s">
        <v>130</v>
      </c>
      <c r="AD19" s="3" t="s">
        <v>112</v>
      </c>
      <c r="AE19" s="3" t="s">
        <v>117</v>
      </c>
      <c r="AF19" s="3" t="s">
        <v>143</v>
      </c>
      <c r="AG19" s="3" t="s">
        <v>149</v>
      </c>
      <c r="AH19" s="3" t="s">
        <v>131</v>
      </c>
      <c r="AI19" s="3" t="s">
        <v>150</v>
      </c>
      <c r="AJ19" s="3" t="s">
        <v>112</v>
      </c>
      <c r="AK19" s="3" t="s">
        <v>308</v>
      </c>
      <c r="AL19" s="3" t="s">
        <v>151</v>
      </c>
    </row>
    <row r="20" spans="3:38" ht="15.75" thickBot="1" x14ac:dyDescent="0.3">
      <c r="C20" s="747" t="s">
        <v>100</v>
      </c>
      <c r="D20" s="748"/>
      <c r="E20" s="749"/>
      <c r="F20" s="744" t="str">
        <f t="shared" ref="F20:F58" si="24">AL20</f>
        <v>02°00'00.00 [02°00.00]  (02.0000°)</v>
      </c>
      <c r="G20" s="745"/>
      <c r="H20" s="746"/>
      <c r="J20" s="146" t="str">
        <f t="shared" ref="J20:J36" si="25">C20</f>
        <v>2</v>
      </c>
      <c r="K20" s="14" t="str">
        <f t="shared" ref="K20:K58" si="26">AL20</f>
        <v>02°00'00.00 [02°00.00]  (02.0000°)</v>
      </c>
      <c r="L20" s="7">
        <f>AK20</f>
        <v>2</v>
      </c>
      <c r="M20" s="5">
        <f>IF(LEFT(TRIM(J20),1)="-",-1,IF(LEFT(TRIM(J20),1)="+",1, 0))</f>
        <v>0</v>
      </c>
      <c r="N20" s="5" t="str">
        <f>IF(M20&gt;0,"+",IF(M20&lt;0,"-",""))</f>
        <v/>
      </c>
      <c r="O20" s="5" t="str">
        <f>IF(ABS(M20)&gt;0,RIGHT(J20,LEN(J20)-1),J20)</f>
        <v>2</v>
      </c>
      <c r="P20" s="5" t="b">
        <f>ISNUMBER(SEARCH("°",O20,1))</f>
        <v>0</v>
      </c>
      <c r="Q20" s="5" t="b">
        <f>ISNUMBER(SEARCH("'",O20,1))</f>
        <v>0</v>
      </c>
      <c r="R20" s="5" t="b">
        <f>ISNUMBER(SEARCH("""",O20,1))</f>
        <v>0</v>
      </c>
      <c r="S20" s="5" t="b">
        <f>NOT(OR(P20,Q20,R20))</f>
        <v>1</v>
      </c>
      <c r="T20" s="5" t="b">
        <f t="shared" ref="T20" si="27">OR(S20,P20)</f>
        <v>1</v>
      </c>
      <c r="U20" s="6">
        <f>IF(S20,VALUE(O20),IF(P20,LEFT(O20,SEARCH("°",O20,1)-1),0))</f>
        <v>2</v>
      </c>
      <c r="V20" s="5" t="str">
        <f>IF(S20,"",IF(P20,RIGHT(O20,LEN(O20)-SEARCH("°",O20,1)),O20))</f>
        <v/>
      </c>
      <c r="W20" s="5" t="b">
        <f>(LEN(V20)&gt;0)</f>
        <v>0</v>
      </c>
      <c r="X20" s="5" t="b">
        <f>NOT(OR(Q20,R20))</f>
        <v>1</v>
      </c>
      <c r="Y20" s="6">
        <f t="shared" ref="Y20" si="28">IF(NOT(W20),0,IF(X20,VALUE(V20),IF(NOT(Q20),0,VALUE(LEFT(V20,SEARCH("'",V20,1)-1)))))</f>
        <v>0</v>
      </c>
      <c r="Z20" s="5" t="str">
        <f t="shared" ref="Z20" si="29">IF(NOT(W20),"",IF(X20,"",IF(NOT(Q20),V20,RIGHT(V20,LEN(V20)-SEARCH("'",V20,1)))))</f>
        <v/>
      </c>
      <c r="AA20" s="5" t="b">
        <f>(LEN(Z20)&gt;0)</f>
        <v>0</v>
      </c>
      <c r="AB20" s="5" t="b">
        <f t="shared" ref="AB20" si="30">NOT(R20)</f>
        <v>1</v>
      </c>
      <c r="AC20" s="5" t="b">
        <f>ISNUMBER(SEARCH(".",Z20,1))</f>
        <v>0</v>
      </c>
      <c r="AD20" s="6">
        <f t="shared" ref="AD20" si="31">IF(AA20,IF(R20,IF(AC20,VALUE(SUBSTITUTE(Z20, """", "")),VALUE(SUBSTITUTE(Z20, """", "."))),VALUE(Z20)),0)</f>
        <v>0</v>
      </c>
      <c r="AE20" s="6">
        <f t="shared" ref="AE20" si="32">U20*3600+Y20*60+AD20</f>
        <v>7200</v>
      </c>
      <c r="AF20" s="6">
        <f>AE20/3600</f>
        <v>2</v>
      </c>
      <c r="AG20" s="6">
        <f>_xlfn.FLOOR.MATH((AF20))</f>
        <v>2</v>
      </c>
      <c r="AH20" s="6">
        <f>(AE20-3600*AG20)/60</f>
        <v>0</v>
      </c>
      <c r="AI20" s="6">
        <f>_xlfn.FLOOR.MATH((AH20))</f>
        <v>0</v>
      </c>
      <c r="AJ20" s="6">
        <f>AE20-3600*AG20-60*AI20</f>
        <v>0</v>
      </c>
      <c r="AK20" s="6">
        <f>AF20*IF(M20&lt;0,-1,1)</f>
        <v>2</v>
      </c>
      <c r="AL20" s="7" t="str">
        <f>CONCATENATE(N20,TEXT(AG20,"00"),"°",TEXT(AI20,"00"),"'",TEXT(AJ20,"00.00"), " [", CONCATENATE(N20,TEXT(AG20,"00"),"°",TEXT(AH20,"00.00")),"]", "  (", N20,TEXT(AF20,"00.0000"),"°)")</f>
        <v>02°00'00.00 [02°00.00]  (02.0000°)</v>
      </c>
    </row>
    <row r="21" spans="3:38" ht="16.5" thickTop="1" thickBot="1" x14ac:dyDescent="0.3">
      <c r="C21" s="747" t="s">
        <v>102</v>
      </c>
      <c r="D21" s="748"/>
      <c r="E21" s="749"/>
      <c r="F21" s="744" t="str">
        <f t="shared" si="24"/>
        <v>02°59'24.00 [02°59.40]  (02.9900°)</v>
      </c>
      <c r="G21" s="745"/>
      <c r="H21" s="746"/>
      <c r="J21" s="146" t="str">
        <f t="shared" si="25"/>
        <v>2.99</v>
      </c>
      <c r="K21" s="14" t="str">
        <f t="shared" si="26"/>
        <v>02°59'24.00 [02°59.40]  (02.9900°)</v>
      </c>
      <c r="L21" s="7">
        <f t="shared" ref="L21:L58" si="33">AK21</f>
        <v>2.99</v>
      </c>
      <c r="M21" s="5">
        <f t="shared" ref="M21:M58" si="34">IF(LEFT(TRIM(J21),1)="-",-1,IF(LEFT(TRIM(J21),1)="+",1, 0))</f>
        <v>0</v>
      </c>
      <c r="N21" s="5" t="str">
        <f t="shared" ref="N21:N58" si="35">IF(M21&gt;0,"+",IF(M21&lt;0,"-",""))</f>
        <v/>
      </c>
      <c r="O21" s="5" t="str">
        <f t="shared" ref="O21:O58" si="36">IF(ABS(M21)&gt;0,RIGHT(J21,LEN(J21)-1),J21)</f>
        <v>2.99</v>
      </c>
      <c r="P21" s="5" t="b">
        <f t="shared" ref="P21:P58" si="37">ISNUMBER(SEARCH("°",O21,1))</f>
        <v>0</v>
      </c>
      <c r="Q21" s="5" t="b">
        <f t="shared" ref="Q21:Q58" si="38">ISNUMBER(SEARCH("'",O21,1))</f>
        <v>0</v>
      </c>
      <c r="R21" s="5" t="b">
        <f t="shared" ref="R21:R58" si="39">ISNUMBER(SEARCH("""",O21,1))</f>
        <v>0</v>
      </c>
      <c r="S21" s="5" t="b">
        <f t="shared" ref="S21:S58" si="40">NOT(OR(P21,Q21,R21))</f>
        <v>1</v>
      </c>
      <c r="T21" s="5" t="b">
        <f t="shared" ref="T21:T58" si="41">OR(S21,P21)</f>
        <v>1</v>
      </c>
      <c r="U21" s="6">
        <f t="shared" ref="U21:U58" si="42">IF(S21,VALUE(O21),IF(P21,LEFT(O21,SEARCH("°",O21,1)-1),0))</f>
        <v>2.99</v>
      </c>
      <c r="V21" s="5" t="str">
        <f t="shared" ref="V21:V58" si="43">IF(S21,"",IF(P21,RIGHT(O21,LEN(O21)-SEARCH("°",O21,1)),O21))</f>
        <v/>
      </c>
      <c r="W21" s="5" t="b">
        <f t="shared" ref="W21:W58" si="44">(LEN(V21)&gt;0)</f>
        <v>0</v>
      </c>
      <c r="X21" s="5" t="b">
        <f t="shared" ref="X21:X58" si="45">NOT(OR(Q21,R21))</f>
        <v>1</v>
      </c>
      <c r="Y21" s="6">
        <f t="shared" ref="Y21:Y58" si="46">IF(NOT(W21),0,IF(X21,VALUE(V21),IF(NOT(Q21),0,VALUE(LEFT(V21,SEARCH("'",V21,1)-1)))))</f>
        <v>0</v>
      </c>
      <c r="Z21" s="5" t="str">
        <f t="shared" ref="Z21:Z58" si="47">IF(NOT(W21),"",IF(X21,"",IF(NOT(Q21),V21,RIGHT(V21,LEN(V21)-SEARCH("'",V21,1)))))</f>
        <v/>
      </c>
      <c r="AA21" s="5" t="b">
        <f t="shared" ref="AA21:AA58" si="48">(LEN(Z21)&gt;0)</f>
        <v>0</v>
      </c>
      <c r="AB21" s="5" t="b">
        <f t="shared" ref="AB21:AB58" si="49">NOT(R21)</f>
        <v>1</v>
      </c>
      <c r="AC21" s="5" t="b">
        <f t="shared" ref="AC21:AC58" si="50">ISNUMBER(SEARCH(".",Z21,1))</f>
        <v>0</v>
      </c>
      <c r="AD21" s="6">
        <f t="shared" ref="AD21:AD58" si="51">IF(AA21,IF(R21,IF(AC21,VALUE(SUBSTITUTE(Z21, """", "")),VALUE(SUBSTITUTE(Z21, """", "."))),VALUE(Z21)),0)</f>
        <v>0</v>
      </c>
      <c r="AE21" s="6">
        <f t="shared" ref="AE21:AE58" si="52">U21*3600+Y21*60+AD21</f>
        <v>10764</v>
      </c>
      <c r="AF21" s="6">
        <f t="shared" ref="AF21:AF58" si="53">AE21/3600</f>
        <v>2.99</v>
      </c>
      <c r="AG21" s="6">
        <f t="shared" ref="AG21:AG58" si="54">_xlfn.FLOOR.MATH((AF21))</f>
        <v>2</v>
      </c>
      <c r="AH21" s="6">
        <f t="shared" ref="AH21:AH58" si="55">(AE21-3600*AG21)/60</f>
        <v>59.4</v>
      </c>
      <c r="AI21" s="6">
        <f t="shared" ref="AI21:AI58" si="56">_xlfn.FLOOR.MATH((AH21))</f>
        <v>59</v>
      </c>
      <c r="AJ21" s="6">
        <f t="shared" ref="AJ21:AJ58" si="57">AE21-3600*AG21-60*AI21</f>
        <v>24</v>
      </c>
      <c r="AK21" s="6">
        <f t="shared" ref="AK21:AK58" si="58">AF21*IF(M21&lt;0,-1,1)</f>
        <v>2.99</v>
      </c>
      <c r="AL21" s="7" t="str">
        <f t="shared" ref="AL21:AL58" si="59">CONCATENATE(N21,TEXT(AG21,"00"),"°",TEXT(AI21,"00"),"'",TEXT(AJ21,"00.00"), " [", CONCATENATE(N21,TEXT(AG21,"00"),"°",TEXT(AH21,"00.00")),"]", "  (", N21,TEXT(AF21,"00.0000"),"°)")</f>
        <v>02°59'24.00 [02°59.40]  (02.9900°)</v>
      </c>
    </row>
    <row r="22" spans="3:38" ht="16.5" thickTop="1" thickBot="1" x14ac:dyDescent="0.3">
      <c r="C22" s="741" t="s">
        <v>90</v>
      </c>
      <c r="D22" s="753"/>
      <c r="E22" s="754"/>
      <c r="F22" s="744" t="str">
        <f t="shared" si="24"/>
        <v>02°56'56.00 [02°56.93]  (02.9489°)</v>
      </c>
      <c r="G22" s="745"/>
      <c r="H22" s="746"/>
      <c r="J22" s="146" t="str">
        <f t="shared" si="25"/>
        <v>2°56'56"</v>
      </c>
      <c r="K22" s="14" t="str">
        <f t="shared" si="26"/>
        <v>02°56'56.00 [02°56.93]  (02.9489°)</v>
      </c>
      <c r="L22" s="7">
        <f t="shared" si="33"/>
        <v>2.9488888888888889</v>
      </c>
      <c r="M22" s="5">
        <f t="shared" si="34"/>
        <v>0</v>
      </c>
      <c r="N22" s="5" t="str">
        <f t="shared" si="35"/>
        <v/>
      </c>
      <c r="O22" s="5" t="str">
        <f t="shared" si="36"/>
        <v>2°56'56"</v>
      </c>
      <c r="P22" s="5" t="b">
        <f t="shared" si="37"/>
        <v>1</v>
      </c>
      <c r="Q22" s="5" t="b">
        <f t="shared" si="38"/>
        <v>1</v>
      </c>
      <c r="R22" s="5" t="b">
        <f t="shared" si="39"/>
        <v>1</v>
      </c>
      <c r="S22" s="5" t="b">
        <f t="shared" si="40"/>
        <v>0</v>
      </c>
      <c r="T22" s="5" t="b">
        <f t="shared" si="41"/>
        <v>1</v>
      </c>
      <c r="U22" s="6" t="str">
        <f t="shared" si="42"/>
        <v>2</v>
      </c>
      <c r="V22" s="5" t="str">
        <f t="shared" si="43"/>
        <v>56'56"</v>
      </c>
      <c r="W22" s="5" t="b">
        <f t="shared" si="44"/>
        <v>1</v>
      </c>
      <c r="X22" s="5" t="b">
        <f t="shared" si="45"/>
        <v>0</v>
      </c>
      <c r="Y22" s="6">
        <f t="shared" si="46"/>
        <v>56</v>
      </c>
      <c r="Z22" s="5" t="str">
        <f t="shared" si="47"/>
        <v>56"</v>
      </c>
      <c r="AA22" s="5" t="b">
        <f t="shared" si="48"/>
        <v>1</v>
      </c>
      <c r="AB22" s="5" t="b">
        <f t="shared" si="49"/>
        <v>0</v>
      </c>
      <c r="AC22" s="5" t="b">
        <f t="shared" si="50"/>
        <v>0</v>
      </c>
      <c r="AD22" s="6">
        <f t="shared" si="51"/>
        <v>56</v>
      </c>
      <c r="AE22" s="6">
        <f t="shared" si="52"/>
        <v>10616</v>
      </c>
      <c r="AF22" s="6">
        <f t="shared" si="53"/>
        <v>2.9488888888888889</v>
      </c>
      <c r="AG22" s="6">
        <f t="shared" si="54"/>
        <v>2</v>
      </c>
      <c r="AH22" s="6">
        <f t="shared" si="55"/>
        <v>56.93333333333333</v>
      </c>
      <c r="AI22" s="6">
        <f t="shared" si="56"/>
        <v>56</v>
      </c>
      <c r="AJ22" s="6">
        <f t="shared" si="57"/>
        <v>56</v>
      </c>
      <c r="AK22" s="6">
        <f t="shared" si="58"/>
        <v>2.9488888888888889</v>
      </c>
      <c r="AL22" s="7" t="str">
        <f t="shared" si="59"/>
        <v>02°56'56.00 [02°56.93]  (02.9489°)</v>
      </c>
    </row>
    <row r="23" spans="3:38" ht="16.5" thickTop="1" thickBot="1" x14ac:dyDescent="0.3">
      <c r="C23" s="741" t="s">
        <v>91</v>
      </c>
      <c r="D23" s="753"/>
      <c r="E23" s="754"/>
      <c r="F23" s="744" t="str">
        <f t="shared" si="24"/>
        <v>02°56'56.99 [02°56.95]  (02.9492°)</v>
      </c>
      <c r="G23" s="745"/>
      <c r="H23" s="746"/>
      <c r="J23" s="146" t="str">
        <f t="shared" si="25"/>
        <v>2°56'56.99"</v>
      </c>
      <c r="K23" s="14" t="str">
        <f t="shared" si="26"/>
        <v>02°56'56.99 [02°56.95]  (02.9492°)</v>
      </c>
      <c r="L23" s="7">
        <f t="shared" si="33"/>
        <v>2.9491638888888887</v>
      </c>
      <c r="M23" s="5">
        <f t="shared" si="34"/>
        <v>0</v>
      </c>
      <c r="N23" s="5" t="str">
        <f t="shared" si="35"/>
        <v/>
      </c>
      <c r="O23" s="5" t="str">
        <f t="shared" si="36"/>
        <v>2°56'56.99"</v>
      </c>
      <c r="P23" s="5" t="b">
        <f t="shared" si="37"/>
        <v>1</v>
      </c>
      <c r="Q23" s="5" t="b">
        <f t="shared" si="38"/>
        <v>1</v>
      </c>
      <c r="R23" s="5" t="b">
        <f t="shared" si="39"/>
        <v>1</v>
      </c>
      <c r="S23" s="5" t="b">
        <f t="shared" si="40"/>
        <v>0</v>
      </c>
      <c r="T23" s="5" t="b">
        <f t="shared" si="41"/>
        <v>1</v>
      </c>
      <c r="U23" s="6" t="str">
        <f t="shared" si="42"/>
        <v>2</v>
      </c>
      <c r="V23" s="5" t="str">
        <f t="shared" si="43"/>
        <v>56'56.99"</v>
      </c>
      <c r="W23" s="5" t="b">
        <f t="shared" si="44"/>
        <v>1</v>
      </c>
      <c r="X23" s="5" t="b">
        <f t="shared" si="45"/>
        <v>0</v>
      </c>
      <c r="Y23" s="6">
        <f t="shared" si="46"/>
        <v>56</v>
      </c>
      <c r="Z23" s="5" t="str">
        <f t="shared" si="47"/>
        <v>56.99"</v>
      </c>
      <c r="AA23" s="5" t="b">
        <f t="shared" si="48"/>
        <v>1</v>
      </c>
      <c r="AB23" s="5" t="b">
        <f t="shared" si="49"/>
        <v>0</v>
      </c>
      <c r="AC23" s="5" t="b">
        <f t="shared" si="50"/>
        <v>1</v>
      </c>
      <c r="AD23" s="6">
        <f t="shared" si="51"/>
        <v>56.99</v>
      </c>
      <c r="AE23" s="6">
        <f t="shared" si="52"/>
        <v>10616.99</v>
      </c>
      <c r="AF23" s="6">
        <f t="shared" si="53"/>
        <v>2.9491638888888887</v>
      </c>
      <c r="AG23" s="6">
        <f t="shared" si="54"/>
        <v>2</v>
      </c>
      <c r="AH23" s="6">
        <f t="shared" si="55"/>
        <v>56.949833333333331</v>
      </c>
      <c r="AI23" s="6">
        <f t="shared" si="56"/>
        <v>56</v>
      </c>
      <c r="AJ23" s="6">
        <f t="shared" si="57"/>
        <v>56.989999999999782</v>
      </c>
      <c r="AK23" s="6">
        <f t="shared" si="58"/>
        <v>2.9491638888888887</v>
      </c>
      <c r="AL23" s="7" t="str">
        <f t="shared" si="59"/>
        <v>02°56'56.99 [02°56.95]  (02.9492°)</v>
      </c>
    </row>
    <row r="24" spans="3:38" ht="16.5" thickTop="1" thickBot="1" x14ac:dyDescent="0.3">
      <c r="C24" s="741" t="s">
        <v>92</v>
      </c>
      <c r="D24" s="753"/>
      <c r="E24" s="754"/>
      <c r="F24" s="744" t="str">
        <f t="shared" si="24"/>
        <v>02°56'59.94 [02°57.00]  (02.9500°)</v>
      </c>
      <c r="G24" s="745"/>
      <c r="H24" s="746"/>
      <c r="J24" s="146" t="str">
        <f t="shared" si="25"/>
        <v>2°56.999'</v>
      </c>
      <c r="K24" s="14" t="str">
        <f t="shared" si="26"/>
        <v>02°56'59.94 [02°57.00]  (02.9500°)</v>
      </c>
      <c r="L24" s="7">
        <f t="shared" si="33"/>
        <v>2.9499833333333334</v>
      </c>
      <c r="M24" s="5">
        <f t="shared" si="34"/>
        <v>0</v>
      </c>
      <c r="N24" s="5" t="str">
        <f t="shared" si="35"/>
        <v/>
      </c>
      <c r="O24" s="5" t="str">
        <f t="shared" si="36"/>
        <v>2°56.999'</v>
      </c>
      <c r="P24" s="5" t="b">
        <f t="shared" si="37"/>
        <v>1</v>
      </c>
      <c r="Q24" s="5" t="b">
        <f t="shared" si="38"/>
        <v>1</v>
      </c>
      <c r="R24" s="5" t="b">
        <f t="shared" si="39"/>
        <v>0</v>
      </c>
      <c r="S24" s="5" t="b">
        <f t="shared" si="40"/>
        <v>0</v>
      </c>
      <c r="T24" s="5" t="b">
        <f t="shared" si="41"/>
        <v>1</v>
      </c>
      <c r="U24" s="6" t="str">
        <f t="shared" si="42"/>
        <v>2</v>
      </c>
      <c r="V24" s="5" t="str">
        <f t="shared" si="43"/>
        <v>56.999'</v>
      </c>
      <c r="W24" s="5" t="b">
        <f t="shared" si="44"/>
        <v>1</v>
      </c>
      <c r="X24" s="5" t="b">
        <f t="shared" si="45"/>
        <v>0</v>
      </c>
      <c r="Y24" s="6">
        <f t="shared" si="46"/>
        <v>56.999000000000002</v>
      </c>
      <c r="Z24" s="5" t="str">
        <f t="shared" si="47"/>
        <v/>
      </c>
      <c r="AA24" s="5" t="b">
        <f t="shared" si="48"/>
        <v>0</v>
      </c>
      <c r="AB24" s="5" t="b">
        <f t="shared" si="49"/>
        <v>1</v>
      </c>
      <c r="AC24" s="5" t="b">
        <f t="shared" si="50"/>
        <v>0</v>
      </c>
      <c r="AD24" s="6">
        <f t="shared" si="51"/>
        <v>0</v>
      </c>
      <c r="AE24" s="6">
        <f t="shared" si="52"/>
        <v>10619.94</v>
      </c>
      <c r="AF24" s="6">
        <f t="shared" si="53"/>
        <v>2.9499833333333334</v>
      </c>
      <c r="AG24" s="6">
        <f t="shared" si="54"/>
        <v>2</v>
      </c>
      <c r="AH24" s="6">
        <f t="shared" si="55"/>
        <v>56.999000000000009</v>
      </c>
      <c r="AI24" s="6">
        <f t="shared" si="56"/>
        <v>56</v>
      </c>
      <c r="AJ24" s="6">
        <f t="shared" si="57"/>
        <v>59.940000000000509</v>
      </c>
      <c r="AK24" s="6">
        <f t="shared" si="58"/>
        <v>2.9499833333333334</v>
      </c>
      <c r="AL24" s="7" t="str">
        <f t="shared" si="59"/>
        <v>02°56'59.94 [02°57.00]  (02.9500°)</v>
      </c>
    </row>
    <row r="25" spans="3:38" ht="16.5" thickTop="1" thickBot="1" x14ac:dyDescent="0.3">
      <c r="C25" s="741" t="s">
        <v>99</v>
      </c>
      <c r="D25" s="753"/>
      <c r="E25" s="754"/>
      <c r="F25" s="744" t="str">
        <f t="shared" si="24"/>
        <v>02°56'59.94 [02°57.00]  (02.9500°)</v>
      </c>
      <c r="G25" s="745"/>
      <c r="H25" s="746"/>
      <c r="J25" s="146" t="str">
        <f t="shared" si="25"/>
        <v>2°56.999</v>
      </c>
      <c r="K25" s="14" t="str">
        <f t="shared" si="26"/>
        <v>02°56'59.94 [02°57.00]  (02.9500°)</v>
      </c>
      <c r="L25" s="7">
        <f t="shared" si="33"/>
        <v>2.9499833333333334</v>
      </c>
      <c r="M25" s="5">
        <f t="shared" si="34"/>
        <v>0</v>
      </c>
      <c r="N25" s="5" t="str">
        <f t="shared" si="35"/>
        <v/>
      </c>
      <c r="O25" s="5" t="str">
        <f t="shared" si="36"/>
        <v>2°56.999</v>
      </c>
      <c r="P25" s="5" t="b">
        <f t="shared" si="37"/>
        <v>1</v>
      </c>
      <c r="Q25" s="5" t="b">
        <f t="shared" si="38"/>
        <v>0</v>
      </c>
      <c r="R25" s="5" t="b">
        <f t="shared" si="39"/>
        <v>0</v>
      </c>
      <c r="S25" s="5" t="b">
        <f t="shared" si="40"/>
        <v>0</v>
      </c>
      <c r="T25" s="5" t="b">
        <f t="shared" si="41"/>
        <v>1</v>
      </c>
      <c r="U25" s="6" t="str">
        <f t="shared" si="42"/>
        <v>2</v>
      </c>
      <c r="V25" s="5" t="str">
        <f t="shared" si="43"/>
        <v>56.999</v>
      </c>
      <c r="W25" s="5" t="b">
        <f t="shared" si="44"/>
        <v>1</v>
      </c>
      <c r="X25" s="5" t="b">
        <f t="shared" si="45"/>
        <v>1</v>
      </c>
      <c r="Y25" s="6">
        <f t="shared" si="46"/>
        <v>56.999000000000002</v>
      </c>
      <c r="Z25" s="5" t="str">
        <f t="shared" si="47"/>
        <v/>
      </c>
      <c r="AA25" s="5" t="b">
        <f t="shared" si="48"/>
        <v>0</v>
      </c>
      <c r="AB25" s="5" t="b">
        <f t="shared" si="49"/>
        <v>1</v>
      </c>
      <c r="AC25" s="5" t="b">
        <f t="shared" si="50"/>
        <v>0</v>
      </c>
      <c r="AD25" s="6">
        <f t="shared" si="51"/>
        <v>0</v>
      </c>
      <c r="AE25" s="6">
        <f t="shared" si="52"/>
        <v>10619.94</v>
      </c>
      <c r="AF25" s="6">
        <f t="shared" si="53"/>
        <v>2.9499833333333334</v>
      </c>
      <c r="AG25" s="6">
        <f t="shared" si="54"/>
        <v>2</v>
      </c>
      <c r="AH25" s="6">
        <f t="shared" si="55"/>
        <v>56.999000000000009</v>
      </c>
      <c r="AI25" s="6">
        <f t="shared" si="56"/>
        <v>56</v>
      </c>
      <c r="AJ25" s="6">
        <f t="shared" si="57"/>
        <v>59.940000000000509</v>
      </c>
      <c r="AK25" s="6">
        <f t="shared" si="58"/>
        <v>2.9499833333333334</v>
      </c>
      <c r="AL25" s="7" t="str">
        <f t="shared" si="59"/>
        <v>02°56'59.94 [02°57.00]  (02.9500°)</v>
      </c>
    </row>
    <row r="26" spans="3:38" ht="16.5" thickTop="1" thickBot="1" x14ac:dyDescent="0.3">
      <c r="C26" s="741" t="s">
        <v>93</v>
      </c>
      <c r="D26" s="753"/>
      <c r="E26" s="754"/>
      <c r="F26" s="744" t="str">
        <f t="shared" si="24"/>
        <v>02°59'59.64 [02°59.99]  (02.9999°)</v>
      </c>
      <c r="G26" s="745"/>
      <c r="H26" s="746"/>
      <c r="J26" s="146" t="str">
        <f t="shared" si="25"/>
        <v>2.9999°</v>
      </c>
      <c r="K26" s="14" t="str">
        <f t="shared" si="26"/>
        <v>02°59'59.64 [02°59.99]  (02.9999°)</v>
      </c>
      <c r="L26" s="7">
        <f t="shared" si="33"/>
        <v>2.9998999999999998</v>
      </c>
      <c r="M26" s="5">
        <f t="shared" si="34"/>
        <v>0</v>
      </c>
      <c r="N26" s="5" t="str">
        <f t="shared" si="35"/>
        <v/>
      </c>
      <c r="O26" s="5" t="str">
        <f t="shared" si="36"/>
        <v>2.9999°</v>
      </c>
      <c r="P26" s="5" t="b">
        <f t="shared" si="37"/>
        <v>1</v>
      </c>
      <c r="Q26" s="5" t="b">
        <f t="shared" si="38"/>
        <v>0</v>
      </c>
      <c r="R26" s="5" t="b">
        <f t="shared" si="39"/>
        <v>0</v>
      </c>
      <c r="S26" s="5" t="b">
        <f t="shared" si="40"/>
        <v>0</v>
      </c>
      <c r="T26" s="5" t="b">
        <f t="shared" si="41"/>
        <v>1</v>
      </c>
      <c r="U26" s="6" t="str">
        <f t="shared" si="42"/>
        <v>2.9999</v>
      </c>
      <c r="V26" s="5" t="str">
        <f t="shared" si="43"/>
        <v/>
      </c>
      <c r="W26" s="5" t="b">
        <f t="shared" si="44"/>
        <v>0</v>
      </c>
      <c r="X26" s="5" t="b">
        <f t="shared" si="45"/>
        <v>1</v>
      </c>
      <c r="Y26" s="6">
        <f t="shared" si="46"/>
        <v>0</v>
      </c>
      <c r="Z26" s="5" t="str">
        <f t="shared" si="47"/>
        <v/>
      </c>
      <c r="AA26" s="5" t="b">
        <f t="shared" si="48"/>
        <v>0</v>
      </c>
      <c r="AB26" s="5" t="b">
        <f t="shared" si="49"/>
        <v>1</v>
      </c>
      <c r="AC26" s="5" t="b">
        <f t="shared" si="50"/>
        <v>0</v>
      </c>
      <c r="AD26" s="6">
        <f t="shared" si="51"/>
        <v>0</v>
      </c>
      <c r="AE26" s="6">
        <f t="shared" si="52"/>
        <v>10799.64</v>
      </c>
      <c r="AF26" s="6">
        <f t="shared" si="53"/>
        <v>2.9998999999999998</v>
      </c>
      <c r="AG26" s="6">
        <f t="shared" si="54"/>
        <v>2</v>
      </c>
      <c r="AH26" s="6">
        <f t="shared" si="55"/>
        <v>59.993999999999993</v>
      </c>
      <c r="AI26" s="6">
        <f t="shared" si="56"/>
        <v>59</v>
      </c>
      <c r="AJ26" s="6">
        <f t="shared" si="57"/>
        <v>59.639999999999418</v>
      </c>
      <c r="AK26" s="6">
        <f t="shared" si="58"/>
        <v>2.9998999999999998</v>
      </c>
      <c r="AL26" s="7" t="str">
        <f t="shared" si="59"/>
        <v>02°59'59.64 [02°59.99]  (02.9999°)</v>
      </c>
    </row>
    <row r="27" spans="3:38" ht="16.5" thickTop="1" thickBot="1" x14ac:dyDescent="0.3">
      <c r="C27" s="750" t="s">
        <v>94</v>
      </c>
      <c r="D27" s="751"/>
      <c r="E27" s="752"/>
      <c r="F27" s="744" t="str">
        <f t="shared" si="24"/>
        <v>00°56'56.00 [00°56.93]  (00.9489°)</v>
      </c>
      <c r="G27" s="745"/>
      <c r="H27" s="746"/>
      <c r="J27" s="146" t="str">
        <f t="shared" si="25"/>
        <v>56'56"</v>
      </c>
      <c r="K27" s="14" t="str">
        <f t="shared" si="26"/>
        <v>00°56'56.00 [00°56.93]  (00.9489°)</v>
      </c>
      <c r="L27" s="7">
        <f t="shared" si="33"/>
        <v>0.94888888888888889</v>
      </c>
      <c r="M27" s="5">
        <f t="shared" si="34"/>
        <v>0</v>
      </c>
      <c r="N27" s="5" t="str">
        <f t="shared" si="35"/>
        <v/>
      </c>
      <c r="O27" s="5" t="str">
        <f t="shared" si="36"/>
        <v>56'56"</v>
      </c>
      <c r="P27" s="5" t="b">
        <f t="shared" si="37"/>
        <v>0</v>
      </c>
      <c r="Q27" s="5" t="b">
        <f t="shared" si="38"/>
        <v>1</v>
      </c>
      <c r="R27" s="5" t="b">
        <f t="shared" si="39"/>
        <v>1</v>
      </c>
      <c r="S27" s="5" t="b">
        <f t="shared" si="40"/>
        <v>0</v>
      </c>
      <c r="T27" s="5" t="b">
        <f t="shared" si="41"/>
        <v>0</v>
      </c>
      <c r="U27" s="6">
        <f t="shared" si="42"/>
        <v>0</v>
      </c>
      <c r="V27" s="5" t="str">
        <f t="shared" si="43"/>
        <v>56'56"</v>
      </c>
      <c r="W27" s="5" t="b">
        <f t="shared" si="44"/>
        <v>1</v>
      </c>
      <c r="X27" s="5" t="b">
        <f t="shared" si="45"/>
        <v>0</v>
      </c>
      <c r="Y27" s="6">
        <f t="shared" si="46"/>
        <v>56</v>
      </c>
      <c r="Z27" s="5" t="str">
        <f t="shared" si="47"/>
        <v>56"</v>
      </c>
      <c r="AA27" s="5" t="b">
        <f t="shared" si="48"/>
        <v>1</v>
      </c>
      <c r="AB27" s="5" t="b">
        <f t="shared" si="49"/>
        <v>0</v>
      </c>
      <c r="AC27" s="5" t="b">
        <f t="shared" si="50"/>
        <v>0</v>
      </c>
      <c r="AD27" s="6">
        <f t="shared" si="51"/>
        <v>56</v>
      </c>
      <c r="AE27" s="6">
        <f t="shared" si="52"/>
        <v>3416</v>
      </c>
      <c r="AF27" s="6">
        <f t="shared" si="53"/>
        <v>0.94888888888888889</v>
      </c>
      <c r="AG27" s="6">
        <f t="shared" si="54"/>
        <v>0</v>
      </c>
      <c r="AH27" s="6">
        <f t="shared" si="55"/>
        <v>56.93333333333333</v>
      </c>
      <c r="AI27" s="6">
        <f t="shared" si="56"/>
        <v>56</v>
      </c>
      <c r="AJ27" s="6">
        <f t="shared" si="57"/>
        <v>56</v>
      </c>
      <c r="AK27" s="6">
        <f t="shared" si="58"/>
        <v>0.94888888888888889</v>
      </c>
      <c r="AL27" s="7" t="str">
        <f t="shared" si="59"/>
        <v>00°56'56.00 [00°56.93]  (00.9489°)</v>
      </c>
    </row>
    <row r="28" spans="3:38" ht="16.5" thickTop="1" thickBot="1" x14ac:dyDescent="0.3">
      <c r="C28" s="750" t="s">
        <v>95</v>
      </c>
      <c r="D28" s="751"/>
      <c r="E28" s="752"/>
      <c r="F28" s="744" t="str">
        <f t="shared" si="24"/>
        <v>00°56'56.99 [00°56.95]  (00.9492°)</v>
      </c>
      <c r="G28" s="745"/>
      <c r="H28" s="746"/>
      <c r="J28" s="146" t="str">
        <f t="shared" si="25"/>
        <v>56'56.99"</v>
      </c>
      <c r="K28" s="14" t="str">
        <f t="shared" si="26"/>
        <v>00°56'56.99 [00°56.95]  (00.9492°)</v>
      </c>
      <c r="L28" s="7">
        <f t="shared" si="33"/>
        <v>0.94916388888888881</v>
      </c>
      <c r="M28" s="5">
        <f t="shared" si="34"/>
        <v>0</v>
      </c>
      <c r="N28" s="5" t="str">
        <f t="shared" si="35"/>
        <v/>
      </c>
      <c r="O28" s="5" t="str">
        <f t="shared" si="36"/>
        <v>56'56.99"</v>
      </c>
      <c r="P28" s="5" t="b">
        <f t="shared" si="37"/>
        <v>0</v>
      </c>
      <c r="Q28" s="5" t="b">
        <f t="shared" si="38"/>
        <v>1</v>
      </c>
      <c r="R28" s="5" t="b">
        <f t="shared" si="39"/>
        <v>1</v>
      </c>
      <c r="S28" s="5" t="b">
        <f t="shared" si="40"/>
        <v>0</v>
      </c>
      <c r="T28" s="5" t="b">
        <f t="shared" si="41"/>
        <v>0</v>
      </c>
      <c r="U28" s="6">
        <f t="shared" si="42"/>
        <v>0</v>
      </c>
      <c r="V28" s="5" t="str">
        <f t="shared" si="43"/>
        <v>56'56.99"</v>
      </c>
      <c r="W28" s="5" t="b">
        <f t="shared" si="44"/>
        <v>1</v>
      </c>
      <c r="X28" s="5" t="b">
        <f t="shared" si="45"/>
        <v>0</v>
      </c>
      <c r="Y28" s="6">
        <f t="shared" si="46"/>
        <v>56</v>
      </c>
      <c r="Z28" s="5" t="str">
        <f t="shared" si="47"/>
        <v>56.99"</v>
      </c>
      <c r="AA28" s="5" t="b">
        <f t="shared" si="48"/>
        <v>1</v>
      </c>
      <c r="AB28" s="5" t="b">
        <f t="shared" si="49"/>
        <v>0</v>
      </c>
      <c r="AC28" s="5" t="b">
        <f t="shared" si="50"/>
        <v>1</v>
      </c>
      <c r="AD28" s="6">
        <f t="shared" si="51"/>
        <v>56.99</v>
      </c>
      <c r="AE28" s="6">
        <f t="shared" si="52"/>
        <v>3416.99</v>
      </c>
      <c r="AF28" s="6">
        <f t="shared" si="53"/>
        <v>0.94916388888888881</v>
      </c>
      <c r="AG28" s="6">
        <f t="shared" si="54"/>
        <v>0</v>
      </c>
      <c r="AH28" s="6">
        <f t="shared" si="55"/>
        <v>56.949833333333331</v>
      </c>
      <c r="AI28" s="6">
        <f t="shared" si="56"/>
        <v>56</v>
      </c>
      <c r="AJ28" s="6">
        <f t="shared" si="57"/>
        <v>56.989999999999782</v>
      </c>
      <c r="AK28" s="6">
        <f t="shared" si="58"/>
        <v>0.94916388888888881</v>
      </c>
      <c r="AL28" s="7" t="str">
        <f t="shared" si="59"/>
        <v>00°56'56.99 [00°56.95]  (00.9492°)</v>
      </c>
    </row>
    <row r="29" spans="3:38" ht="16.5" thickTop="1" thickBot="1" x14ac:dyDescent="0.3">
      <c r="C29" s="750" t="s">
        <v>96</v>
      </c>
      <c r="D29" s="751"/>
      <c r="E29" s="752"/>
      <c r="F29" s="744" t="str">
        <f t="shared" si="24"/>
        <v>00°56'59.94 [00°57.00]  (00.9500°)</v>
      </c>
      <c r="G29" s="745"/>
      <c r="H29" s="746"/>
      <c r="J29" s="146" t="str">
        <f t="shared" si="25"/>
        <v>56.999'</v>
      </c>
      <c r="K29" s="14" t="str">
        <f t="shared" si="26"/>
        <v>00°56'59.94 [00°57.00]  (00.9500°)</v>
      </c>
      <c r="L29" s="7">
        <f t="shared" si="33"/>
        <v>0.9499833333333334</v>
      </c>
      <c r="M29" s="5">
        <f t="shared" si="34"/>
        <v>0</v>
      </c>
      <c r="N29" s="5" t="str">
        <f t="shared" si="35"/>
        <v/>
      </c>
      <c r="O29" s="5" t="str">
        <f t="shared" si="36"/>
        <v>56.999'</v>
      </c>
      <c r="P29" s="5" t="b">
        <f t="shared" si="37"/>
        <v>0</v>
      </c>
      <c r="Q29" s="5" t="b">
        <f t="shared" si="38"/>
        <v>1</v>
      </c>
      <c r="R29" s="5" t="b">
        <f t="shared" si="39"/>
        <v>0</v>
      </c>
      <c r="S29" s="5" t="b">
        <f t="shared" si="40"/>
        <v>0</v>
      </c>
      <c r="T29" s="5" t="b">
        <f t="shared" si="41"/>
        <v>0</v>
      </c>
      <c r="U29" s="6">
        <f t="shared" si="42"/>
        <v>0</v>
      </c>
      <c r="V29" s="5" t="str">
        <f t="shared" si="43"/>
        <v>56.999'</v>
      </c>
      <c r="W29" s="5" t="b">
        <f t="shared" si="44"/>
        <v>1</v>
      </c>
      <c r="X29" s="5" t="b">
        <f t="shared" si="45"/>
        <v>0</v>
      </c>
      <c r="Y29" s="6">
        <f t="shared" si="46"/>
        <v>56.999000000000002</v>
      </c>
      <c r="Z29" s="5" t="str">
        <f t="shared" si="47"/>
        <v/>
      </c>
      <c r="AA29" s="5" t="b">
        <f t="shared" si="48"/>
        <v>0</v>
      </c>
      <c r="AB29" s="5" t="b">
        <f t="shared" si="49"/>
        <v>1</v>
      </c>
      <c r="AC29" s="5" t="b">
        <f t="shared" si="50"/>
        <v>0</v>
      </c>
      <c r="AD29" s="6">
        <f t="shared" si="51"/>
        <v>0</v>
      </c>
      <c r="AE29" s="6">
        <f t="shared" si="52"/>
        <v>3419.94</v>
      </c>
      <c r="AF29" s="6">
        <f t="shared" si="53"/>
        <v>0.9499833333333334</v>
      </c>
      <c r="AG29" s="6">
        <f t="shared" si="54"/>
        <v>0</v>
      </c>
      <c r="AH29" s="6">
        <f t="shared" si="55"/>
        <v>56.999000000000002</v>
      </c>
      <c r="AI29" s="6">
        <f t="shared" si="56"/>
        <v>56</v>
      </c>
      <c r="AJ29" s="6">
        <f t="shared" si="57"/>
        <v>59.940000000000055</v>
      </c>
      <c r="AK29" s="6">
        <f t="shared" si="58"/>
        <v>0.9499833333333334</v>
      </c>
      <c r="AL29" s="7" t="str">
        <f t="shared" si="59"/>
        <v>00°56'59.94 [00°57.00]  (00.9500°)</v>
      </c>
    </row>
    <row r="30" spans="3:38" ht="16.5" thickTop="1" thickBot="1" x14ac:dyDescent="0.3">
      <c r="C30" s="741" t="s">
        <v>97</v>
      </c>
      <c r="D30" s="753"/>
      <c r="E30" s="754"/>
      <c r="F30" s="744" t="str">
        <f t="shared" si="24"/>
        <v>00°00'56.00 [00°00.93]  (00.0156°)</v>
      </c>
      <c r="G30" s="745"/>
      <c r="H30" s="746"/>
      <c r="J30" s="146" t="str">
        <f t="shared" si="25"/>
        <v>56"</v>
      </c>
      <c r="K30" s="14" t="str">
        <f t="shared" si="26"/>
        <v>00°00'56.00 [00°00.93]  (00.0156°)</v>
      </c>
      <c r="L30" s="7">
        <f t="shared" si="33"/>
        <v>1.5555555555555555E-2</v>
      </c>
      <c r="M30" s="5">
        <f t="shared" si="34"/>
        <v>0</v>
      </c>
      <c r="N30" s="5" t="str">
        <f t="shared" si="35"/>
        <v/>
      </c>
      <c r="O30" s="5" t="str">
        <f t="shared" si="36"/>
        <v>56"</v>
      </c>
      <c r="P30" s="5" t="b">
        <f t="shared" si="37"/>
        <v>0</v>
      </c>
      <c r="Q30" s="5" t="b">
        <f t="shared" si="38"/>
        <v>0</v>
      </c>
      <c r="R30" s="5" t="b">
        <f t="shared" si="39"/>
        <v>1</v>
      </c>
      <c r="S30" s="5" t="b">
        <f t="shared" si="40"/>
        <v>0</v>
      </c>
      <c r="T30" s="5" t="b">
        <f t="shared" si="41"/>
        <v>0</v>
      </c>
      <c r="U30" s="6">
        <f t="shared" si="42"/>
        <v>0</v>
      </c>
      <c r="V30" s="5" t="str">
        <f t="shared" si="43"/>
        <v>56"</v>
      </c>
      <c r="W30" s="5" t="b">
        <f t="shared" si="44"/>
        <v>1</v>
      </c>
      <c r="X30" s="5" t="b">
        <f t="shared" si="45"/>
        <v>0</v>
      </c>
      <c r="Y30" s="6">
        <f t="shared" si="46"/>
        <v>0</v>
      </c>
      <c r="Z30" s="5" t="str">
        <f t="shared" si="47"/>
        <v>56"</v>
      </c>
      <c r="AA30" s="5" t="b">
        <f t="shared" si="48"/>
        <v>1</v>
      </c>
      <c r="AB30" s="5" t="b">
        <f t="shared" si="49"/>
        <v>0</v>
      </c>
      <c r="AC30" s="5" t="b">
        <f t="shared" si="50"/>
        <v>0</v>
      </c>
      <c r="AD30" s="6">
        <f t="shared" si="51"/>
        <v>56</v>
      </c>
      <c r="AE30" s="6">
        <f t="shared" si="52"/>
        <v>56</v>
      </c>
      <c r="AF30" s="6">
        <f t="shared" si="53"/>
        <v>1.5555555555555555E-2</v>
      </c>
      <c r="AG30" s="6">
        <f t="shared" si="54"/>
        <v>0</v>
      </c>
      <c r="AH30" s="6">
        <f t="shared" si="55"/>
        <v>0.93333333333333335</v>
      </c>
      <c r="AI30" s="6">
        <f t="shared" si="56"/>
        <v>0</v>
      </c>
      <c r="AJ30" s="6">
        <f t="shared" si="57"/>
        <v>56</v>
      </c>
      <c r="AK30" s="6">
        <f t="shared" si="58"/>
        <v>1.5555555555555555E-2</v>
      </c>
      <c r="AL30" s="7" t="str">
        <f t="shared" si="59"/>
        <v>00°00'56.00 [00°00.93]  (00.0156°)</v>
      </c>
    </row>
    <row r="31" spans="3:38" ht="16.5" thickTop="1" thickBot="1" x14ac:dyDescent="0.3">
      <c r="C31" s="741" t="s">
        <v>98</v>
      </c>
      <c r="D31" s="753"/>
      <c r="E31" s="754"/>
      <c r="F31" s="744" t="str">
        <f t="shared" si="24"/>
        <v>00°00'56.26 [00°00.94]  (00.0156°)</v>
      </c>
      <c r="G31" s="745"/>
      <c r="H31" s="746"/>
      <c r="J31" s="146" t="str">
        <f t="shared" si="25"/>
        <v>56.26"</v>
      </c>
      <c r="K31" s="14" t="str">
        <f t="shared" si="26"/>
        <v>00°00'56.26 [00°00.94]  (00.0156°)</v>
      </c>
      <c r="L31" s="7">
        <f t="shared" si="33"/>
        <v>1.5627777777777779E-2</v>
      </c>
      <c r="M31" s="5">
        <f t="shared" si="34"/>
        <v>0</v>
      </c>
      <c r="N31" s="5" t="str">
        <f t="shared" si="35"/>
        <v/>
      </c>
      <c r="O31" s="5" t="str">
        <f t="shared" si="36"/>
        <v>56.26"</v>
      </c>
      <c r="P31" s="5" t="b">
        <f t="shared" si="37"/>
        <v>0</v>
      </c>
      <c r="Q31" s="5" t="b">
        <f t="shared" si="38"/>
        <v>0</v>
      </c>
      <c r="R31" s="5" t="b">
        <f t="shared" si="39"/>
        <v>1</v>
      </c>
      <c r="S31" s="5" t="b">
        <f t="shared" si="40"/>
        <v>0</v>
      </c>
      <c r="T31" s="5" t="b">
        <f t="shared" si="41"/>
        <v>0</v>
      </c>
      <c r="U31" s="6">
        <f t="shared" si="42"/>
        <v>0</v>
      </c>
      <c r="V31" s="5" t="str">
        <f t="shared" si="43"/>
        <v>56.26"</v>
      </c>
      <c r="W31" s="5" t="b">
        <f t="shared" si="44"/>
        <v>1</v>
      </c>
      <c r="X31" s="5" t="b">
        <f t="shared" si="45"/>
        <v>0</v>
      </c>
      <c r="Y31" s="6">
        <f t="shared" si="46"/>
        <v>0</v>
      </c>
      <c r="Z31" s="5" t="str">
        <f t="shared" si="47"/>
        <v>56.26"</v>
      </c>
      <c r="AA31" s="5" t="b">
        <f t="shared" si="48"/>
        <v>1</v>
      </c>
      <c r="AB31" s="5" t="b">
        <f t="shared" si="49"/>
        <v>0</v>
      </c>
      <c r="AC31" s="5" t="b">
        <f t="shared" si="50"/>
        <v>1</v>
      </c>
      <c r="AD31" s="6">
        <f t="shared" si="51"/>
        <v>56.26</v>
      </c>
      <c r="AE31" s="6">
        <f t="shared" si="52"/>
        <v>56.26</v>
      </c>
      <c r="AF31" s="6">
        <f t="shared" si="53"/>
        <v>1.5627777777777779E-2</v>
      </c>
      <c r="AG31" s="6">
        <f t="shared" si="54"/>
        <v>0</v>
      </c>
      <c r="AH31" s="6">
        <f t="shared" si="55"/>
        <v>0.93766666666666665</v>
      </c>
      <c r="AI31" s="6">
        <f t="shared" si="56"/>
        <v>0</v>
      </c>
      <c r="AJ31" s="6">
        <f t="shared" si="57"/>
        <v>56.26</v>
      </c>
      <c r="AK31" s="6">
        <f t="shared" si="58"/>
        <v>1.5627777777777779E-2</v>
      </c>
      <c r="AL31" s="7" t="str">
        <f t="shared" si="59"/>
        <v>00°00'56.26 [00°00.94]  (00.0156°)</v>
      </c>
    </row>
    <row r="32" spans="3:38" ht="16.5" thickTop="1" thickBot="1" x14ac:dyDescent="0.3">
      <c r="C32" s="741" t="s">
        <v>113</v>
      </c>
      <c r="D32" s="742"/>
      <c r="E32" s="743"/>
      <c r="F32" s="744" t="str">
        <f t="shared" si="24"/>
        <v>02°56'26.00 [02°56.43]  (02.9406°)</v>
      </c>
      <c r="G32" s="745"/>
      <c r="H32" s="746"/>
      <c r="J32" s="146" t="str">
        <f t="shared" si="25"/>
        <v>2°56'26</v>
      </c>
      <c r="K32" s="14" t="str">
        <f t="shared" si="26"/>
        <v>02°56'26.00 [02°56.43]  (02.9406°)</v>
      </c>
      <c r="L32" s="7">
        <f t="shared" si="33"/>
        <v>2.9405555555555556</v>
      </c>
      <c r="M32" s="5">
        <f t="shared" si="34"/>
        <v>0</v>
      </c>
      <c r="N32" s="5" t="str">
        <f t="shared" si="35"/>
        <v/>
      </c>
      <c r="O32" s="5" t="str">
        <f t="shared" si="36"/>
        <v>2°56'26</v>
      </c>
      <c r="P32" s="5" t="b">
        <f t="shared" si="37"/>
        <v>1</v>
      </c>
      <c r="Q32" s="5" t="b">
        <f t="shared" si="38"/>
        <v>1</v>
      </c>
      <c r="R32" s="5" t="b">
        <f t="shared" si="39"/>
        <v>0</v>
      </c>
      <c r="S32" s="5" t="b">
        <f t="shared" si="40"/>
        <v>0</v>
      </c>
      <c r="T32" s="5" t="b">
        <f t="shared" si="41"/>
        <v>1</v>
      </c>
      <c r="U32" s="6" t="str">
        <f t="shared" si="42"/>
        <v>2</v>
      </c>
      <c r="V32" s="5" t="str">
        <f t="shared" si="43"/>
        <v>56'26</v>
      </c>
      <c r="W32" s="5" t="b">
        <f t="shared" si="44"/>
        <v>1</v>
      </c>
      <c r="X32" s="5" t="b">
        <f t="shared" si="45"/>
        <v>0</v>
      </c>
      <c r="Y32" s="6">
        <f t="shared" si="46"/>
        <v>56</v>
      </c>
      <c r="Z32" s="5" t="str">
        <f t="shared" si="47"/>
        <v>26</v>
      </c>
      <c r="AA32" s="5" t="b">
        <f t="shared" si="48"/>
        <v>1</v>
      </c>
      <c r="AB32" s="5" t="b">
        <f t="shared" si="49"/>
        <v>1</v>
      </c>
      <c r="AC32" s="5" t="b">
        <f t="shared" si="50"/>
        <v>0</v>
      </c>
      <c r="AD32" s="6">
        <f t="shared" si="51"/>
        <v>26</v>
      </c>
      <c r="AE32" s="6">
        <f t="shared" si="52"/>
        <v>10586</v>
      </c>
      <c r="AF32" s="6">
        <f t="shared" si="53"/>
        <v>2.9405555555555556</v>
      </c>
      <c r="AG32" s="6">
        <f t="shared" si="54"/>
        <v>2</v>
      </c>
      <c r="AH32" s="6">
        <f t="shared" si="55"/>
        <v>56.43333333333333</v>
      </c>
      <c r="AI32" s="6">
        <f t="shared" si="56"/>
        <v>56</v>
      </c>
      <c r="AJ32" s="6">
        <f t="shared" si="57"/>
        <v>26</v>
      </c>
      <c r="AK32" s="6">
        <f t="shared" si="58"/>
        <v>2.9405555555555556</v>
      </c>
      <c r="AL32" s="7" t="str">
        <f t="shared" si="59"/>
        <v>02°56'26.00 [02°56.43]  (02.9406°)</v>
      </c>
    </row>
    <row r="33" spans="3:38" ht="16.5" thickTop="1" thickBot="1" x14ac:dyDescent="0.3">
      <c r="C33" s="741" t="s">
        <v>114</v>
      </c>
      <c r="D33" s="742"/>
      <c r="E33" s="743"/>
      <c r="F33" s="744" t="str">
        <f t="shared" si="24"/>
        <v>02°56'26.99 [02°56.45]  (02.9408°)</v>
      </c>
      <c r="G33" s="745"/>
      <c r="H33" s="746"/>
      <c r="J33" s="146" t="str">
        <f t="shared" si="25"/>
        <v>2°56'26.99</v>
      </c>
      <c r="K33" s="14" t="str">
        <f t="shared" si="26"/>
        <v>02°56'26.99 [02°56.45]  (02.9408°)</v>
      </c>
      <c r="L33" s="7">
        <f t="shared" si="33"/>
        <v>2.9408305555555554</v>
      </c>
      <c r="M33" s="5">
        <f t="shared" si="34"/>
        <v>0</v>
      </c>
      <c r="N33" s="5" t="str">
        <f t="shared" si="35"/>
        <v/>
      </c>
      <c r="O33" s="5" t="str">
        <f t="shared" si="36"/>
        <v>2°56'26.99</v>
      </c>
      <c r="P33" s="5" t="b">
        <f t="shared" si="37"/>
        <v>1</v>
      </c>
      <c r="Q33" s="5" t="b">
        <f t="shared" si="38"/>
        <v>1</v>
      </c>
      <c r="R33" s="5" t="b">
        <f t="shared" si="39"/>
        <v>0</v>
      </c>
      <c r="S33" s="5" t="b">
        <f t="shared" si="40"/>
        <v>0</v>
      </c>
      <c r="T33" s="5" t="b">
        <f t="shared" si="41"/>
        <v>1</v>
      </c>
      <c r="U33" s="6" t="str">
        <f t="shared" si="42"/>
        <v>2</v>
      </c>
      <c r="V33" s="5" t="str">
        <f t="shared" si="43"/>
        <v>56'26.99</v>
      </c>
      <c r="W33" s="5" t="b">
        <f t="shared" si="44"/>
        <v>1</v>
      </c>
      <c r="X33" s="5" t="b">
        <f t="shared" si="45"/>
        <v>0</v>
      </c>
      <c r="Y33" s="6">
        <f t="shared" si="46"/>
        <v>56</v>
      </c>
      <c r="Z33" s="5" t="str">
        <f t="shared" si="47"/>
        <v>26.99</v>
      </c>
      <c r="AA33" s="5" t="b">
        <f t="shared" si="48"/>
        <v>1</v>
      </c>
      <c r="AB33" s="5" t="b">
        <f t="shared" si="49"/>
        <v>1</v>
      </c>
      <c r="AC33" s="5" t="b">
        <f t="shared" si="50"/>
        <v>1</v>
      </c>
      <c r="AD33" s="6">
        <f t="shared" si="51"/>
        <v>26.99</v>
      </c>
      <c r="AE33" s="6">
        <f t="shared" si="52"/>
        <v>10586.99</v>
      </c>
      <c r="AF33" s="6">
        <f t="shared" si="53"/>
        <v>2.9408305555555554</v>
      </c>
      <c r="AG33" s="6">
        <f t="shared" si="54"/>
        <v>2</v>
      </c>
      <c r="AH33" s="6">
        <f t="shared" si="55"/>
        <v>56.449833333333331</v>
      </c>
      <c r="AI33" s="6">
        <f t="shared" si="56"/>
        <v>56</v>
      </c>
      <c r="AJ33" s="6">
        <f t="shared" si="57"/>
        <v>26.989999999999782</v>
      </c>
      <c r="AK33" s="6">
        <f t="shared" si="58"/>
        <v>2.9408305555555554</v>
      </c>
      <c r="AL33" s="7" t="str">
        <f t="shared" si="59"/>
        <v>02°56'26.99 [02°56.45]  (02.9408°)</v>
      </c>
    </row>
    <row r="34" spans="3:38" ht="16.5" thickTop="1" thickBot="1" x14ac:dyDescent="0.3">
      <c r="C34" s="741" t="s">
        <v>115</v>
      </c>
      <c r="D34" s="742"/>
      <c r="E34" s="743"/>
      <c r="F34" s="744" t="str">
        <f t="shared" si="24"/>
        <v>02°56'27.00 [02°56.45]  (02.9408°)</v>
      </c>
      <c r="G34" s="745"/>
      <c r="H34" s="746"/>
      <c r="J34" s="146" t="str">
        <f t="shared" si="25"/>
        <v>2°56'26.999"</v>
      </c>
      <c r="K34" s="14" t="str">
        <f t="shared" si="26"/>
        <v>02°56'27.00 [02°56.45]  (02.9408°)</v>
      </c>
      <c r="L34" s="7">
        <f t="shared" si="33"/>
        <v>2.9408330555555553</v>
      </c>
      <c r="M34" s="5">
        <f t="shared" si="34"/>
        <v>0</v>
      </c>
      <c r="N34" s="5" t="str">
        <f t="shared" si="35"/>
        <v/>
      </c>
      <c r="O34" s="5" t="str">
        <f t="shared" si="36"/>
        <v>2°56'26.999"</v>
      </c>
      <c r="P34" s="5" t="b">
        <f t="shared" si="37"/>
        <v>1</v>
      </c>
      <c r="Q34" s="5" t="b">
        <f t="shared" si="38"/>
        <v>1</v>
      </c>
      <c r="R34" s="5" t="b">
        <f t="shared" si="39"/>
        <v>1</v>
      </c>
      <c r="S34" s="5" t="b">
        <f t="shared" si="40"/>
        <v>0</v>
      </c>
      <c r="T34" s="5" t="b">
        <f t="shared" si="41"/>
        <v>1</v>
      </c>
      <c r="U34" s="6" t="str">
        <f t="shared" si="42"/>
        <v>2</v>
      </c>
      <c r="V34" s="5" t="str">
        <f t="shared" si="43"/>
        <v>56'26.999"</v>
      </c>
      <c r="W34" s="5" t="b">
        <f t="shared" si="44"/>
        <v>1</v>
      </c>
      <c r="X34" s="5" t="b">
        <f t="shared" si="45"/>
        <v>0</v>
      </c>
      <c r="Y34" s="6">
        <f t="shared" si="46"/>
        <v>56</v>
      </c>
      <c r="Z34" s="5" t="str">
        <f t="shared" si="47"/>
        <v>26.999"</v>
      </c>
      <c r="AA34" s="5" t="b">
        <f t="shared" si="48"/>
        <v>1</v>
      </c>
      <c r="AB34" s="5" t="b">
        <f t="shared" si="49"/>
        <v>0</v>
      </c>
      <c r="AC34" s="5" t="b">
        <f t="shared" si="50"/>
        <v>1</v>
      </c>
      <c r="AD34" s="6">
        <f t="shared" si="51"/>
        <v>26.998999999999999</v>
      </c>
      <c r="AE34" s="6">
        <f t="shared" si="52"/>
        <v>10586.999</v>
      </c>
      <c r="AF34" s="6">
        <f t="shared" si="53"/>
        <v>2.9408330555555553</v>
      </c>
      <c r="AG34" s="6">
        <f t="shared" si="54"/>
        <v>2</v>
      </c>
      <c r="AH34" s="6">
        <f t="shared" si="55"/>
        <v>56.449983333333329</v>
      </c>
      <c r="AI34" s="6">
        <f t="shared" si="56"/>
        <v>56</v>
      </c>
      <c r="AJ34" s="6">
        <f t="shared" si="57"/>
        <v>26.998999999999796</v>
      </c>
      <c r="AK34" s="6">
        <f t="shared" si="58"/>
        <v>2.9408330555555553</v>
      </c>
      <c r="AL34" s="7" t="str">
        <f t="shared" si="59"/>
        <v>02°56'27.00 [02°56.45]  (02.9408°)</v>
      </c>
    </row>
    <row r="35" spans="3:38" ht="16.5" thickTop="1" thickBot="1" x14ac:dyDescent="0.3">
      <c r="C35" s="741" t="s">
        <v>116</v>
      </c>
      <c r="D35" s="742"/>
      <c r="E35" s="743"/>
      <c r="F35" s="744" t="str">
        <f t="shared" si="24"/>
        <v>02°56'27.00 [02°56.45]  (02.9408°)</v>
      </c>
      <c r="G35" s="745"/>
      <c r="H35" s="746"/>
      <c r="J35" s="146" t="str">
        <f t="shared" si="25"/>
        <v>2°56'26"999</v>
      </c>
      <c r="K35" s="14" t="str">
        <f t="shared" si="26"/>
        <v>02°56'27.00 [02°56.45]  (02.9408°)</v>
      </c>
      <c r="L35" s="7">
        <f t="shared" si="33"/>
        <v>2.9408330555555553</v>
      </c>
      <c r="M35" s="5">
        <f t="shared" si="34"/>
        <v>0</v>
      </c>
      <c r="N35" s="5" t="str">
        <f t="shared" si="35"/>
        <v/>
      </c>
      <c r="O35" s="5" t="str">
        <f t="shared" si="36"/>
        <v>2°56'26"999</v>
      </c>
      <c r="P35" s="5" t="b">
        <f t="shared" si="37"/>
        <v>1</v>
      </c>
      <c r="Q35" s="5" t="b">
        <f t="shared" si="38"/>
        <v>1</v>
      </c>
      <c r="R35" s="5" t="b">
        <f t="shared" si="39"/>
        <v>1</v>
      </c>
      <c r="S35" s="5" t="b">
        <f t="shared" si="40"/>
        <v>0</v>
      </c>
      <c r="T35" s="5" t="b">
        <f t="shared" si="41"/>
        <v>1</v>
      </c>
      <c r="U35" s="6" t="str">
        <f t="shared" si="42"/>
        <v>2</v>
      </c>
      <c r="V35" s="5" t="str">
        <f t="shared" si="43"/>
        <v>56'26"999</v>
      </c>
      <c r="W35" s="5" t="b">
        <f t="shared" si="44"/>
        <v>1</v>
      </c>
      <c r="X35" s="5" t="b">
        <f t="shared" si="45"/>
        <v>0</v>
      </c>
      <c r="Y35" s="6">
        <f t="shared" si="46"/>
        <v>56</v>
      </c>
      <c r="Z35" s="5" t="str">
        <f t="shared" si="47"/>
        <v>26"999</v>
      </c>
      <c r="AA35" s="5" t="b">
        <f t="shared" si="48"/>
        <v>1</v>
      </c>
      <c r="AB35" s="5" t="b">
        <f t="shared" si="49"/>
        <v>0</v>
      </c>
      <c r="AC35" s="5" t="b">
        <f t="shared" si="50"/>
        <v>0</v>
      </c>
      <c r="AD35" s="6">
        <f t="shared" si="51"/>
        <v>26.998999999999999</v>
      </c>
      <c r="AE35" s="6">
        <f t="shared" si="52"/>
        <v>10586.999</v>
      </c>
      <c r="AF35" s="6">
        <f t="shared" si="53"/>
        <v>2.9408330555555553</v>
      </c>
      <c r="AG35" s="6">
        <f t="shared" si="54"/>
        <v>2</v>
      </c>
      <c r="AH35" s="6">
        <f t="shared" si="55"/>
        <v>56.449983333333329</v>
      </c>
      <c r="AI35" s="6">
        <f t="shared" si="56"/>
        <v>56</v>
      </c>
      <c r="AJ35" s="6">
        <f t="shared" si="57"/>
        <v>26.998999999999796</v>
      </c>
      <c r="AK35" s="6">
        <f t="shared" si="58"/>
        <v>2.9408330555555553</v>
      </c>
      <c r="AL35" s="7" t="str">
        <f t="shared" si="59"/>
        <v>02°56'27.00 [02°56.45]  (02.9408°)</v>
      </c>
    </row>
    <row r="36" spans="3:38" ht="16.5" thickTop="1" thickBot="1" x14ac:dyDescent="0.3">
      <c r="C36" s="741" t="s">
        <v>89</v>
      </c>
      <c r="D36" s="742"/>
      <c r="E36" s="743"/>
      <c r="F36" s="744" t="str">
        <f t="shared" si="24"/>
        <v>00°12'56.00 [00°12.93]  (00.2156°)</v>
      </c>
      <c r="G36" s="745"/>
      <c r="H36" s="746"/>
      <c r="J36" s="146" t="str">
        <f t="shared" si="25"/>
        <v>12'56</v>
      </c>
      <c r="K36" s="14" t="str">
        <f t="shared" si="26"/>
        <v>00°12'56.00 [00°12.93]  (00.2156°)</v>
      </c>
      <c r="L36" s="7">
        <f t="shared" si="33"/>
        <v>0.21555555555555556</v>
      </c>
      <c r="M36" s="5">
        <f t="shared" si="34"/>
        <v>0</v>
      </c>
      <c r="N36" s="5" t="str">
        <f t="shared" si="35"/>
        <v/>
      </c>
      <c r="O36" s="5" t="str">
        <f t="shared" si="36"/>
        <v>12'56</v>
      </c>
      <c r="P36" s="5" t="b">
        <f t="shared" si="37"/>
        <v>0</v>
      </c>
      <c r="Q36" s="5" t="b">
        <f t="shared" si="38"/>
        <v>1</v>
      </c>
      <c r="R36" s="5" t="b">
        <f t="shared" si="39"/>
        <v>0</v>
      </c>
      <c r="S36" s="5" t="b">
        <f t="shared" si="40"/>
        <v>0</v>
      </c>
      <c r="T36" s="5" t="b">
        <f t="shared" si="41"/>
        <v>0</v>
      </c>
      <c r="U36" s="6">
        <f t="shared" si="42"/>
        <v>0</v>
      </c>
      <c r="V36" s="5" t="str">
        <f t="shared" si="43"/>
        <v>12'56</v>
      </c>
      <c r="W36" s="5" t="b">
        <f t="shared" si="44"/>
        <v>1</v>
      </c>
      <c r="X36" s="5" t="b">
        <f t="shared" si="45"/>
        <v>0</v>
      </c>
      <c r="Y36" s="6">
        <f t="shared" si="46"/>
        <v>12</v>
      </c>
      <c r="Z36" s="5" t="str">
        <f t="shared" si="47"/>
        <v>56</v>
      </c>
      <c r="AA36" s="5" t="b">
        <f t="shared" si="48"/>
        <v>1</v>
      </c>
      <c r="AB36" s="5" t="b">
        <f t="shared" si="49"/>
        <v>1</v>
      </c>
      <c r="AC36" s="5" t="b">
        <f t="shared" si="50"/>
        <v>0</v>
      </c>
      <c r="AD36" s="6">
        <f t="shared" si="51"/>
        <v>56</v>
      </c>
      <c r="AE36" s="6">
        <f t="shared" si="52"/>
        <v>776</v>
      </c>
      <c r="AF36" s="6">
        <f t="shared" si="53"/>
        <v>0.21555555555555556</v>
      </c>
      <c r="AG36" s="6">
        <f t="shared" si="54"/>
        <v>0</v>
      </c>
      <c r="AH36" s="6">
        <f t="shared" si="55"/>
        <v>12.933333333333334</v>
      </c>
      <c r="AI36" s="6">
        <f t="shared" si="56"/>
        <v>12</v>
      </c>
      <c r="AJ36" s="6">
        <f t="shared" si="57"/>
        <v>56</v>
      </c>
      <c r="AK36" s="6">
        <f t="shared" si="58"/>
        <v>0.21555555555555556</v>
      </c>
      <c r="AL36" s="7" t="str">
        <f t="shared" si="59"/>
        <v>00°12'56.00 [00°12.93]  (00.2156°)</v>
      </c>
    </row>
    <row r="37" spans="3:38" ht="16.5" thickTop="1" thickBot="1" x14ac:dyDescent="0.3">
      <c r="C37" s="741" t="s">
        <v>155</v>
      </c>
      <c r="D37" s="742"/>
      <c r="E37" s="743"/>
      <c r="F37" s="744" t="str">
        <f t="shared" si="24"/>
        <v>15°00'00.12 [15°00.00]  (15.0000°)</v>
      </c>
      <c r="G37" s="745"/>
      <c r="H37" s="746"/>
      <c r="J37" s="147" t="str">
        <f>C37</f>
        <v>15°0.002</v>
      </c>
      <c r="K37" s="14" t="str">
        <f t="shared" si="26"/>
        <v>15°00'00.12 [15°00.00]  (15.0000°)</v>
      </c>
      <c r="L37" s="7">
        <f t="shared" si="33"/>
        <v>15.000033333333334</v>
      </c>
      <c r="M37" s="5">
        <f t="shared" si="34"/>
        <v>0</v>
      </c>
      <c r="N37" s="5" t="str">
        <f t="shared" si="35"/>
        <v/>
      </c>
      <c r="O37" s="5" t="str">
        <f t="shared" si="36"/>
        <v>15°0.002</v>
      </c>
      <c r="P37" s="5" t="b">
        <f t="shared" si="37"/>
        <v>1</v>
      </c>
      <c r="Q37" s="5" t="b">
        <f t="shared" si="38"/>
        <v>0</v>
      </c>
      <c r="R37" s="5" t="b">
        <f t="shared" si="39"/>
        <v>0</v>
      </c>
      <c r="S37" s="5" t="b">
        <f t="shared" si="40"/>
        <v>0</v>
      </c>
      <c r="T37" s="5" t="b">
        <f t="shared" si="41"/>
        <v>1</v>
      </c>
      <c r="U37" s="6" t="str">
        <f t="shared" si="42"/>
        <v>15</v>
      </c>
      <c r="V37" s="5" t="str">
        <f t="shared" si="43"/>
        <v>0.002</v>
      </c>
      <c r="W37" s="5" t="b">
        <f t="shared" si="44"/>
        <v>1</v>
      </c>
      <c r="X37" s="5" t="b">
        <f t="shared" si="45"/>
        <v>1</v>
      </c>
      <c r="Y37" s="6">
        <f t="shared" si="46"/>
        <v>2E-3</v>
      </c>
      <c r="Z37" s="5" t="str">
        <f t="shared" si="47"/>
        <v/>
      </c>
      <c r="AA37" s="5" t="b">
        <f t="shared" si="48"/>
        <v>0</v>
      </c>
      <c r="AB37" s="5" t="b">
        <f t="shared" si="49"/>
        <v>1</v>
      </c>
      <c r="AC37" s="5" t="b">
        <f t="shared" si="50"/>
        <v>0</v>
      </c>
      <c r="AD37" s="6">
        <f t="shared" si="51"/>
        <v>0</v>
      </c>
      <c r="AE37" s="6">
        <f t="shared" si="52"/>
        <v>54000.12</v>
      </c>
      <c r="AF37" s="6">
        <f t="shared" si="53"/>
        <v>15.000033333333334</v>
      </c>
      <c r="AG37" s="6">
        <f t="shared" si="54"/>
        <v>15</v>
      </c>
      <c r="AH37" s="6">
        <f t="shared" si="55"/>
        <v>2.0000000000436557E-3</v>
      </c>
      <c r="AI37" s="6">
        <f t="shared" si="56"/>
        <v>0</v>
      </c>
      <c r="AJ37" s="6">
        <f t="shared" si="57"/>
        <v>0.12000000000261934</v>
      </c>
      <c r="AK37" s="6">
        <f t="shared" si="58"/>
        <v>15.000033333333334</v>
      </c>
      <c r="AL37" s="7" t="str">
        <f t="shared" si="59"/>
        <v>15°00'00.12 [15°00.00]  (15.0000°)</v>
      </c>
    </row>
    <row r="38" spans="3:38" ht="16.5" thickTop="1" thickBot="1" x14ac:dyDescent="0.3">
      <c r="C38" s="747" t="s">
        <v>284</v>
      </c>
      <c r="D38" s="748"/>
      <c r="E38" s="749"/>
      <c r="F38" s="744" t="str">
        <f t="shared" si="24"/>
        <v>-02°00'00.00 [-02°00.00]  (-02.0000°)</v>
      </c>
      <c r="G38" s="745"/>
      <c r="H38" s="746"/>
      <c r="J38" s="146" t="str">
        <f t="shared" ref="J38:J54" si="60">C38</f>
        <v>-2</v>
      </c>
      <c r="K38" s="14" t="str">
        <f t="shared" si="26"/>
        <v>-02°00'00.00 [-02°00.00]  (-02.0000°)</v>
      </c>
      <c r="L38" s="7">
        <f t="shared" si="33"/>
        <v>-2</v>
      </c>
      <c r="M38" s="5">
        <f t="shared" si="34"/>
        <v>-1</v>
      </c>
      <c r="N38" s="5" t="str">
        <f t="shared" si="35"/>
        <v>-</v>
      </c>
      <c r="O38" s="5" t="str">
        <f t="shared" si="36"/>
        <v>2</v>
      </c>
      <c r="P38" s="5" t="b">
        <f t="shared" si="37"/>
        <v>0</v>
      </c>
      <c r="Q38" s="5" t="b">
        <f t="shared" si="38"/>
        <v>0</v>
      </c>
      <c r="R38" s="5" t="b">
        <f t="shared" si="39"/>
        <v>0</v>
      </c>
      <c r="S38" s="5" t="b">
        <f t="shared" si="40"/>
        <v>1</v>
      </c>
      <c r="T38" s="5" t="b">
        <f t="shared" si="41"/>
        <v>1</v>
      </c>
      <c r="U38" s="6">
        <f t="shared" si="42"/>
        <v>2</v>
      </c>
      <c r="V38" s="5" t="str">
        <f t="shared" si="43"/>
        <v/>
      </c>
      <c r="W38" s="5" t="b">
        <f t="shared" si="44"/>
        <v>0</v>
      </c>
      <c r="X38" s="5" t="b">
        <f t="shared" si="45"/>
        <v>1</v>
      </c>
      <c r="Y38" s="6">
        <f t="shared" si="46"/>
        <v>0</v>
      </c>
      <c r="Z38" s="5" t="str">
        <f t="shared" si="47"/>
        <v/>
      </c>
      <c r="AA38" s="5" t="b">
        <f t="shared" si="48"/>
        <v>0</v>
      </c>
      <c r="AB38" s="5" t="b">
        <f t="shared" si="49"/>
        <v>1</v>
      </c>
      <c r="AC38" s="5" t="b">
        <f t="shared" si="50"/>
        <v>0</v>
      </c>
      <c r="AD38" s="6">
        <f t="shared" si="51"/>
        <v>0</v>
      </c>
      <c r="AE38" s="6">
        <f t="shared" si="52"/>
        <v>7200</v>
      </c>
      <c r="AF38" s="6">
        <f t="shared" si="53"/>
        <v>2</v>
      </c>
      <c r="AG38" s="6">
        <f t="shared" si="54"/>
        <v>2</v>
      </c>
      <c r="AH38" s="6">
        <f t="shared" si="55"/>
        <v>0</v>
      </c>
      <c r="AI38" s="6">
        <f t="shared" si="56"/>
        <v>0</v>
      </c>
      <c r="AJ38" s="6">
        <f t="shared" si="57"/>
        <v>0</v>
      </c>
      <c r="AK38" s="6">
        <f t="shared" si="58"/>
        <v>-2</v>
      </c>
      <c r="AL38" s="7" t="str">
        <f t="shared" si="59"/>
        <v>-02°00'00.00 [-02°00.00]  (-02.0000°)</v>
      </c>
    </row>
    <row r="39" spans="3:38" ht="16.5" thickTop="1" thickBot="1" x14ac:dyDescent="0.3">
      <c r="C39" s="747" t="s">
        <v>285</v>
      </c>
      <c r="D39" s="748"/>
      <c r="E39" s="749"/>
      <c r="F39" s="744" t="str">
        <f t="shared" si="24"/>
        <v>-02°59'24.00 [-02°59.40]  (-02.9900°)</v>
      </c>
      <c r="G39" s="745"/>
      <c r="H39" s="746"/>
      <c r="J39" s="146" t="str">
        <f t="shared" si="60"/>
        <v>-2.99</v>
      </c>
      <c r="K39" s="14" t="str">
        <f t="shared" si="26"/>
        <v>-02°59'24.00 [-02°59.40]  (-02.9900°)</v>
      </c>
      <c r="L39" s="7">
        <f t="shared" si="33"/>
        <v>-2.99</v>
      </c>
      <c r="M39" s="5">
        <f t="shared" si="34"/>
        <v>-1</v>
      </c>
      <c r="N39" s="5" t="str">
        <f t="shared" si="35"/>
        <v>-</v>
      </c>
      <c r="O39" s="5" t="str">
        <f t="shared" si="36"/>
        <v>2.99</v>
      </c>
      <c r="P39" s="5" t="b">
        <f t="shared" si="37"/>
        <v>0</v>
      </c>
      <c r="Q39" s="5" t="b">
        <f t="shared" si="38"/>
        <v>0</v>
      </c>
      <c r="R39" s="5" t="b">
        <f t="shared" si="39"/>
        <v>0</v>
      </c>
      <c r="S39" s="5" t="b">
        <f t="shared" si="40"/>
        <v>1</v>
      </c>
      <c r="T39" s="5" t="b">
        <f t="shared" si="41"/>
        <v>1</v>
      </c>
      <c r="U39" s="6">
        <f t="shared" si="42"/>
        <v>2.99</v>
      </c>
      <c r="V39" s="5" t="str">
        <f t="shared" si="43"/>
        <v/>
      </c>
      <c r="W39" s="5" t="b">
        <f t="shared" si="44"/>
        <v>0</v>
      </c>
      <c r="X39" s="5" t="b">
        <f t="shared" si="45"/>
        <v>1</v>
      </c>
      <c r="Y39" s="6">
        <f t="shared" si="46"/>
        <v>0</v>
      </c>
      <c r="Z39" s="5" t="str">
        <f t="shared" si="47"/>
        <v/>
      </c>
      <c r="AA39" s="5" t="b">
        <f t="shared" si="48"/>
        <v>0</v>
      </c>
      <c r="AB39" s="5" t="b">
        <f t="shared" si="49"/>
        <v>1</v>
      </c>
      <c r="AC39" s="5" t="b">
        <f t="shared" si="50"/>
        <v>0</v>
      </c>
      <c r="AD39" s="6">
        <f t="shared" si="51"/>
        <v>0</v>
      </c>
      <c r="AE39" s="6">
        <f t="shared" si="52"/>
        <v>10764</v>
      </c>
      <c r="AF39" s="6">
        <f t="shared" si="53"/>
        <v>2.99</v>
      </c>
      <c r="AG39" s="6">
        <f t="shared" si="54"/>
        <v>2</v>
      </c>
      <c r="AH39" s="6">
        <f t="shared" si="55"/>
        <v>59.4</v>
      </c>
      <c r="AI39" s="6">
        <f t="shared" si="56"/>
        <v>59</v>
      </c>
      <c r="AJ39" s="6">
        <f t="shared" si="57"/>
        <v>24</v>
      </c>
      <c r="AK39" s="6">
        <f t="shared" si="58"/>
        <v>-2.99</v>
      </c>
      <c r="AL39" s="7" t="str">
        <f t="shared" si="59"/>
        <v>-02°59'24.00 [-02°59.40]  (-02.9900°)</v>
      </c>
    </row>
    <row r="40" spans="3:38" ht="16.5" thickTop="1" thickBot="1" x14ac:dyDescent="0.3">
      <c r="C40" s="741" t="s">
        <v>286</v>
      </c>
      <c r="D40" s="753"/>
      <c r="E40" s="754"/>
      <c r="F40" s="744" t="str">
        <f t="shared" si="24"/>
        <v>-02°56'56.00 [-02°56.93]  (-02.9489°)</v>
      </c>
      <c r="G40" s="745"/>
      <c r="H40" s="746"/>
      <c r="J40" s="146" t="str">
        <f t="shared" si="60"/>
        <v>-2°56'56"</v>
      </c>
      <c r="K40" s="14" t="str">
        <f t="shared" si="26"/>
        <v>-02°56'56.00 [-02°56.93]  (-02.9489°)</v>
      </c>
      <c r="L40" s="7">
        <f t="shared" si="33"/>
        <v>-2.9488888888888889</v>
      </c>
      <c r="M40" s="5">
        <f t="shared" si="34"/>
        <v>-1</v>
      </c>
      <c r="N40" s="5" t="str">
        <f t="shared" si="35"/>
        <v>-</v>
      </c>
      <c r="O40" s="5" t="str">
        <f t="shared" si="36"/>
        <v>2°56'56"</v>
      </c>
      <c r="P40" s="5" t="b">
        <f t="shared" si="37"/>
        <v>1</v>
      </c>
      <c r="Q40" s="5" t="b">
        <f t="shared" si="38"/>
        <v>1</v>
      </c>
      <c r="R40" s="5" t="b">
        <f t="shared" si="39"/>
        <v>1</v>
      </c>
      <c r="S40" s="5" t="b">
        <f t="shared" si="40"/>
        <v>0</v>
      </c>
      <c r="T40" s="5" t="b">
        <f t="shared" si="41"/>
        <v>1</v>
      </c>
      <c r="U40" s="6" t="str">
        <f t="shared" si="42"/>
        <v>2</v>
      </c>
      <c r="V40" s="5" t="str">
        <f t="shared" si="43"/>
        <v>56'56"</v>
      </c>
      <c r="W40" s="5" t="b">
        <f t="shared" si="44"/>
        <v>1</v>
      </c>
      <c r="X40" s="5" t="b">
        <f t="shared" si="45"/>
        <v>0</v>
      </c>
      <c r="Y40" s="6">
        <f t="shared" si="46"/>
        <v>56</v>
      </c>
      <c r="Z40" s="5" t="str">
        <f t="shared" si="47"/>
        <v>56"</v>
      </c>
      <c r="AA40" s="5" t="b">
        <f t="shared" si="48"/>
        <v>1</v>
      </c>
      <c r="AB40" s="5" t="b">
        <f t="shared" si="49"/>
        <v>0</v>
      </c>
      <c r="AC40" s="5" t="b">
        <f t="shared" si="50"/>
        <v>0</v>
      </c>
      <c r="AD40" s="6">
        <f t="shared" si="51"/>
        <v>56</v>
      </c>
      <c r="AE40" s="6">
        <f t="shared" si="52"/>
        <v>10616</v>
      </c>
      <c r="AF40" s="6">
        <f t="shared" si="53"/>
        <v>2.9488888888888889</v>
      </c>
      <c r="AG40" s="6">
        <f t="shared" si="54"/>
        <v>2</v>
      </c>
      <c r="AH40" s="6">
        <f t="shared" si="55"/>
        <v>56.93333333333333</v>
      </c>
      <c r="AI40" s="6">
        <f t="shared" si="56"/>
        <v>56</v>
      </c>
      <c r="AJ40" s="6">
        <f t="shared" si="57"/>
        <v>56</v>
      </c>
      <c r="AK40" s="6">
        <f t="shared" si="58"/>
        <v>-2.9488888888888889</v>
      </c>
      <c r="AL40" s="7" t="str">
        <f t="shared" si="59"/>
        <v>-02°56'56.00 [-02°56.93]  (-02.9489°)</v>
      </c>
    </row>
    <row r="41" spans="3:38" ht="16.5" thickTop="1" thickBot="1" x14ac:dyDescent="0.3">
      <c r="C41" s="741" t="s">
        <v>287</v>
      </c>
      <c r="D41" s="753"/>
      <c r="E41" s="754"/>
      <c r="F41" s="744" t="str">
        <f t="shared" si="24"/>
        <v>-02°56'56.99 [-02°56.95]  (-02.9492°)</v>
      </c>
      <c r="G41" s="745"/>
      <c r="H41" s="746"/>
      <c r="J41" s="146" t="str">
        <f t="shared" si="60"/>
        <v>-2°56'56.99"</v>
      </c>
      <c r="K41" s="14" t="str">
        <f t="shared" si="26"/>
        <v>-02°56'56.99 [-02°56.95]  (-02.9492°)</v>
      </c>
      <c r="L41" s="7">
        <f t="shared" si="33"/>
        <v>-2.9491638888888887</v>
      </c>
      <c r="M41" s="5">
        <f t="shared" si="34"/>
        <v>-1</v>
      </c>
      <c r="N41" s="5" t="str">
        <f t="shared" si="35"/>
        <v>-</v>
      </c>
      <c r="O41" s="5" t="str">
        <f t="shared" si="36"/>
        <v>2°56'56.99"</v>
      </c>
      <c r="P41" s="5" t="b">
        <f t="shared" si="37"/>
        <v>1</v>
      </c>
      <c r="Q41" s="5" t="b">
        <f t="shared" si="38"/>
        <v>1</v>
      </c>
      <c r="R41" s="5" t="b">
        <f t="shared" si="39"/>
        <v>1</v>
      </c>
      <c r="S41" s="5" t="b">
        <f t="shared" si="40"/>
        <v>0</v>
      </c>
      <c r="T41" s="5" t="b">
        <f t="shared" si="41"/>
        <v>1</v>
      </c>
      <c r="U41" s="6" t="str">
        <f t="shared" si="42"/>
        <v>2</v>
      </c>
      <c r="V41" s="5" t="str">
        <f t="shared" si="43"/>
        <v>56'56.99"</v>
      </c>
      <c r="W41" s="5" t="b">
        <f t="shared" si="44"/>
        <v>1</v>
      </c>
      <c r="X41" s="5" t="b">
        <f t="shared" si="45"/>
        <v>0</v>
      </c>
      <c r="Y41" s="6">
        <f t="shared" si="46"/>
        <v>56</v>
      </c>
      <c r="Z41" s="5" t="str">
        <f t="shared" si="47"/>
        <v>56.99"</v>
      </c>
      <c r="AA41" s="5" t="b">
        <f t="shared" si="48"/>
        <v>1</v>
      </c>
      <c r="AB41" s="5" t="b">
        <f t="shared" si="49"/>
        <v>0</v>
      </c>
      <c r="AC41" s="5" t="b">
        <f t="shared" si="50"/>
        <v>1</v>
      </c>
      <c r="AD41" s="6">
        <f t="shared" si="51"/>
        <v>56.99</v>
      </c>
      <c r="AE41" s="6">
        <f t="shared" si="52"/>
        <v>10616.99</v>
      </c>
      <c r="AF41" s="6">
        <f t="shared" si="53"/>
        <v>2.9491638888888887</v>
      </c>
      <c r="AG41" s="6">
        <f t="shared" si="54"/>
        <v>2</v>
      </c>
      <c r="AH41" s="6">
        <f t="shared" si="55"/>
        <v>56.949833333333331</v>
      </c>
      <c r="AI41" s="6">
        <f t="shared" si="56"/>
        <v>56</v>
      </c>
      <c r="AJ41" s="6">
        <f t="shared" si="57"/>
        <v>56.989999999999782</v>
      </c>
      <c r="AK41" s="6">
        <f t="shared" si="58"/>
        <v>-2.9491638888888887</v>
      </c>
      <c r="AL41" s="7" t="str">
        <f t="shared" si="59"/>
        <v>-02°56'56.99 [-02°56.95]  (-02.9492°)</v>
      </c>
    </row>
    <row r="42" spans="3:38" ht="16.5" thickTop="1" thickBot="1" x14ac:dyDescent="0.3">
      <c r="C42" s="741" t="s">
        <v>288</v>
      </c>
      <c r="D42" s="753"/>
      <c r="E42" s="754"/>
      <c r="F42" s="744" t="str">
        <f t="shared" si="24"/>
        <v>-02°56'59.94 [-02°57.00]  (-02.9500°)</v>
      </c>
      <c r="G42" s="745"/>
      <c r="H42" s="746"/>
      <c r="J42" s="146" t="str">
        <f t="shared" si="60"/>
        <v>-2°56.999'</v>
      </c>
      <c r="K42" s="14" t="str">
        <f t="shared" si="26"/>
        <v>-02°56'59.94 [-02°57.00]  (-02.9500°)</v>
      </c>
      <c r="L42" s="7">
        <f t="shared" si="33"/>
        <v>-2.9499833333333334</v>
      </c>
      <c r="M42" s="5">
        <f t="shared" si="34"/>
        <v>-1</v>
      </c>
      <c r="N42" s="5" t="str">
        <f t="shared" si="35"/>
        <v>-</v>
      </c>
      <c r="O42" s="5" t="str">
        <f t="shared" si="36"/>
        <v>2°56.999'</v>
      </c>
      <c r="P42" s="5" t="b">
        <f t="shared" si="37"/>
        <v>1</v>
      </c>
      <c r="Q42" s="5" t="b">
        <f t="shared" si="38"/>
        <v>1</v>
      </c>
      <c r="R42" s="5" t="b">
        <f t="shared" si="39"/>
        <v>0</v>
      </c>
      <c r="S42" s="5" t="b">
        <f t="shared" si="40"/>
        <v>0</v>
      </c>
      <c r="T42" s="5" t="b">
        <f t="shared" si="41"/>
        <v>1</v>
      </c>
      <c r="U42" s="6" t="str">
        <f t="shared" si="42"/>
        <v>2</v>
      </c>
      <c r="V42" s="5" t="str">
        <f t="shared" si="43"/>
        <v>56.999'</v>
      </c>
      <c r="W42" s="5" t="b">
        <f t="shared" si="44"/>
        <v>1</v>
      </c>
      <c r="X42" s="5" t="b">
        <f t="shared" si="45"/>
        <v>0</v>
      </c>
      <c r="Y42" s="6">
        <f t="shared" si="46"/>
        <v>56.999000000000002</v>
      </c>
      <c r="Z42" s="5" t="str">
        <f t="shared" si="47"/>
        <v/>
      </c>
      <c r="AA42" s="5" t="b">
        <f t="shared" si="48"/>
        <v>0</v>
      </c>
      <c r="AB42" s="5" t="b">
        <f t="shared" si="49"/>
        <v>1</v>
      </c>
      <c r="AC42" s="5" t="b">
        <f t="shared" si="50"/>
        <v>0</v>
      </c>
      <c r="AD42" s="6">
        <f t="shared" si="51"/>
        <v>0</v>
      </c>
      <c r="AE42" s="6">
        <f t="shared" si="52"/>
        <v>10619.94</v>
      </c>
      <c r="AF42" s="6">
        <f t="shared" si="53"/>
        <v>2.9499833333333334</v>
      </c>
      <c r="AG42" s="6">
        <f t="shared" si="54"/>
        <v>2</v>
      </c>
      <c r="AH42" s="6">
        <f t="shared" si="55"/>
        <v>56.999000000000009</v>
      </c>
      <c r="AI42" s="6">
        <f t="shared" si="56"/>
        <v>56</v>
      </c>
      <c r="AJ42" s="6">
        <f t="shared" si="57"/>
        <v>59.940000000000509</v>
      </c>
      <c r="AK42" s="6">
        <f t="shared" si="58"/>
        <v>-2.9499833333333334</v>
      </c>
      <c r="AL42" s="7" t="str">
        <f t="shared" si="59"/>
        <v>-02°56'59.94 [-02°57.00]  (-02.9500°)</v>
      </c>
    </row>
    <row r="43" spans="3:38" ht="16.5" thickTop="1" thickBot="1" x14ac:dyDescent="0.3">
      <c r="C43" s="741" t="s">
        <v>289</v>
      </c>
      <c r="D43" s="753"/>
      <c r="E43" s="754"/>
      <c r="F43" s="744" t="str">
        <f t="shared" si="24"/>
        <v>-02°56'59.94 [-02°57.00]  (-02.9500°)</v>
      </c>
      <c r="G43" s="745"/>
      <c r="H43" s="746"/>
      <c r="J43" s="146" t="str">
        <f t="shared" si="60"/>
        <v>-2°56.999</v>
      </c>
      <c r="K43" s="14" t="str">
        <f t="shared" si="26"/>
        <v>-02°56'59.94 [-02°57.00]  (-02.9500°)</v>
      </c>
      <c r="L43" s="7">
        <f t="shared" si="33"/>
        <v>-2.9499833333333334</v>
      </c>
      <c r="M43" s="5">
        <f t="shared" si="34"/>
        <v>-1</v>
      </c>
      <c r="N43" s="5" t="str">
        <f t="shared" si="35"/>
        <v>-</v>
      </c>
      <c r="O43" s="5" t="str">
        <f t="shared" si="36"/>
        <v>2°56.999</v>
      </c>
      <c r="P43" s="5" t="b">
        <f t="shared" si="37"/>
        <v>1</v>
      </c>
      <c r="Q43" s="5" t="b">
        <f t="shared" si="38"/>
        <v>0</v>
      </c>
      <c r="R43" s="5" t="b">
        <f t="shared" si="39"/>
        <v>0</v>
      </c>
      <c r="S43" s="5" t="b">
        <f t="shared" si="40"/>
        <v>0</v>
      </c>
      <c r="T43" s="5" t="b">
        <f t="shared" si="41"/>
        <v>1</v>
      </c>
      <c r="U43" s="6" t="str">
        <f t="shared" si="42"/>
        <v>2</v>
      </c>
      <c r="V43" s="5" t="str">
        <f t="shared" si="43"/>
        <v>56.999</v>
      </c>
      <c r="W43" s="5" t="b">
        <f t="shared" si="44"/>
        <v>1</v>
      </c>
      <c r="X43" s="5" t="b">
        <f t="shared" si="45"/>
        <v>1</v>
      </c>
      <c r="Y43" s="6">
        <f t="shared" si="46"/>
        <v>56.999000000000002</v>
      </c>
      <c r="Z43" s="5" t="str">
        <f t="shared" si="47"/>
        <v/>
      </c>
      <c r="AA43" s="5" t="b">
        <f t="shared" si="48"/>
        <v>0</v>
      </c>
      <c r="AB43" s="5" t="b">
        <f t="shared" si="49"/>
        <v>1</v>
      </c>
      <c r="AC43" s="5" t="b">
        <f t="shared" si="50"/>
        <v>0</v>
      </c>
      <c r="AD43" s="6">
        <f t="shared" si="51"/>
        <v>0</v>
      </c>
      <c r="AE43" s="6">
        <f t="shared" si="52"/>
        <v>10619.94</v>
      </c>
      <c r="AF43" s="6">
        <f t="shared" si="53"/>
        <v>2.9499833333333334</v>
      </c>
      <c r="AG43" s="6">
        <f t="shared" si="54"/>
        <v>2</v>
      </c>
      <c r="AH43" s="6">
        <f t="shared" si="55"/>
        <v>56.999000000000009</v>
      </c>
      <c r="AI43" s="6">
        <f t="shared" si="56"/>
        <v>56</v>
      </c>
      <c r="AJ43" s="6">
        <f t="shared" si="57"/>
        <v>59.940000000000509</v>
      </c>
      <c r="AK43" s="6">
        <f t="shared" si="58"/>
        <v>-2.9499833333333334</v>
      </c>
      <c r="AL43" s="7" t="str">
        <f t="shared" si="59"/>
        <v>-02°56'59.94 [-02°57.00]  (-02.9500°)</v>
      </c>
    </row>
    <row r="44" spans="3:38" ht="16.5" thickTop="1" thickBot="1" x14ac:dyDescent="0.3">
      <c r="C44" s="741" t="s">
        <v>290</v>
      </c>
      <c r="D44" s="753"/>
      <c r="E44" s="754"/>
      <c r="F44" s="744" t="str">
        <f t="shared" si="24"/>
        <v>-02°59'59.64 [-02°59.99]  (-02.9999°)</v>
      </c>
      <c r="G44" s="745"/>
      <c r="H44" s="746"/>
      <c r="J44" s="146" t="str">
        <f t="shared" si="60"/>
        <v>-2.9999°</v>
      </c>
      <c r="K44" s="14" t="str">
        <f t="shared" si="26"/>
        <v>-02°59'59.64 [-02°59.99]  (-02.9999°)</v>
      </c>
      <c r="L44" s="7">
        <f t="shared" si="33"/>
        <v>-2.9998999999999998</v>
      </c>
      <c r="M44" s="5">
        <f t="shared" si="34"/>
        <v>-1</v>
      </c>
      <c r="N44" s="5" t="str">
        <f t="shared" si="35"/>
        <v>-</v>
      </c>
      <c r="O44" s="5" t="str">
        <f t="shared" si="36"/>
        <v>2.9999°</v>
      </c>
      <c r="P44" s="5" t="b">
        <f t="shared" si="37"/>
        <v>1</v>
      </c>
      <c r="Q44" s="5" t="b">
        <f t="shared" si="38"/>
        <v>0</v>
      </c>
      <c r="R44" s="5" t="b">
        <f t="shared" si="39"/>
        <v>0</v>
      </c>
      <c r="S44" s="5" t="b">
        <f t="shared" si="40"/>
        <v>0</v>
      </c>
      <c r="T44" s="5" t="b">
        <f t="shared" si="41"/>
        <v>1</v>
      </c>
      <c r="U44" s="6" t="str">
        <f t="shared" si="42"/>
        <v>2.9999</v>
      </c>
      <c r="V44" s="5" t="str">
        <f t="shared" si="43"/>
        <v/>
      </c>
      <c r="W44" s="5" t="b">
        <f t="shared" si="44"/>
        <v>0</v>
      </c>
      <c r="X44" s="5" t="b">
        <f t="shared" si="45"/>
        <v>1</v>
      </c>
      <c r="Y44" s="6">
        <f t="shared" si="46"/>
        <v>0</v>
      </c>
      <c r="Z44" s="5" t="str">
        <f t="shared" si="47"/>
        <v/>
      </c>
      <c r="AA44" s="5" t="b">
        <f t="shared" si="48"/>
        <v>0</v>
      </c>
      <c r="AB44" s="5" t="b">
        <f t="shared" si="49"/>
        <v>1</v>
      </c>
      <c r="AC44" s="5" t="b">
        <f t="shared" si="50"/>
        <v>0</v>
      </c>
      <c r="AD44" s="6">
        <f t="shared" si="51"/>
        <v>0</v>
      </c>
      <c r="AE44" s="6">
        <f t="shared" si="52"/>
        <v>10799.64</v>
      </c>
      <c r="AF44" s="6">
        <f t="shared" si="53"/>
        <v>2.9998999999999998</v>
      </c>
      <c r="AG44" s="6">
        <f t="shared" si="54"/>
        <v>2</v>
      </c>
      <c r="AH44" s="6">
        <f t="shared" si="55"/>
        <v>59.993999999999993</v>
      </c>
      <c r="AI44" s="6">
        <f t="shared" si="56"/>
        <v>59</v>
      </c>
      <c r="AJ44" s="6">
        <f t="shared" si="57"/>
        <v>59.639999999999418</v>
      </c>
      <c r="AK44" s="6">
        <f t="shared" si="58"/>
        <v>-2.9998999999999998</v>
      </c>
      <c r="AL44" s="7" t="str">
        <f t="shared" si="59"/>
        <v>-02°59'59.64 [-02°59.99]  (-02.9999°)</v>
      </c>
    </row>
    <row r="45" spans="3:38" ht="16.5" thickTop="1" thickBot="1" x14ac:dyDescent="0.3">
      <c r="C45" s="750" t="s">
        <v>291</v>
      </c>
      <c r="D45" s="751"/>
      <c r="E45" s="752"/>
      <c r="F45" s="744" t="str">
        <f t="shared" si="24"/>
        <v>-00°56'56.00 [-00°56.93]  (-00.9489°)</v>
      </c>
      <c r="G45" s="745"/>
      <c r="H45" s="746"/>
      <c r="J45" s="146" t="str">
        <f t="shared" si="60"/>
        <v>-56'56"</v>
      </c>
      <c r="K45" s="14" t="str">
        <f t="shared" si="26"/>
        <v>-00°56'56.00 [-00°56.93]  (-00.9489°)</v>
      </c>
      <c r="L45" s="7">
        <f t="shared" si="33"/>
        <v>-0.94888888888888889</v>
      </c>
      <c r="M45" s="5">
        <f t="shared" si="34"/>
        <v>-1</v>
      </c>
      <c r="N45" s="5" t="str">
        <f t="shared" si="35"/>
        <v>-</v>
      </c>
      <c r="O45" s="5" t="str">
        <f t="shared" si="36"/>
        <v>56'56"</v>
      </c>
      <c r="P45" s="5" t="b">
        <f t="shared" si="37"/>
        <v>0</v>
      </c>
      <c r="Q45" s="5" t="b">
        <f t="shared" si="38"/>
        <v>1</v>
      </c>
      <c r="R45" s="5" t="b">
        <f t="shared" si="39"/>
        <v>1</v>
      </c>
      <c r="S45" s="5" t="b">
        <f t="shared" si="40"/>
        <v>0</v>
      </c>
      <c r="T45" s="5" t="b">
        <f t="shared" si="41"/>
        <v>0</v>
      </c>
      <c r="U45" s="6">
        <f t="shared" si="42"/>
        <v>0</v>
      </c>
      <c r="V45" s="5" t="str">
        <f t="shared" si="43"/>
        <v>56'56"</v>
      </c>
      <c r="W45" s="5" t="b">
        <f t="shared" si="44"/>
        <v>1</v>
      </c>
      <c r="X45" s="5" t="b">
        <f t="shared" si="45"/>
        <v>0</v>
      </c>
      <c r="Y45" s="6">
        <f t="shared" si="46"/>
        <v>56</v>
      </c>
      <c r="Z45" s="5" t="str">
        <f t="shared" si="47"/>
        <v>56"</v>
      </c>
      <c r="AA45" s="5" t="b">
        <f t="shared" si="48"/>
        <v>1</v>
      </c>
      <c r="AB45" s="5" t="b">
        <f t="shared" si="49"/>
        <v>0</v>
      </c>
      <c r="AC45" s="5" t="b">
        <f t="shared" si="50"/>
        <v>0</v>
      </c>
      <c r="AD45" s="6">
        <f t="shared" si="51"/>
        <v>56</v>
      </c>
      <c r="AE45" s="6">
        <f t="shared" si="52"/>
        <v>3416</v>
      </c>
      <c r="AF45" s="6">
        <f t="shared" si="53"/>
        <v>0.94888888888888889</v>
      </c>
      <c r="AG45" s="6">
        <f t="shared" si="54"/>
        <v>0</v>
      </c>
      <c r="AH45" s="6">
        <f t="shared" si="55"/>
        <v>56.93333333333333</v>
      </c>
      <c r="AI45" s="6">
        <f t="shared" si="56"/>
        <v>56</v>
      </c>
      <c r="AJ45" s="6">
        <f t="shared" si="57"/>
        <v>56</v>
      </c>
      <c r="AK45" s="6">
        <f t="shared" si="58"/>
        <v>-0.94888888888888889</v>
      </c>
      <c r="AL45" s="7" t="str">
        <f t="shared" si="59"/>
        <v>-00°56'56.00 [-00°56.93]  (-00.9489°)</v>
      </c>
    </row>
    <row r="46" spans="3:38" ht="16.5" thickTop="1" thickBot="1" x14ac:dyDescent="0.3">
      <c r="C46" s="750" t="s">
        <v>292</v>
      </c>
      <c r="D46" s="751"/>
      <c r="E46" s="752"/>
      <c r="F46" s="744" t="str">
        <f t="shared" si="24"/>
        <v>-00°56'56.99 [-00°56.95]  (-00.9492°)</v>
      </c>
      <c r="G46" s="745"/>
      <c r="H46" s="746"/>
      <c r="J46" s="146" t="str">
        <f t="shared" si="60"/>
        <v>-56'56.99"</v>
      </c>
      <c r="K46" s="14" t="str">
        <f t="shared" si="26"/>
        <v>-00°56'56.99 [-00°56.95]  (-00.9492°)</v>
      </c>
      <c r="L46" s="7">
        <f t="shared" si="33"/>
        <v>-0.94916388888888881</v>
      </c>
      <c r="M46" s="5">
        <f t="shared" si="34"/>
        <v>-1</v>
      </c>
      <c r="N46" s="5" t="str">
        <f t="shared" si="35"/>
        <v>-</v>
      </c>
      <c r="O46" s="5" t="str">
        <f t="shared" si="36"/>
        <v>56'56.99"</v>
      </c>
      <c r="P46" s="5" t="b">
        <f t="shared" si="37"/>
        <v>0</v>
      </c>
      <c r="Q46" s="5" t="b">
        <f t="shared" si="38"/>
        <v>1</v>
      </c>
      <c r="R46" s="5" t="b">
        <f t="shared" si="39"/>
        <v>1</v>
      </c>
      <c r="S46" s="5" t="b">
        <f t="shared" si="40"/>
        <v>0</v>
      </c>
      <c r="T46" s="5" t="b">
        <f t="shared" si="41"/>
        <v>0</v>
      </c>
      <c r="U46" s="6">
        <f t="shared" si="42"/>
        <v>0</v>
      </c>
      <c r="V46" s="5" t="str">
        <f t="shared" si="43"/>
        <v>56'56.99"</v>
      </c>
      <c r="W46" s="5" t="b">
        <f t="shared" si="44"/>
        <v>1</v>
      </c>
      <c r="X46" s="5" t="b">
        <f t="shared" si="45"/>
        <v>0</v>
      </c>
      <c r="Y46" s="6">
        <f t="shared" si="46"/>
        <v>56</v>
      </c>
      <c r="Z46" s="5" t="str">
        <f t="shared" si="47"/>
        <v>56.99"</v>
      </c>
      <c r="AA46" s="5" t="b">
        <f t="shared" si="48"/>
        <v>1</v>
      </c>
      <c r="AB46" s="5" t="b">
        <f t="shared" si="49"/>
        <v>0</v>
      </c>
      <c r="AC46" s="5" t="b">
        <f t="shared" si="50"/>
        <v>1</v>
      </c>
      <c r="AD46" s="6">
        <f t="shared" si="51"/>
        <v>56.99</v>
      </c>
      <c r="AE46" s="6">
        <f t="shared" si="52"/>
        <v>3416.99</v>
      </c>
      <c r="AF46" s="6">
        <f t="shared" si="53"/>
        <v>0.94916388888888881</v>
      </c>
      <c r="AG46" s="6">
        <f t="shared" si="54"/>
        <v>0</v>
      </c>
      <c r="AH46" s="6">
        <f t="shared" si="55"/>
        <v>56.949833333333331</v>
      </c>
      <c r="AI46" s="6">
        <f t="shared" si="56"/>
        <v>56</v>
      </c>
      <c r="AJ46" s="6">
        <f t="shared" si="57"/>
        <v>56.989999999999782</v>
      </c>
      <c r="AK46" s="6">
        <f t="shared" si="58"/>
        <v>-0.94916388888888881</v>
      </c>
      <c r="AL46" s="7" t="str">
        <f t="shared" si="59"/>
        <v>-00°56'56.99 [-00°56.95]  (-00.9492°)</v>
      </c>
    </row>
    <row r="47" spans="3:38" ht="16.5" thickTop="1" thickBot="1" x14ac:dyDescent="0.3">
      <c r="C47" s="750" t="s">
        <v>293</v>
      </c>
      <c r="D47" s="751"/>
      <c r="E47" s="752"/>
      <c r="F47" s="744" t="str">
        <f t="shared" si="24"/>
        <v>-00°56'59.94 [-00°57.00]  (-00.9500°)</v>
      </c>
      <c r="G47" s="745"/>
      <c r="H47" s="746"/>
      <c r="J47" s="146" t="str">
        <f t="shared" si="60"/>
        <v>-56.999'</v>
      </c>
      <c r="K47" s="14" t="str">
        <f t="shared" si="26"/>
        <v>-00°56'59.94 [-00°57.00]  (-00.9500°)</v>
      </c>
      <c r="L47" s="7">
        <f t="shared" si="33"/>
        <v>-0.9499833333333334</v>
      </c>
      <c r="M47" s="5">
        <f t="shared" si="34"/>
        <v>-1</v>
      </c>
      <c r="N47" s="5" t="str">
        <f t="shared" si="35"/>
        <v>-</v>
      </c>
      <c r="O47" s="5" t="str">
        <f t="shared" si="36"/>
        <v>56.999'</v>
      </c>
      <c r="P47" s="5" t="b">
        <f t="shared" si="37"/>
        <v>0</v>
      </c>
      <c r="Q47" s="5" t="b">
        <f t="shared" si="38"/>
        <v>1</v>
      </c>
      <c r="R47" s="5" t="b">
        <f t="shared" si="39"/>
        <v>0</v>
      </c>
      <c r="S47" s="5" t="b">
        <f t="shared" si="40"/>
        <v>0</v>
      </c>
      <c r="T47" s="5" t="b">
        <f t="shared" si="41"/>
        <v>0</v>
      </c>
      <c r="U47" s="6">
        <f t="shared" si="42"/>
        <v>0</v>
      </c>
      <c r="V47" s="5" t="str">
        <f t="shared" si="43"/>
        <v>56.999'</v>
      </c>
      <c r="W47" s="5" t="b">
        <f t="shared" si="44"/>
        <v>1</v>
      </c>
      <c r="X47" s="5" t="b">
        <f t="shared" si="45"/>
        <v>0</v>
      </c>
      <c r="Y47" s="6">
        <f t="shared" si="46"/>
        <v>56.999000000000002</v>
      </c>
      <c r="Z47" s="5" t="str">
        <f t="shared" si="47"/>
        <v/>
      </c>
      <c r="AA47" s="5" t="b">
        <f t="shared" si="48"/>
        <v>0</v>
      </c>
      <c r="AB47" s="5" t="b">
        <f t="shared" si="49"/>
        <v>1</v>
      </c>
      <c r="AC47" s="5" t="b">
        <f t="shared" si="50"/>
        <v>0</v>
      </c>
      <c r="AD47" s="6">
        <f t="shared" si="51"/>
        <v>0</v>
      </c>
      <c r="AE47" s="6">
        <f t="shared" si="52"/>
        <v>3419.94</v>
      </c>
      <c r="AF47" s="6">
        <f t="shared" si="53"/>
        <v>0.9499833333333334</v>
      </c>
      <c r="AG47" s="6">
        <f t="shared" si="54"/>
        <v>0</v>
      </c>
      <c r="AH47" s="6">
        <f t="shared" si="55"/>
        <v>56.999000000000002</v>
      </c>
      <c r="AI47" s="6">
        <f t="shared" si="56"/>
        <v>56</v>
      </c>
      <c r="AJ47" s="6">
        <f t="shared" si="57"/>
        <v>59.940000000000055</v>
      </c>
      <c r="AK47" s="6">
        <f t="shared" si="58"/>
        <v>-0.9499833333333334</v>
      </c>
      <c r="AL47" s="7" t="str">
        <f t="shared" si="59"/>
        <v>-00°56'59.94 [-00°57.00]  (-00.9500°)</v>
      </c>
    </row>
    <row r="48" spans="3:38" ht="16.5" thickTop="1" thickBot="1" x14ac:dyDescent="0.3">
      <c r="C48" s="741" t="s">
        <v>294</v>
      </c>
      <c r="D48" s="753"/>
      <c r="E48" s="754"/>
      <c r="F48" s="744" t="str">
        <f t="shared" si="24"/>
        <v>-00°00'56.00 [-00°00.93]  (-00.0156°)</v>
      </c>
      <c r="G48" s="745"/>
      <c r="H48" s="746"/>
      <c r="J48" s="146" t="str">
        <f t="shared" si="60"/>
        <v>-56"</v>
      </c>
      <c r="K48" s="14" t="str">
        <f t="shared" si="26"/>
        <v>-00°00'56.00 [-00°00.93]  (-00.0156°)</v>
      </c>
      <c r="L48" s="7">
        <f t="shared" si="33"/>
        <v>-1.5555555555555555E-2</v>
      </c>
      <c r="M48" s="5">
        <f t="shared" si="34"/>
        <v>-1</v>
      </c>
      <c r="N48" s="5" t="str">
        <f t="shared" si="35"/>
        <v>-</v>
      </c>
      <c r="O48" s="5" t="str">
        <f t="shared" si="36"/>
        <v>56"</v>
      </c>
      <c r="P48" s="5" t="b">
        <f t="shared" si="37"/>
        <v>0</v>
      </c>
      <c r="Q48" s="5" t="b">
        <f t="shared" si="38"/>
        <v>0</v>
      </c>
      <c r="R48" s="5" t="b">
        <f t="shared" si="39"/>
        <v>1</v>
      </c>
      <c r="S48" s="5" t="b">
        <f t="shared" si="40"/>
        <v>0</v>
      </c>
      <c r="T48" s="5" t="b">
        <f t="shared" si="41"/>
        <v>0</v>
      </c>
      <c r="U48" s="6">
        <f t="shared" si="42"/>
        <v>0</v>
      </c>
      <c r="V48" s="5" t="str">
        <f t="shared" si="43"/>
        <v>56"</v>
      </c>
      <c r="W48" s="5" t="b">
        <f t="shared" si="44"/>
        <v>1</v>
      </c>
      <c r="X48" s="5" t="b">
        <f t="shared" si="45"/>
        <v>0</v>
      </c>
      <c r="Y48" s="6">
        <f t="shared" si="46"/>
        <v>0</v>
      </c>
      <c r="Z48" s="5" t="str">
        <f t="shared" si="47"/>
        <v>56"</v>
      </c>
      <c r="AA48" s="5" t="b">
        <f t="shared" si="48"/>
        <v>1</v>
      </c>
      <c r="AB48" s="5" t="b">
        <f t="shared" si="49"/>
        <v>0</v>
      </c>
      <c r="AC48" s="5" t="b">
        <f t="shared" si="50"/>
        <v>0</v>
      </c>
      <c r="AD48" s="6">
        <f t="shared" si="51"/>
        <v>56</v>
      </c>
      <c r="AE48" s="6">
        <f t="shared" si="52"/>
        <v>56</v>
      </c>
      <c r="AF48" s="6">
        <f t="shared" si="53"/>
        <v>1.5555555555555555E-2</v>
      </c>
      <c r="AG48" s="6">
        <f t="shared" si="54"/>
        <v>0</v>
      </c>
      <c r="AH48" s="6">
        <f t="shared" si="55"/>
        <v>0.93333333333333335</v>
      </c>
      <c r="AI48" s="6">
        <f t="shared" si="56"/>
        <v>0</v>
      </c>
      <c r="AJ48" s="6">
        <f t="shared" si="57"/>
        <v>56</v>
      </c>
      <c r="AK48" s="6">
        <f t="shared" si="58"/>
        <v>-1.5555555555555555E-2</v>
      </c>
      <c r="AL48" s="7" t="str">
        <f t="shared" si="59"/>
        <v>-00°00'56.00 [-00°00.93]  (-00.0156°)</v>
      </c>
    </row>
    <row r="49" spans="3:38" ht="16.5" thickTop="1" thickBot="1" x14ac:dyDescent="0.3">
      <c r="C49" s="741" t="s">
        <v>295</v>
      </c>
      <c r="D49" s="753"/>
      <c r="E49" s="754"/>
      <c r="F49" s="744" t="str">
        <f t="shared" si="24"/>
        <v>-00°00'56.26 [-00°00.94]  (-00.0156°)</v>
      </c>
      <c r="G49" s="745"/>
      <c r="H49" s="746"/>
      <c r="J49" s="146" t="str">
        <f t="shared" si="60"/>
        <v>-56.26"</v>
      </c>
      <c r="K49" s="14" t="str">
        <f t="shared" si="26"/>
        <v>-00°00'56.26 [-00°00.94]  (-00.0156°)</v>
      </c>
      <c r="L49" s="7">
        <f t="shared" si="33"/>
        <v>-1.5627777777777779E-2</v>
      </c>
      <c r="M49" s="5">
        <f t="shared" si="34"/>
        <v>-1</v>
      </c>
      <c r="N49" s="5" t="str">
        <f t="shared" si="35"/>
        <v>-</v>
      </c>
      <c r="O49" s="5" t="str">
        <f t="shared" si="36"/>
        <v>56.26"</v>
      </c>
      <c r="P49" s="5" t="b">
        <f t="shared" si="37"/>
        <v>0</v>
      </c>
      <c r="Q49" s="5" t="b">
        <f t="shared" si="38"/>
        <v>0</v>
      </c>
      <c r="R49" s="5" t="b">
        <f t="shared" si="39"/>
        <v>1</v>
      </c>
      <c r="S49" s="5" t="b">
        <f t="shared" si="40"/>
        <v>0</v>
      </c>
      <c r="T49" s="5" t="b">
        <f t="shared" si="41"/>
        <v>0</v>
      </c>
      <c r="U49" s="6">
        <f t="shared" si="42"/>
        <v>0</v>
      </c>
      <c r="V49" s="5" t="str">
        <f t="shared" si="43"/>
        <v>56.26"</v>
      </c>
      <c r="W49" s="5" t="b">
        <f t="shared" si="44"/>
        <v>1</v>
      </c>
      <c r="X49" s="5" t="b">
        <f t="shared" si="45"/>
        <v>0</v>
      </c>
      <c r="Y49" s="6">
        <f t="shared" si="46"/>
        <v>0</v>
      </c>
      <c r="Z49" s="5" t="str">
        <f t="shared" si="47"/>
        <v>56.26"</v>
      </c>
      <c r="AA49" s="5" t="b">
        <f t="shared" si="48"/>
        <v>1</v>
      </c>
      <c r="AB49" s="5" t="b">
        <f t="shared" si="49"/>
        <v>0</v>
      </c>
      <c r="AC49" s="5" t="b">
        <f t="shared" si="50"/>
        <v>1</v>
      </c>
      <c r="AD49" s="6">
        <f t="shared" si="51"/>
        <v>56.26</v>
      </c>
      <c r="AE49" s="6">
        <f t="shared" si="52"/>
        <v>56.26</v>
      </c>
      <c r="AF49" s="6">
        <f t="shared" si="53"/>
        <v>1.5627777777777779E-2</v>
      </c>
      <c r="AG49" s="6">
        <f t="shared" si="54"/>
        <v>0</v>
      </c>
      <c r="AH49" s="6">
        <f t="shared" si="55"/>
        <v>0.93766666666666665</v>
      </c>
      <c r="AI49" s="6">
        <f t="shared" si="56"/>
        <v>0</v>
      </c>
      <c r="AJ49" s="6">
        <f t="shared" si="57"/>
        <v>56.26</v>
      </c>
      <c r="AK49" s="6">
        <f t="shared" si="58"/>
        <v>-1.5627777777777779E-2</v>
      </c>
      <c r="AL49" s="7" t="str">
        <f t="shared" si="59"/>
        <v>-00°00'56.26 [-00°00.94]  (-00.0156°)</v>
      </c>
    </row>
    <row r="50" spans="3:38" ht="16.5" thickTop="1" thickBot="1" x14ac:dyDescent="0.3">
      <c r="C50" s="741" t="s">
        <v>296</v>
      </c>
      <c r="D50" s="742"/>
      <c r="E50" s="743"/>
      <c r="F50" s="744" t="str">
        <f t="shared" si="24"/>
        <v>-02°56'26.00 [-02°56.43]  (-02.9406°)</v>
      </c>
      <c r="G50" s="745"/>
      <c r="H50" s="746"/>
      <c r="J50" s="146" t="str">
        <f t="shared" si="60"/>
        <v>-2°56'26</v>
      </c>
      <c r="K50" s="14" t="str">
        <f t="shared" si="26"/>
        <v>-02°56'26.00 [-02°56.43]  (-02.9406°)</v>
      </c>
      <c r="L50" s="7">
        <f t="shared" si="33"/>
        <v>-2.9405555555555556</v>
      </c>
      <c r="M50" s="5">
        <f t="shared" si="34"/>
        <v>-1</v>
      </c>
      <c r="N50" s="5" t="str">
        <f t="shared" si="35"/>
        <v>-</v>
      </c>
      <c r="O50" s="5" t="str">
        <f t="shared" si="36"/>
        <v>2°56'26</v>
      </c>
      <c r="P50" s="5" t="b">
        <f t="shared" si="37"/>
        <v>1</v>
      </c>
      <c r="Q50" s="5" t="b">
        <f t="shared" si="38"/>
        <v>1</v>
      </c>
      <c r="R50" s="5" t="b">
        <f t="shared" si="39"/>
        <v>0</v>
      </c>
      <c r="S50" s="5" t="b">
        <f t="shared" si="40"/>
        <v>0</v>
      </c>
      <c r="T50" s="5" t="b">
        <f t="shared" si="41"/>
        <v>1</v>
      </c>
      <c r="U50" s="6" t="str">
        <f t="shared" si="42"/>
        <v>2</v>
      </c>
      <c r="V50" s="5" t="str">
        <f t="shared" si="43"/>
        <v>56'26</v>
      </c>
      <c r="W50" s="5" t="b">
        <f t="shared" si="44"/>
        <v>1</v>
      </c>
      <c r="X50" s="5" t="b">
        <f t="shared" si="45"/>
        <v>0</v>
      </c>
      <c r="Y50" s="6">
        <f t="shared" si="46"/>
        <v>56</v>
      </c>
      <c r="Z50" s="5" t="str">
        <f t="shared" si="47"/>
        <v>26</v>
      </c>
      <c r="AA50" s="5" t="b">
        <f t="shared" si="48"/>
        <v>1</v>
      </c>
      <c r="AB50" s="5" t="b">
        <f t="shared" si="49"/>
        <v>1</v>
      </c>
      <c r="AC50" s="5" t="b">
        <f t="shared" si="50"/>
        <v>0</v>
      </c>
      <c r="AD50" s="6">
        <f t="shared" si="51"/>
        <v>26</v>
      </c>
      <c r="AE50" s="6">
        <f t="shared" si="52"/>
        <v>10586</v>
      </c>
      <c r="AF50" s="6">
        <f t="shared" si="53"/>
        <v>2.9405555555555556</v>
      </c>
      <c r="AG50" s="6">
        <f t="shared" si="54"/>
        <v>2</v>
      </c>
      <c r="AH50" s="6">
        <f t="shared" si="55"/>
        <v>56.43333333333333</v>
      </c>
      <c r="AI50" s="6">
        <f t="shared" si="56"/>
        <v>56</v>
      </c>
      <c r="AJ50" s="6">
        <f t="shared" si="57"/>
        <v>26</v>
      </c>
      <c r="AK50" s="6">
        <f t="shared" si="58"/>
        <v>-2.9405555555555556</v>
      </c>
      <c r="AL50" s="7" t="str">
        <f t="shared" si="59"/>
        <v>-02°56'26.00 [-02°56.43]  (-02.9406°)</v>
      </c>
    </row>
    <row r="51" spans="3:38" ht="16.5" thickTop="1" thickBot="1" x14ac:dyDescent="0.3">
      <c r="C51" s="741" t="s">
        <v>297</v>
      </c>
      <c r="D51" s="742"/>
      <c r="E51" s="743"/>
      <c r="F51" s="744" t="str">
        <f t="shared" si="24"/>
        <v>-02°56'26.99 [-02°56.45]  (-02.9408°)</v>
      </c>
      <c r="G51" s="745"/>
      <c r="H51" s="746"/>
      <c r="J51" s="146" t="str">
        <f t="shared" si="60"/>
        <v>-2°56'26.99</v>
      </c>
      <c r="K51" s="14" t="str">
        <f t="shared" si="26"/>
        <v>-02°56'26.99 [-02°56.45]  (-02.9408°)</v>
      </c>
      <c r="L51" s="7">
        <f t="shared" si="33"/>
        <v>-2.9408305555555554</v>
      </c>
      <c r="M51" s="5">
        <f t="shared" si="34"/>
        <v>-1</v>
      </c>
      <c r="N51" s="5" t="str">
        <f t="shared" si="35"/>
        <v>-</v>
      </c>
      <c r="O51" s="5" t="str">
        <f t="shared" si="36"/>
        <v>2°56'26.99</v>
      </c>
      <c r="P51" s="5" t="b">
        <f t="shared" si="37"/>
        <v>1</v>
      </c>
      <c r="Q51" s="5" t="b">
        <f t="shared" si="38"/>
        <v>1</v>
      </c>
      <c r="R51" s="5" t="b">
        <f t="shared" si="39"/>
        <v>0</v>
      </c>
      <c r="S51" s="5" t="b">
        <f t="shared" si="40"/>
        <v>0</v>
      </c>
      <c r="T51" s="5" t="b">
        <f t="shared" si="41"/>
        <v>1</v>
      </c>
      <c r="U51" s="6" t="str">
        <f t="shared" si="42"/>
        <v>2</v>
      </c>
      <c r="V51" s="5" t="str">
        <f t="shared" si="43"/>
        <v>56'26.99</v>
      </c>
      <c r="W51" s="5" t="b">
        <f t="shared" si="44"/>
        <v>1</v>
      </c>
      <c r="X51" s="5" t="b">
        <f t="shared" si="45"/>
        <v>0</v>
      </c>
      <c r="Y51" s="6">
        <f t="shared" si="46"/>
        <v>56</v>
      </c>
      <c r="Z51" s="5" t="str">
        <f t="shared" si="47"/>
        <v>26.99</v>
      </c>
      <c r="AA51" s="5" t="b">
        <f t="shared" si="48"/>
        <v>1</v>
      </c>
      <c r="AB51" s="5" t="b">
        <f t="shared" si="49"/>
        <v>1</v>
      </c>
      <c r="AC51" s="5" t="b">
        <f t="shared" si="50"/>
        <v>1</v>
      </c>
      <c r="AD51" s="6">
        <f t="shared" si="51"/>
        <v>26.99</v>
      </c>
      <c r="AE51" s="6">
        <f t="shared" si="52"/>
        <v>10586.99</v>
      </c>
      <c r="AF51" s="6">
        <f t="shared" si="53"/>
        <v>2.9408305555555554</v>
      </c>
      <c r="AG51" s="6">
        <f t="shared" si="54"/>
        <v>2</v>
      </c>
      <c r="AH51" s="6">
        <f t="shared" si="55"/>
        <v>56.449833333333331</v>
      </c>
      <c r="AI51" s="6">
        <f t="shared" si="56"/>
        <v>56</v>
      </c>
      <c r="AJ51" s="6">
        <f t="shared" si="57"/>
        <v>26.989999999999782</v>
      </c>
      <c r="AK51" s="6">
        <f t="shared" si="58"/>
        <v>-2.9408305555555554</v>
      </c>
      <c r="AL51" s="7" t="str">
        <f t="shared" si="59"/>
        <v>-02°56'26.99 [-02°56.45]  (-02.9408°)</v>
      </c>
    </row>
    <row r="52" spans="3:38" ht="16.5" thickTop="1" thickBot="1" x14ac:dyDescent="0.3">
      <c r="C52" s="741" t="s">
        <v>298</v>
      </c>
      <c r="D52" s="742"/>
      <c r="E52" s="743"/>
      <c r="F52" s="744" t="str">
        <f t="shared" si="24"/>
        <v>-02°56'27.00 [-02°56.45]  (-02.9408°)</v>
      </c>
      <c r="G52" s="745"/>
      <c r="H52" s="746"/>
      <c r="J52" s="146" t="str">
        <f t="shared" si="60"/>
        <v>-2°56'26.999"</v>
      </c>
      <c r="K52" s="14" t="str">
        <f t="shared" si="26"/>
        <v>-02°56'27.00 [-02°56.45]  (-02.9408°)</v>
      </c>
      <c r="L52" s="7">
        <f t="shared" si="33"/>
        <v>-2.9408330555555553</v>
      </c>
      <c r="M52" s="5">
        <f t="shared" si="34"/>
        <v>-1</v>
      </c>
      <c r="N52" s="5" t="str">
        <f t="shared" si="35"/>
        <v>-</v>
      </c>
      <c r="O52" s="5" t="str">
        <f t="shared" si="36"/>
        <v>2°56'26.999"</v>
      </c>
      <c r="P52" s="5" t="b">
        <f t="shared" si="37"/>
        <v>1</v>
      </c>
      <c r="Q52" s="5" t="b">
        <f t="shared" si="38"/>
        <v>1</v>
      </c>
      <c r="R52" s="5" t="b">
        <f t="shared" si="39"/>
        <v>1</v>
      </c>
      <c r="S52" s="5" t="b">
        <f t="shared" si="40"/>
        <v>0</v>
      </c>
      <c r="T52" s="5" t="b">
        <f t="shared" si="41"/>
        <v>1</v>
      </c>
      <c r="U52" s="6" t="str">
        <f t="shared" si="42"/>
        <v>2</v>
      </c>
      <c r="V52" s="5" t="str">
        <f t="shared" si="43"/>
        <v>56'26.999"</v>
      </c>
      <c r="W52" s="5" t="b">
        <f t="shared" si="44"/>
        <v>1</v>
      </c>
      <c r="X52" s="5" t="b">
        <f t="shared" si="45"/>
        <v>0</v>
      </c>
      <c r="Y52" s="6">
        <f t="shared" si="46"/>
        <v>56</v>
      </c>
      <c r="Z52" s="5" t="str">
        <f t="shared" si="47"/>
        <v>26.999"</v>
      </c>
      <c r="AA52" s="5" t="b">
        <f t="shared" si="48"/>
        <v>1</v>
      </c>
      <c r="AB52" s="5" t="b">
        <f t="shared" si="49"/>
        <v>0</v>
      </c>
      <c r="AC52" s="5" t="b">
        <f t="shared" si="50"/>
        <v>1</v>
      </c>
      <c r="AD52" s="6">
        <f t="shared" si="51"/>
        <v>26.998999999999999</v>
      </c>
      <c r="AE52" s="6">
        <f t="shared" si="52"/>
        <v>10586.999</v>
      </c>
      <c r="AF52" s="6">
        <f t="shared" si="53"/>
        <v>2.9408330555555553</v>
      </c>
      <c r="AG52" s="6">
        <f t="shared" si="54"/>
        <v>2</v>
      </c>
      <c r="AH52" s="6">
        <f t="shared" si="55"/>
        <v>56.449983333333329</v>
      </c>
      <c r="AI52" s="6">
        <f t="shared" si="56"/>
        <v>56</v>
      </c>
      <c r="AJ52" s="6">
        <f t="shared" si="57"/>
        <v>26.998999999999796</v>
      </c>
      <c r="AK52" s="6">
        <f t="shared" si="58"/>
        <v>-2.9408330555555553</v>
      </c>
      <c r="AL52" s="7" t="str">
        <f t="shared" si="59"/>
        <v>-02°56'27.00 [-02°56.45]  (-02.9408°)</v>
      </c>
    </row>
    <row r="53" spans="3:38" ht="16.5" thickTop="1" thickBot="1" x14ac:dyDescent="0.3">
      <c r="C53" s="741" t="s">
        <v>299</v>
      </c>
      <c r="D53" s="742"/>
      <c r="E53" s="743"/>
      <c r="F53" s="744" t="str">
        <f t="shared" si="24"/>
        <v>-02°56'27.00 [-02°56.45]  (-02.9408°)</v>
      </c>
      <c r="G53" s="745"/>
      <c r="H53" s="746"/>
      <c r="J53" s="146" t="str">
        <f t="shared" si="60"/>
        <v>-2°56'26"999</v>
      </c>
      <c r="K53" s="14" t="str">
        <f t="shared" si="26"/>
        <v>-02°56'27.00 [-02°56.45]  (-02.9408°)</v>
      </c>
      <c r="L53" s="7">
        <f t="shared" si="33"/>
        <v>-2.9408330555555553</v>
      </c>
      <c r="M53" s="5">
        <f t="shared" si="34"/>
        <v>-1</v>
      </c>
      <c r="N53" s="5" t="str">
        <f t="shared" si="35"/>
        <v>-</v>
      </c>
      <c r="O53" s="5" t="str">
        <f t="shared" si="36"/>
        <v>2°56'26"999</v>
      </c>
      <c r="P53" s="5" t="b">
        <f t="shared" si="37"/>
        <v>1</v>
      </c>
      <c r="Q53" s="5" t="b">
        <f t="shared" si="38"/>
        <v>1</v>
      </c>
      <c r="R53" s="5" t="b">
        <f t="shared" si="39"/>
        <v>1</v>
      </c>
      <c r="S53" s="5" t="b">
        <f t="shared" si="40"/>
        <v>0</v>
      </c>
      <c r="T53" s="5" t="b">
        <f t="shared" si="41"/>
        <v>1</v>
      </c>
      <c r="U53" s="6" t="str">
        <f t="shared" si="42"/>
        <v>2</v>
      </c>
      <c r="V53" s="5" t="str">
        <f t="shared" si="43"/>
        <v>56'26"999</v>
      </c>
      <c r="W53" s="5" t="b">
        <f t="shared" si="44"/>
        <v>1</v>
      </c>
      <c r="X53" s="5" t="b">
        <f t="shared" si="45"/>
        <v>0</v>
      </c>
      <c r="Y53" s="6">
        <f t="shared" si="46"/>
        <v>56</v>
      </c>
      <c r="Z53" s="5" t="str">
        <f t="shared" si="47"/>
        <v>26"999</v>
      </c>
      <c r="AA53" s="5" t="b">
        <f t="shared" si="48"/>
        <v>1</v>
      </c>
      <c r="AB53" s="5" t="b">
        <f t="shared" si="49"/>
        <v>0</v>
      </c>
      <c r="AC53" s="5" t="b">
        <f t="shared" si="50"/>
        <v>0</v>
      </c>
      <c r="AD53" s="6">
        <f t="shared" si="51"/>
        <v>26.998999999999999</v>
      </c>
      <c r="AE53" s="6">
        <f t="shared" si="52"/>
        <v>10586.999</v>
      </c>
      <c r="AF53" s="6">
        <f t="shared" si="53"/>
        <v>2.9408330555555553</v>
      </c>
      <c r="AG53" s="6">
        <f t="shared" si="54"/>
        <v>2</v>
      </c>
      <c r="AH53" s="6">
        <f t="shared" si="55"/>
        <v>56.449983333333329</v>
      </c>
      <c r="AI53" s="6">
        <f t="shared" si="56"/>
        <v>56</v>
      </c>
      <c r="AJ53" s="6">
        <f t="shared" si="57"/>
        <v>26.998999999999796</v>
      </c>
      <c r="AK53" s="6">
        <f t="shared" si="58"/>
        <v>-2.9408330555555553</v>
      </c>
      <c r="AL53" s="7" t="str">
        <f t="shared" si="59"/>
        <v>-02°56'27.00 [-02°56.45]  (-02.9408°)</v>
      </c>
    </row>
    <row r="54" spans="3:38" ht="16.5" thickTop="1" thickBot="1" x14ac:dyDescent="0.3">
      <c r="C54" s="741" t="s">
        <v>300</v>
      </c>
      <c r="D54" s="742"/>
      <c r="E54" s="743"/>
      <c r="F54" s="744" t="str">
        <f t="shared" si="24"/>
        <v>-00°12'56.00 [-00°12.93]  (-00.2156°)</v>
      </c>
      <c r="G54" s="745"/>
      <c r="H54" s="746"/>
      <c r="J54" s="146" t="str">
        <f t="shared" si="60"/>
        <v>-12'56</v>
      </c>
      <c r="K54" s="14" t="str">
        <f t="shared" si="26"/>
        <v>-00°12'56.00 [-00°12.93]  (-00.2156°)</v>
      </c>
      <c r="L54" s="7">
        <f t="shared" si="33"/>
        <v>-0.21555555555555556</v>
      </c>
      <c r="M54" s="5">
        <f t="shared" si="34"/>
        <v>-1</v>
      </c>
      <c r="N54" s="5" t="str">
        <f t="shared" si="35"/>
        <v>-</v>
      </c>
      <c r="O54" s="5" t="str">
        <f t="shared" si="36"/>
        <v>12'56</v>
      </c>
      <c r="P54" s="5" t="b">
        <f t="shared" si="37"/>
        <v>0</v>
      </c>
      <c r="Q54" s="5" t="b">
        <f t="shared" si="38"/>
        <v>1</v>
      </c>
      <c r="R54" s="5" t="b">
        <f t="shared" si="39"/>
        <v>0</v>
      </c>
      <c r="S54" s="5" t="b">
        <f t="shared" si="40"/>
        <v>0</v>
      </c>
      <c r="T54" s="5" t="b">
        <f t="shared" si="41"/>
        <v>0</v>
      </c>
      <c r="U54" s="6">
        <f t="shared" si="42"/>
        <v>0</v>
      </c>
      <c r="V54" s="5" t="str">
        <f t="shared" si="43"/>
        <v>12'56</v>
      </c>
      <c r="W54" s="5" t="b">
        <f t="shared" si="44"/>
        <v>1</v>
      </c>
      <c r="X54" s="5" t="b">
        <f t="shared" si="45"/>
        <v>0</v>
      </c>
      <c r="Y54" s="6">
        <f t="shared" si="46"/>
        <v>12</v>
      </c>
      <c r="Z54" s="5" t="str">
        <f t="shared" si="47"/>
        <v>56</v>
      </c>
      <c r="AA54" s="5" t="b">
        <f t="shared" si="48"/>
        <v>1</v>
      </c>
      <c r="AB54" s="5" t="b">
        <f t="shared" si="49"/>
        <v>1</v>
      </c>
      <c r="AC54" s="5" t="b">
        <f t="shared" si="50"/>
        <v>0</v>
      </c>
      <c r="AD54" s="6">
        <f t="shared" si="51"/>
        <v>56</v>
      </c>
      <c r="AE54" s="6">
        <f t="shared" si="52"/>
        <v>776</v>
      </c>
      <c r="AF54" s="6">
        <f t="shared" si="53"/>
        <v>0.21555555555555556</v>
      </c>
      <c r="AG54" s="6">
        <f t="shared" si="54"/>
        <v>0</v>
      </c>
      <c r="AH54" s="6">
        <f t="shared" si="55"/>
        <v>12.933333333333334</v>
      </c>
      <c r="AI54" s="6">
        <f t="shared" si="56"/>
        <v>12</v>
      </c>
      <c r="AJ54" s="6">
        <f t="shared" si="57"/>
        <v>56</v>
      </c>
      <c r="AK54" s="6">
        <f t="shared" si="58"/>
        <v>-0.21555555555555556</v>
      </c>
      <c r="AL54" s="7" t="str">
        <f t="shared" si="59"/>
        <v>-00°12'56.00 [-00°12.93]  (-00.2156°)</v>
      </c>
    </row>
    <row r="55" spans="3:38" ht="16.5" thickTop="1" thickBot="1" x14ac:dyDescent="0.3">
      <c r="C55" s="741" t="s">
        <v>301</v>
      </c>
      <c r="D55" s="742"/>
      <c r="E55" s="743"/>
      <c r="F55" s="744" t="str">
        <f t="shared" si="24"/>
        <v>-15°00'00.12 [-15°00.00]  (-15.0000°)</v>
      </c>
      <c r="G55" s="745"/>
      <c r="H55" s="746"/>
      <c r="J55" s="147" t="str">
        <f>C55</f>
        <v>-15°0.002</v>
      </c>
      <c r="K55" s="14" t="str">
        <f t="shared" si="26"/>
        <v>-15°00'00.12 [-15°00.00]  (-15.0000°)</v>
      </c>
      <c r="L55" s="7">
        <f t="shared" si="33"/>
        <v>-15.000033333333334</v>
      </c>
      <c r="M55" s="5">
        <f t="shared" si="34"/>
        <v>-1</v>
      </c>
      <c r="N55" s="5" t="str">
        <f t="shared" si="35"/>
        <v>-</v>
      </c>
      <c r="O55" s="5" t="str">
        <f t="shared" si="36"/>
        <v>15°0.002</v>
      </c>
      <c r="P55" s="5" t="b">
        <f t="shared" si="37"/>
        <v>1</v>
      </c>
      <c r="Q55" s="5" t="b">
        <f t="shared" si="38"/>
        <v>0</v>
      </c>
      <c r="R55" s="5" t="b">
        <f t="shared" si="39"/>
        <v>0</v>
      </c>
      <c r="S55" s="5" t="b">
        <f t="shared" si="40"/>
        <v>0</v>
      </c>
      <c r="T55" s="5" t="b">
        <f t="shared" si="41"/>
        <v>1</v>
      </c>
      <c r="U55" s="6" t="str">
        <f t="shared" si="42"/>
        <v>15</v>
      </c>
      <c r="V55" s="5" t="str">
        <f t="shared" si="43"/>
        <v>0.002</v>
      </c>
      <c r="W55" s="5" t="b">
        <f t="shared" si="44"/>
        <v>1</v>
      </c>
      <c r="X55" s="5" t="b">
        <f t="shared" si="45"/>
        <v>1</v>
      </c>
      <c r="Y55" s="6">
        <f t="shared" si="46"/>
        <v>2E-3</v>
      </c>
      <c r="Z55" s="5" t="str">
        <f t="shared" si="47"/>
        <v/>
      </c>
      <c r="AA55" s="5" t="b">
        <f t="shared" si="48"/>
        <v>0</v>
      </c>
      <c r="AB55" s="5" t="b">
        <f t="shared" si="49"/>
        <v>1</v>
      </c>
      <c r="AC55" s="5" t="b">
        <f t="shared" si="50"/>
        <v>0</v>
      </c>
      <c r="AD55" s="6">
        <f t="shared" si="51"/>
        <v>0</v>
      </c>
      <c r="AE55" s="6">
        <f t="shared" si="52"/>
        <v>54000.12</v>
      </c>
      <c r="AF55" s="6">
        <f t="shared" si="53"/>
        <v>15.000033333333334</v>
      </c>
      <c r="AG55" s="6">
        <f t="shared" si="54"/>
        <v>15</v>
      </c>
      <c r="AH55" s="6">
        <f t="shared" si="55"/>
        <v>2.0000000000436557E-3</v>
      </c>
      <c r="AI55" s="6">
        <f t="shared" si="56"/>
        <v>0</v>
      </c>
      <c r="AJ55" s="6">
        <f t="shared" si="57"/>
        <v>0.12000000000261934</v>
      </c>
      <c r="AK55" s="6">
        <f t="shared" si="58"/>
        <v>-15.000033333333334</v>
      </c>
      <c r="AL55" s="7" t="str">
        <f t="shared" si="59"/>
        <v>-15°00'00.12 [-15°00.00]  (-15.0000°)</v>
      </c>
    </row>
    <row r="56" spans="3:38" ht="16.5" thickTop="1" thickBot="1" x14ac:dyDescent="0.3">
      <c r="C56" s="747" t="s">
        <v>305</v>
      </c>
      <c r="D56" s="748"/>
      <c r="E56" s="749"/>
      <c r="F56" s="744" t="str">
        <f t="shared" si="24"/>
        <v>+02°00'00.00 [+02°00.00]  (+02.0000°)</v>
      </c>
      <c r="G56" s="745"/>
      <c r="H56" s="746"/>
      <c r="J56" s="146" t="str">
        <f t="shared" ref="J56:J57" si="61">C56</f>
        <v>+2</v>
      </c>
      <c r="K56" s="14" t="str">
        <f t="shared" si="26"/>
        <v>+02°00'00.00 [+02°00.00]  (+02.0000°)</v>
      </c>
      <c r="L56" s="7">
        <f t="shared" si="33"/>
        <v>2</v>
      </c>
      <c r="M56" s="5">
        <f t="shared" si="34"/>
        <v>1</v>
      </c>
      <c r="N56" s="5" t="str">
        <f t="shared" si="35"/>
        <v>+</v>
      </c>
      <c r="O56" s="5" t="str">
        <f t="shared" si="36"/>
        <v>2</v>
      </c>
      <c r="P56" s="5" t="b">
        <f t="shared" si="37"/>
        <v>0</v>
      </c>
      <c r="Q56" s="5" t="b">
        <f t="shared" si="38"/>
        <v>0</v>
      </c>
      <c r="R56" s="5" t="b">
        <f t="shared" si="39"/>
        <v>0</v>
      </c>
      <c r="S56" s="5" t="b">
        <f t="shared" si="40"/>
        <v>1</v>
      </c>
      <c r="T56" s="5" t="b">
        <f t="shared" si="41"/>
        <v>1</v>
      </c>
      <c r="U56" s="6">
        <f t="shared" si="42"/>
        <v>2</v>
      </c>
      <c r="V56" s="5" t="str">
        <f t="shared" si="43"/>
        <v/>
      </c>
      <c r="W56" s="5" t="b">
        <f t="shared" si="44"/>
        <v>0</v>
      </c>
      <c r="X56" s="5" t="b">
        <f t="shared" si="45"/>
        <v>1</v>
      </c>
      <c r="Y56" s="6">
        <f t="shared" si="46"/>
        <v>0</v>
      </c>
      <c r="Z56" s="5" t="str">
        <f t="shared" si="47"/>
        <v/>
      </c>
      <c r="AA56" s="5" t="b">
        <f t="shared" si="48"/>
        <v>0</v>
      </c>
      <c r="AB56" s="5" t="b">
        <f t="shared" si="49"/>
        <v>1</v>
      </c>
      <c r="AC56" s="5" t="b">
        <f t="shared" si="50"/>
        <v>0</v>
      </c>
      <c r="AD56" s="6">
        <f t="shared" si="51"/>
        <v>0</v>
      </c>
      <c r="AE56" s="6">
        <f t="shared" si="52"/>
        <v>7200</v>
      </c>
      <c r="AF56" s="6">
        <f t="shared" si="53"/>
        <v>2</v>
      </c>
      <c r="AG56" s="6">
        <f t="shared" si="54"/>
        <v>2</v>
      </c>
      <c r="AH56" s="6">
        <f t="shared" si="55"/>
        <v>0</v>
      </c>
      <c r="AI56" s="6">
        <f t="shared" si="56"/>
        <v>0</v>
      </c>
      <c r="AJ56" s="6">
        <f t="shared" si="57"/>
        <v>0</v>
      </c>
      <c r="AK56" s="6">
        <f t="shared" si="58"/>
        <v>2</v>
      </c>
      <c r="AL56" s="7" t="str">
        <f t="shared" si="59"/>
        <v>+02°00'00.00 [+02°00.00]  (+02.0000°)</v>
      </c>
    </row>
    <row r="57" spans="3:38" ht="16.5" thickTop="1" thickBot="1" x14ac:dyDescent="0.3">
      <c r="C57" s="741" t="s">
        <v>306</v>
      </c>
      <c r="D57" s="742"/>
      <c r="E57" s="743"/>
      <c r="F57" s="744" t="str">
        <f t="shared" si="24"/>
        <v>+00°12'56.00 [+00°12.93]  (+00.2156°)</v>
      </c>
      <c r="G57" s="745"/>
      <c r="H57" s="746"/>
      <c r="J57" s="146" t="str">
        <f t="shared" si="61"/>
        <v>+12'56</v>
      </c>
      <c r="K57" s="14" t="str">
        <f t="shared" si="26"/>
        <v>+00°12'56.00 [+00°12.93]  (+00.2156°)</v>
      </c>
      <c r="L57" s="7">
        <f t="shared" si="33"/>
        <v>0.21555555555555556</v>
      </c>
      <c r="M57" s="5">
        <f t="shared" si="34"/>
        <v>1</v>
      </c>
      <c r="N57" s="5" t="str">
        <f t="shared" si="35"/>
        <v>+</v>
      </c>
      <c r="O57" s="5" t="str">
        <f t="shared" si="36"/>
        <v>12'56</v>
      </c>
      <c r="P57" s="5" t="b">
        <f t="shared" si="37"/>
        <v>0</v>
      </c>
      <c r="Q57" s="5" t="b">
        <f t="shared" si="38"/>
        <v>1</v>
      </c>
      <c r="R57" s="5" t="b">
        <f t="shared" si="39"/>
        <v>0</v>
      </c>
      <c r="S57" s="5" t="b">
        <f t="shared" si="40"/>
        <v>0</v>
      </c>
      <c r="T57" s="5" t="b">
        <f t="shared" si="41"/>
        <v>0</v>
      </c>
      <c r="U57" s="6">
        <f t="shared" si="42"/>
        <v>0</v>
      </c>
      <c r="V57" s="5" t="str">
        <f t="shared" si="43"/>
        <v>12'56</v>
      </c>
      <c r="W57" s="5" t="b">
        <f t="shared" si="44"/>
        <v>1</v>
      </c>
      <c r="X57" s="5" t="b">
        <f t="shared" si="45"/>
        <v>0</v>
      </c>
      <c r="Y57" s="6">
        <f t="shared" si="46"/>
        <v>12</v>
      </c>
      <c r="Z57" s="5" t="str">
        <f t="shared" si="47"/>
        <v>56</v>
      </c>
      <c r="AA57" s="5" t="b">
        <f t="shared" si="48"/>
        <v>1</v>
      </c>
      <c r="AB57" s="5" t="b">
        <f t="shared" si="49"/>
        <v>1</v>
      </c>
      <c r="AC57" s="5" t="b">
        <f t="shared" si="50"/>
        <v>0</v>
      </c>
      <c r="AD57" s="6">
        <f t="shared" si="51"/>
        <v>56</v>
      </c>
      <c r="AE57" s="6">
        <f t="shared" si="52"/>
        <v>776</v>
      </c>
      <c r="AF57" s="6">
        <f t="shared" si="53"/>
        <v>0.21555555555555556</v>
      </c>
      <c r="AG57" s="6">
        <f t="shared" si="54"/>
        <v>0</v>
      </c>
      <c r="AH57" s="6">
        <f t="shared" si="55"/>
        <v>12.933333333333334</v>
      </c>
      <c r="AI57" s="6">
        <f t="shared" si="56"/>
        <v>12</v>
      </c>
      <c r="AJ57" s="6">
        <f t="shared" si="57"/>
        <v>56</v>
      </c>
      <c r="AK57" s="6">
        <f t="shared" si="58"/>
        <v>0.21555555555555556</v>
      </c>
      <c r="AL57" s="7" t="str">
        <f t="shared" si="59"/>
        <v>+00°12'56.00 [+00°12.93]  (+00.2156°)</v>
      </c>
    </row>
    <row r="58" spans="3:38" ht="16.5" thickTop="1" thickBot="1" x14ac:dyDescent="0.3">
      <c r="C58" s="741" t="s">
        <v>307</v>
      </c>
      <c r="D58" s="742"/>
      <c r="E58" s="743"/>
      <c r="F58" s="744" t="str">
        <f t="shared" si="24"/>
        <v>+15°00'00.12 [+15°00.00]  (+15.0000°)</v>
      </c>
      <c r="G58" s="745"/>
      <c r="H58" s="746"/>
      <c r="J58" s="147" t="str">
        <f>C58</f>
        <v>+15°0.002</v>
      </c>
      <c r="K58" s="14" t="str">
        <f t="shared" si="26"/>
        <v>+15°00'00.12 [+15°00.00]  (+15.0000°)</v>
      </c>
      <c r="L58" s="7">
        <f t="shared" si="33"/>
        <v>15.000033333333334</v>
      </c>
      <c r="M58" s="5">
        <f t="shared" si="34"/>
        <v>1</v>
      </c>
      <c r="N58" s="5" t="str">
        <f t="shared" si="35"/>
        <v>+</v>
      </c>
      <c r="O58" s="5" t="str">
        <f t="shared" si="36"/>
        <v>15°0.002</v>
      </c>
      <c r="P58" s="5" t="b">
        <f t="shared" si="37"/>
        <v>1</v>
      </c>
      <c r="Q58" s="5" t="b">
        <f t="shared" si="38"/>
        <v>0</v>
      </c>
      <c r="R58" s="5" t="b">
        <f t="shared" si="39"/>
        <v>0</v>
      </c>
      <c r="S58" s="5" t="b">
        <f t="shared" si="40"/>
        <v>0</v>
      </c>
      <c r="T58" s="5" t="b">
        <f t="shared" si="41"/>
        <v>1</v>
      </c>
      <c r="U58" s="6" t="str">
        <f t="shared" si="42"/>
        <v>15</v>
      </c>
      <c r="V58" s="5" t="str">
        <f t="shared" si="43"/>
        <v>0.002</v>
      </c>
      <c r="W58" s="5" t="b">
        <f t="shared" si="44"/>
        <v>1</v>
      </c>
      <c r="X58" s="5" t="b">
        <f t="shared" si="45"/>
        <v>1</v>
      </c>
      <c r="Y58" s="6">
        <f t="shared" si="46"/>
        <v>2E-3</v>
      </c>
      <c r="Z58" s="5" t="str">
        <f t="shared" si="47"/>
        <v/>
      </c>
      <c r="AA58" s="5" t="b">
        <f t="shared" si="48"/>
        <v>0</v>
      </c>
      <c r="AB58" s="5" t="b">
        <f t="shared" si="49"/>
        <v>1</v>
      </c>
      <c r="AC58" s="5" t="b">
        <f t="shared" si="50"/>
        <v>0</v>
      </c>
      <c r="AD58" s="6">
        <f t="shared" si="51"/>
        <v>0</v>
      </c>
      <c r="AE58" s="6">
        <f t="shared" si="52"/>
        <v>54000.12</v>
      </c>
      <c r="AF58" s="6">
        <f t="shared" si="53"/>
        <v>15.000033333333334</v>
      </c>
      <c r="AG58" s="6">
        <f t="shared" si="54"/>
        <v>15</v>
      </c>
      <c r="AH58" s="6">
        <f t="shared" si="55"/>
        <v>2.0000000000436557E-3</v>
      </c>
      <c r="AI58" s="6">
        <f t="shared" si="56"/>
        <v>0</v>
      </c>
      <c r="AJ58" s="6">
        <f t="shared" si="57"/>
        <v>0.12000000000261934</v>
      </c>
      <c r="AK58" s="6">
        <f t="shared" si="58"/>
        <v>15.000033333333334</v>
      </c>
      <c r="AL58" s="7" t="str">
        <f t="shared" si="59"/>
        <v>+15°00'00.12 [+15°00.00]  (+15.0000°)</v>
      </c>
    </row>
    <row r="59" spans="3:38" ht="15.75" thickTop="1" x14ac:dyDescent="0.25">
      <c r="J59" s="16"/>
      <c r="K59" s="16"/>
      <c r="L59" s="16"/>
      <c r="M59" s="16"/>
      <c r="N59" s="16"/>
      <c r="O59" s="16"/>
      <c r="P59" s="16"/>
    </row>
    <row r="65" spans="3:42" x14ac:dyDescent="0.25">
      <c r="C65" s="93" t="s">
        <v>229</v>
      </c>
    </row>
    <row r="66" spans="3:42" x14ac:dyDescent="0.25">
      <c r="C66" s="94" t="s">
        <v>230</v>
      </c>
    </row>
    <row r="67" spans="3:42" x14ac:dyDescent="0.25">
      <c r="K67" s="2"/>
      <c r="L67" s="2"/>
    </row>
    <row r="68" spans="3:42" x14ac:dyDescent="0.25">
      <c r="C68" s="763" t="s">
        <v>25</v>
      </c>
      <c r="D68" s="763"/>
      <c r="E68" s="763"/>
      <c r="F68" s="763"/>
      <c r="G68" s="763"/>
      <c r="H68" s="763"/>
      <c r="I68" s="396">
        <f>L68</f>
        <v>0</v>
      </c>
      <c r="J68" s="395"/>
      <c r="K68" s="395"/>
      <c r="L68" s="444">
        <v>0</v>
      </c>
      <c r="M68" s="444"/>
      <c r="N68" s="444"/>
      <c r="Q68" s="4">
        <f t="shared" ref="Q68:Q73" si="62">L68</f>
        <v>0</v>
      </c>
      <c r="R68" s="14" t="str">
        <f t="shared" ref="R68" si="63">AP68</f>
        <v>00°00'00.00 [00°00.00] - (00.0000°)</v>
      </c>
      <c r="S68" s="7">
        <f t="shared" ref="S68" si="64">AJ68</f>
        <v>0</v>
      </c>
      <c r="T68" s="5" t="b">
        <f t="shared" ref="T68" si="65">ISNUMBER(SEARCH("°",Q68,1))</f>
        <v>0</v>
      </c>
      <c r="U68" s="5" t="b">
        <f t="shared" ref="U68" si="66">ISNUMBER(SEARCH("'",Q68,1))</f>
        <v>0</v>
      </c>
      <c r="V68" s="5" t="b">
        <f t="shared" ref="V68" si="67">ISNUMBER(SEARCH("""",Q68,1))</f>
        <v>0</v>
      </c>
      <c r="W68" s="5" t="b">
        <f t="shared" ref="W68" si="68">NOT(OR(T68,U68,V68))</f>
        <v>1</v>
      </c>
      <c r="X68" s="5" t="b">
        <f t="shared" ref="X68" si="69">OR(W68,T68)</f>
        <v>1</v>
      </c>
      <c r="Y68" s="6">
        <f t="shared" ref="Y68" si="70">IF(W68,VALUE(Q68),IF(T68,LEFT(Q68,SEARCH("°",Q68,1)-1),0))</f>
        <v>0</v>
      </c>
      <c r="Z68" s="5" t="str">
        <f t="shared" ref="Z68" si="71">IF(W68,"",IF(T68,RIGHT(Q68,LEN(Q68)-SEARCH("°",Q68,1)),Q68))</f>
        <v/>
      </c>
      <c r="AA68" s="5" t="b">
        <f t="shared" ref="AA68" si="72">(LEN(Z68)&gt;0)</f>
        <v>0</v>
      </c>
      <c r="AB68" s="5" t="b">
        <f t="shared" ref="AB68" si="73">NOT(OR(U68,V68))</f>
        <v>1</v>
      </c>
      <c r="AC68" s="6">
        <f t="shared" ref="AC68" si="74">IF(NOT(AA68),0,IF(AB68,VALUE(Z68),IF(NOT(U68),0,VALUE(LEFT(Z68,SEARCH("'",Z68,1)-1)))))</f>
        <v>0</v>
      </c>
      <c r="AD68" s="5" t="str">
        <f t="shared" ref="AD68" si="75">IF(NOT(AA68),"",IF(AB68,"",IF(NOT(U68),Z68,RIGHT(Z68,LEN(Z68)-SEARCH("'",Z68,1)))))</f>
        <v/>
      </c>
      <c r="AE68" s="5" t="b">
        <f t="shared" ref="AE68" si="76">(LEN(AD68)&gt;0)</f>
        <v>0</v>
      </c>
      <c r="AF68" s="5" t="b">
        <f t="shared" ref="AF68" si="77">NOT(V68)</f>
        <v>1</v>
      </c>
      <c r="AG68" s="5" t="b">
        <f t="shared" ref="AG68" si="78">ISNUMBER(SEARCH(".",AD68,1))</f>
        <v>0</v>
      </c>
      <c r="AH68" s="6">
        <f t="shared" ref="AH68" si="79">IF(AE68,IF(V68,IF(AG68,VALUE(SUBSTITUTE(AD68, """", "")),VALUE(SUBSTITUTE(AD68, """", "."))),VALUE(AD68)),0)</f>
        <v>0</v>
      </c>
      <c r="AI68" s="6">
        <f t="shared" ref="AI68" si="80">Y68*3600+AC68*60+AH68</f>
        <v>0</v>
      </c>
      <c r="AJ68" s="6">
        <f t="shared" ref="AJ68" si="81">AI68/3600</f>
        <v>0</v>
      </c>
      <c r="AK68" s="6"/>
      <c r="AL68" s="6">
        <f t="shared" ref="AL68:AL81" si="82">_xlfn.FLOOR.MATH((AJ68))</f>
        <v>0</v>
      </c>
      <c r="AM68" s="6">
        <f t="shared" ref="AM68:AM81" si="83">(AI68-3600*AL68)/60</f>
        <v>0</v>
      </c>
      <c r="AN68" s="6">
        <f t="shared" ref="AN68" si="84">_xlfn.FLOOR.MATH((AM68))</f>
        <v>0</v>
      </c>
      <c r="AO68" s="6">
        <f t="shared" ref="AO68:AO81" si="85">AI68-3600*AL68-60*AN68</f>
        <v>0</v>
      </c>
      <c r="AP68" s="7" t="str">
        <f t="shared" ref="AP68:AP81" si="86">CONCATENATE(TEXT(AL68,"00"),"°",TEXT(AN68,"00"),"'",TEXT(AO68,"00.00"), " [", CONCATENATE(TEXT(AL68,"00"),"°",TEXT(AM68,"00.00")),"]", " - (", TEXT(AJ68,"00.0000"),"°)")</f>
        <v>00°00'00.00 [00°00.00] - (00.0000°)</v>
      </c>
    </row>
    <row r="69" spans="3:42" x14ac:dyDescent="0.25">
      <c r="C69" s="599" t="s">
        <v>26</v>
      </c>
      <c r="D69" s="600"/>
      <c r="E69" s="600"/>
      <c r="F69" s="600"/>
      <c r="G69" s="600"/>
      <c r="H69" s="601"/>
      <c r="I69" s="362">
        <f>AC69</f>
        <v>0</v>
      </c>
      <c r="J69" s="395"/>
      <c r="K69" s="395"/>
      <c r="L69" s="444">
        <f>'Droite de hauteur-soleil'!M18</f>
        <v>0</v>
      </c>
      <c r="M69" s="444"/>
      <c r="N69" s="444"/>
      <c r="Q69" s="4">
        <f t="shared" si="62"/>
        <v>0</v>
      </c>
      <c r="R69" s="14" t="str">
        <f t="shared" ref="R69:R81" si="87">AP69</f>
        <v>00°00'00.00 [00°00.00] - (00.0000°)</v>
      </c>
      <c r="S69" s="7">
        <f t="shared" ref="S69:S81" si="88">AJ69</f>
        <v>0</v>
      </c>
      <c r="T69" s="5" t="b">
        <f t="shared" ref="T69:T81" si="89">ISNUMBER(SEARCH("°",Q69,1))</f>
        <v>0</v>
      </c>
      <c r="U69" s="5" t="b">
        <f t="shared" ref="U69:U81" si="90">ISNUMBER(SEARCH("'",Q69,1))</f>
        <v>0</v>
      </c>
      <c r="V69" s="5" t="b">
        <f t="shared" ref="V69:V81" si="91">ISNUMBER(SEARCH("""",Q69,1))</f>
        <v>0</v>
      </c>
      <c r="W69" s="5" t="b">
        <f t="shared" ref="W69:W81" si="92">NOT(OR(T69,U69,V69))</f>
        <v>1</v>
      </c>
      <c r="X69" s="5" t="b">
        <f t="shared" ref="X69:X81" si="93">OR(W69,T69)</f>
        <v>1</v>
      </c>
      <c r="Y69" s="6">
        <f t="shared" ref="Y69:Y81" si="94">IF(W69,VALUE(Q69),IF(T69,LEFT(Q69,SEARCH("°",Q69,1)-1),0))</f>
        <v>0</v>
      </c>
      <c r="Z69" s="5" t="str">
        <f t="shared" ref="Z69:Z81" si="95">IF(W69,"",IF(T69,RIGHT(Q69,LEN(Q69)-SEARCH("°",Q69,1)),Q69))</f>
        <v/>
      </c>
      <c r="AA69" s="5" t="b">
        <f t="shared" ref="AA69:AA81" si="96">(LEN(Z69)&gt;0)</f>
        <v>0</v>
      </c>
      <c r="AB69" s="5" t="b">
        <f t="shared" ref="AB69:AB81" si="97">NOT(OR(U69,V69))</f>
        <v>1</v>
      </c>
      <c r="AC69" s="6">
        <f t="shared" ref="AC69:AC81" si="98">IF(NOT(AA69),0,IF(AB69,VALUE(Z69),IF(NOT(U69),0,VALUE(LEFT(Z69,SEARCH("'",Z69,1)-1)))))</f>
        <v>0</v>
      </c>
      <c r="AD69" s="5" t="str">
        <f t="shared" ref="AD69:AD81" si="99">IF(NOT(AA69),"",IF(AB69,"",IF(NOT(U69),Z69,RIGHT(Z69,LEN(Z69)-SEARCH("'",Z69,1)))))</f>
        <v/>
      </c>
      <c r="AE69" s="5" t="b">
        <f t="shared" ref="AE69:AE81" si="100">(LEN(AD69)&gt;0)</f>
        <v>0</v>
      </c>
      <c r="AF69" s="5" t="b">
        <f t="shared" ref="AF69:AF81" si="101">NOT(V69)</f>
        <v>1</v>
      </c>
      <c r="AG69" s="5" t="b">
        <f t="shared" ref="AG69:AG81" si="102">ISNUMBER(SEARCH(".",AD69,1))</f>
        <v>0</v>
      </c>
      <c r="AH69" s="6">
        <f t="shared" ref="AH69:AH81" si="103">IF(AE69,IF(V69,IF(AG69,VALUE(SUBSTITUTE(AD69, """", "")),VALUE(SUBSTITUTE(AD69, """", "."))),VALUE(AD69)),0)</f>
        <v>0</v>
      </c>
      <c r="AI69" s="6">
        <f t="shared" ref="AI69:AI81" si="104">Y69*3600+AC69*60+AH69</f>
        <v>0</v>
      </c>
      <c r="AJ69" s="6">
        <f t="shared" ref="AJ69:AJ81" si="105">AI69/3600</f>
        <v>0</v>
      </c>
      <c r="AK69" s="6"/>
      <c r="AL69" s="6">
        <f t="shared" si="82"/>
        <v>0</v>
      </c>
      <c r="AM69" s="6">
        <f t="shared" si="83"/>
        <v>0</v>
      </c>
      <c r="AN69" s="6">
        <f t="shared" ref="AN69:AN81" si="106">_xlfn.FLOOR.MATH((AM69))</f>
        <v>0</v>
      </c>
      <c r="AO69" s="6">
        <f t="shared" si="85"/>
        <v>0</v>
      </c>
      <c r="AP69" s="7" t="str">
        <f t="shared" si="86"/>
        <v>00°00'00.00 [00°00.00] - (00.0000°)</v>
      </c>
    </row>
    <row r="70" spans="3:42" x14ac:dyDescent="0.25">
      <c r="C70" s="597" t="s">
        <v>37</v>
      </c>
      <c r="D70" s="597"/>
      <c r="E70" s="597"/>
      <c r="F70" s="597"/>
      <c r="G70" s="597"/>
      <c r="H70" s="597"/>
      <c r="I70" s="445">
        <f>AC70</f>
        <v>0</v>
      </c>
      <c r="J70" s="446"/>
      <c r="K70" s="446"/>
      <c r="L70" s="444">
        <f>'Droite de hauteur-soleil'!M19</f>
        <v>8.9666666666666668</v>
      </c>
      <c r="M70" s="444"/>
      <c r="N70" s="444"/>
      <c r="Q70" s="4">
        <f t="shared" si="62"/>
        <v>8.9666666666666668</v>
      </c>
      <c r="R70" s="14" t="str">
        <f t="shared" si="87"/>
        <v>08°58'00.00 [08°58.00] - (08.9667°)</v>
      </c>
      <c r="S70" s="7">
        <f t="shared" si="88"/>
        <v>8.9666666666666668</v>
      </c>
      <c r="T70" s="5" t="b">
        <f t="shared" si="89"/>
        <v>0</v>
      </c>
      <c r="U70" s="5" t="b">
        <f t="shared" si="90"/>
        <v>0</v>
      </c>
      <c r="V70" s="5" t="b">
        <f t="shared" si="91"/>
        <v>0</v>
      </c>
      <c r="W70" s="5" t="b">
        <f t="shared" si="92"/>
        <v>1</v>
      </c>
      <c r="X70" s="5" t="b">
        <f t="shared" si="93"/>
        <v>1</v>
      </c>
      <c r="Y70" s="6">
        <f t="shared" si="94"/>
        <v>8.9666666666666668</v>
      </c>
      <c r="Z70" s="5" t="str">
        <f t="shared" si="95"/>
        <v/>
      </c>
      <c r="AA70" s="5" t="b">
        <f t="shared" si="96"/>
        <v>0</v>
      </c>
      <c r="AB70" s="5" t="b">
        <f t="shared" si="97"/>
        <v>1</v>
      </c>
      <c r="AC70" s="6">
        <f t="shared" si="98"/>
        <v>0</v>
      </c>
      <c r="AD70" s="5" t="str">
        <f t="shared" si="99"/>
        <v/>
      </c>
      <c r="AE70" s="5" t="b">
        <f t="shared" si="100"/>
        <v>0</v>
      </c>
      <c r="AF70" s="5" t="b">
        <f t="shared" si="101"/>
        <v>1</v>
      </c>
      <c r="AG70" s="5" t="b">
        <f t="shared" si="102"/>
        <v>0</v>
      </c>
      <c r="AH70" s="6">
        <f t="shared" si="103"/>
        <v>0</v>
      </c>
      <c r="AI70" s="6">
        <f t="shared" si="104"/>
        <v>32280</v>
      </c>
      <c r="AJ70" s="6">
        <f t="shared" si="105"/>
        <v>8.9666666666666668</v>
      </c>
      <c r="AK70" s="6"/>
      <c r="AL70" s="6">
        <f t="shared" si="82"/>
        <v>8</v>
      </c>
      <c r="AM70" s="6">
        <f t="shared" si="83"/>
        <v>58</v>
      </c>
      <c r="AN70" s="6">
        <f t="shared" si="106"/>
        <v>58</v>
      </c>
      <c r="AO70" s="6">
        <f t="shared" si="85"/>
        <v>0</v>
      </c>
      <c r="AP70" s="7" t="str">
        <f t="shared" si="86"/>
        <v>08°58'00.00 [08°58.00] - (08.9667°)</v>
      </c>
    </row>
    <row r="71" spans="3:42" x14ac:dyDescent="0.25">
      <c r="C71" s="763" t="s">
        <v>51</v>
      </c>
      <c r="D71" s="763"/>
      <c r="E71" s="763"/>
      <c r="F71" s="763"/>
      <c r="G71" s="763"/>
      <c r="H71" s="763"/>
      <c r="I71" s="407" t="str">
        <f>L71</f>
        <v>Soleil</v>
      </c>
      <c r="J71" s="408"/>
      <c r="K71" s="409"/>
      <c r="L71" s="444" t="str">
        <f>'Droite de hauteur-soleil'!M20</f>
        <v>Soleil</v>
      </c>
      <c r="M71" s="444"/>
      <c r="N71" s="444"/>
      <c r="Q71" s="4" t="str">
        <f t="shared" si="62"/>
        <v>Soleil</v>
      </c>
      <c r="R71" s="14" t="e">
        <f t="shared" si="87"/>
        <v>#VALUE!</v>
      </c>
      <c r="S71" s="7" t="e">
        <f t="shared" si="88"/>
        <v>#VALUE!</v>
      </c>
      <c r="T71" s="5" t="b">
        <f t="shared" si="89"/>
        <v>0</v>
      </c>
      <c r="U71" s="5" t="b">
        <f t="shared" si="90"/>
        <v>0</v>
      </c>
      <c r="V71" s="5" t="b">
        <f t="shared" si="91"/>
        <v>0</v>
      </c>
      <c r="W71" s="5" t="b">
        <f t="shared" si="92"/>
        <v>1</v>
      </c>
      <c r="X71" s="5" t="b">
        <f t="shared" si="93"/>
        <v>1</v>
      </c>
      <c r="Y71" s="6" t="e">
        <f t="shared" si="94"/>
        <v>#VALUE!</v>
      </c>
      <c r="Z71" s="5" t="str">
        <f t="shared" si="95"/>
        <v/>
      </c>
      <c r="AA71" s="5" t="b">
        <f t="shared" si="96"/>
        <v>0</v>
      </c>
      <c r="AB71" s="5" t="b">
        <f t="shared" si="97"/>
        <v>1</v>
      </c>
      <c r="AC71" s="6">
        <f t="shared" si="98"/>
        <v>0</v>
      </c>
      <c r="AD71" s="5" t="str">
        <f t="shared" si="99"/>
        <v/>
      </c>
      <c r="AE71" s="5" t="b">
        <f t="shared" si="100"/>
        <v>0</v>
      </c>
      <c r="AF71" s="5" t="b">
        <f t="shared" si="101"/>
        <v>1</v>
      </c>
      <c r="AG71" s="5" t="b">
        <f t="shared" si="102"/>
        <v>0</v>
      </c>
      <c r="AH71" s="6">
        <f t="shared" si="103"/>
        <v>0</v>
      </c>
      <c r="AI71" s="6" t="e">
        <f t="shared" si="104"/>
        <v>#VALUE!</v>
      </c>
      <c r="AJ71" s="6" t="e">
        <f t="shared" si="105"/>
        <v>#VALUE!</v>
      </c>
      <c r="AK71" s="6"/>
      <c r="AL71" s="6" t="e">
        <f t="shared" si="82"/>
        <v>#VALUE!</v>
      </c>
      <c r="AM71" s="6" t="e">
        <f t="shared" si="83"/>
        <v>#VALUE!</v>
      </c>
      <c r="AN71" s="6" t="e">
        <f t="shared" si="106"/>
        <v>#VALUE!</v>
      </c>
      <c r="AO71" s="6" t="e">
        <f t="shared" si="85"/>
        <v>#VALUE!</v>
      </c>
      <c r="AP71" s="7" t="e">
        <f t="shared" si="86"/>
        <v>#VALUE!</v>
      </c>
    </row>
    <row r="72" spans="3:42" x14ac:dyDescent="0.25">
      <c r="C72" s="763" t="s">
        <v>158</v>
      </c>
      <c r="D72" s="763"/>
      <c r="E72" s="763"/>
      <c r="F72" s="763"/>
      <c r="G72" s="763"/>
      <c r="H72" s="763"/>
      <c r="I72" s="280" t="str">
        <f>IF(L71=AF71,AG72,L72)</f>
        <v>BordInf</v>
      </c>
      <c r="J72" s="280"/>
      <c r="K72" s="280"/>
      <c r="L72" s="444" t="str">
        <f>'Droite de hauteur-soleil'!M21</f>
        <v>BordInf</v>
      </c>
      <c r="M72" s="444"/>
      <c r="N72" s="444"/>
      <c r="Q72" s="4" t="str">
        <f t="shared" si="62"/>
        <v>BordInf</v>
      </c>
      <c r="R72" s="14" t="e">
        <f t="shared" si="87"/>
        <v>#VALUE!</v>
      </c>
      <c r="S72" s="7" t="e">
        <f t="shared" si="88"/>
        <v>#VALUE!</v>
      </c>
      <c r="T72" s="5" t="b">
        <f t="shared" si="89"/>
        <v>0</v>
      </c>
      <c r="U72" s="5" t="b">
        <f t="shared" si="90"/>
        <v>0</v>
      </c>
      <c r="V72" s="5" t="b">
        <f t="shared" si="91"/>
        <v>0</v>
      </c>
      <c r="W72" s="5" t="b">
        <f t="shared" si="92"/>
        <v>1</v>
      </c>
      <c r="X72" s="5" t="b">
        <f t="shared" si="93"/>
        <v>1</v>
      </c>
      <c r="Y72" s="6" t="e">
        <f t="shared" si="94"/>
        <v>#VALUE!</v>
      </c>
      <c r="Z72" s="5" t="str">
        <f t="shared" si="95"/>
        <v/>
      </c>
      <c r="AA72" s="5" t="b">
        <f t="shared" si="96"/>
        <v>0</v>
      </c>
      <c r="AB72" s="5" t="b">
        <f t="shared" si="97"/>
        <v>1</v>
      </c>
      <c r="AC72" s="6">
        <f t="shared" si="98"/>
        <v>0</v>
      </c>
      <c r="AD72" s="5" t="str">
        <f t="shared" si="99"/>
        <v/>
      </c>
      <c r="AE72" s="5" t="b">
        <f t="shared" si="100"/>
        <v>0</v>
      </c>
      <c r="AF72" s="5" t="b">
        <f t="shared" si="101"/>
        <v>1</v>
      </c>
      <c r="AG72" s="5" t="b">
        <f t="shared" si="102"/>
        <v>0</v>
      </c>
      <c r="AH72" s="6">
        <f t="shared" si="103"/>
        <v>0</v>
      </c>
      <c r="AI72" s="6" t="e">
        <f t="shared" si="104"/>
        <v>#VALUE!</v>
      </c>
      <c r="AJ72" s="6" t="e">
        <f t="shared" si="105"/>
        <v>#VALUE!</v>
      </c>
      <c r="AK72" s="6"/>
      <c r="AL72" s="6" t="e">
        <f t="shared" si="82"/>
        <v>#VALUE!</v>
      </c>
      <c r="AM72" s="6" t="e">
        <f t="shared" si="83"/>
        <v>#VALUE!</v>
      </c>
      <c r="AN72" s="6" t="e">
        <f t="shared" si="106"/>
        <v>#VALUE!</v>
      </c>
      <c r="AO72" s="6" t="e">
        <f t="shared" si="85"/>
        <v>#VALUE!</v>
      </c>
      <c r="AP72" s="7" t="e">
        <f t="shared" si="86"/>
        <v>#VALUE!</v>
      </c>
    </row>
    <row r="73" spans="3:42" x14ac:dyDescent="0.25">
      <c r="C73" s="764" t="s">
        <v>175</v>
      </c>
      <c r="D73" s="765"/>
      <c r="E73" s="765"/>
      <c r="F73" s="765"/>
      <c r="G73" s="765"/>
      <c r="H73" s="766"/>
      <c r="I73" s="373">
        <f>S73</f>
        <v>2.8833333333333332E-3</v>
      </c>
      <c r="J73" s="340"/>
      <c r="K73" s="374"/>
      <c r="L73" s="444" t="str">
        <f>'Droite de hauteur-soleil'!M22</f>
        <v>0.173'</v>
      </c>
      <c r="M73" s="444"/>
      <c r="N73" s="444"/>
      <c r="Q73" s="4" t="str">
        <f t="shared" si="62"/>
        <v>0.173'</v>
      </c>
      <c r="R73" s="14" t="str">
        <f t="shared" si="87"/>
        <v>00°00'10.38 [00°00.17] - (00.0029°)</v>
      </c>
      <c r="S73" s="7">
        <f t="shared" si="88"/>
        <v>2.8833333333333332E-3</v>
      </c>
      <c r="T73" s="5" t="b">
        <f t="shared" si="89"/>
        <v>0</v>
      </c>
      <c r="U73" s="5" t="b">
        <f t="shared" si="90"/>
        <v>1</v>
      </c>
      <c r="V73" s="5" t="b">
        <f t="shared" si="91"/>
        <v>0</v>
      </c>
      <c r="W73" s="5" t="b">
        <f t="shared" si="92"/>
        <v>0</v>
      </c>
      <c r="X73" s="5" t="b">
        <f t="shared" si="93"/>
        <v>0</v>
      </c>
      <c r="Y73" s="6">
        <f t="shared" si="94"/>
        <v>0</v>
      </c>
      <c r="Z73" s="5" t="str">
        <f t="shared" si="95"/>
        <v>0.173'</v>
      </c>
      <c r="AA73" s="5" t="b">
        <f t="shared" si="96"/>
        <v>1</v>
      </c>
      <c r="AB73" s="5" t="b">
        <f t="shared" si="97"/>
        <v>0</v>
      </c>
      <c r="AC73" s="6">
        <f t="shared" si="98"/>
        <v>0.17299999999999999</v>
      </c>
      <c r="AD73" s="5" t="str">
        <f t="shared" si="99"/>
        <v/>
      </c>
      <c r="AE73" s="5" t="b">
        <f t="shared" si="100"/>
        <v>0</v>
      </c>
      <c r="AF73" s="5" t="b">
        <f t="shared" si="101"/>
        <v>1</v>
      </c>
      <c r="AG73" s="5" t="b">
        <f t="shared" si="102"/>
        <v>0</v>
      </c>
      <c r="AH73" s="6">
        <f t="shared" si="103"/>
        <v>0</v>
      </c>
      <c r="AI73" s="6">
        <f t="shared" si="104"/>
        <v>10.379999999999999</v>
      </c>
      <c r="AJ73" s="6">
        <f t="shared" si="105"/>
        <v>2.8833333333333332E-3</v>
      </c>
      <c r="AK73" s="6"/>
      <c r="AL73" s="6">
        <f t="shared" si="82"/>
        <v>0</v>
      </c>
      <c r="AM73" s="6">
        <f t="shared" si="83"/>
        <v>0.17299999999999999</v>
      </c>
      <c r="AN73" s="6">
        <f t="shared" si="106"/>
        <v>0</v>
      </c>
      <c r="AO73" s="6">
        <f t="shared" si="85"/>
        <v>10.379999999999999</v>
      </c>
      <c r="AP73" s="7" t="str">
        <f t="shared" si="86"/>
        <v>00°00'10.38 [00°00.17] - (00.0029°)</v>
      </c>
    </row>
    <row r="74" spans="3:42" x14ac:dyDescent="0.25">
      <c r="C74" s="767"/>
      <c r="D74" s="768"/>
      <c r="E74" s="768"/>
      <c r="F74" s="768"/>
      <c r="G74" s="768"/>
      <c r="H74" s="769"/>
      <c r="I74" s="375"/>
      <c r="J74" s="343"/>
      <c r="K74" s="376"/>
      <c r="L74" s="444"/>
      <c r="M74" s="444"/>
      <c r="N74" s="444"/>
      <c r="Q74" s="4"/>
      <c r="R74" s="14" t="str">
        <f t="shared" si="87"/>
        <v>00°00'00.00 [00°00.00] - (00.0000°)</v>
      </c>
      <c r="S74" s="7">
        <f t="shared" si="88"/>
        <v>0</v>
      </c>
      <c r="T74" s="5" t="b">
        <f t="shared" si="89"/>
        <v>0</v>
      </c>
      <c r="U74" s="5" t="b">
        <f t="shared" si="90"/>
        <v>0</v>
      </c>
      <c r="V74" s="5" t="b">
        <f t="shared" si="91"/>
        <v>0</v>
      </c>
      <c r="W74" s="5" t="b">
        <f t="shared" si="92"/>
        <v>1</v>
      </c>
      <c r="X74" s="5" t="b">
        <f t="shared" si="93"/>
        <v>1</v>
      </c>
      <c r="Y74" s="6">
        <f t="shared" si="94"/>
        <v>0</v>
      </c>
      <c r="Z74" s="5" t="str">
        <f t="shared" si="95"/>
        <v/>
      </c>
      <c r="AA74" s="5" t="b">
        <f t="shared" si="96"/>
        <v>0</v>
      </c>
      <c r="AB74" s="5" t="b">
        <f t="shared" si="97"/>
        <v>1</v>
      </c>
      <c r="AC74" s="6">
        <f t="shared" si="98"/>
        <v>0</v>
      </c>
      <c r="AD74" s="5" t="str">
        <f t="shared" si="99"/>
        <v/>
      </c>
      <c r="AE74" s="5" t="b">
        <f t="shared" si="100"/>
        <v>0</v>
      </c>
      <c r="AF74" s="5" t="b">
        <f t="shared" si="101"/>
        <v>1</v>
      </c>
      <c r="AG74" s="5" t="b">
        <f t="shared" si="102"/>
        <v>0</v>
      </c>
      <c r="AH74" s="6">
        <f t="shared" si="103"/>
        <v>0</v>
      </c>
      <c r="AI74" s="6">
        <f t="shared" si="104"/>
        <v>0</v>
      </c>
      <c r="AJ74" s="6">
        <f t="shared" si="105"/>
        <v>0</v>
      </c>
      <c r="AK74" s="6"/>
      <c r="AL74" s="6">
        <f t="shared" si="82"/>
        <v>0</v>
      </c>
      <c r="AM74" s="6">
        <f t="shared" si="83"/>
        <v>0</v>
      </c>
      <c r="AN74" s="6">
        <f t="shared" si="106"/>
        <v>0</v>
      </c>
      <c r="AO74" s="6">
        <f t="shared" si="85"/>
        <v>0</v>
      </c>
      <c r="AP74" s="7" t="str">
        <f t="shared" si="86"/>
        <v>00°00'00.00 [00°00.00] - (00.0000°)</v>
      </c>
    </row>
    <row r="75" spans="3:42" x14ac:dyDescent="0.25">
      <c r="C75" s="767"/>
      <c r="D75" s="768"/>
      <c r="E75" s="768"/>
      <c r="F75" s="768"/>
      <c r="G75" s="768"/>
      <c r="H75" s="769"/>
      <c r="I75" s="375"/>
      <c r="J75" s="343"/>
      <c r="K75" s="376"/>
      <c r="L75" s="444"/>
      <c r="M75" s="444"/>
      <c r="N75" s="444"/>
      <c r="Q75" s="4"/>
      <c r="R75" s="14" t="str">
        <f t="shared" si="87"/>
        <v>00°00'00.00 [00°00.00] - (00.0000°)</v>
      </c>
      <c r="S75" s="7">
        <f t="shared" si="88"/>
        <v>0</v>
      </c>
      <c r="T75" s="5" t="b">
        <f t="shared" si="89"/>
        <v>0</v>
      </c>
      <c r="U75" s="5" t="b">
        <f t="shared" si="90"/>
        <v>0</v>
      </c>
      <c r="V75" s="5" t="b">
        <f t="shared" si="91"/>
        <v>0</v>
      </c>
      <c r="W75" s="5" t="b">
        <f t="shared" si="92"/>
        <v>1</v>
      </c>
      <c r="X75" s="5" t="b">
        <f t="shared" si="93"/>
        <v>1</v>
      </c>
      <c r="Y75" s="6">
        <f t="shared" si="94"/>
        <v>0</v>
      </c>
      <c r="Z75" s="5" t="str">
        <f t="shared" si="95"/>
        <v/>
      </c>
      <c r="AA75" s="5" t="b">
        <f t="shared" si="96"/>
        <v>0</v>
      </c>
      <c r="AB75" s="5" t="b">
        <f t="shared" si="97"/>
        <v>1</v>
      </c>
      <c r="AC75" s="6">
        <f t="shared" si="98"/>
        <v>0</v>
      </c>
      <c r="AD75" s="5" t="str">
        <f t="shared" si="99"/>
        <v/>
      </c>
      <c r="AE75" s="5" t="b">
        <f t="shared" si="100"/>
        <v>0</v>
      </c>
      <c r="AF75" s="5" t="b">
        <f t="shared" si="101"/>
        <v>1</v>
      </c>
      <c r="AG75" s="5" t="b">
        <f t="shared" si="102"/>
        <v>0</v>
      </c>
      <c r="AH75" s="6">
        <f t="shared" si="103"/>
        <v>0</v>
      </c>
      <c r="AI75" s="6">
        <f t="shared" si="104"/>
        <v>0</v>
      </c>
      <c r="AJ75" s="6">
        <f t="shared" si="105"/>
        <v>0</v>
      </c>
      <c r="AK75" s="6"/>
      <c r="AL75" s="6">
        <f t="shared" si="82"/>
        <v>0</v>
      </c>
      <c r="AM75" s="6">
        <f t="shared" si="83"/>
        <v>0</v>
      </c>
      <c r="AN75" s="6">
        <f t="shared" si="106"/>
        <v>0</v>
      </c>
      <c r="AO75" s="6">
        <f t="shared" si="85"/>
        <v>0</v>
      </c>
      <c r="AP75" s="7" t="str">
        <f t="shared" si="86"/>
        <v>00°00'00.00 [00°00.00] - (00.0000°)</v>
      </c>
    </row>
    <row r="76" spans="3:42" x14ac:dyDescent="0.25">
      <c r="C76" s="770"/>
      <c r="D76" s="771"/>
      <c r="E76" s="771"/>
      <c r="F76" s="771"/>
      <c r="G76" s="771"/>
      <c r="H76" s="772"/>
      <c r="I76" s="377"/>
      <c r="J76" s="378"/>
      <c r="K76" s="379"/>
      <c r="L76" s="444"/>
      <c r="M76" s="444"/>
      <c r="N76" s="444"/>
      <c r="Q76" s="4"/>
      <c r="R76" s="14" t="str">
        <f t="shared" si="87"/>
        <v>00°00'00.00 [00°00.00] - (00.0000°)</v>
      </c>
      <c r="S76" s="7">
        <f t="shared" si="88"/>
        <v>0</v>
      </c>
      <c r="T76" s="5" t="b">
        <f t="shared" si="89"/>
        <v>0</v>
      </c>
      <c r="U76" s="5" t="b">
        <f t="shared" si="90"/>
        <v>0</v>
      </c>
      <c r="V76" s="5" t="b">
        <f t="shared" si="91"/>
        <v>0</v>
      </c>
      <c r="W76" s="5" t="b">
        <f t="shared" si="92"/>
        <v>1</v>
      </c>
      <c r="X76" s="5" t="b">
        <f t="shared" si="93"/>
        <v>1</v>
      </c>
      <c r="Y76" s="6">
        <f t="shared" si="94"/>
        <v>0</v>
      </c>
      <c r="Z76" s="5" t="str">
        <f t="shared" si="95"/>
        <v/>
      </c>
      <c r="AA76" s="5" t="b">
        <f t="shared" si="96"/>
        <v>0</v>
      </c>
      <c r="AB76" s="5" t="b">
        <f t="shared" si="97"/>
        <v>1</v>
      </c>
      <c r="AC76" s="6">
        <f t="shared" si="98"/>
        <v>0</v>
      </c>
      <c r="AD76" s="5" t="str">
        <f t="shared" si="99"/>
        <v/>
      </c>
      <c r="AE76" s="5" t="b">
        <f t="shared" si="100"/>
        <v>0</v>
      </c>
      <c r="AF76" s="5" t="b">
        <f t="shared" si="101"/>
        <v>1</v>
      </c>
      <c r="AG76" s="5" t="b">
        <f t="shared" si="102"/>
        <v>0</v>
      </c>
      <c r="AH76" s="6">
        <f t="shared" si="103"/>
        <v>0</v>
      </c>
      <c r="AI76" s="6">
        <f t="shared" si="104"/>
        <v>0</v>
      </c>
      <c r="AJ76" s="6">
        <f t="shared" si="105"/>
        <v>0</v>
      </c>
      <c r="AK76" s="6"/>
      <c r="AL76" s="6">
        <f t="shared" si="82"/>
        <v>0</v>
      </c>
      <c r="AM76" s="6">
        <f t="shared" si="83"/>
        <v>0</v>
      </c>
      <c r="AN76" s="6">
        <f t="shared" si="106"/>
        <v>0</v>
      </c>
      <c r="AO76" s="6">
        <f t="shared" si="85"/>
        <v>0</v>
      </c>
      <c r="AP76" s="7" t="str">
        <f t="shared" si="86"/>
        <v>00°00'00.00 [00°00.00] - (00.0000°)</v>
      </c>
    </row>
    <row r="77" spans="3:42" x14ac:dyDescent="0.25">
      <c r="C77" s="764" t="s">
        <v>226</v>
      </c>
      <c r="D77" s="765"/>
      <c r="E77" s="765"/>
      <c r="F77" s="765"/>
      <c r="G77" s="765"/>
      <c r="H77" s="766"/>
      <c r="I77" s="387">
        <f>S77</f>
        <v>0.53333333333333333</v>
      </c>
      <c r="J77" s="388"/>
      <c r="K77" s="389"/>
      <c r="L77" s="444" t="str">
        <f>'Droite de hauteur-soleil'!M26</f>
        <v>32'</v>
      </c>
      <c r="M77" s="444"/>
      <c r="N77" s="444"/>
      <c r="Q77" s="4" t="str">
        <f>L77</f>
        <v>32'</v>
      </c>
      <c r="R77" s="14" t="str">
        <f t="shared" si="87"/>
        <v>00°32'00.00 [00°32.00] - (00.5333°)</v>
      </c>
      <c r="S77" s="7">
        <f t="shared" si="88"/>
        <v>0.53333333333333333</v>
      </c>
      <c r="T77" s="5" t="b">
        <f t="shared" si="89"/>
        <v>0</v>
      </c>
      <c r="U77" s="5" t="b">
        <f t="shared" si="90"/>
        <v>1</v>
      </c>
      <c r="V77" s="5" t="b">
        <f t="shared" si="91"/>
        <v>0</v>
      </c>
      <c r="W77" s="5" t="b">
        <f t="shared" si="92"/>
        <v>0</v>
      </c>
      <c r="X77" s="5" t="b">
        <f t="shared" si="93"/>
        <v>0</v>
      </c>
      <c r="Y77" s="6">
        <f t="shared" si="94"/>
        <v>0</v>
      </c>
      <c r="Z77" s="5" t="str">
        <f t="shared" si="95"/>
        <v>32'</v>
      </c>
      <c r="AA77" s="5" t="b">
        <f t="shared" si="96"/>
        <v>1</v>
      </c>
      <c r="AB77" s="5" t="b">
        <f t="shared" si="97"/>
        <v>0</v>
      </c>
      <c r="AC77" s="6">
        <f t="shared" si="98"/>
        <v>32</v>
      </c>
      <c r="AD77" s="5" t="str">
        <f t="shared" si="99"/>
        <v/>
      </c>
      <c r="AE77" s="5" t="b">
        <f t="shared" si="100"/>
        <v>0</v>
      </c>
      <c r="AF77" s="5" t="b">
        <f t="shared" si="101"/>
        <v>1</v>
      </c>
      <c r="AG77" s="5" t="b">
        <f t="shared" si="102"/>
        <v>0</v>
      </c>
      <c r="AH77" s="6">
        <f t="shared" si="103"/>
        <v>0</v>
      </c>
      <c r="AI77" s="6">
        <f t="shared" si="104"/>
        <v>1920</v>
      </c>
      <c r="AJ77" s="6">
        <f t="shared" si="105"/>
        <v>0.53333333333333333</v>
      </c>
      <c r="AK77" s="6"/>
      <c r="AL77" s="6">
        <f t="shared" si="82"/>
        <v>0</v>
      </c>
      <c r="AM77" s="6">
        <f t="shared" si="83"/>
        <v>32</v>
      </c>
      <c r="AN77" s="6">
        <f t="shared" si="106"/>
        <v>32</v>
      </c>
      <c r="AO77" s="6">
        <f t="shared" si="85"/>
        <v>0</v>
      </c>
      <c r="AP77" s="7" t="str">
        <f t="shared" si="86"/>
        <v>00°32'00.00 [00°32.00] - (00.5333°)</v>
      </c>
    </row>
    <row r="78" spans="3:42" x14ac:dyDescent="0.25">
      <c r="C78" s="767"/>
      <c r="D78" s="768"/>
      <c r="E78" s="768"/>
      <c r="F78" s="768"/>
      <c r="G78" s="768"/>
      <c r="H78" s="769"/>
      <c r="I78" s="375"/>
      <c r="J78" s="343"/>
      <c r="K78" s="376"/>
      <c r="L78" s="444"/>
      <c r="M78" s="444"/>
      <c r="N78" s="444"/>
      <c r="Q78" s="4"/>
      <c r="R78" s="14" t="str">
        <f t="shared" si="87"/>
        <v>00°00'00.00 [00°00.00] - (00.0000°)</v>
      </c>
      <c r="S78" s="7">
        <f t="shared" si="88"/>
        <v>0</v>
      </c>
      <c r="T78" s="5" t="b">
        <f t="shared" si="89"/>
        <v>0</v>
      </c>
      <c r="U78" s="5" t="b">
        <f t="shared" si="90"/>
        <v>0</v>
      </c>
      <c r="V78" s="5" t="b">
        <f t="shared" si="91"/>
        <v>0</v>
      </c>
      <c r="W78" s="5" t="b">
        <f t="shared" si="92"/>
        <v>1</v>
      </c>
      <c r="X78" s="5" t="b">
        <f t="shared" si="93"/>
        <v>1</v>
      </c>
      <c r="Y78" s="6">
        <f t="shared" si="94"/>
        <v>0</v>
      </c>
      <c r="Z78" s="5" t="str">
        <f t="shared" si="95"/>
        <v/>
      </c>
      <c r="AA78" s="5" t="b">
        <f t="shared" si="96"/>
        <v>0</v>
      </c>
      <c r="AB78" s="5" t="b">
        <f t="shared" si="97"/>
        <v>1</v>
      </c>
      <c r="AC78" s="6">
        <f t="shared" si="98"/>
        <v>0</v>
      </c>
      <c r="AD78" s="5" t="str">
        <f t="shared" si="99"/>
        <v/>
      </c>
      <c r="AE78" s="5" t="b">
        <f t="shared" si="100"/>
        <v>0</v>
      </c>
      <c r="AF78" s="5" t="b">
        <f t="shared" si="101"/>
        <v>1</v>
      </c>
      <c r="AG78" s="5" t="b">
        <f t="shared" si="102"/>
        <v>0</v>
      </c>
      <c r="AH78" s="6">
        <f t="shared" si="103"/>
        <v>0</v>
      </c>
      <c r="AI78" s="6">
        <f t="shared" si="104"/>
        <v>0</v>
      </c>
      <c r="AJ78" s="6">
        <f t="shared" si="105"/>
        <v>0</v>
      </c>
      <c r="AK78" s="6"/>
      <c r="AL78" s="6">
        <f t="shared" si="82"/>
        <v>0</v>
      </c>
      <c r="AM78" s="6">
        <f t="shared" si="83"/>
        <v>0</v>
      </c>
      <c r="AN78" s="6">
        <f t="shared" si="106"/>
        <v>0</v>
      </c>
      <c r="AO78" s="6">
        <f t="shared" si="85"/>
        <v>0</v>
      </c>
      <c r="AP78" s="7" t="str">
        <f t="shared" si="86"/>
        <v>00°00'00.00 [00°00.00] - (00.0000°)</v>
      </c>
    </row>
    <row r="79" spans="3:42" x14ac:dyDescent="0.25">
      <c r="C79" s="767"/>
      <c r="D79" s="768"/>
      <c r="E79" s="768"/>
      <c r="F79" s="768"/>
      <c r="G79" s="768"/>
      <c r="H79" s="769"/>
      <c r="I79" s="375"/>
      <c r="J79" s="343"/>
      <c r="K79" s="376"/>
      <c r="L79" s="444"/>
      <c r="M79" s="444"/>
      <c r="N79" s="444"/>
      <c r="Q79" s="4"/>
      <c r="R79" s="14" t="str">
        <f t="shared" si="87"/>
        <v>00°00'00.00 [00°00.00] - (00.0000°)</v>
      </c>
      <c r="S79" s="7">
        <f t="shared" si="88"/>
        <v>0</v>
      </c>
      <c r="T79" s="5" t="b">
        <f t="shared" si="89"/>
        <v>0</v>
      </c>
      <c r="U79" s="5" t="b">
        <f t="shared" si="90"/>
        <v>0</v>
      </c>
      <c r="V79" s="5" t="b">
        <f t="shared" si="91"/>
        <v>0</v>
      </c>
      <c r="W79" s="5" t="b">
        <f t="shared" si="92"/>
        <v>1</v>
      </c>
      <c r="X79" s="5" t="b">
        <f t="shared" si="93"/>
        <v>1</v>
      </c>
      <c r="Y79" s="6">
        <f t="shared" si="94"/>
        <v>0</v>
      </c>
      <c r="Z79" s="5" t="str">
        <f t="shared" si="95"/>
        <v/>
      </c>
      <c r="AA79" s="5" t="b">
        <f t="shared" si="96"/>
        <v>0</v>
      </c>
      <c r="AB79" s="5" t="b">
        <f t="shared" si="97"/>
        <v>1</v>
      </c>
      <c r="AC79" s="6">
        <f t="shared" si="98"/>
        <v>0</v>
      </c>
      <c r="AD79" s="5" t="str">
        <f t="shared" si="99"/>
        <v/>
      </c>
      <c r="AE79" s="5" t="b">
        <f t="shared" si="100"/>
        <v>0</v>
      </c>
      <c r="AF79" s="5" t="b">
        <f t="shared" si="101"/>
        <v>1</v>
      </c>
      <c r="AG79" s="5" t="b">
        <f t="shared" si="102"/>
        <v>0</v>
      </c>
      <c r="AH79" s="6">
        <f t="shared" si="103"/>
        <v>0</v>
      </c>
      <c r="AI79" s="6">
        <f t="shared" si="104"/>
        <v>0</v>
      </c>
      <c r="AJ79" s="6">
        <f t="shared" si="105"/>
        <v>0</v>
      </c>
      <c r="AK79" s="6"/>
      <c r="AL79" s="6">
        <f t="shared" si="82"/>
        <v>0</v>
      </c>
      <c r="AM79" s="6">
        <f t="shared" si="83"/>
        <v>0</v>
      </c>
      <c r="AN79" s="6">
        <f t="shared" si="106"/>
        <v>0</v>
      </c>
      <c r="AO79" s="6">
        <f t="shared" si="85"/>
        <v>0</v>
      </c>
      <c r="AP79" s="7" t="str">
        <f t="shared" si="86"/>
        <v>00°00'00.00 [00°00.00] - (00.0000°)</v>
      </c>
    </row>
    <row r="80" spans="3:42" x14ac:dyDescent="0.25">
      <c r="C80" s="770"/>
      <c r="D80" s="771"/>
      <c r="E80" s="771"/>
      <c r="F80" s="771"/>
      <c r="G80" s="771"/>
      <c r="H80" s="772"/>
      <c r="I80" s="377"/>
      <c r="J80" s="378"/>
      <c r="K80" s="379"/>
      <c r="L80" s="444"/>
      <c r="M80" s="444"/>
      <c r="N80" s="444"/>
      <c r="Q80" s="4"/>
      <c r="R80" s="14" t="str">
        <f t="shared" si="87"/>
        <v>00°00'00.00 [00°00.00] - (00.0000°)</v>
      </c>
      <c r="S80" s="7">
        <f t="shared" si="88"/>
        <v>0</v>
      </c>
      <c r="T80" s="5" t="b">
        <f t="shared" si="89"/>
        <v>0</v>
      </c>
      <c r="U80" s="5" t="b">
        <f t="shared" si="90"/>
        <v>0</v>
      </c>
      <c r="V80" s="5" t="b">
        <f t="shared" si="91"/>
        <v>0</v>
      </c>
      <c r="W80" s="5" t="b">
        <f t="shared" si="92"/>
        <v>1</v>
      </c>
      <c r="X80" s="5" t="b">
        <f t="shared" si="93"/>
        <v>1</v>
      </c>
      <c r="Y80" s="6">
        <f t="shared" si="94"/>
        <v>0</v>
      </c>
      <c r="Z80" s="5" t="str">
        <f t="shared" si="95"/>
        <v/>
      </c>
      <c r="AA80" s="5" t="b">
        <f t="shared" si="96"/>
        <v>0</v>
      </c>
      <c r="AB80" s="5" t="b">
        <f t="shared" si="97"/>
        <v>1</v>
      </c>
      <c r="AC80" s="6">
        <f t="shared" si="98"/>
        <v>0</v>
      </c>
      <c r="AD80" s="5" t="str">
        <f t="shared" si="99"/>
        <v/>
      </c>
      <c r="AE80" s="5" t="b">
        <f t="shared" si="100"/>
        <v>0</v>
      </c>
      <c r="AF80" s="5" t="b">
        <f t="shared" si="101"/>
        <v>1</v>
      </c>
      <c r="AG80" s="5" t="b">
        <f t="shared" si="102"/>
        <v>0</v>
      </c>
      <c r="AH80" s="6">
        <f t="shared" si="103"/>
        <v>0</v>
      </c>
      <c r="AI80" s="6">
        <f t="shared" si="104"/>
        <v>0</v>
      </c>
      <c r="AJ80" s="6">
        <f t="shared" si="105"/>
        <v>0</v>
      </c>
      <c r="AK80" s="6"/>
      <c r="AL80" s="6">
        <f t="shared" si="82"/>
        <v>0</v>
      </c>
      <c r="AM80" s="6">
        <f t="shared" si="83"/>
        <v>0</v>
      </c>
      <c r="AN80" s="6">
        <f t="shared" si="106"/>
        <v>0</v>
      </c>
      <c r="AO80" s="6">
        <f t="shared" si="85"/>
        <v>0</v>
      </c>
      <c r="AP80" s="7" t="str">
        <f t="shared" si="86"/>
        <v>00°00'00.00 [00°00.00] - (00.0000°)</v>
      </c>
    </row>
    <row r="81" spans="1:42" x14ac:dyDescent="0.25">
      <c r="Q81" s="4"/>
      <c r="R81" s="14" t="str">
        <f t="shared" si="87"/>
        <v>00°00'00.00 [00°00.00] - (00.0000°)</v>
      </c>
      <c r="S81" s="7">
        <f t="shared" si="88"/>
        <v>0</v>
      </c>
      <c r="T81" s="5" t="b">
        <f t="shared" si="89"/>
        <v>0</v>
      </c>
      <c r="U81" s="5" t="b">
        <f t="shared" si="90"/>
        <v>0</v>
      </c>
      <c r="V81" s="5" t="b">
        <f t="shared" si="91"/>
        <v>0</v>
      </c>
      <c r="W81" s="5" t="b">
        <f t="shared" si="92"/>
        <v>1</v>
      </c>
      <c r="X81" s="5" t="b">
        <f t="shared" si="93"/>
        <v>1</v>
      </c>
      <c r="Y81" s="6">
        <f t="shared" si="94"/>
        <v>0</v>
      </c>
      <c r="Z81" s="5" t="str">
        <f t="shared" si="95"/>
        <v/>
      </c>
      <c r="AA81" s="5" t="b">
        <f t="shared" si="96"/>
        <v>0</v>
      </c>
      <c r="AB81" s="5" t="b">
        <f t="shared" si="97"/>
        <v>1</v>
      </c>
      <c r="AC81" s="6">
        <f t="shared" si="98"/>
        <v>0</v>
      </c>
      <c r="AD81" s="5" t="str">
        <f t="shared" si="99"/>
        <v/>
      </c>
      <c r="AE81" s="5" t="b">
        <f t="shared" si="100"/>
        <v>0</v>
      </c>
      <c r="AF81" s="5" t="b">
        <f t="shared" si="101"/>
        <v>1</v>
      </c>
      <c r="AG81" s="5" t="b">
        <f t="shared" si="102"/>
        <v>0</v>
      </c>
      <c r="AH81" s="6">
        <f t="shared" si="103"/>
        <v>0</v>
      </c>
      <c r="AI81" s="6">
        <f t="shared" si="104"/>
        <v>0</v>
      </c>
      <c r="AJ81" s="6">
        <f t="shared" si="105"/>
        <v>0</v>
      </c>
      <c r="AK81" s="6"/>
      <c r="AL81" s="6">
        <f t="shared" si="82"/>
        <v>0</v>
      </c>
      <c r="AM81" s="6">
        <f t="shared" si="83"/>
        <v>0</v>
      </c>
      <c r="AN81" s="6">
        <f t="shared" si="106"/>
        <v>0</v>
      </c>
      <c r="AO81" s="6">
        <f t="shared" si="85"/>
        <v>0</v>
      </c>
      <c r="AP81" s="7" t="str">
        <f t="shared" si="86"/>
        <v>00°00'00.00 [00°00.00] - (00.0000°)</v>
      </c>
    </row>
    <row r="82" spans="1:42" x14ac:dyDescent="0.25">
      <c r="F82" s="481" t="s">
        <v>81</v>
      </c>
      <c r="G82" s="481"/>
      <c r="H82" s="481"/>
      <c r="I82" s="481"/>
    </row>
    <row r="83" spans="1:42" ht="15.75" thickBot="1" x14ac:dyDescent="0.3"/>
    <row r="84" spans="1:42" ht="15.75" thickBot="1" x14ac:dyDescent="0.3">
      <c r="A84" s="410" t="s">
        <v>232</v>
      </c>
      <c r="B84" s="411"/>
      <c r="C84" s="412"/>
      <c r="D84" s="1"/>
    </row>
    <row r="85" spans="1:42" x14ac:dyDescent="0.25">
      <c r="A85" s="40" t="s">
        <v>104</v>
      </c>
      <c r="B85" s="80" t="s">
        <v>211</v>
      </c>
      <c r="C85" s="42" t="s">
        <v>212</v>
      </c>
      <c r="D85" s="76">
        <f>PI()/180</f>
        <v>1.7453292519943295E-2</v>
      </c>
      <c r="I85" s="2" t="s">
        <v>82</v>
      </c>
      <c r="J85" s="2" t="s">
        <v>233</v>
      </c>
      <c r="K85" s="14" t="s">
        <v>87</v>
      </c>
      <c r="L85" s="96" t="s">
        <v>234</v>
      </c>
    </row>
    <row r="86" spans="1:42" x14ac:dyDescent="0.25">
      <c r="A86" s="40" t="s">
        <v>213</v>
      </c>
      <c r="B86" s="80" t="s">
        <v>211</v>
      </c>
      <c r="C86" s="42" t="s">
        <v>104</v>
      </c>
      <c r="D86" s="76">
        <f>180/PI()</f>
        <v>57.295779513082323</v>
      </c>
      <c r="F86" s="2" t="s">
        <v>231</v>
      </c>
      <c r="G86" s="91" t="s">
        <v>236</v>
      </c>
      <c r="I86" s="95">
        <f>Q90</f>
        <v>0.12414111625371918</v>
      </c>
      <c r="J86" s="95">
        <f>T92</f>
        <v>0</v>
      </c>
      <c r="K86" s="14">
        <f>I73*COS(S86*D85)</f>
        <v>2.861841403899145E-3</v>
      </c>
      <c r="L86">
        <f>S77/2</f>
        <v>0.26666666666666666</v>
      </c>
      <c r="Q86" s="4" t="str">
        <f>G86</f>
        <v>07°</v>
      </c>
      <c r="R86" s="14" t="str">
        <f t="shared" ref="R86" si="107">AP86</f>
        <v>07°00'00.00 [07°00.00] - (07.0000°)</v>
      </c>
      <c r="S86" s="7">
        <f t="shared" ref="S86" si="108">AJ86</f>
        <v>7</v>
      </c>
      <c r="T86" s="5" t="b">
        <f t="shared" ref="T86" si="109">ISNUMBER(SEARCH("°",Q86,1))</f>
        <v>1</v>
      </c>
      <c r="U86" s="5" t="b">
        <f t="shared" ref="U86" si="110">ISNUMBER(SEARCH("'",Q86,1))</f>
        <v>0</v>
      </c>
      <c r="V86" s="5" t="b">
        <f t="shared" ref="V86" si="111">ISNUMBER(SEARCH("""",Q86,1))</f>
        <v>0</v>
      </c>
      <c r="W86" s="5" t="b">
        <f t="shared" ref="W86" si="112">NOT(OR(T86,U86,V86))</f>
        <v>0</v>
      </c>
      <c r="X86" s="5" t="b">
        <f t="shared" ref="X86" si="113">OR(W86,T86)</f>
        <v>1</v>
      </c>
      <c r="Y86" s="6" t="str">
        <f t="shared" ref="Y86" si="114">IF(W86,VALUE(Q86),IF(T86,LEFT(Q86,SEARCH("°",Q86,1)-1),0))</f>
        <v>07</v>
      </c>
      <c r="Z86" s="5" t="str">
        <f t="shared" ref="Z86" si="115">IF(W86,"",IF(T86,RIGHT(Q86,LEN(Q86)-SEARCH("°",Q86,1)),Q86))</f>
        <v/>
      </c>
      <c r="AA86" s="5" t="b">
        <f t="shared" ref="AA86" si="116">(LEN(Z86)&gt;0)</f>
        <v>0</v>
      </c>
      <c r="AB86" s="5" t="b">
        <f t="shared" ref="AB86" si="117">NOT(OR(U86,V86))</f>
        <v>1</v>
      </c>
      <c r="AC86" s="6">
        <f t="shared" ref="AC86" si="118">IF(NOT(AA86),0,IF(AB86,VALUE(Z86),IF(NOT(U86),0,VALUE(LEFT(Z86,SEARCH("'",Z86,1)-1)))))</f>
        <v>0</v>
      </c>
      <c r="AD86" s="5" t="str">
        <f t="shared" ref="AD86" si="119">IF(NOT(AA86),"",IF(AB86,"",IF(NOT(U86),Z86,RIGHT(Z86,LEN(Z86)-SEARCH("'",Z86,1)))))</f>
        <v/>
      </c>
      <c r="AE86" s="5" t="b">
        <f t="shared" ref="AE86" si="120">(LEN(AD86)&gt;0)</f>
        <v>0</v>
      </c>
      <c r="AF86" s="5" t="b">
        <f t="shared" ref="AF86" si="121">NOT(V86)</f>
        <v>1</v>
      </c>
      <c r="AG86" s="5" t="b">
        <f t="shared" ref="AG86" si="122">ISNUMBER(SEARCH(".",AD86,1))</f>
        <v>0</v>
      </c>
      <c r="AH86" s="6">
        <f t="shared" ref="AH86" si="123">IF(AE86,IF(V86,IF(AG86,VALUE(SUBSTITUTE(AD86, """", "")),VALUE(SUBSTITUTE(AD86, """", "."))),VALUE(AD86)),0)</f>
        <v>0</v>
      </c>
      <c r="AI86" s="6">
        <f t="shared" ref="AI86" si="124">Y86*3600+AC86*60+AH86</f>
        <v>25200</v>
      </c>
      <c r="AJ86" s="6">
        <f t="shared" ref="AJ86" si="125">AI86/3600</f>
        <v>7</v>
      </c>
      <c r="AK86" s="6"/>
      <c r="AL86" s="6">
        <f>_xlfn.FLOOR.MATH((AJ86))</f>
        <v>7</v>
      </c>
      <c r="AM86" s="6">
        <f>(AI86-3600*AL86)/60</f>
        <v>0</v>
      </c>
      <c r="AN86" s="6">
        <f t="shared" ref="AN86" si="126">_xlfn.FLOOR.MATH((AM86))</f>
        <v>0</v>
      </c>
      <c r="AO86" s="6">
        <f>AI86-3600*AL86-60*AN86</f>
        <v>0</v>
      </c>
      <c r="AP86" s="7" t="str">
        <f>CONCATENATE(TEXT(AL86,"00"),"°",TEXT(AN86,"00"),"'",TEXT(AO86,"00.00"), " [", CONCATENATE(TEXT(AL86,"00"),"°",TEXT(AM86,"00.00")),"]", " - (", TEXT(AJ86,"00.0000"),"°)")</f>
        <v>07°00'00.00 [07°00.00] - (07.0000°)</v>
      </c>
    </row>
    <row r="87" spans="1:42" ht="15.75" thickBot="1" x14ac:dyDescent="0.3">
      <c r="A87" s="43"/>
      <c r="B87" s="44"/>
      <c r="C87" s="45"/>
      <c r="D87" s="1"/>
      <c r="F87" s="2" t="s">
        <v>235</v>
      </c>
      <c r="G87" s="97">
        <f>-I86-J86+K86+L86</f>
        <v>0.14538739181684662</v>
      </c>
      <c r="H87" s="92" t="str">
        <f>AP87</f>
        <v>00°08'43.39 [00°08.72] - (00.1454°)</v>
      </c>
      <c r="Q87" s="98">
        <f>G87</f>
        <v>0.14538739181684662</v>
      </c>
      <c r="R87" s="14" t="str">
        <f t="shared" ref="R87" si="127">AP87</f>
        <v>00°08'43.39 [00°08.72] - (00.1454°)</v>
      </c>
      <c r="S87" s="7">
        <f t="shared" ref="S87" si="128">AJ87</f>
        <v>0.14538739181684662</v>
      </c>
      <c r="T87" s="5" t="b">
        <f t="shared" ref="T87" si="129">ISNUMBER(SEARCH("°",Q87,1))</f>
        <v>0</v>
      </c>
      <c r="U87" s="5" t="b">
        <f t="shared" ref="U87" si="130">ISNUMBER(SEARCH("'",Q87,1))</f>
        <v>0</v>
      </c>
      <c r="V87" s="5" t="b">
        <f t="shared" ref="V87" si="131">ISNUMBER(SEARCH("""",Q87,1))</f>
        <v>0</v>
      </c>
      <c r="W87" s="5" t="b">
        <f t="shared" ref="W87" si="132">NOT(OR(T87,U87,V87))</f>
        <v>1</v>
      </c>
      <c r="X87" s="5" t="b">
        <f t="shared" ref="X87" si="133">OR(W87,T87)</f>
        <v>1</v>
      </c>
      <c r="Y87" s="6">
        <f t="shared" ref="Y87" si="134">IF(W87,VALUE(Q87),IF(T87,LEFT(Q87,SEARCH("°",Q87,1)-1),0))</f>
        <v>0.14538739181684662</v>
      </c>
      <c r="Z87" s="5" t="str">
        <f t="shared" ref="Z87" si="135">IF(W87,"",IF(T87,RIGHT(Q87,LEN(Q87)-SEARCH("°",Q87,1)),Q87))</f>
        <v/>
      </c>
      <c r="AA87" s="5" t="b">
        <f t="shared" ref="AA87" si="136">(LEN(Z87)&gt;0)</f>
        <v>0</v>
      </c>
      <c r="AB87" s="5" t="b">
        <f t="shared" ref="AB87" si="137">NOT(OR(U87,V87))</f>
        <v>1</v>
      </c>
      <c r="AC87" s="6">
        <f t="shared" ref="AC87" si="138">IF(NOT(AA87),0,IF(AB87,VALUE(Z87),IF(NOT(U87),0,VALUE(LEFT(Z87,SEARCH("'",Z87,1)-1)))))</f>
        <v>0</v>
      </c>
      <c r="AD87" s="5" t="str">
        <f t="shared" ref="AD87" si="139">IF(NOT(AA87),"",IF(AB87,"",IF(NOT(U87),Z87,RIGHT(Z87,LEN(Z87)-SEARCH("'",Z87,1)))))</f>
        <v/>
      </c>
      <c r="AE87" s="5" t="b">
        <f t="shared" ref="AE87" si="140">(LEN(AD87)&gt;0)</f>
        <v>0</v>
      </c>
      <c r="AF87" s="5" t="b">
        <f t="shared" ref="AF87" si="141">NOT(V87)</f>
        <v>1</v>
      </c>
      <c r="AG87" s="5" t="b">
        <f t="shared" ref="AG87" si="142">ISNUMBER(SEARCH(".",AD87,1))</f>
        <v>0</v>
      </c>
      <c r="AH87" s="6">
        <f t="shared" ref="AH87" si="143">IF(AE87,IF(V87,IF(AG87,VALUE(SUBSTITUTE(AD87, """", "")),VALUE(SUBSTITUTE(AD87, """", "."))),VALUE(AD87)),0)</f>
        <v>0</v>
      </c>
      <c r="AI87" s="6">
        <f t="shared" ref="AI87" si="144">Y87*3600+AC87*60+AH87</f>
        <v>523.39461054064782</v>
      </c>
      <c r="AJ87" s="6">
        <f t="shared" ref="AJ87" si="145">AI87/3600</f>
        <v>0.14538739181684662</v>
      </c>
      <c r="AK87" s="6"/>
      <c r="AL87" s="6">
        <f>_xlfn.FLOOR.MATH((AJ87))</f>
        <v>0</v>
      </c>
      <c r="AM87" s="6">
        <f>(AI87-3600*AL87)/60</f>
        <v>8.7232435090107963</v>
      </c>
      <c r="AN87" s="6">
        <f t="shared" ref="AN87" si="146">_xlfn.FLOOR.MATH((AM87))</f>
        <v>8</v>
      </c>
      <c r="AO87" s="6">
        <f>AI87-3600*AL87-60*AN87</f>
        <v>43.394610540647818</v>
      </c>
      <c r="AP87" s="7" t="str">
        <f>CONCATENATE(TEXT(AL87,"00"),"°",TEXT(AN87,"00"),"'",TEXT(AO87,"00.00"), " [", CONCATENATE(TEXT(AL87,"00"),"°",TEXT(AM87,"00.00")),"]", " - (", TEXT(AJ87,"00.0000"),"°)")</f>
        <v>00°08'43.39 [00°08.72] - (00.1454°)</v>
      </c>
    </row>
    <row r="88" spans="1:42" x14ac:dyDescent="0.25">
      <c r="Q88" s="28">
        <f>S86</f>
        <v>7</v>
      </c>
      <c r="R88" s="31" t="s">
        <v>218</v>
      </c>
      <c r="S88" s="1">
        <f>(1/(TAN((Q88+(7.31/(Q88+4.4))) *D85)))</f>
        <v>7.4537346322070421</v>
      </c>
    </row>
    <row r="89" spans="1:42" x14ac:dyDescent="0.25">
      <c r="Q89" s="28"/>
      <c r="R89" s="31" t="s">
        <v>219</v>
      </c>
      <c r="S89" s="1">
        <f>(0.28 * 'Droite de hauteur-soleil'!O100 / (273 + 'Droite de hauteur-soleil'!O99))</f>
        <v>0.99929328621908131</v>
      </c>
    </row>
    <row r="90" spans="1:42" x14ac:dyDescent="0.25">
      <c r="Q90" s="28">
        <f>S90</f>
        <v>0.12414111625371918</v>
      </c>
      <c r="R90" s="31" t="s">
        <v>85</v>
      </c>
      <c r="S90" s="17">
        <f>S88*S89/60</f>
        <v>0.12414111625371918</v>
      </c>
    </row>
    <row r="92" spans="1:42" x14ac:dyDescent="0.25">
      <c r="Q92" s="31" t="s">
        <v>78</v>
      </c>
      <c r="R92" s="17">
        <f>Test!L68</f>
        <v>0</v>
      </c>
      <c r="S92" s="69" t="s">
        <v>173</v>
      </c>
      <c r="T92" s="1">
        <f>0.0293 * SQRT(R92)</f>
        <v>0</v>
      </c>
    </row>
  </sheetData>
  <mergeCells count="143">
    <mergeCell ref="C72:H72"/>
    <mergeCell ref="I72:K72"/>
    <mergeCell ref="L72:N72"/>
    <mergeCell ref="C73:H76"/>
    <mergeCell ref="I73:K76"/>
    <mergeCell ref="F82:I82"/>
    <mergeCell ref="A84:C84"/>
    <mergeCell ref="C77:H80"/>
    <mergeCell ref="I77:K80"/>
    <mergeCell ref="L73:N73"/>
    <mergeCell ref="L74:N74"/>
    <mergeCell ref="L75:N75"/>
    <mergeCell ref="L76:N76"/>
    <mergeCell ref="L77:N77"/>
    <mergeCell ref="L78:N78"/>
    <mergeCell ref="L79:N79"/>
    <mergeCell ref="L80:N80"/>
    <mergeCell ref="C69:H69"/>
    <mergeCell ref="I69:K69"/>
    <mergeCell ref="L69:N69"/>
    <mergeCell ref="C70:H70"/>
    <mergeCell ref="I70:K70"/>
    <mergeCell ref="L70:N70"/>
    <mergeCell ref="C71:H71"/>
    <mergeCell ref="I71:K71"/>
    <mergeCell ref="L71:N71"/>
    <mergeCell ref="C68:H68"/>
    <mergeCell ref="I68:K68"/>
    <mergeCell ref="L68:N68"/>
    <mergeCell ref="C19:E19"/>
    <mergeCell ref="F19:H19"/>
    <mergeCell ref="C20:E20"/>
    <mergeCell ref="C22:E22"/>
    <mergeCell ref="F20:H20"/>
    <mergeCell ref="F22:H22"/>
    <mergeCell ref="C21:E21"/>
    <mergeCell ref="F21:H21"/>
    <mergeCell ref="F25:H25"/>
    <mergeCell ref="C25:E25"/>
    <mergeCell ref="F26:H26"/>
    <mergeCell ref="F27:H27"/>
    <mergeCell ref="C29:E29"/>
    <mergeCell ref="C26:E26"/>
    <mergeCell ref="C27:E27"/>
    <mergeCell ref="C28:E28"/>
    <mergeCell ref="F28:H28"/>
    <mergeCell ref="C38:E38"/>
    <mergeCell ref="F38:H38"/>
    <mergeCell ref="C39:E39"/>
    <mergeCell ref="F39:H39"/>
    <mergeCell ref="T16:T18"/>
    <mergeCell ref="C18:H18"/>
    <mergeCell ref="N16:N18"/>
    <mergeCell ref="M16:M18"/>
    <mergeCell ref="O16:O18"/>
    <mergeCell ref="W16:W18"/>
    <mergeCell ref="X16:X18"/>
    <mergeCell ref="U16:U18"/>
    <mergeCell ref="V16:V18"/>
    <mergeCell ref="P16:P18"/>
    <mergeCell ref="Q16:Q18"/>
    <mergeCell ref="R16:R18"/>
    <mergeCell ref="S16:S18"/>
    <mergeCell ref="C2:H2"/>
    <mergeCell ref="C3:E3"/>
    <mergeCell ref="F3:H3"/>
    <mergeCell ref="C4:E4"/>
    <mergeCell ref="F4:H4"/>
    <mergeCell ref="C5:E5"/>
    <mergeCell ref="F5:H5"/>
    <mergeCell ref="C6:E6"/>
    <mergeCell ref="F6:H6"/>
    <mergeCell ref="C7:E7"/>
    <mergeCell ref="F7:H7"/>
    <mergeCell ref="C8:E8"/>
    <mergeCell ref="F8:H8"/>
    <mergeCell ref="C9:E9"/>
    <mergeCell ref="F9:H9"/>
    <mergeCell ref="C10:E10"/>
    <mergeCell ref="F23:H23"/>
    <mergeCell ref="F24:H24"/>
    <mergeCell ref="C23:E23"/>
    <mergeCell ref="C24:E24"/>
    <mergeCell ref="F10:H10"/>
    <mergeCell ref="C11:E11"/>
    <mergeCell ref="F11:H11"/>
    <mergeCell ref="C12:E12"/>
    <mergeCell ref="F12:H12"/>
    <mergeCell ref="C40:E40"/>
    <mergeCell ref="F40:H40"/>
    <mergeCell ref="C37:E37"/>
    <mergeCell ref="F37:H37"/>
    <mergeCell ref="F29:H29"/>
    <mergeCell ref="F30:H30"/>
    <mergeCell ref="F31:H31"/>
    <mergeCell ref="C35:E35"/>
    <mergeCell ref="F35:H35"/>
    <mergeCell ref="C36:E36"/>
    <mergeCell ref="F36:H36"/>
    <mergeCell ref="C32:E32"/>
    <mergeCell ref="F32:H32"/>
    <mergeCell ref="C33:E33"/>
    <mergeCell ref="F33:H33"/>
    <mergeCell ref="C34:E34"/>
    <mergeCell ref="F34:H34"/>
    <mergeCell ref="C30:E30"/>
    <mergeCell ref="C31:E31"/>
    <mergeCell ref="C44:E44"/>
    <mergeCell ref="F44:H44"/>
    <mergeCell ref="C45:E45"/>
    <mergeCell ref="F45:H45"/>
    <mergeCell ref="C46:E46"/>
    <mergeCell ref="F46:H46"/>
    <mergeCell ref="C41:E41"/>
    <mergeCell ref="F41:H41"/>
    <mergeCell ref="C42:E42"/>
    <mergeCell ref="F42:H42"/>
    <mergeCell ref="C43:E43"/>
    <mergeCell ref="F43:H43"/>
    <mergeCell ref="C50:E50"/>
    <mergeCell ref="F50:H50"/>
    <mergeCell ref="C51:E51"/>
    <mergeCell ref="F51:H51"/>
    <mergeCell ref="C52:E52"/>
    <mergeCell ref="F52:H52"/>
    <mergeCell ref="C47:E47"/>
    <mergeCell ref="F47:H47"/>
    <mergeCell ref="C48:E48"/>
    <mergeCell ref="F48:H48"/>
    <mergeCell ref="C49:E49"/>
    <mergeCell ref="F49:H49"/>
    <mergeCell ref="C57:E57"/>
    <mergeCell ref="F57:H57"/>
    <mergeCell ref="C58:E58"/>
    <mergeCell ref="F58:H58"/>
    <mergeCell ref="C56:E56"/>
    <mergeCell ref="F56:H56"/>
    <mergeCell ref="C53:E53"/>
    <mergeCell ref="F53:H53"/>
    <mergeCell ref="C54:E54"/>
    <mergeCell ref="F54:H54"/>
    <mergeCell ref="C55:E55"/>
    <mergeCell ref="F55:H5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20</vt:i4>
      </vt:variant>
    </vt:vector>
  </HeadingPairs>
  <TitlesOfParts>
    <vt:vector size="29" baseType="lpstr">
      <vt:lpstr>Droite de hauteur-soleil</vt:lpstr>
      <vt:lpstr>Droite de hauteur-lune</vt:lpstr>
      <vt:lpstr>Droite de hauteur-Etoile</vt:lpstr>
      <vt:lpstr>Latitude Polaire -OK</vt:lpstr>
      <vt:lpstr>Droite de hauteur-GENERIQUE</vt:lpstr>
      <vt:lpstr>Nav</vt:lpstr>
      <vt:lpstr>Maree</vt:lpstr>
      <vt:lpstr>Sheet1</vt:lpstr>
      <vt:lpstr>Test</vt:lpstr>
      <vt:lpstr>'Droite de hauteur-Etoile'!A</vt:lpstr>
      <vt:lpstr>'Droite de hauteur-GENERIQUE'!A</vt:lpstr>
      <vt:lpstr>'Droite de hauteur-lune'!A</vt:lpstr>
      <vt:lpstr>'Latitude Polaire -OK'!A</vt:lpstr>
      <vt:lpstr>A</vt:lpstr>
      <vt:lpstr>'Droite de hauteur-Etoile'!D</vt:lpstr>
      <vt:lpstr>'Droite de hauteur-GENERIQUE'!D</vt:lpstr>
      <vt:lpstr>'Droite de hauteur-lune'!D</vt:lpstr>
      <vt:lpstr>'Latitude Polaire -OK'!D</vt:lpstr>
      <vt:lpstr>D</vt:lpstr>
      <vt:lpstr>'Droite de hauteur-Etoile'!L</vt:lpstr>
      <vt:lpstr>'Droite de hauteur-GENERIQUE'!L</vt:lpstr>
      <vt:lpstr>'Droite de hauteur-lune'!L</vt:lpstr>
      <vt:lpstr>'Latitude Polaire -OK'!L</vt:lpstr>
      <vt:lpstr>L</vt:lpstr>
      <vt:lpstr>'Droite de hauteur-Etoile'!Print_Area</vt:lpstr>
      <vt:lpstr>'Droite de hauteur-GENERIQUE'!Print_Area</vt:lpstr>
      <vt:lpstr>'Droite de hauteur-lune'!Print_Area</vt:lpstr>
      <vt:lpstr>'Droite de hauteur-soleil'!Print_Area</vt:lpstr>
      <vt:lpstr>'Latitude Polaire -OK'!Print_Area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FAGES Pierre</dc:creator>
  <cp:lastModifiedBy>FAGES Pierre</cp:lastModifiedBy>
  <cp:lastPrinted>2023-12-21T14:20:48Z</cp:lastPrinted>
  <dcterms:created xsi:type="dcterms:W3CDTF">2023-12-16T12:20:09Z</dcterms:created>
  <dcterms:modified xsi:type="dcterms:W3CDTF">2024-02-29T19:19:58Z</dcterms:modified>
</cp:coreProperties>
</file>